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ForLabelling" sheetId="1" r:id="rId4"/>
    <sheet state="visible" name="QLabelling" sheetId="2" r:id="rId5"/>
    <sheet state="visible" name="training_data" sheetId="3" r:id="rId6"/>
    <sheet state="visible" name="testing_data" sheetId="4" r:id="rId7"/>
    <sheet state="visible" name="lb2" sheetId="5" r:id="rId8"/>
    <sheet state="visible" name="raf" sheetId="6" r:id="rId9"/>
  </sheets>
  <definedNames/>
  <calcPr/>
  <extLst>
    <ext uri="GoogleSheetsCustomDataVersion1">
      <go:sheetsCustomData xmlns:go="http://customooxmlschemas.google.com/" r:id="rId10" roundtripDataSignature="AMtx7mjzWIEWQK1NWtlyWp5qGg5ZxVdbMw=="/>
    </ext>
  </extLst>
</workbook>
</file>

<file path=xl/sharedStrings.xml><?xml version="1.0" encoding="utf-8"?>
<sst xmlns="http://schemas.openxmlformats.org/spreadsheetml/2006/main" count="26921" uniqueCount="8430">
  <si>
    <t>Id</t>
  </si>
  <si>
    <t>Title</t>
  </si>
  <si>
    <t>FavoriteCount</t>
  </si>
  <si>
    <t>ViewCount</t>
  </si>
  <si>
    <t>SDLC</t>
  </si>
  <si>
    <t>tag1</t>
  </si>
  <si>
    <t>Tag2</t>
  </si>
  <si>
    <t>Tag3</t>
  </si>
  <si>
    <t>Tag4</t>
  </si>
  <si>
    <t>isProblematic</t>
  </si>
  <si>
    <t>Can servers block curl requests?</t>
  </si>
  <si>
    <t>3__development</t>
  </si>
  <si>
    <t>General programming query [JSON to CSV/excel]</t>
  </si>
  <si>
    <t>Workaround for CSS variables in IE?</t>
  </si>
  <si>
    <t>General query [HTTP error header message  explanation | Feature usage query | Learning curve]</t>
  </si>
  <si>
    <t>powerapps: populate drop down list from another datasource</t>
  </si>
  <si>
    <t>Data binding</t>
  </si>
  <si>
    <t>XML error Open quote is expected for attribute "value" when programming in PHP</t>
  </si>
  <si>
    <t>Debugging Error/crash [why this does not work| Application Code change not executed| Broken UI| Functionalities not working| boken UI| Embedding | ]</t>
  </si>
  <si>
    <t>Are there any serious pitfalls to Outsystems Agile Platform?</t>
  </si>
  <si>
    <t>1__requirement</t>
  </si>
  <si>
    <t>Queries on Platform [plaform comparision | platform features | Community support | Reusability Scalability performance]</t>
  </si>
  <si>
    <t>Codeigniter SMTP Email Error</t>
  </si>
  <si>
    <t>wrong tag</t>
  </si>
  <si>
    <t>Rest API calls with PowerApps</t>
  </si>
  <si>
    <t>Tutorial [How to do this ]</t>
  </si>
  <si>
    <t>Pass a value to another screen</t>
  </si>
  <si>
    <t>Cannot insert duplicate key row in object with unique index . The duplicate key value. The statement has been terminated</t>
  </si>
  <si>
    <t>Database [connection| sclability| model design| Export/import data| Database design| DB scalability| DB Admin Authorization|</t>
  </si>
  <si>
    <t>SOQL - Querying for a list of users the current user is following</t>
  </si>
  <si>
    <t>Database CRUD [Complex Database query| DB query for M:M data model| DB query unexpected| ]</t>
  </si>
  <si>
    <t>Parsing a complex JSON result with C#</t>
  </si>
  <si>
    <t>How to open/close a modal in Salesforce Lightning App?</t>
  </si>
  <si>
    <t>Using PHP to insert records to Zoho CRM via the API</t>
  </si>
  <si>
    <t>Documentation [incorrent| incomplete| ambiguous| Ambiguous sample code integration]</t>
  </si>
  <si>
    <t>API Integration [Updating Integrated API versions | API unexpected response | Connecting external services | Ambiguous sample code integration]</t>
  </si>
  <si>
    <t>Send email through Zoho SMTP</t>
  </si>
  <si>
    <t>Unable to set value dynamically for Lightning:InputField</t>
  </si>
  <si>
    <t>Dynamic Content</t>
  </si>
  <si>
    <t>How to set the default value of a dropdown in powerapps</t>
  </si>
  <si>
    <t>How to bind a datasource to a dropdown in PowerApps</t>
  </si>
  <si>
    <t>How to run a SQL Server stored procedure in PowerApps</t>
  </si>
  <si>
    <t>How to add more data an array of objects in a lightning component</t>
  </si>
  <si>
    <t>How to get downloadable link for attachment?</t>
  </si>
  <si>
    <t>Platform issues [platform limitaion | not working as expected]</t>
  </si>
  <si>
    <t>Phpmailer from address failed</t>
  </si>
  <si>
    <t>Microsoft PowerApps | How to get calendar events from o365 connection?</t>
  </si>
  <si>
    <t>How to put field validation on ui:inputtext in javascript using lightning component?</t>
  </si>
  <si>
    <t>LWC- How would i refresh the data of a lightning-datatable after a new record is created?</t>
  </si>
  <si>
    <t>Recommendation on best practice</t>
  </si>
  <si>
    <t>Saving data from PowerApps text field into SQL Server table</t>
  </si>
  <si>
    <t>Rails EOFError (end of file reached) when saving a devise user</t>
  </si>
  <si>
    <t>Dropdown OnSelect and OnChange Actions not firing</t>
  </si>
  <si>
    <t>javascript to check string in this format</t>
  </si>
  <si>
    <t>PowerApps How can I change the text in a textbox on the click of a button</t>
  </si>
  <si>
    <t>Salesforce lightning Action modal size</t>
  </si>
  <si>
    <t>UI customization [Design flexibility|  UI Overflow| Show/Hide Component| Template]</t>
  </si>
  <si>
    <t>Power Apps - Reset Form Fields</t>
  </si>
  <si>
    <t>SalesForce - Service Cloud Objects</t>
  </si>
  <si>
    <t>2__design</t>
  </si>
  <si>
    <t>How to clear a Text Input in Powerapp?</t>
  </si>
  <si>
    <t>How to configure blat using office365 setting</t>
  </si>
  <si>
    <t>Pass value to lightning-input tag in LWC</t>
  </si>
  <si>
    <t>Zoho CRM lead insert via PHP</t>
  </si>
  <si>
    <t>Rendering realistic electric lightning using OpenGl</t>
  </si>
  <si>
    <t>Assembla Redmine JIRA Zoho Yodiz review and/or alternatives</t>
  </si>
  <si>
    <t>Power Apps - Click button and update/change dropdown value</t>
  </si>
  <si>
    <t>Application Customization [QR code | Automatic value| Show/Hide Component| Pagination | Automatic Email | Embedding | pagination ]</t>
  </si>
  <si>
    <t>trigger to populate child field from parent object using relationship query from "parent to child"</t>
  </si>
  <si>
    <t>Filter a dropdown based on the content of another dropdown in PowerApps</t>
  </si>
  <si>
    <t>Salesforce Lightning: Controller functions interaction within the same component</t>
  </si>
  <si>
    <t>Email settings for custom domain in Microsoft Azure</t>
  </si>
  <si>
    <t>5__deployment</t>
  </si>
  <si>
    <t>Email and DNS configuration [SMTP Authentication| email not working | DNS Integration]</t>
  </si>
  <si>
    <t>Examples of Quickbase API in C#</t>
  </si>
  <si>
    <t>What is app in salesforce</t>
  </si>
  <si>
    <t>how to add button to lightning list view</t>
  </si>
  <si>
    <t>Filter records for Dropdown control</t>
  </si>
  <si>
    <t>salesforce rest api</t>
  </si>
  <si>
    <t>Powerapps Filter records in browse gallery based on value in dropdown</t>
  </si>
  <si>
    <t>How to get gallery item index in PowerApps?</t>
  </si>
  <si>
    <t>Rails ActionMailer configuration for Zoho</t>
  </si>
  <si>
    <t>Patch - Update SharePoint List in Powerapps</t>
  </si>
  <si>
    <t>Form validation before submit data to SharePoint list (PowerApps)</t>
  </si>
  <si>
    <t>Input validation</t>
  </si>
  <si>
    <t>Error - BoatSearchResults component is missing the correct layout attributes to create multiple rows</t>
  </si>
  <si>
    <t>4__testing</t>
  </si>
  <si>
    <t>Testing [Test failed| Test coverage| Third party functional testing suite|]</t>
  </si>
  <si>
    <t>iFrame block not showing up in the iPhone</t>
  </si>
  <si>
    <t>lightning:input Date Field validation</t>
  </si>
  <si>
    <t>How do I find an element in an aura component from the client-side controller?</t>
  </si>
  <si>
    <t>Nodemailer with ZOHO mail</t>
  </si>
  <si>
    <t>Dynamic SQL Server query in Powerapps</t>
  </si>
  <si>
    <t>How can I rename my Apex Class name in Salesforce</t>
  </si>
  <si>
    <t>Powerapps: Filter table with another table</t>
  </si>
  <si>
    <t>Using URL Rewrite on IIS to set response's Location header</t>
  </si>
  <si>
    <t>Power apps how to display time in an hours:minutes:seconds format</t>
  </si>
  <si>
    <t>Lock any action on a page using JavaScript</t>
  </si>
  <si>
    <t>How can I link my spread sheets to App Maker?</t>
  </si>
  <si>
    <t>Hide button inside Lightning Datatable based on row value</t>
  </si>
  <si>
    <t>Can't Connect to SalesForce in C#</t>
  </si>
  <si>
    <t>PowerApp Rules to return boolean if collection contains a string value</t>
  </si>
  <si>
    <t>PowerApps attachment control how to check if any attachments have been made</t>
  </si>
  <si>
    <t>Superbadge: Lightning Component Framework Specialist - Step 3</t>
  </si>
  <si>
    <t>How to add Search layouts in Salesforce package</t>
  </si>
  <si>
    <t>How can I retrieve,add data using Quickbase API and javascript</t>
  </si>
  <si>
    <t>Get html input type value in lightning JS controller</t>
  </si>
  <si>
    <t>Submit Form POST using VB .NET</t>
  </si>
  <si>
    <t>Apex - Salesforce.com - I need help writing an APEX class to test my working trigger - Chatter - Monitor specific keywords</t>
  </si>
  <si>
    <t>Keep getting "Server Rejected" when I try to upload a file to a Google Drive Folder</t>
  </si>
  <si>
    <t>Integrating CRM with Google maps</t>
  </si>
  <si>
    <t>feature implement</t>
  </si>
  <si>
    <t>aura:if is not evaluating and aura:iteration not displaying</t>
  </si>
  <si>
    <t>How can i send response message to SOAP Outbound Message in Salesforce</t>
  </si>
  <si>
    <t>How does one make a point to point "bolt" of lightning using perlin noise or other algorithm?</t>
  </si>
  <si>
    <t>How to dynamically switch color themes using SASS?</t>
  </si>
  <si>
    <t>Google Team Drive Move file between team drive folders using Apps Script</t>
  </si>
  <si>
    <t>Override standard buttons in salesforce service cloud console</t>
  </si>
  <si>
    <t>PowerApp Using SharePoint List is not Showing New Columns/Fields</t>
  </si>
  <si>
    <t>How to get values from dynamically created lightning Components?</t>
  </si>
  <si>
    <t>Error: Compile Error: Method does not exist or incorrect signature: ConnectApi.BinaryInput</t>
  </si>
  <si>
    <t>System.DmlException: Update failed. first error: INVALID_CROSS_REFERENCE_KEY,</t>
  </si>
  <si>
    <t>How to Send the uploaded file to Apex using lightning:fileUpload - Salesforce lightning</t>
  </si>
  <si>
    <t>posting a custom html form data into zoho crm</t>
  </si>
  <si>
    <t>event.currentTarget getting undefined on Chrome</t>
  </si>
  <si>
    <t>File Upload using Chatter REST API</t>
  </si>
  <si>
    <t>&lt;ui:inputText&gt; keyup returns incorrect value (one less)</t>
  </si>
  <si>
    <t>PowerApps Template - How to edit collections?</t>
  </si>
  <si>
    <t>PHP - 553 Relaying disallowed with Zoho mail and MyBB</t>
  </si>
  <si>
    <t>Access JSON results from Custom Connector (Web API) in PowerApps</t>
  </si>
  <si>
    <t>Page not scrolling to top in salesforce lightning</t>
  </si>
  <si>
    <t>Create lightning in OpenGL ES 1.1</t>
  </si>
  <si>
    <t>How to patch an entire collection to a Db</t>
  </si>
  <si>
    <t>Salesforce Lightning datatable dynamic creation-adding onrowselection event issue</t>
  </si>
  <si>
    <t>Java Client Consuming .NET WCF over SSL (WS-Policy not supported)</t>
  </si>
  <si>
    <t>How to connect PowerApps with AzureAD</t>
  </si>
  <si>
    <t>Where can I find all App Maker button icons?</t>
  </si>
  <si>
    <t>how to write delete query in advance query in outsystems</t>
  </si>
  <si>
    <t>In Powerapps how can you filter on a gallery with a radiobutton?</t>
  </si>
  <si>
    <t>Insufficient access rights on cross-reference id in Salesforce when attempting to insert object from Mule</t>
  </si>
  <si>
    <t>Get data using div element's onclick event in iteration</t>
  </si>
  <si>
    <t>Powerapps Visible function</t>
  </si>
  <si>
    <t>Power apps drop down</t>
  </si>
  <si>
    <t>How to get parameter from lightning URL in Salesforce?</t>
  </si>
  <si>
    <t>How can I fix 'Unchecked runtime.lastError: The message port closed before a response was received.' when linking to G-Cal events?</t>
  </si>
  <si>
    <t>JavaScript Function to Pull related object fields</t>
  </si>
  <si>
    <t>Apply search and filter in power Apps</t>
  </si>
  <si>
    <t>Rendering salesforce lightning component into pdf (Generate PDF)</t>
  </si>
  <si>
    <t>Parse email subject office 365 flows</t>
  </si>
  <si>
    <t>How to search item in outsystems input box dynamically</t>
  </si>
  <si>
    <t>Salesforce Chatter profile pictures restrictions</t>
  </si>
  <si>
    <t>How to add onclick functionality in lightning web component data table URL column</t>
  </si>
  <si>
    <t>PowerApps: getting most recent record having a condition</t>
  </si>
  <si>
    <t>Nodemailer Missing credentials for "PLAIN"</t>
  </si>
  <si>
    <t>VueJs not displaying SVGs</t>
  </si>
  <si>
    <t>Salesforce Lightning: How can i get session Id of current user in Salesforce lightning component?</t>
  </si>
  <si>
    <t>How to use if condition in powerapp for populating dropdown which depends on selection of a control</t>
  </si>
  <si>
    <t>Generate PDF file of page content in OutSystems</t>
  </si>
  <si>
    <t>How to integrate powerapps with azure devops</t>
  </si>
  <si>
    <t>Filter Gallery based on Screen1 dropdown selection and then allow search</t>
  </si>
  <si>
    <t>Date Input field default value in Outsystems</t>
  </si>
  <si>
    <t>Generate multiple PDF automatically from salesforce. Avoid getContent()</t>
  </si>
  <si>
    <t>How do generate screen elements dynamically in the OutSystems platform?</t>
  </si>
  <si>
    <t>label not inserted</t>
  </si>
  <si>
    <t>Inserting record in zoho api v2 in PHP</t>
  </si>
  <si>
    <t>upload a file to salesforce using connector</t>
  </si>
  <si>
    <t>DATA Not accepted from server</t>
  </si>
  <si>
    <t>Zoho Invoice API not working</t>
  </si>
  <si>
    <t>Zoho API V2 Update Record</t>
  </si>
  <si>
    <t>Set the combo box special list value to other variable</t>
  </si>
  <si>
    <t>Zoho Creator with Bootstrap, jQuery, or other custom HTML</t>
  </si>
  <si>
    <t>PowerApps datasource to overcome 500 visible or searchable items limit</t>
  </si>
  <si>
    <t>How to Enable TLS1.1 in Java7 for Axis1 webservice client</t>
  </si>
  <si>
    <t>How to get all referenced pages where i used my custom lightning component?</t>
  </si>
  <si>
    <t>Powerapps difficulty accessing JSON in collection</t>
  </si>
  <si>
    <t>Integrate ZOHO API with Laravel 5.7</t>
  </si>
  <si>
    <t>phpmailer zoho SMTP auth failed</t>
  </si>
  <si>
    <t>PowerApps : How to Navigate from Table to another Table</t>
  </si>
  <si>
    <t>Can I add a custom widget to Salesforce Service Cloud Console?</t>
  </si>
  <si>
    <t>How to join on timestamp columns with tolerance</t>
  </si>
  <si>
    <t>Exporting tables from QuickBase</t>
  </si>
  <si>
    <t>How do I navigate to another screen based on the dropdown item in Powerapps?</t>
  </si>
  <si>
    <t>PowerApps : Implementing Role Based Security In Your PowerApps App</t>
  </si>
  <si>
    <t>Flatform features support [Event Monitoring | Dashboard customization | View Management | role management | collaboration | platform security]</t>
  </si>
  <si>
    <t>Create a script in Quickbase</t>
  </si>
  <si>
    <t>Check error before submit</t>
  </si>
  <si>
    <t>Thunderbird EWS Provider Share Folder ID</t>
  </si>
  <si>
    <t>How do I allow users to only view/edit/delete records they created themselves?</t>
  </si>
  <si>
    <t>How to change the border-top-color for apex:pageBlock in Salesforce</t>
  </si>
  <si>
    <t>How to connect Mendix to SQL Server?</t>
  </si>
  <si>
    <t>how to upload a file to attachment in salesforce using lightning?</t>
  </si>
  <si>
    <t>PowerApps: Filter a Lookup Field Based on a Previous Field</t>
  </si>
  <si>
    <t>How to fix the Accessible Label Error on Powerapps</t>
  </si>
  <si>
    <t>Cross origin issue in salesforce response(Access-Control-Allow-Origin)</t>
  </si>
  <si>
    <t>Access control [Application accessibility| Permission]</t>
  </si>
  <si>
    <t>Using Dates - OutSystems</t>
  </si>
  <si>
    <t>Chatter : SOQL for fetching CommentLikes</t>
  </si>
  <si>
    <t>Size limit on ContentVersion object in Salesforce</t>
  </si>
  <si>
    <t>Pass data from parent to child in lightning web component using Charts Js</t>
  </si>
  <si>
    <t>salesforce Element {}item invalid at this location</t>
  </si>
  <si>
    <t>How to set current item in App Maker datasource?</t>
  </si>
  <si>
    <t>Lightning Web Component to display JSON String is not working</t>
  </si>
  <si>
    <t>How to get records from Quickbase in asp.net application?</t>
  </si>
  <si>
    <t>Google App Maker how to create Data Source from Google Contacts</t>
  </si>
  <si>
    <t>How to create a PowerApp gallery with multiple dataset lists</t>
  </si>
  <si>
    <t>In Powerapps, Can I add a text field and connect it to a SharePoint list column</t>
  </si>
  <si>
    <t>Connection timeout error when sending mail from Zohomail using Nodemailer</t>
  </si>
  <si>
    <t>Child lightning component init execute before parent init salesforce</t>
  </si>
  <si>
    <t>Salesforce integration with Team Foundation Server 2013</t>
  </si>
  <si>
    <t>How to create a apex test class for my apex class</t>
  </si>
  <si>
    <t>Call lightning component inside same lightning component</t>
  </si>
  <si>
    <t>Convert an object to string in PowerApps</t>
  </si>
  <si>
    <t>How do i populate a PowerApps data card value on new form with data from last submitted form</t>
  </si>
  <si>
    <t>Can I mention a group of users on a Salesforce Chatter post?</t>
  </si>
  <si>
    <t>Can Microsoft PowerApps create public facing apps</t>
  </si>
  <si>
    <t>Insert Lead in ZOHO CRM usinh PHP cURL</t>
  </si>
  <si>
    <t>Integration with ZOHO invoice</t>
  </si>
  <si>
    <t>Single Gallery from multiple sharepoint list (all same fields)</t>
  </si>
  <si>
    <t>Sending Images from PowerApps to Microsoft Flow</t>
  </si>
  <si>
    <t>Appmaker Query on Calculated Records</t>
  </si>
  <si>
    <t>How do I select a dropdown value and display other value on the label in Powerapp?</t>
  </si>
  <si>
    <t>Salesforce: Create timer on objects - is it possible?</t>
  </si>
  <si>
    <t>Sync the zoho crm with sql database using c# code</t>
  </si>
  <si>
    <t>UrlFetchApp.fetch with API</t>
  </si>
  <si>
    <t>Google App maker list view filtering</t>
  </si>
  <si>
    <t>How to fix invalid 'Invalid column name' after adding a column in the table</t>
  </si>
  <si>
    <t>Lightning Components &amp; window.addEventListener()</t>
  </si>
  <si>
    <t>Decode Base64 string as image and Display using .image property in Powerapps</t>
  </si>
  <si>
    <t>Navigate from one LWC to another LWC</t>
  </si>
  <si>
    <t>Updating a Value in a Another Form (Zoho Creator)</t>
  </si>
  <si>
    <t>PowerApps - Change Border Color of Form</t>
  </si>
  <si>
    <t>Powerapps: button selection on a previous screen prefill a field in a form</t>
  </si>
  <si>
    <t>Insert data into SQL Server from form using Power app</t>
  </si>
  <si>
    <t>Experiences with Zoho Creator?</t>
  </si>
  <si>
    <t>Power Apps - Create a collection</t>
  </si>
  <si>
    <t>Textbox default value - OutSystems</t>
  </si>
  <si>
    <t>Salesforce Lighting Components not visible in community pages</t>
  </si>
  <si>
    <t>convert xml response (from ZohoCRM) to simple "key=value" pairs (for SurveyGizmo) using php or Zoho Creator</t>
  </si>
  <si>
    <t>How do I get SalesForce Table Names from SalesForce data</t>
  </si>
  <si>
    <t>Save VF form in edit mode without refreshing</t>
  </si>
  <si>
    <t>Javascript tooltip help and color change</t>
  </si>
  <si>
    <t>PowerApps: Show Details from a Gallery on a Browse Screen on a third Detail Screen</t>
  </si>
  <si>
    <t>How to Identify Elements in Salesforce Lightning for Selenium</t>
  </si>
  <si>
    <t>looping over a set of elements in Salesforce</t>
  </si>
  <si>
    <t>How to create text file in outsystems</t>
  </si>
  <si>
    <t>Migrate Salesforce data from one org to another</t>
  </si>
  <si>
    <t>APIs for implementing Document Editing and viewing features for a web app?</t>
  </si>
  <si>
    <t>new line character in product description</t>
  </si>
  <si>
    <t>Gitlab page and CNAME records conflict</t>
  </si>
  <si>
    <t>TypeError: Cannot read property "data" from undefined</t>
  </si>
  <si>
    <t>Error: Lookups on activites must have a unique domain</t>
  </si>
  <si>
    <t>Posting Data from form (xml) to Zoho CRM with php and cURL</t>
  </si>
  <si>
    <t>SALESFORCE1(AURA PLATFORM): How to pass values from a client-side-code(JavaScript code) to server-side-code(APEX)?</t>
  </si>
  <si>
    <t>Power App - generate PDF</t>
  </si>
  <si>
    <t>Google App Maker how to save and update records?</t>
  </si>
  <si>
    <t>how to access Salesforce Attachment Body (base64 binary data) using java?</t>
  </si>
  <si>
    <t>Unable replace a "force:navigateToURL" with lightning:navigation or force:navigateToSObject</t>
  </si>
  <si>
    <t>Connect AppMaker to Google SQL</t>
  </si>
  <si>
    <t>ZOHO Creator: How do I add uploaded images from and Image Field to a Page</t>
  </si>
  <si>
    <t>Project Timeline in App Maker</t>
  </si>
  <si>
    <t>Salesforce lightning input's element.set not working anymore after summer 18 release</t>
  </si>
  <si>
    <t>How to concatenate two variables and assign to the label attributes of lightning-card in lightning web component</t>
  </si>
  <si>
    <t>How to get the access_token first in Apex Restful service to call GET/POST methods from outside?</t>
  </si>
  <si>
    <t>Session/Authentication [social auth | oaut2 | jtoken]</t>
  </si>
  <si>
    <t>SubmitForm is not working in power apps</t>
  </si>
  <si>
    <t>SMTPDataError at /accounts/signup/ (553, b'Relaying disallowed as webmaster@localhost')</t>
  </si>
  <si>
    <t>Lightning Component not showing on Lightning Tab</t>
  </si>
  <si>
    <t>Deploy a lightning page from sandbox to production</t>
  </si>
  <si>
    <t>Uploading files to Zoho API with PHP Curl</t>
  </si>
  <si>
    <t>Salesforce Lightning - Link Formula Field</t>
  </si>
  <si>
    <t>Default Select list value in Combo box - LWC</t>
  </si>
  <si>
    <t>How to make Chrome Extension run for each new Iframe added?</t>
  </si>
  <si>
    <t>Browser compatibility</t>
  </si>
  <si>
    <t>Is this a normal xml format?</t>
  </si>
  <si>
    <t>Outsystems - tab issue</t>
  </si>
  <si>
    <t>Open external URL in same window using hyperlink formula in Salesforce Community</t>
  </si>
  <si>
    <t>Advanced SQL Queries in Outsystems</t>
  </si>
  <si>
    <t>Google Appmaker: Update form based on selected dropdown option</t>
  </si>
  <si>
    <t>Fix up the column headers - Outsystems</t>
  </si>
  <si>
    <t>ARKit light estimation not working</t>
  </si>
  <si>
    <t>Parse Json in Zoho Creator</t>
  </si>
  <si>
    <t>Powerapps : how to use submit button to store values of form controls into excel online</t>
  </si>
  <si>
    <t>Microsoft Powerapps - How to connect to different datasource in one form</t>
  </si>
  <si>
    <t>How to reset combobox in lightning UI?</t>
  </si>
  <si>
    <t>PowerApps set global variable</t>
  </si>
  <si>
    <t>nodemailer and zoho email issue '530 Must issue a STARTTLS command first.'</t>
  </si>
  <si>
    <t>Sending a mail using SSL from a zohomail account</t>
  </si>
  <si>
    <t>Uploading Image to SharePoint from PowerApps via Flow</t>
  </si>
  <si>
    <t>row from datatable does not updated in salesforce</t>
  </si>
  <si>
    <t>Google App Maker Query Builder</t>
  </si>
  <si>
    <t>QuickBase jQuery/Ajax call puzzler</t>
  </si>
  <si>
    <t>Validate mobile and phone number - outsystems</t>
  </si>
  <si>
    <t>Need help in filtering the records in lightning application</t>
  </si>
  <si>
    <t>Need to create dynamic table in lightning</t>
  </si>
  <si>
    <t>Find first occurrence of pattern in regex</t>
  </si>
  <si>
    <t>Floating exponent exponentiation algorithm</t>
  </si>
  <si>
    <t>salesforce lightning $A.get("e.force:createRecord") it's return empty</t>
  </si>
  <si>
    <t>Using a locally stored Excel file as data source, with updates from remote</t>
  </si>
  <si>
    <t>VF PageBlockTable w/ Javascript and Conditional Behavior</t>
  </si>
  <si>
    <t>Click on new button redirect to vf page based on the profile</t>
  </si>
  <si>
    <t>How to check if a Choice field option is selected</t>
  </si>
  <si>
    <t>how to filter powerapp gallery with textinput, dropdown, and datepicker</t>
  </si>
  <si>
    <t>Zoho crm api v2 for php</t>
  </si>
  <si>
    <t>Setting textbox text value on button click</t>
  </si>
  <si>
    <t>Error with ampersand in XML in Zoho API</t>
  </si>
  <si>
    <t>Navigate to a screen by it's name in PowerApps</t>
  </si>
  <si>
    <t>Zoho Creator: Sort sub-form records in both Main Forms and Views/Reports</t>
  </si>
  <si>
    <t>Get XML data from Zoho Creator API</t>
  </si>
  <si>
    <t>How to retrieve FeedComment using Chatter SalesForce WSDL service in C#</t>
  </si>
  <si>
    <t>Submit Approval Process in Lightning Mode</t>
  </si>
  <si>
    <t>How to fix Maximum call stack size exceeded error in appmaker</t>
  </si>
  <si>
    <t>PowerApps submit checkbox and username to a list</t>
  </si>
  <si>
    <t>Apex - Test class adding Chatter Free users</t>
  </si>
  <si>
    <t>How do I use collect and if functions together in Powerapps?</t>
  </si>
  <si>
    <t>How to get data from custom modules in ZOHO CRM API?</t>
  </si>
  <si>
    <t>PowerApps merge related tables</t>
  </si>
  <si>
    <t>Salesforce authentication using Rest API with JAVA</t>
  </si>
  <si>
    <t>Using Javascript/jQuery to access HTML elements with improper id attribute</t>
  </si>
  <si>
    <t>PowerApps - Filtering SQL table on Collection Column</t>
  </si>
  <si>
    <t>How can I send email through ZOHO api using PHP?</t>
  </si>
  <si>
    <t>ReferenceError: "Drive" is not defined</t>
  </si>
  <si>
    <t>What happens to offline collection data when we close the and re-open the app</t>
  </si>
  <si>
    <t>Powerapps - Dynamically adding columns (Input Text Boxes) to a table</t>
  </si>
  <si>
    <t>HTML to PDF Converter issue - Outsystems</t>
  </si>
  <si>
    <t>simple xml not working on live server</t>
  </si>
  <si>
    <t>Get Zoho CRM PickList (Lead Source,Industry, Currency , etc..) values via API</t>
  </si>
  <si>
    <t>Outsystems - binary data to image widget</t>
  </si>
  <si>
    <t>Soql query to access Topics associated with FeedItems in salesforce Chatter</t>
  </si>
  <si>
    <t>I want to send email through zohomail using spring mvc Is this configuration correct for zoho mail to send an email</t>
  </si>
  <si>
    <t>CORS request with Electron</t>
  </si>
  <si>
    <t>How to get all custom labels information which is used in apex page?</t>
  </si>
  <si>
    <t>Embedding client Id in chrome extension</t>
  </si>
  <si>
    <t>Hoe do you update a Control property from another Control's action</t>
  </si>
  <si>
    <t>How use OData $filter query dynamic date</t>
  </si>
  <si>
    <t>Zoho XML formatting issue</t>
  </si>
  <si>
    <t>User Object is not Showing in Master Detail Relationship</t>
  </si>
  <si>
    <t>Add html to a lightning component from a visual force page</t>
  </si>
  <si>
    <t>How do I force a refresh in google app maker</t>
  </si>
  <si>
    <t>PowerApps and paging with large data amounts</t>
  </si>
  <si>
    <t>Powerapps: Splitting search text into individual strings, now I need to display on the gallery only items that include one of the strings</t>
  </si>
  <si>
    <t>MS PowerApps Deep Linking</t>
  </si>
  <si>
    <t>Is it Possible to display Custom VF page upon Clicking Approve/Reject Link in Standard sales force chatter page?</t>
  </si>
  <si>
    <t>Display User Profile Picture from Salesforce in iOS App</t>
  </si>
  <si>
    <t>How to make a button in appmaker perform some actions and open a URL after</t>
  </si>
  <si>
    <t>Thunderbird with lightning not reading valid ics file</t>
  </si>
  <si>
    <t>Salesforce Navigation Menu - remove home</t>
  </si>
  <si>
    <t>Unable to access appmaker</t>
  </si>
  <si>
    <t>Salesforce Integration INVALID_SESSION_ID using Postman</t>
  </si>
  <si>
    <t>PowerApps: Lock dropdown options</t>
  </si>
  <si>
    <t>Not able to call apex controller from lightning component's helper class</t>
  </si>
  <si>
    <t>Send email using smtp but operation timed out using ZOHO</t>
  </si>
  <si>
    <t>How to write xpath when the button is disabled : Selenium + java + salesforce</t>
  </si>
  <si>
    <t>Display value as returned from controller method</t>
  </si>
  <si>
    <t>Using a custom label inside a string throws "Field Integrity Exception"</t>
  </si>
  <si>
    <t>Unwanted Output In Console</t>
  </si>
  <si>
    <t>SlimDX: Lightning problem with Direct3D9</t>
  </si>
  <si>
    <t>Sync smartStore offline Data to Salesforce DB</t>
  </si>
  <si>
    <t>PowerApps Date picker control - how to set minDate and maxDate range</t>
  </si>
  <si>
    <t>Salesforce JavaScript button in Lightning</t>
  </si>
  <si>
    <t>iCalendar creation: RFC 5546 explanation</t>
  </si>
  <si>
    <t>PowerApps SharePoint Online - call JavaScript code</t>
  </si>
  <si>
    <t>Power Apps - Microsoft Flow Send Emails to multiple users</t>
  </si>
  <si>
    <t>Set a value of the independent picklist</t>
  </si>
  <si>
    <t>cannot declare method without return type</t>
  </si>
  <si>
    <t>Creating Salesforce Custom Formula Field - (Error Incorrect Parameter Type)</t>
  </si>
  <si>
    <t>How to access views in powerapps</t>
  </si>
  <si>
    <t>Cant store data locally using microsoft powerapps</t>
  </si>
  <si>
    <t>Connection from App Maker to Cloud SQL is locked</t>
  </si>
  <si>
    <t>Lightning:Card- underline title</t>
  </si>
  <si>
    <t>How can I get the URL in Google AppMaker?</t>
  </si>
  <si>
    <t>How to Translate lightning components(custom labels) based on languages</t>
  </si>
  <si>
    <t>Lightning Component, retrieving lookup record values in controller</t>
  </si>
  <si>
    <t>How to view standard objects in salesforce online?</t>
  </si>
  <si>
    <t>Hide/show Button in LWC</t>
  </si>
  <si>
    <t>put a page break when specific chracter found in visual force</t>
  </si>
  <si>
    <t>How to add time widget/picker?</t>
  </si>
  <si>
    <t>How to work with quickbase queries</t>
  </si>
  <si>
    <t>SharePoint &amp; PowerApps Forms ... Auto fill list field by retrieving Data from 2nd list</t>
  </si>
  <si>
    <t>Using a search text box on a sharepoint list &gt;500 items</t>
  </si>
  <si>
    <t>Gsuite App Maker File Upload Functionality</t>
  </si>
  <si>
    <t>Powerapps SQL limitations</t>
  </si>
  <si>
    <t>Google App Maker - how to open hyperlinks on button click</t>
  </si>
  <si>
    <t>Using BigQuery API with Google App Maker</t>
  </si>
  <si>
    <t>lightning-formatted-date-time - showing previous date (LWC)</t>
  </si>
  <si>
    <t>Zoho email forwarding</t>
  </si>
  <si>
    <t>How to overwrite or clear data in a Drive Table in Google App Maker</t>
  </si>
  <si>
    <t>Html2PdfConverter Sample Conversion</t>
  </si>
  <si>
    <t>Set attribute disabled checkbox</t>
  </si>
  <si>
    <t>InternalError: Cannot convert Array to number[][] - Error in App Maker</t>
  </si>
  <si>
    <t>Controller not receiving Object from Lightning Component Init Handler</t>
  </si>
  <si>
    <t>Google App maker calculated model query</t>
  </si>
  <si>
    <t>Zoho V2 Rest API Search Criteria</t>
  </si>
  <si>
    <t>How to get Proxy object content?</t>
  </si>
  <si>
    <t>Lightning effect in opengl es</t>
  </si>
  <si>
    <t>Export data from Google AppMaker Datasource automatically</t>
  </si>
  <si>
    <t>Powerapps - Wrong time displayed after saving into Sharepoint List</t>
  </si>
  <si>
    <t>Salesforce JavaScript OnClick Custom Button in Console</t>
  </si>
  <si>
    <t>Pass value to lightning components from vf page Salesforce</t>
  </si>
  <si>
    <t>How to apply some simple styles to tds of "datatable" of lightning web component in playground?</t>
  </si>
  <si>
    <t>OutSystems TimeZone Conversion</t>
  </si>
  <si>
    <t>Access children of items inside a Lightning Component</t>
  </si>
  <si>
    <t>Possible to consume AAD authenticated Azure functions from Power Bi and Power Apps?</t>
  </si>
  <si>
    <t>AFNetworking (400 error on POST)</t>
  </si>
  <si>
    <t>In Powerapps how to filter the gallery including an All option?</t>
  </si>
  <si>
    <t>How to create custom reminders in lighning with javascript?</t>
  </si>
  <si>
    <t>Make ID field automatic in Sharepoint/Powerapp</t>
  </si>
  <si>
    <t>Nested If Formula in a forAll formula in a forAll formula PowerApps</t>
  </si>
  <si>
    <t>Login to PowerApps using Sharepoint Credentials</t>
  </si>
  <si>
    <t>pass information and display in label control in another screen in power apps</t>
  </si>
  <si>
    <t>How to change Dropdown to Search Box in Google App Maker</t>
  </si>
  <si>
    <t>Powerapps - Variables in gallery</t>
  </si>
  <si>
    <t>Google App Maker Many-to-Many relations</t>
  </si>
  <si>
    <t>PowerApps formula for matching records from a drop down</t>
  </si>
  <si>
    <t>Instead of pick-list field how to create radio button in salesforce lightning component</t>
  </si>
  <si>
    <t>Leaflet Map in Lightning component on account page</t>
  </si>
  <si>
    <t>"Unknown Error : update is not defined" (when calling function named "update" within Callback - Lightning JS controller)</t>
  </si>
  <si>
    <t>Request fails with HTTP 400 - Bad Request in Chrome browser</t>
  </si>
  <si>
    <t>Zoho Creator - Retrieving the actual text value of a Form's Lookup Dropdown field</t>
  </si>
  <si>
    <t>Python QuickBase API Help</t>
  </si>
  <si>
    <t>store values of structure in entity using outsystems</t>
  </si>
  <si>
    <t>Object doesn’t support property or method ‘readAsBinaryString’ - IE11</t>
  </si>
  <si>
    <t>LWC deployment Error while deploying from VS Code</t>
  </si>
  <si>
    <t>Zoho Creator making a custom function for a report</t>
  </si>
  <si>
    <t>Salesforce: How to get field value in aura attribute and use if statement in component</t>
  </si>
  <si>
    <t>SyntaxError: Cannot use import statement outside a module in JEST LWC</t>
  </si>
  <si>
    <t>Print a Page in Outsystems</t>
  </si>
  <si>
    <t>Issue with the DropDown list</t>
  </si>
  <si>
    <t>PowerApps: How to Patch multiple SQL tables with foreign keys?</t>
  </si>
  <si>
    <t>Is there a way to open new tab in navigation bar for custom lightning component with record name as tab label?</t>
  </si>
  <si>
    <t>Google App Maker: Add a field with the current date/time</t>
  </si>
  <si>
    <t>zoho crm api insert/update Leads</t>
  </si>
  <si>
    <t>Is it possible to load AppMaker DropDowns with an Option Text and and Value?</t>
  </si>
  <si>
    <t>Advanced SQL query, need to add another table and employee ID</t>
  </si>
  <si>
    <t>Open documents in browser with zoho api</t>
  </si>
  <si>
    <t>An Outlook Tasks ToDo list in PowerApps (or something else)</t>
  </si>
  <si>
    <t>Filters in AppMaker</t>
  </si>
  <si>
    <t>Powerapps Office365Users.UserPhoto failed</t>
  </si>
  <si>
    <t>Access a variable on a controller on two seperate visualforce pages</t>
  </si>
  <si>
    <t>How workflow can update field value if we can't update value in after trigger in salesforce</t>
  </si>
  <si>
    <t>Process Automation SuperBadge Step 5 - How to properly validate when opportunity is Negotiation/Review</t>
  </si>
  <si>
    <t>Update Zoho creator record from URL</t>
  </si>
  <si>
    <t>createComponent Salesforce lightning error</t>
  </si>
  <si>
    <t>Power Apps - Checked toggles reset after Submitform</t>
  </si>
  <si>
    <t>Salesforce Community User creation - Password Setting</t>
  </si>
  <si>
    <t>App Maker Multi Select?</t>
  </si>
  <si>
    <t>How to build a Bridge and sync magento and zoho both ways</t>
  </si>
  <si>
    <t>How to add new Customer in ZOHO INVOICE using API? I use the Following POST methode to create the new Customer..But i wont Work</t>
  </si>
  <si>
    <t>Google App maker debugging</t>
  </si>
  <si>
    <t>How to populate many to many relationship</t>
  </si>
  <si>
    <t>Salesforce Oauth 2.0 Authorization screen</t>
  </si>
  <si>
    <t>How to access to Reachability in MKNetworkKit-iOS or avoid duplicate symbols with own added Reachability?</t>
  </si>
  <si>
    <t>Salesforce OAuth2 missing_oauth_token</t>
  </si>
  <si>
    <t>How can I read a URL parameter in App Maker?</t>
  </si>
  <si>
    <t>Power app Data table iteration.</t>
  </si>
  <si>
    <t>Dropdown from values of a database field</t>
  </si>
  <si>
    <t>Gulp vinyl ftp - how to use clean function?</t>
  </si>
  <si>
    <t>which value should pass to Lookup Relationship field?</t>
  </si>
  <si>
    <t>SQL Query: Current and Previous month values in two columns</t>
  </si>
  <si>
    <t>Lightning-combobox getting cut off</t>
  </si>
  <si>
    <t>How do I construct a Salesforce Chatter FeedItem in Apex</t>
  </si>
  <si>
    <t>Outlook 'Flow' AppBuilder issues - Branching Condition Not Satisfied</t>
  </si>
  <si>
    <t>How can I clear a specific filter without clearing all filters?</t>
  </si>
  <si>
    <t>How to retrieve Planner task comments for use in PowerApps</t>
  </si>
  <si>
    <t>How to create a rest api in app maker?</t>
  </si>
  <si>
    <t>Can I sell to the public apps I made through Google App Maker</t>
  </si>
  <si>
    <t>PowerApps login issues on Chrome</t>
  </si>
  <si>
    <t>My Current Code Coverage is at 0% when trying to validate and deploy Trigger</t>
  </si>
  <si>
    <t>(grails) com.sun.mail.smtp.SMTPSendFailedException: 553 Relaying disallowed as zoho mail</t>
  </si>
  <si>
    <t>How to integrate Zoho in ReactJS</t>
  </si>
  <si>
    <t>Reviews on these RAD tools</t>
  </si>
  <si>
    <t>Save Zoho Creator form in crm and in mysql database</t>
  </si>
  <si>
    <t>How Can I Collect Data from a Button in PowerApps</t>
  </si>
  <si>
    <t>Google Appmaker selectedRow</t>
  </si>
  <si>
    <t>PowerApps datatable lookup column won't show choices</t>
  </si>
  <si>
    <t>powerapps add picture modus how to add multiple</t>
  </si>
  <si>
    <t>Is it possible to watch Directory API changes from Google App Maker/Google Apps Script?</t>
  </si>
  <si>
    <t>Accessing data in Google Drive tables with Google App maker</t>
  </si>
  <si>
    <t>How to access site or session variable value in java script out systems?</t>
  </si>
  <si>
    <t>Salesforce apex - how to determine if a field is set to be tracked in Chatter?</t>
  </si>
  <si>
    <t>Repeat Headers in Visual force Page</t>
  </si>
  <si>
    <t>Gulp vinyl ftp - Remove local deleted files</t>
  </si>
  <si>
    <t>Filter page datasource based on record selection</t>
  </si>
  <si>
    <t>Rest API giving NULL in response</t>
  </si>
  <si>
    <t>SalesForce Live Agent Rest API not working when using Postman</t>
  </si>
  <si>
    <t>Flatform features [Event Monitoring | Dashboard customization | View Management | role management | collaboration | platform security]</t>
  </si>
  <si>
    <t>ZOHO smtp SMTPAuthenticationError at / (535, 'Authentication Failed') Django app</t>
  </si>
  <si>
    <t>Cant connect to salesforce using kettle spoon</t>
  </si>
  <si>
    <t>Google App Maker Relations</t>
  </si>
  <si>
    <t>Lightning Input field's value is undefined, even if it has value</t>
  </si>
  <si>
    <t>Show List of Contacts on pop up window when i click on action button in Lightning</t>
  </si>
  <si>
    <t>How to set auto height for Html text control in PowerApps?</t>
  </si>
  <si>
    <t>Need to Access Managed Package Objects and fields in Apex trigger</t>
  </si>
  <si>
    <t>Send php form to 2 locations</t>
  </si>
  <si>
    <t>Google App Maker how to apply custom data validation</t>
  </si>
  <si>
    <t>Need to fetch records from approval History which are assigned to Queue of which currently Loogged in User is part of</t>
  </si>
  <si>
    <t>Parsing XML Returned By ZoHo CRM API</t>
  </si>
  <si>
    <t>Get values out of multi-select combobox</t>
  </si>
  <si>
    <t>Moodle - Zoho CRM Integration</t>
  </si>
  <si>
    <t>`The operation has timed out.` exception when sending mail using ZOHO SMTP configuration</t>
  </si>
  <si>
    <t>Integration of ZOHO CRM with MySQL using PHP...!</t>
  </si>
  <si>
    <t>How to display base64 string as a pdf in lightning component</t>
  </si>
  <si>
    <t>Data truncation: Invalid use of NULL value when marking field as required</t>
  </si>
  <si>
    <t>Powerapps - get stuck with UpdateContext</t>
  </si>
  <si>
    <t>Powerapps basic styling</t>
  </si>
  <si>
    <t>Can't do custom CSS Style on TextBox in Google App Maker</t>
  </si>
  <si>
    <t>Google App Maker app not working after deploy</t>
  </si>
  <si>
    <t>Deployment Issues [ Local Development]</t>
  </si>
  <si>
    <t>Deployment issue : Lightning Quick Actions for Component Bundles</t>
  </si>
  <si>
    <t>How much Maximum Data we can store in a File in salesforce</t>
  </si>
  <si>
    <t>SFCC (demandware) Debugging</t>
  </si>
  <si>
    <t>How to auto populate data from Zoho crm to Zoho creator</t>
  </si>
  <si>
    <t>count word pages from byte array</t>
  </si>
  <si>
    <t>Date.toLocaleTimeString does not show the proper time. It is 4 hours difference from the current time. Why?</t>
  </si>
  <si>
    <t>Powerapps create and edit in one screen</t>
  </si>
  <si>
    <t>Deserialize JSON with varying data structure</t>
  </si>
  <si>
    <t>select default value for drop down list and radio group in app-maker</t>
  </si>
  <si>
    <t>How to assign structure to file content in download widget</t>
  </si>
  <si>
    <t>Error in fetching record or record metadata[Object Expected]</t>
  </si>
  <si>
    <t>How to access sobject name in lightning</t>
  </si>
  <si>
    <t>How to create new records from the server script</t>
  </si>
  <si>
    <t>PowerApps to call Azure API App</t>
  </si>
  <si>
    <t>PowerApps customize form - unable to submit data to Sharepoint list: There was a problem saving your changes. Data source may be invalid</t>
  </si>
  <si>
    <t>Salesforce Lightning Flow Builder lookup Error</t>
  </si>
  <si>
    <t>How to attach a callback to a custom confirmation dialog in Google App Maker?</t>
  </si>
  <si>
    <t>Aura.js Lightning Components: Firing a nested/child component's methods from the super/parent component?</t>
  </si>
  <si>
    <t>OutSystems 5 - How to get values from web block</t>
  </si>
  <si>
    <t>SQL Query for Running Closing Balance Based on Opening, Credit &amp; Debit Amounts in Zoho Reports</t>
  </si>
  <si>
    <t>Unable to call an Action from Salesforce Einstein Bot</t>
  </si>
  <si>
    <t>Invalid Page URL with Custom Lightning Component</t>
  </si>
  <si>
    <t>Power Apps, Pen Input to Sharepoint List</t>
  </si>
  <si>
    <t>How Can I Filter Multiple Variables In A Table?</t>
  </si>
  <si>
    <t>Zoho crm :STUCK on Step 3: Generate Access Token and Refresh Token</t>
  </si>
  <si>
    <t>Outsystems: configuring a connection to access a MySQL database</t>
  </si>
  <si>
    <t>MS Power APPS - Add timestamp to a Record</t>
  </si>
  <si>
    <t>Salesforce SOQL Trimming the field</t>
  </si>
  <si>
    <t>Compile Error: Field expression not allowed for generic SObject at line 33 column 69</t>
  </si>
  <si>
    <t>Export data into text file in OutSystems</t>
  </si>
  <si>
    <t>6__maintenance</t>
  </si>
  <si>
    <t>Data migration [export | import]</t>
  </si>
  <si>
    <t>PowerApps Common Data Service (CDS) 2.0 connector doesn't work for a Dynamics 365 CE instance</t>
  </si>
  <si>
    <t>How to pass values from multiple selectlists in same VF containing similar list data to Apex extension using a single variable/array</t>
  </si>
  <si>
    <t>Can we embed our API code In Zoho CRM to integrate any other web application with Zoho CRM like Xero, DocuSign, Fedex and more others</t>
  </si>
  <si>
    <t>How do I set the z-index of a specific select2</t>
  </si>
  <si>
    <t>Patch Function: Insert New Record with Lookup Column not working</t>
  </si>
  <si>
    <t>Call a Google App Maker App with a parameter</t>
  </si>
  <si>
    <t>How do I open a dialog or page to a specific record in Google App Maker?</t>
  </si>
  <si>
    <t>Microsoft PowerApps referencing Lookup values</t>
  </si>
  <si>
    <t>Accordion in appmaker</t>
  </si>
  <si>
    <t>Using Salesforce Data Import Wizard to Import Contacts and Convert Leads</t>
  </si>
  <si>
    <t>System.JSONException: Current context not an ARRAY but OBJECT</t>
  </si>
  <si>
    <t>Customize "Send With Docusign" in Salesforce Lightning</t>
  </si>
  <si>
    <t>How to pass values or reference objects between the sceen powerapps</t>
  </si>
  <si>
    <t>Zoho Deluge : How to send an Email</t>
  </si>
  <si>
    <t>Getting the appid included in the Record URL(Dynamic) in a Dynamics 365 email workflow</t>
  </si>
  <si>
    <t>Dropdown with Icon in Salesforce Lightning Component</t>
  </si>
  <si>
    <t>PowerApps - Filtering drop down based on DatePicker selection</t>
  </si>
  <si>
    <t>{"code":14,"message":"Invalid value passed for authtoken."}</t>
  </si>
  <si>
    <t>calling addEventListener without a DOM element</t>
  </si>
  <si>
    <t>How to deploy Microsoft PowerApps using Intune?</t>
  </si>
  <si>
    <t>Synchronize offline records from salesforce iPhone native app to salesforce (Using smartstore)</t>
  </si>
  <si>
    <t>Image Onload - Quickbase</t>
  </si>
  <si>
    <t>Data binding of lightning:input and aura:attribute with type sObject(field) is not working</t>
  </si>
  <si>
    <t>Salesforce lightning Input with list doesn't work</t>
  </si>
  <si>
    <t>Zoho Books API adding Estimates</t>
  </si>
  <si>
    <t>Show/Hide columns in App Maker Table?</t>
  </si>
  <si>
    <t>Overridden Edit button with Visualforce page is not visible on community</t>
  </si>
  <si>
    <t>How to create custom function in zoho crm?</t>
  </si>
  <si>
    <t>Pass parameters on community login URL</t>
  </si>
  <si>
    <t>On PowerApps, every time I save a new item, the item on the form switches to the first item on the Sharepoint list</t>
  </si>
  <si>
    <t>Zoho Data Insert Error: "Unable to process your request. Please verify whether you have entered proper method name,parameter and parameter values."</t>
  </si>
  <si>
    <t>Slider for outsystems using jquery, javascript</t>
  </si>
  <si>
    <t>Create CRUD Powerapps using Own API without Azure?</t>
  </si>
  <si>
    <t>Power App - response from Flow is not treated as json</t>
  </si>
  <si>
    <t>Set datatable column width (lightning community)</t>
  </si>
  <si>
    <t>Outsystems common menu</t>
  </si>
  <si>
    <t>Thunderbird+Lightning is rendering an ics invitation inappropriately</t>
  </si>
  <si>
    <t>Get the height of a div in afterRender()</t>
  </si>
  <si>
    <t>Google App Maker - Using properties in SQL data sources</t>
  </si>
  <si>
    <t>Sizing the image inside rich text field</t>
  </si>
  <si>
    <t>How to upload a file using Quickbase API in C#?</t>
  </si>
  <si>
    <t>In Google App Maker, how do you display a snackbar message?</t>
  </si>
  <si>
    <t>Print Friendly Page</t>
  </si>
  <si>
    <t>Split and concatenate strings in PowerApps / Sharepoint List</t>
  </si>
  <si>
    <t>salesforce lightning components view data not getting refreshed</t>
  </si>
  <si>
    <t>salesforce login in ios native App</t>
  </si>
  <si>
    <t>Updating Powerapps Global Variable property</t>
  </si>
  <si>
    <t>Set value of textbox after render - force.com</t>
  </si>
  <si>
    <t>How can I make a Lightning ui:InputDateTime control look like the Lightning Experience DateTime picker?</t>
  </si>
  <si>
    <t>Best way to get timestamp in Google AppMaker</t>
  </si>
  <si>
    <t>jQuery data table not working in Salesforce lightning component</t>
  </si>
  <si>
    <t>Fullcalendar scheduler not rendered correclty in lightning component</t>
  </si>
  <si>
    <t>Do triggers work for attachments object on insert event?</t>
  </si>
  <si>
    <t>How to access the moment object (from moment.js) from a QuickBase custom script</t>
  </si>
  <si>
    <t>Connecting SQL Server (On-prem) to Powerapps</t>
  </si>
  <si>
    <t>Example or template on how to do file upload in Google AppMaker</t>
  </si>
  <si>
    <t>"Unexpected token import" when testing Angular with Jest</t>
  </si>
  <si>
    <t>Zoho mail says 535 Authentication Failed in Node Js</t>
  </si>
  <si>
    <t>Microsoft flow not triggering when new email is arrived</t>
  </si>
  <si>
    <t>Jhipster - Configuring Email with Zoho - Error 553 Relaying disallowed</t>
  </si>
  <si>
    <t>connecting with zoho inside java application and sending contact information to ZOHO CRM Contacts</t>
  </si>
  <si>
    <t>Embed Lightning-input with lightning-icon in LWC</t>
  </si>
  <si>
    <t>how to get zoho editor in AjaXplorer?</t>
  </si>
  <si>
    <t>How to Create a read-only group in SalesForce</t>
  </si>
  <si>
    <t>Cookiebot Cookie Consent Script</t>
  </si>
  <si>
    <t>Outsystems: How to pass JSON object/string as HTTP header in consuming REST API</t>
  </si>
  <si>
    <t>Store Default date as Today's date column in Appmaker</t>
  </si>
  <si>
    <t>How to access page fragment custom properties programmatically?</t>
  </si>
  <si>
    <t>Add meta tag in &lt;head&gt;</t>
  </si>
  <si>
    <t>How to add css in mail template in salesforce marketing cloud?</t>
  </si>
  <si>
    <t>Zoho CRM - nodejs integration: Get more than 20 leads-contacts-potentials with a module</t>
  </si>
  <si>
    <t>No 'Access-Control-Allow-Origin' header is present on the requested resource in angular app</t>
  </si>
  <si>
    <t>How do I get a Security Token? ... Chatter Free Salesforce User - PE w/ API</t>
  </si>
  <si>
    <t>Is there any way to convert a a large Excel CSV file to Google Sheet in Google App Maker?</t>
  </si>
  <si>
    <t>how to enable files api in salesforce integration project?</t>
  </si>
  <si>
    <t>Sales force App Integration ( .NET Development) &amp; more detail for New bee</t>
  </si>
  <si>
    <t>How to interact Users(input form data) Using Salesforce Sites into the SalesForce Application(to Custom objects)</t>
  </si>
  <si>
    <t>Appmaker as Admin interface for Firebase</t>
  </si>
  <si>
    <t>How do I pass a parameter to a query script from a dropdown widget?</t>
  </si>
  <si>
    <t>How to put all the TextInput value from a BrowserGallery into a Collection in PowerApps?</t>
  </si>
  <si>
    <t>Failed to install 'cordova-plugin-whitelist': Error using forcedroid command line</t>
  </si>
  <si>
    <t>How can i receive Salesforce Outbound Message from Mule?</t>
  </si>
  <si>
    <t>Dynamically Bind Data source to app maker popup</t>
  </si>
  <si>
    <t>Have Widget reload/refresh data every 2 minutes</t>
  </si>
  <si>
    <t>Google app maker Side bar or menu bar</t>
  </si>
  <si>
    <t>force:recordData not working on Quick Actions</t>
  </si>
  <si>
    <t>Not able to disable right-click in Salesforce Lightning Page</t>
  </si>
  <si>
    <t>Zoho API v2 login issue</t>
  </si>
  <si>
    <t>Create textbox (label) with click on link Javascript</t>
  </si>
  <si>
    <t>Unable to parse datatype error when sending a Curl POSted XML</t>
  </si>
  <si>
    <t>BPT Process Task Box</t>
  </si>
  <si>
    <t>Salesforce OpenCTI API for lightning could not be initialized</t>
  </si>
  <si>
    <t>PowerApps patch a datasource from a collection</t>
  </si>
  <si>
    <t>How to remove the hyperLink for Case Owner field in an inline VF page?</t>
  </si>
  <si>
    <t>Send data from zoho crm to zoho creator form using webhook</t>
  </si>
  <si>
    <t>Is there a way to combine data values from collection into a single string?</t>
  </si>
  <si>
    <t>Powerapps - Change gallery source and patch destination</t>
  </si>
  <si>
    <t>Salesforce Community Error - sObject type 'Report' is not supported in describeCompactLayout</t>
  </si>
  <si>
    <t>Google App maker user picker validation</t>
  </si>
  <si>
    <t>PowerApps Yes/No checkbox submitted to a SharePoint List</t>
  </si>
  <si>
    <t>Testing Zoho Mail server from ssh</t>
  </si>
  <si>
    <t>Need a component for the Column grouping - Outsystems</t>
  </si>
  <si>
    <t>Inserting picture from user field into table in powerapps</t>
  </si>
  <si>
    <t>If we developed website in Outsystems, Then how can we deploy it under our personal domain like example.com</t>
  </si>
  <si>
    <t>Custom Json to XML convert in PreFlow</t>
  </si>
  <si>
    <t>Salesforce API Requests number keeps increasing</t>
  </si>
  <si>
    <t>Display only Team Drives in Drive Picker Widget</t>
  </si>
  <si>
    <t>Google App Maker using dropdowns as filters with a table widget drilling down into the results</t>
  </si>
  <si>
    <t>How to generate totals of fields from related model records</t>
  </si>
  <si>
    <t>How to get Microsoft Teams Channel posts from powerapps?</t>
  </si>
  <si>
    <t>How to bind Dropdown widget to query filter?</t>
  </si>
  <si>
    <t>Dynamically Create Checkbox Lists Google App Maker</t>
  </si>
  <si>
    <t>How to get Service Studio to automatically add a menu item when a new page is created by intelliwarp</t>
  </si>
  <si>
    <t>Best way to handle images in App Maker</t>
  </si>
  <si>
    <t>How do I use deluge to parse the products list in a Zoho Sales Order (or PO, quote, invoice, etc.)?</t>
  </si>
  <si>
    <t>How to embed a SFDC portal page into website</t>
  </si>
  <si>
    <t>Using ES6/7 in AppMaker Scripts</t>
  </si>
  <si>
    <t>How to reference resource file in java maven project running in docker container</t>
  </si>
  <si>
    <t>Google App Maker: external javascript library</t>
  </si>
  <si>
    <t>Display images by url in google app maker</t>
  </si>
  <si>
    <t>Integrating Cordova plugin in Outsystems</t>
  </si>
  <si>
    <t>How to get Google UserId from active user session in App Maker?</t>
  </si>
  <si>
    <t>change the expression in lwc component while iterating</t>
  </si>
  <si>
    <t>How to connect Azure AD with PowerApps forms</t>
  </si>
  <si>
    <t>Power Apps - How to change the format of the Rich text column to normal text of the Data Table object</t>
  </si>
  <si>
    <t>Google App maker User picker</t>
  </si>
  <si>
    <t>Azure function not working properly ?</t>
  </si>
  <si>
    <t>APEX- Unable to call REST API from the salesforce lightning component</t>
  </si>
  <si>
    <t>Google App maker record key value</t>
  </si>
  <si>
    <t>PowerApps collection not cleared after closing app</t>
  </si>
  <si>
    <t>Unable to synchronize resource src to server:ClassCastException</t>
  </si>
  <si>
    <t>Best way for displaying total Pages for a datasource in Appmaker</t>
  </si>
  <si>
    <t>jQuery UI not loading when lightning component embedded inside VF on console</t>
  </si>
  <si>
    <t>Address Search for the Google Map widget on App Maker</t>
  </si>
  <si>
    <t>Trying To Filter Only Rows That Meet Two Criteria</t>
  </si>
  <si>
    <t>Inserting a DropDown Menu</t>
  </si>
  <si>
    <t>The SOAP request must use SOAP 1.1, did not receive a SOAP 1.1 Envelope as the document root</t>
  </si>
  <si>
    <t>Posting data in PHP Curl</t>
  </si>
  <si>
    <t>Get data from request URL</t>
  </si>
  <si>
    <t>XSD getting error: 'Any' element not supported</t>
  </si>
  <si>
    <t>PowerApps, Using Gallery to Display Collection + an Additional Variable</t>
  </si>
  <si>
    <t>Salesforce LWC - error message when using querySelector on a datalist element</t>
  </si>
  <si>
    <t>How to connect the App Maker to Google Cloud apis</t>
  </si>
  <si>
    <t>Most PowerApps users getting error "you don't have permission to view this data"</t>
  </si>
  <si>
    <t>Filter PowerApps gallery by Dynamics lookup value</t>
  </si>
  <si>
    <t>Lightning:datatable InfiniteLoading fired on click event instead of scrolling</t>
  </si>
  <si>
    <t>How to make friendly custom URL for deployed app</t>
  </si>
  <si>
    <t>Using third-party SDK's for Objective-C in Xamarin?</t>
  </si>
  <si>
    <t>Content security policy error while loading apex iframe</t>
  </si>
  <si>
    <t>How do I add a loading spinner for every request on backend Salesforce Cloud</t>
  </si>
  <si>
    <t>PowerApps - Unable to set SharePoint Person/People field to Current User</t>
  </si>
  <si>
    <t>How to make the output from barcode scanner the input for a data card</t>
  </si>
  <si>
    <t>How to create an empty activerecord object in rails 4?</t>
  </si>
  <si>
    <t>google appmaker filter dropdown</t>
  </si>
  <si>
    <t>Google App Maker - Directory info based on email from other datasource</t>
  </si>
  <si>
    <t>Thousands separator in PowerApps Form</t>
  </si>
  <si>
    <t>Automatically Login to Zoho Applications</t>
  </si>
  <si>
    <t>How To Change Button Color, But Keep Icon</t>
  </si>
  <si>
    <t>How can I share my app made by Google App Maker with others?</t>
  </si>
  <si>
    <t>How to use AWS S3 url setup credentials?</t>
  </si>
  <si>
    <t>Salesforce REST API with managed Package</t>
  </si>
  <si>
    <t>MS PowerApps, If after Switch in powerapps, so it's executed independently (after switch, not inside)</t>
  </si>
  <si>
    <t>Issues with keyField in Lightning DataTable</t>
  </si>
  <si>
    <t>Google Spreadsheet - Get records from Zoho</t>
  </si>
  <si>
    <t>Store Data to ZOHO CRM using LARAVEL and ZOHO CRM API</t>
  </si>
  <si>
    <t>Logout functionality in OutSystems</t>
  </si>
  <si>
    <t>Copy to the Clipboard in Lightning Component</t>
  </si>
  <si>
    <t>Can I use Master Data Services to import data via Excel add-in ? Mainly Measures! (Numbers/Values)</t>
  </si>
  <si>
    <t>Exporting lightmaps to another project - Unity</t>
  </si>
  <si>
    <t>Extract Data from Google trends</t>
  </si>
  <si>
    <t>How to display a value from a SimpleXML object (the array notation is confusing me)</t>
  </si>
  <si>
    <t>PowerApps - autofill date for newform</t>
  </si>
  <si>
    <t>Why does URLFOR() function for a list view button function differently between sandboxes?</t>
  </si>
  <si>
    <t>Filtering gallery, to remove duplicates (without distinct) in PowerApps</t>
  </si>
  <si>
    <t>SQL Query: Finding Overdue Start Date and Overdue Amount from a table</t>
  </si>
  <si>
    <t>Debug handing thunderbird lightning</t>
  </si>
  <si>
    <t>Google Admin Directory API in Appmaker</t>
  </si>
  <si>
    <t>Deleting all entered data in a datastore in AppMaker</t>
  </si>
  <si>
    <t>Mule SFDC Connector without user interaction using sfdc:config-with-oauth</t>
  </si>
  <si>
    <t>In Google App maker, How are Query Script parameters added?</t>
  </si>
  <si>
    <t>How to Disable delete button from a subform Zoho Creator</t>
  </si>
  <si>
    <t>My window.scrolltop not working</t>
  </si>
  <si>
    <t>Count various records and display sum in Zoho</t>
  </si>
  <si>
    <t>Trying to understand sorting in the Table widget for a Page</t>
  </si>
  <si>
    <t>AppMaker - Google Drive Table not available</t>
  </si>
  <si>
    <t>How Can i expose my app maker apps to users from outside of my organization</t>
  </si>
  <si>
    <t>creating a link to the record in a completed form</t>
  </si>
  <si>
    <t>Load Dropdown values dynamically in Appmaker</t>
  </si>
  <si>
    <t>Trying To Include Email Address (or User's Name) In Notification Email</t>
  </si>
  <si>
    <t>Salesforce Lightning Component</t>
  </si>
  <si>
    <t>Setting PowerApps CustomConnector to OAuth2/AzureAD</t>
  </si>
  <si>
    <t>Table Not Updating With Manual Save Mode</t>
  </si>
  <si>
    <t>How to write test class for wrapper class for below code,</t>
  </si>
  <si>
    <t>AppMaker and picker widget - uploading to a specific folder</t>
  </si>
  <si>
    <t>(Error) : The function queryRecords must return an array of records</t>
  </si>
  <si>
    <t>SMTP not working in CI 3.0 while same code is working in CI 2.*</t>
  </si>
  <si>
    <t>How to connect custom USB device to iOS (already a MFi licensee)</t>
  </si>
  <si>
    <t>Error while executing showtoast in salesforce lightning</t>
  </si>
  <si>
    <t>Mendix: The FileManager widget and uploaded file extensions</t>
  </si>
  <si>
    <t>What is the Endpoint URL in Mule?</t>
  </si>
  <si>
    <t>Importing a winmail.dat file into my calendar using Thunderbird Lightning</t>
  </si>
  <si>
    <t>How to use objects list as gulp source stream</t>
  </si>
  <si>
    <t>google.script.run XX is not a function error</t>
  </si>
  <si>
    <t>Web workers are not working in lightning container due to SalesForce's CSP</t>
  </si>
  <si>
    <t>Can Salesforce Commerce Cloud be used as CMS?</t>
  </si>
  <si>
    <t>Make table row behave like an accordion</t>
  </si>
  <si>
    <t>Losing tags and data when parsing XML string with Simple XML</t>
  </si>
  <si>
    <t>Salesforce - Best way to delete multiple records from an Object hierarchy and error handling in Salesforce</t>
  </si>
  <si>
    <t>SQL Query Issue Sum</t>
  </si>
  <si>
    <t>No Longer Able to Access App Maker</t>
  </si>
  <si>
    <t>Document Merge with Google App Maker</t>
  </si>
  <si>
    <t>how do I get the query string parameters in lightning component salesforce</t>
  </si>
  <si>
    <t>Salesforce: UNKNOWN_EXCEPTION: Destination URL not reset</t>
  </si>
  <si>
    <t>Get all invoices assigned to a customer in Zoho Books</t>
  </si>
  <si>
    <t>Error while sending email through smtp by zoho mail</t>
  </si>
  <si>
    <t>Resource not found in PowerApps when connecting to API?</t>
  </si>
  <si>
    <t>Zoho Recruit API redirecting to their homepage</t>
  </si>
  <si>
    <t>App Maker Grid without datasource</t>
  </si>
  <si>
    <t>Google App Maker User Picker and how to return all values from the Directory model</t>
  </si>
  <si>
    <t>CKEditor - throws 404 page not found error</t>
  </si>
  <si>
    <t>Salesforce DX - ERROR running force:source:push: The "path" argument must be of type string. Received type undefined</t>
  </si>
  <si>
    <t>Exporting data out of Google AppMaker</t>
  </si>
  <si>
    <t>CustomLabels- " Error parsing file: Unexpected element {http://soap.sforce.com/2006/04/metadata}ol during simple type deserialization"</t>
  </si>
  <si>
    <t>How to get average time since case was created in salesforce</t>
  </si>
  <si>
    <t>How to post images to Azure storage in powerapps?</t>
  </si>
  <si>
    <t>Use Site Property in eSpace Javascript</t>
  </si>
  <si>
    <t>Posting a comment along with an attachment to salesforce chatter using java</t>
  </si>
  <si>
    <t>PowerApps DropDown list connection to Azure</t>
  </si>
  <si>
    <t>Default value of the entity attribute</t>
  </si>
  <si>
    <t>Adding Salesforce1 Lightning app to Salesforce1 Navigation</t>
  </si>
  <si>
    <t>How to create a custom in-app notification in Salesforce?</t>
  </si>
  <si>
    <t>App-Maker How to Assign Roles to Users With Script (NO APP SETTINGS)?</t>
  </si>
  <si>
    <t>Google App maker Drive picker</t>
  </si>
  <si>
    <t>Do something before logout in salesforce apex?</t>
  </si>
  <si>
    <t>How to toggle a panel's visibility</t>
  </si>
  <si>
    <t>Power Apps - Send Email To the List of Users from Collection Using Flow</t>
  </si>
  <si>
    <t>{"error":"unsupported_grant_type","error_description":"grant type not supported"} SalesForce Java</t>
  </si>
  <si>
    <t>Dealing with Null values oustystems</t>
  </si>
  <si>
    <t>Zoho Projects API - Auth token</t>
  </si>
  <si>
    <t>Call Marketo API using javascript only</t>
  </si>
  <si>
    <t>why is Exact Target FUEL SDK not validating my API keys?</t>
  </si>
  <si>
    <t>Image is not displaying in Zoho page why?</t>
  </si>
  <si>
    <t>Zoho OAuth 2.0 Refresh token multiple times</t>
  </si>
  <si>
    <t>Table Not Updating After Adding Entry</t>
  </si>
  <si>
    <t>How to implement reCAPTCHA V3 in salesforce lightning component?</t>
  </si>
  <si>
    <t>Google App maker mobile and browser compatibility</t>
  </si>
  <si>
    <t>Zoho Deluge : How can I insert line breaks or start a new line to e-mail message?</t>
  </si>
  <si>
    <t>PowerApps - Saving Mic Audio into Playable format</t>
  </si>
  <si>
    <t>MS PowerApps: Can't save a new record to SharePoint online</t>
  </si>
  <si>
    <t>Connect Marketing cloud with Sales Cloud for multiple Business Units</t>
  </si>
  <si>
    <t>Customizing default sharepoint form in powerapps doesn't save after publishing to sharepoint</t>
  </si>
  <si>
    <t>Quickbase - Is there a way to copy the results from a field to the clipboard?</t>
  </si>
  <si>
    <t>Password-protected page in AppMaker</t>
  </si>
  <si>
    <t>Fullcalendar v4 give the following error on load in lightning web component</t>
  </si>
  <si>
    <t>Detect Whether User Is Running Sales Or Service Cloud On Salesforce</t>
  </si>
  <si>
    <t>How to do binding for drop down and checkbox in App Maker?</t>
  </si>
  <si>
    <t>Live Agent Chat - Unable to establish with custom chat window</t>
  </si>
  <si>
    <t>Auto Populate the Opportunity Owner name into custom text field</t>
  </si>
  <si>
    <t>How to implement exponentiation of a rational number without nth root?</t>
  </si>
  <si>
    <t>Google App Maker: Prevent Duplicate Entries</t>
  </si>
  <si>
    <t>How to add button on child row in lightning tree grid</t>
  </si>
  <si>
    <t>SQL-Server Query Calculating Ocupation Rate Per Month</t>
  </si>
  <si>
    <t>How to prepare and execute multiple statements in MySQL?</t>
  </si>
  <si>
    <t>Only allow editable = true on specific events in FullCalendar</t>
  </si>
  <si>
    <t>Quickbase API returns data in CP1252 encoding but says it's returning UTF-8</t>
  </si>
  <si>
    <t>How can I execute custom code using Flow?</t>
  </si>
  <si>
    <t>google.script.run in App Maker: TypeError: Cannot read property 'withLogger' of undefined</t>
  </si>
  <si>
    <t>Using the Charts API to create a scatter chart in Google AppMaker</t>
  </si>
  <si>
    <t>Displaying Multiple PushPins on powerapps BingMaps using a collection</t>
  </si>
  <si>
    <t>Zoho API inserRecord using Curl and XML, not returning an error and not adding the "Potential"</t>
  </si>
  <si>
    <t>How to use AdminDirectory in Google App Maker?</t>
  </si>
  <si>
    <t>Create a PDF from appMaker page without using googleDocs</t>
  </si>
  <si>
    <t>Attach File Sharepoint Online List</t>
  </si>
  <si>
    <t>Connection timeout error in sending an smtp mail through zoho</t>
  </si>
  <si>
    <t>Zoho Remote API - cannot save files back to our server - "Document format not supported. Error in saving content."</t>
  </si>
  <si>
    <t>Implementing Quick Action buttons in Email templates in Salesforce</t>
  </si>
  <si>
    <t>Send mail with zoho smtp server in codeigniter from Google app engine</t>
  </si>
  <si>
    <t>how to do healthcheck on salesforce</t>
  </si>
  <si>
    <t>Getting contacts from SalesForce - 403 forbidden error</t>
  </si>
  <si>
    <t>Display result of a query that calculates the total of a field as the value of a label in a list</t>
  </si>
  <si>
    <t>Need Help in displaying Error Message on Same page</t>
  </si>
  <si>
    <t>How to track django user details using zoho CRM</t>
  </si>
  <si>
    <t>Variables in Queries - Server-side Scripts</t>
  </si>
  <si>
    <t>Working with zoho api's</t>
  </si>
  <si>
    <t>How to find if folder exists in sharepoint online document library using MS Flow</t>
  </si>
  <si>
    <t>Getting a dbid by table name</t>
  </si>
  <si>
    <t>praogramatically fetch any particular object's related objects from its related list</t>
  </si>
  <si>
    <t>Simple Integration - ZohoCRM, HighriseHQ, PipelineDeals</t>
  </si>
  <si>
    <t>Add Account attachment to Chatter Post Automatically</t>
  </si>
  <si>
    <t>Email Process to send email on every other thursday(biweekly)</t>
  </si>
  <si>
    <t>Accessing imported data in google appmaker</t>
  </si>
  <si>
    <t>Filter User email - no delegation</t>
  </si>
  <si>
    <t>How to center a block in Google AppMaker</t>
  </si>
  <si>
    <t>Zoho crm API sometimes returns error</t>
  </si>
  <si>
    <t>How to show Feed back message in sales force Standard page?</t>
  </si>
  <si>
    <t>Error in Zoho CRM Deluge Script on searching record</t>
  </si>
  <si>
    <t>Uploading .txt file to Salesforce</t>
  </si>
  <si>
    <t>Filter records based on current user in PowerApps</t>
  </si>
  <si>
    <t>Restsharp will not populate my class with a Zoho CRM request</t>
  </si>
  <si>
    <t>Unable to send mail using zoho smtp server</t>
  </si>
  <si>
    <t>cant call api method using xml in url</t>
  </si>
  <si>
    <t>event firing but not being handled by the component</t>
  </si>
  <si>
    <t>PowerApps Gallery not showing SharePoint data for users</t>
  </si>
  <si>
    <t>Zoho CRM api v2 list of required fields for each module</t>
  </si>
  <si>
    <t>Gulp Task completes with no error but no file is saved to destination</t>
  </si>
  <si>
    <t>Rendering Chart JS via a Slot in Lightning Web Components</t>
  </si>
  <si>
    <t>Salesforce LWC Uncaught (in promise) TypeError: Cannot read property 'Symbol(ViewModel)' of undefined</t>
  </si>
  <si>
    <t>Sorting Tables in Google AppMaker</t>
  </si>
  <si>
    <t>Cannot connect Google App Maker to external mysql database</t>
  </si>
  <si>
    <t>How to include a relation of a relation in an AppMaker table field?</t>
  </si>
  <si>
    <t>How to import data with Relations from Sheets</t>
  </si>
  <si>
    <t>Microsoft Flow Custom API Authentication</t>
  </si>
  <si>
    <t>Can Lightning calendars be created with thunderbird.cfg?</t>
  </si>
  <si>
    <t>Run formula only once on Salesforce custom Date/time field</t>
  </si>
  <si>
    <t>Cannot add new correlated record to new created record</t>
  </si>
  <si>
    <t>Flask with Zoho - SMTPServerDisconnected: please run connect() first</t>
  </si>
  <si>
    <t>Using JavaScript for form confirmation message (with Zoho contact form)</t>
  </si>
  <si>
    <t>Zoho email limitations?</t>
  </si>
  <si>
    <t>Advanced Rest Client with ZOHO: POST verb</t>
  </si>
  <si>
    <t>How to apply transformers and/or binding expressions to the data in a table?</t>
  </si>
  <si>
    <t>Can't find Google App Maker in list of Additional Google services</t>
  </si>
  <si>
    <t>PowerApps Portal--&gt; After Record is created (Insert Form) show that record as Edit Form</t>
  </si>
  <si>
    <t>How to json decode in zoho</t>
  </si>
  <si>
    <t>Outsystems:Is it possible to have same user in different tenants in a Multi-tenant application</t>
  </si>
  <si>
    <t>Salesforce Lightning CORS issue: Failed to execute postMessage on DOMWindow</t>
  </si>
  <si>
    <t>Google App maker API</t>
  </si>
  <si>
    <t>I am trying to create a new component ("hello.cmp") but when i try to run it on the server I always get error shown in the screen shot</t>
  </si>
  <si>
    <t>Deploying AppMaker app on multiple domains</t>
  </si>
  <si>
    <t>How to set username and password in PHP script for Salesforce login using Rest API</t>
  </si>
  <si>
    <t>How to retrieve child object data from dynamic Sooql Query resultset?</t>
  </si>
  <si>
    <t>Salesforce Bulk API Delete operator</t>
  </si>
  <si>
    <t>How to get my visualforce page apex code through rest api?</t>
  </si>
  <si>
    <t>Unable to upload file to REST API</t>
  </si>
  <si>
    <t>set STATUS field based on CREATED DATE field in CASE object</t>
  </si>
  <si>
    <t>Select all the dates in a year</t>
  </si>
  <si>
    <t>Appmaker: Only render filtered results on table load</t>
  </si>
  <si>
    <t>Can you create a browser app with PowerApps?</t>
  </si>
  <si>
    <t>Lightning:overlayLib, override 'overflow:hidden' property to 'overflow:visible'</t>
  </si>
  <si>
    <t>Insert rows to SQL Server from Microsoft Flow</t>
  </si>
  <si>
    <t>Need to compare value with custom field of pick list datatype in SFDC</t>
  </si>
  <si>
    <t>Accessing and Updating External Databases From Salesforce</t>
  </si>
  <si>
    <t>Powerapps temporary data storage</t>
  </si>
  <si>
    <t>How to use Zoho CRM API V2 from PHP page?</t>
  </si>
  <si>
    <t>How do I add an Apps Script Library to AppMaker?</t>
  </si>
  <si>
    <t>Connecting Azure blob storage to PowerApps</t>
  </si>
  <si>
    <t>Conditional formatting in AppMaker table</t>
  </si>
  <si>
    <t>Unity3D realtime illumination</t>
  </si>
  <si>
    <t>In Google AppMaker, How to filter using a single DateBox?</t>
  </si>
  <si>
    <t>How to Filter SharePoint Lookup Column using powerapps?</t>
  </si>
  <si>
    <t>How can I sort a list by month in App Maker?</t>
  </si>
  <si>
    <t>How do I dynamically change the gallery source in Powerapps?</t>
  </si>
  <si>
    <t>How to dynamically display items in the screen navigated after list selection in Powerapps?</t>
  </si>
  <si>
    <t>select only one checkbox at a time</t>
  </si>
  <si>
    <t>How to read Whole url or Read URL parameters using ZOHO Creator form script?</t>
  </si>
  <si>
    <t>Rocket Chat smtp outgoing email settings with zoho not working</t>
  </si>
  <si>
    <t>How to get target object from a proxy object in Salesforce Lightning?</t>
  </si>
  <si>
    <t>Download File in Appmaker</t>
  </si>
  <si>
    <t>Callback URL in Google App Maker</t>
  </si>
  <si>
    <t>How to publish application in my environment that created in other environment</t>
  </si>
  <si>
    <t>Not able to connect Bing Maps API with Power Apps</t>
  </si>
  <si>
    <t>Filter a list using User().FullName?</t>
  </si>
  <si>
    <t>Codeigniter SMTP error</t>
  </si>
  <si>
    <t>How to open a child browser window and then execute a script on the newly loaded child browser page to click a link in it</t>
  </si>
  <si>
    <t>What is Authorized Redirect URI?</t>
  </si>
  <si>
    <t>Error when fetching data from spreadsheet</t>
  </si>
  <si>
    <t>PowerApps: Filter by user no delegation</t>
  </si>
  <si>
    <t>System.ServiceModel.FaultException: Server was unable to process request. ---&gt; ... with key 0 was not found</t>
  </si>
  <si>
    <t>Can I set up a web form that will populate an opportunity in my salesforce</t>
  </si>
  <si>
    <t>Can the Powerapps Teams Connector instant message an individual vs posting in a channel?</t>
  </si>
  <si>
    <t>Using Microsoft Flow to send notification to powerapps</t>
  </si>
  <si>
    <t>Google apps script UrlFetchApp error "Access not granted or expired"</t>
  </si>
  <si>
    <t>How to declare a global variable in mendix?</t>
  </si>
  <si>
    <t>How can I add days in a date like dd/mm/yyyy in powerapps?</t>
  </si>
  <si>
    <t>Display collections data in powerapps listbox</t>
  </si>
  <si>
    <t>salesforce application create a generic xpath using selenium webdriver with java</t>
  </si>
  <si>
    <t>Nodejs Zoho API v2 "zcrmsdk" how to specify module in "configuration.properties" file for AWS Lambda</t>
  </si>
  <si>
    <t>Integration between different Google Appmaker Apps</t>
  </si>
  <si>
    <t>How do verify my domain for Zoho Mail using AWS Route 53?</t>
  </si>
  <si>
    <t>Drive Folder in AppMaker</t>
  </si>
  <si>
    <t>Overriding the redirect on saving force:createRecord on Salesforce Lightning</t>
  </si>
  <si>
    <t>How to pass a value from one page to another with onclick event in AppMaker</t>
  </si>
  <si>
    <t>Select the maximum of field from different tables</t>
  </si>
  <si>
    <t>Send link of "ThisItem"</t>
  </si>
  <si>
    <t>What are the ways to build an app for Salesforce?</t>
  </si>
  <si>
    <t>CKEditor - change availabe options</t>
  </si>
  <si>
    <t>Time Picker and Autocomplete for App Maker</t>
  </si>
  <si>
    <t>Is it possible to use PostgreSQL with Google AppMaker?</t>
  </si>
  <si>
    <t>Google App Maker: TextBox only accept Numbers</t>
  </si>
  <si>
    <t>Appmaker - combine fields from two datasources</t>
  </si>
  <si>
    <t>Google AppMaker date validation</t>
  </si>
  <si>
    <t>Google App maker dropdown null item name</t>
  </si>
  <si>
    <t>Reviecing email from zoho mail server</t>
  </si>
  <si>
    <t>LWC Related List Inline Editing with Dynamic Columns</t>
  </si>
  <si>
    <t>How do you set a Link so that it opens in a new tab or window in Google App Maker?</t>
  </si>
  <si>
    <t>Zoho Api Oauth v.2 | Why does it want to sign in at the User Authorization Request?</t>
  </si>
  <si>
    <t>Create a new form by pressing a button - PowerApps</t>
  </si>
  <si>
    <t>REST API Call from VB ( ZOHO CREATOR )</t>
  </si>
  <si>
    <t>onCreate send email to self in AppMaker?</t>
  </si>
  <si>
    <t>appmaker data: connect to multiple Cloud SQL databases</t>
  </si>
  <si>
    <t>Connect Firebase with OutSystems</t>
  </si>
  <si>
    <t>Web request with input type fields</t>
  </si>
  <si>
    <t>AppMaker: environment variables per deployment ? Get the deployment name?</t>
  </si>
  <si>
    <t>Autonumber in App Maker</t>
  </si>
  <si>
    <t>How to update a file in google drive using Google drive API</t>
  </si>
  <si>
    <t>Show csv data in lightning component</t>
  </si>
  <si>
    <t>PowerApps Filtering or Searching on LookUp field on Gallery</t>
  </si>
  <si>
    <t>Getting no response on Zoho API CRM</t>
  </si>
  <si>
    <t>Is there a drag and drop Bootstrap UI editor like SilkUI for Visual Studio?</t>
  </si>
  <si>
    <t>Wordpress on XAMPP setting up Zoho mail</t>
  </si>
  <si>
    <t>Automating Salesforce Security Checks</t>
  </si>
  <si>
    <t>How do I reset toggles in PowerApps?</t>
  </si>
  <si>
    <t>Nested lightning components in Salesforce communities</t>
  </si>
  <si>
    <t>How to create dynamic form in google app maker?</t>
  </si>
  <si>
    <t>Is it possible to create multiple draft items on createdatasource?</t>
  </si>
  <si>
    <t>Powerapps Copy Paste function for a Group</t>
  </si>
  <si>
    <t>Building OutsystemsNow for android on Android Studio getting dexException</t>
  </si>
  <si>
    <t>Distinct list of Items after Query</t>
  </si>
  <si>
    <t>Gravity Form Zoho CRM add-on not working for checkbox fields</t>
  </si>
  <si>
    <t>Best way to bulk delete records in Datasheet model?</t>
  </si>
  <si>
    <t>Salesforce lightning:treegrid find Id/data of deselected row</t>
  </si>
  <si>
    <t>Appmaker with BigQuery (Read/Write/Update/Delete)</t>
  </si>
  <si>
    <t>How Can I Duplicate A Item/Record?</t>
  </si>
  <si>
    <t>UrlFetchApp fetch post to Zoho Creator API, Zoho needs the session to be closed</t>
  </si>
  <si>
    <t>PowerApps SubmitForm to another datasource</t>
  </si>
  <si>
    <t>Google App maker Architecture</t>
  </si>
  <si>
    <t>Google App Maker driver picker files</t>
  </si>
  <si>
    <t>PowerApps cannot connect to on-premise SQL Server through On-Premise Data Gateway</t>
  </si>
  <si>
    <t>Get last record ID from QB PHP wrapper Query</t>
  </si>
  <si>
    <t>Error in sending Email in Google AppMaker</t>
  </si>
  <si>
    <t>Powerapps - When i open the screen1 i need the radio1 option to not select either radio button</t>
  </si>
  <si>
    <t>Data-view is not updating when entity is updated in Mendix</t>
  </si>
  <si>
    <t>How to create an advanced search/filter using Google App Maker's Query Script?</t>
  </si>
  <si>
    <t>Zoho workdrive api "General Exception" error</t>
  </si>
  <si>
    <t>Custom object search in Salesforce Lightning</t>
  </si>
  <si>
    <t>Search using keyword to the article subject and article content</t>
  </si>
  <si>
    <t>Update a record in the ZohoCRM using PHP SDK based on ID</t>
  </si>
  <si>
    <t>How do you scroll a list in AppMaker?</t>
  </si>
  <si>
    <t>Integrating Twilio with Salesforce</t>
  </si>
  <si>
    <t>Katalon Studio: Suppressing Alerts in Chrome Preferences</t>
  </si>
  <si>
    <t>Appscript API for fetching access permissions of team drive</t>
  </si>
  <si>
    <t>Chatter : getDeleted EntitySubscription and FeedLike</t>
  </si>
  <si>
    <t>Azure Datafactory Upload to Salesforce and reference field on another object</t>
  </si>
  <si>
    <t>Google Drive API "Insufficient permissions for this file" error with Service Account</t>
  </si>
  <si>
    <t>Winter 18' release and Service Cloud Toolkit API cannot be used with your browser</t>
  </si>
  <si>
    <t>consume salesforce chatter rest service from pure javascript</t>
  </si>
  <si>
    <t>how to use svg into lightning component in Salesforce</t>
  </si>
  <si>
    <t>How could I 'attach' an ASP.NET byte array to a 'file' type input field on a form?</t>
  </si>
  <si>
    <t>How do I get the client name using jquery in a quickbase app?</t>
  </si>
  <si>
    <t>App Maker: Public facing IP for UrlFetch?</t>
  </si>
  <si>
    <t>How to calculate if Date is more than "2 years ago" with a Salesforce formula field?</t>
  </si>
  <si>
    <t>How to update external object record via salesforce trigger</t>
  </si>
  <si>
    <t>Lightning page not working anymore with new updates in salesforce community</t>
  </si>
  <si>
    <t>Label text binding with call function and no return value</t>
  </si>
  <si>
    <t>Are we able to modify the chatter digest content?</t>
  </si>
  <si>
    <t>How to resize a Canvas app on Salesforce?</t>
  </si>
  <si>
    <t>Maximum number of bytes in report exceeded Error while using API do_query in Quickbase</t>
  </si>
  <si>
    <t>Salesforce SOQL with datetime literals to pull records between 2 datetime custom fields?</t>
  </si>
  <si>
    <t>Can I stop a record from being inserted in the object trigger without letting the user know in Salesforce?</t>
  </si>
  <si>
    <t>Login to Zoho CRM with http call</t>
  </si>
  <si>
    <t>Why is the Symfony Mailer Component returning an empty response?</t>
  </si>
  <si>
    <t>Generating an email list from AppMaker Database</t>
  </si>
  <si>
    <t>Google App maker date filtering</t>
  </si>
  <si>
    <t>Æøå in returned JSON result - the data doesn't look like it's supposed to</t>
  </si>
  <si>
    <t>Send Email in Google AppMaker</t>
  </si>
  <si>
    <t>Lightning Component List inside Component</t>
  </si>
  <si>
    <t>App Maker Relations Not A Datasource Option</t>
  </si>
  <si>
    <t>PowerApps: 3 keys were specified, but 4 values were provided</t>
  </si>
  <si>
    <t>salesforce lightning this.template.querySelector not working</t>
  </si>
  <si>
    <t>Zoho API: Get the user that is making the request</t>
  </si>
  <si>
    <t>SLDS svg icons not rendering with Webpack 2</t>
  </si>
  <si>
    <t>Salesforce is not creating lead and it doesn't return Lead Id</t>
  </si>
  <si>
    <t>Query to select Single Best Record based on a Column Value</t>
  </si>
  <si>
    <t>Beginner google app maker calendar sample</t>
  </si>
  <si>
    <t>Can I Add Related Tables to a PowerApps Canvas App?</t>
  </si>
  <si>
    <t>How to create complex user roles in Google App Maker</t>
  </si>
  <si>
    <t>I am trying to parse the following complex JSON from the Zoho CRM API in VB</t>
  </si>
  <si>
    <t>PHP: How to fix error Unable to parse XML data?</t>
  </si>
  <si>
    <t>Google App maker drive picker folders</t>
  </si>
  <si>
    <t>Including external developers in Google App Maker</t>
  </si>
  <si>
    <t>PowerApps Custom Connector AADSTS50011: The reply url specified in the request does not match the reply urls configured for the application</t>
  </si>
  <si>
    <t>Make HLSL lightning effect fade out per distance</t>
  </si>
  <si>
    <t>drop down list formula in Quickbase</t>
  </si>
  <si>
    <t>Generate an unique ID in Appmaker</t>
  </si>
  <si>
    <t>salesforce lightning: you need permission to refresh this dashboard</t>
  </si>
  <si>
    <t>How to add product2 in standard price book in Salesforce CRM?</t>
  </si>
  <si>
    <t>how to use external js library with Aura?</t>
  </si>
  <si>
    <t>window.scrollTo() not working</t>
  </si>
  <si>
    <t>Display PDF from chatter files in Visualforce Page</t>
  </si>
  <si>
    <t>How do perform logging or debug output in a server script?</t>
  </si>
  <si>
    <t>Continuously import data from the From responses spreadsheet into AppMaker data model</t>
  </si>
  <si>
    <t>How to integrate reckon account API?</t>
  </si>
  <si>
    <t>set default value for detail in master/detail relationship form widget dialog button</t>
  </si>
  <si>
    <t>How to handle special character (e.g : '&amp;', '-' etc) in zoho api searchRecords?</t>
  </si>
  <si>
    <t>Is powerapps add attachments on edit form available in Sharepoint on prem list</t>
  </si>
  <si>
    <t>Google App Maker, how to create copy to clipboard function</t>
  </si>
  <si>
    <t>Credentials for the SQL Server Agent are invalid [2018]</t>
  </si>
  <si>
    <t>How to create a record on Zoho CRM through API (insertRecords method)</t>
  </si>
  <si>
    <t>CSS for required fields in Google App Maker</t>
  </si>
  <si>
    <t>Control widget's width programmatically</t>
  </si>
  <si>
    <t>Use favicon from resources on mobile device</t>
  </si>
  <si>
    <t>Google App Maker Total field</t>
  </si>
  <si>
    <t>How do I extract a string value from my PowerApps custom connector response?</t>
  </si>
  <si>
    <t>PowerApps: How to change the selected value of a drop down list via expression</t>
  </si>
  <si>
    <t>How to express "or" in a model Query?</t>
  </si>
  <si>
    <t>Can i Get JSON Response just using Session ID in salesforce?</t>
  </si>
  <si>
    <t>How to catch an error on saveChanges - Google App Maker</t>
  </si>
  <si>
    <t>How to use onkeypress in Lightning web components?</t>
  </si>
  <si>
    <t>PowerApps - Office365Users.Manager failed:</t>
  </si>
  <si>
    <t>Perform a single server call in lightning instead of multiple calls</t>
  </si>
  <si>
    <t>Google App Maker How to Allow access to user to your App Instance who don't have Gsuite</t>
  </si>
  <si>
    <t>Dynamics 365 Plugin Registration Tool gives permission error</t>
  </si>
  <si>
    <t>Deploy an Appmaker app to a mobile device or tablet?</t>
  </si>
  <si>
    <t>Parse/Decode response (Json format?) - PHP Curl</t>
  </si>
  <si>
    <t>Adding google groups to roles</t>
  </si>
  <si>
    <t>zoho creator get records from zoho project</t>
  </si>
  <si>
    <t>How to sort a table for which its datasource is a relation</t>
  </si>
  <si>
    <t>powerapp: add in-app camera picture to attachment</t>
  </si>
  <si>
    <t>Trouble converting Google App Maker from draft record in datasource</t>
  </si>
  <si>
    <t>Problem with Zoho Invocing API {"code":1038,"message":"JSON is not well formed»}</t>
  </si>
  <si>
    <t>Salesforce lightning Aura Component error</t>
  </si>
  <si>
    <t>How to interact with an element with an id like this: "inputText115:3551;a" using Selnium + webdriverIO + nodeJS</t>
  </si>
  <si>
    <t>Where can i see the google sheet in which app makers saves the data</t>
  </si>
  <si>
    <t>Appmaker -How to populate options in dropdown from datasource based on the option selected from previous dropdown in Appmaker?</t>
  </si>
  <si>
    <t>How to create a bug using zoho API via postman?</t>
  </si>
  <si>
    <t>How to Create New Case in Salesforce from third-party web application using API</t>
  </si>
  <si>
    <t>Powerapps - How to Audit Trail?</t>
  </si>
  <si>
    <t>Link between zoho crm and Moodle</t>
  </si>
  <si>
    <t>Access value from a list row from a script in App Maker</t>
  </si>
  <si>
    <t>Salesforce licenses</t>
  </si>
  <si>
    <t>Trying To Put Current User Name Into Notification Email</t>
  </si>
  <si>
    <t>PowerApps Portal vs regular PowerApps</t>
  </si>
  <si>
    <t>Combine data from two datasources into a single table</t>
  </si>
  <si>
    <t>Codeigniter Zoho Mail Sending Mails</t>
  </si>
  <si>
    <t>What does the oldmap actually do here? Can someone explain</t>
  </si>
  <si>
    <t>Problems running jQuery in Quickbase</t>
  </si>
  <si>
    <t>Why am I not allowed to have dynamic strings for column names in PowerApps?</t>
  </si>
  <si>
    <t>How to filter a powerapps gallery based on previous screen</t>
  </si>
  <si>
    <t>Pre-populate recipients list on Docusign for Salesforce Lightning</t>
  </si>
  <si>
    <t>Referencing js files from an html file in Quickbase</t>
  </si>
  <si>
    <t>Need to access the name of field from map of Sobject</t>
  </si>
  <si>
    <t>Google App maker Drive files collaboration</t>
  </si>
  <si>
    <t>PowerApps - The query cannot be completed because the number of lookup columns it contains exceeds the lookup column threshold</t>
  </si>
  <si>
    <t>Embed Power BI report in Salesforce</t>
  </si>
  <si>
    <t>Filter gallery to show all items of a category and all sub categories</t>
  </si>
  <si>
    <t>Outsystem .doc file- Error Wrong Local header signature: 0xE011CFD0</t>
  </si>
  <si>
    <t>Oauth2 access token returns "invalid client" error</t>
  </si>
  <si>
    <t>How to download a report as a CSV directly from Salesforce Lightning?</t>
  </si>
  <si>
    <t>Cannot query records on models with changes error message</t>
  </si>
  <si>
    <t>Validate Structure Mandatory Attributes in OutSystems</t>
  </si>
  <si>
    <t>How to Call HTML Id in App Maker</t>
  </si>
  <si>
    <t>Share PowerApp connected to Azure SQL Database without sharing credentials</t>
  </si>
  <si>
    <t>Can we use TFS as Source Code Repository for Salesforce?</t>
  </si>
  <si>
    <t>How do customize a popup like Snackbar or Notification dialog with a message?</t>
  </si>
  <si>
    <t>Is it possible to add values to table widget programmatically in Google Appmakers</t>
  </si>
  <si>
    <t>Salesforce-Cross Object Field</t>
  </si>
  <si>
    <t>How to properly use an If statement in PowerApps when trying to toggle visibility of an element?</t>
  </si>
  <si>
    <t>Update/Synchronize App Maker datasource fields after Cloud SQL Schema update?</t>
  </si>
  <si>
    <t>Using Microsoft Common data services SDK in asp.net web api</t>
  </si>
  <si>
    <t>AppMaker - Better way to combine two fields from datasource per element of dropdown's names array?</t>
  </si>
  <si>
    <t>Zoho sync data between crm and mysql</t>
  </si>
  <si>
    <t>AppMaker Return value from server side to client side</t>
  </si>
  <si>
    <t>Use PowerApp to enter the user's input into the word document.</t>
  </si>
  <si>
    <t>Yii2-curl oAuth2 with zoho</t>
  </si>
  <si>
    <t>post to chatter from javascript</t>
  </si>
  <si>
    <t>Get data from data source in client/server script</t>
  </si>
  <si>
    <t>How to Check value of combo-box (selected items) in the formula for a button (Visible property)</t>
  </si>
  <si>
    <t>Apex Test Class - Simple Insert</t>
  </si>
  <si>
    <t>Client unable to access shared SQL Server (on-Premise) connection</t>
  </si>
  <si>
    <t>How to get todos from Thunderbird/Lightning calendars?</t>
  </si>
  <si>
    <t>Google App Maker - Emailing a completed form</t>
  </si>
  <si>
    <t>google appmaker: update field in datasource</t>
  </si>
  <si>
    <t>How to add and edit record directly on the table widget Google AppMaker?</t>
  </si>
  <si>
    <t>Add array value dynamically with a specific index?</t>
  </si>
  <si>
    <t>Using MS Teams, Power Automate and Adaptive Cards: how to use inputs from user using the Flow Bot to use in another Adaptive Card</t>
  </si>
  <si>
    <t>Filter and Bind a Multiselect</t>
  </si>
  <si>
    <t>Appmaker: Opening a page where the record is pre-selected</t>
  </si>
  <si>
    <t>Caching and AOP in Mendix: is there a uniform or standardized approach for server-side caching within a Mendix application?</t>
  </si>
  <si>
    <t>Is there a way to copy a complete page from one App to another in AppMaker</t>
  </si>
  <si>
    <t>Send JSON Object data in window.open in LWC Salesforce</t>
  </si>
  <si>
    <t>Google Cloud SQL instance connection error</t>
  </si>
  <si>
    <t>Can AppMaker be used with SQL Server</t>
  </si>
  <si>
    <t>Duplicate Dates in Column Grouped using Group By</t>
  </si>
  <si>
    <t>How to use fieldset in lightning Component</t>
  </si>
  <si>
    <t>Trying to total columns for relation datasource</t>
  </si>
  <si>
    <t>HTML entities get encoded twice with dynamic binding</t>
  </si>
  <si>
    <t>How to switch between tabs in App Maker</t>
  </si>
  <si>
    <t>How to use the SalesForce API?</t>
  </si>
  <si>
    <t>OAuth lib for Chrome Extensions and Salesforce API</t>
  </si>
  <si>
    <t>PowerApps If textfield is blank do not patch else patch</t>
  </si>
  <si>
    <t>How to unblock a connected app in Salesforce when the unblock button is disabled</t>
  </si>
  <si>
    <t>Calculated Model Sum</t>
  </si>
  <si>
    <t>Django ZoHo Python SDK v2 CRM Problem initialisation</t>
  </si>
  <si>
    <t>Sales force chatter trigger</t>
  </si>
  <si>
    <t>database settings Google Appmaker</t>
  </si>
  <si>
    <t>Active directory user log in</t>
  </si>
  <si>
    <t>Salesforce Query to Check the Existing Contact with Account id</t>
  </si>
  <si>
    <t>get leads information from Zoho crm using api</t>
  </si>
  <si>
    <t>Possible to have radio buttons not required?</t>
  </si>
  <si>
    <t>PowerApps: How to get Text-Input onChange to trigger updating the text?</t>
  </si>
  <si>
    <t>Powerapps UpdateIf with multiple conditions</t>
  </si>
  <si>
    <t>Storing one Map values to Another</t>
  </si>
  <si>
    <t>PowerApps - "Set Regarding" for an appointment in CRM</t>
  </si>
  <si>
    <t>How to add two Signer using Custom Button Logic in Salesforce</t>
  </si>
  <si>
    <t>SQL-Server Unpivot/Pivot Example</t>
  </si>
  <si>
    <t>Checkbox binding in Google AppMaker</t>
  </si>
  <si>
    <t>Filter table data in Accordion Widget</t>
  </si>
  <si>
    <t>How to make a recursive menu from Gallery on Screen in PowerApps?</t>
  </si>
  <si>
    <t>Can I retrieve GPS location in App Maker</t>
  </si>
  <si>
    <t>How to do logic based on radio button in Google App Maker</t>
  </si>
  <si>
    <t>Google App Maker: How to add pagination and sorting to a table widget bound to a calculated datasource?</t>
  </si>
  <si>
    <t>PowerApps: How to Patch multiple CDS entities with 1:N relationship?</t>
  </si>
  <si>
    <t>Powerapps DropDown Control issues : While Populating drop down input control items with text/records/list/DataRows from Azure function</t>
  </si>
  <si>
    <t>Google App Maker - SuggestBox - Widget's datasource not in "loading" state</t>
  </si>
  <si>
    <t>Unable to Create Common Data Service DB in Default Environment Power Apps</t>
  </si>
  <si>
    <t>Error in creating record in zohocrm contacts using php 7.1</t>
  </si>
  <si>
    <t>How to change height of the map element on button click?</t>
  </si>
  <si>
    <t>Issue facing while loading 3rd party Jquery library in lightning component</t>
  </si>
  <si>
    <t>Incorporating responsive design in Google App Maker</t>
  </si>
  <si>
    <t>When I am deploying salesforce apex class it is showing error</t>
  </si>
  <si>
    <t>Use multiple App Maker fragment forms on the same page</t>
  </si>
  <si>
    <t>Getting posts (poster name, photo, text body) into VF page from specific Chatter group - Struggling getting into VF</t>
  </si>
  <si>
    <t>salesforce lightning auth an org from another org using user agent OAuth flow and store access token</t>
  </si>
  <si>
    <t>Weakening vinyl's RecAll constraint through entailment</t>
  </si>
  <si>
    <t>AppMaker Record save failed: 'id' field value is required, but found 'null'. (auto increment)</t>
  </si>
  <si>
    <t>How to get XPath of an element when it is in sub tab (Salesforce Lightning component)</t>
  </si>
  <si>
    <t>Workaround solutions to Google App Script "Exception: FILENAME.csv exceeds the maxmium file size"?</t>
  </si>
  <si>
    <t>How do I reference a value in an App Maker query (like I do in Apps Script)</t>
  </si>
  <si>
    <t>Zoho Creator API Integration Basic Authorization postUrl()</t>
  </si>
  <si>
    <t>Blank() causes an error in an if() - PowerApps</t>
  </si>
  <si>
    <t>Drive picker upload to a team drive as opposed to personal google drive</t>
  </si>
  <si>
    <t>Create a web service in java to receive outbound message in salesforce</t>
  </si>
  <si>
    <t>View the battery percentage of a device connected to the iPhone using the lightning port</t>
  </si>
  <si>
    <t>Issue when UPSERTing a record to Zoho CRM</t>
  </si>
  <si>
    <t>How to use the @salesforce/design-system-react package in my Create-React-App</t>
  </si>
  <si>
    <t>Zoho API file upload error "Unable to process your request. Please verify whether you have provided proper file."</t>
  </si>
  <si>
    <t>How to access a lookup field through SOQL in salesforce?</t>
  </si>
  <si>
    <t>Visual foce page - sforce.console.refreshPrimaryTabById not working in lightning?</t>
  </si>
  <si>
    <t>Chatter Api Access to create Feed via Platform Trigger</t>
  </si>
  <si>
    <t>QuickBooks Desktop Sync with Zoho CRM, Bidirectionally</t>
  </si>
  <si>
    <t>Submitting My Website's Contact Form to Google App Maker</t>
  </si>
  <si>
    <t>"a value must be provided for item" error in sharepoint cascading dropdowns in powerapps</t>
  </si>
  <si>
    <t>How to update records in related data models in Google App Maker</t>
  </si>
  <si>
    <t>How to set a color as a global variable in PowerApps?</t>
  </si>
  <si>
    <t>I have found this error while am adding data to quickbase database?</t>
  </si>
  <si>
    <t>Adding Days onto a date in a script</t>
  </si>
  <si>
    <t>Delete many-to-many relation of nested Appmaker list item (instead of the item itself)</t>
  </si>
  <si>
    <t>PowerApps - How to Edit a Form from a Gallery list result in one screen</t>
  </si>
  <si>
    <t>Microsoft Flow Oracle Connector</t>
  </si>
  <si>
    <t>Salesforce Community Navigation Menu is not refreshing the entire page</t>
  </si>
  <si>
    <t>Printing Images To Zebra Printer</t>
  </si>
  <si>
    <t>Is there a way to write a file to an FTP Server that uses SSL using R?</t>
  </si>
  <si>
    <t>How to serve OpenGraph for a private page</t>
  </si>
  <si>
    <t>Publishing a public app</t>
  </si>
  <si>
    <t>Using PayPal and zoho creator for credit card charge</t>
  </si>
  <si>
    <t>How can process.stdin be used as the start point for a gulp task?</t>
  </si>
  <si>
    <t>Written Very Basic APEX Class, How Can my Customers get to access it?</t>
  </si>
  <si>
    <t>Azure postgres connection to powerApps</t>
  </si>
  <si>
    <t>Display Fields of Related list in corresponding Page layout</t>
  </si>
  <si>
    <t>Send e-mail from Python through Zoho</t>
  </si>
  <si>
    <t>Filtering a Calculated Model in Google App Maker</t>
  </si>
  <si>
    <t>Connect PowerApps to Firebird</t>
  </si>
  <si>
    <t>Uncaught Error: Class 'GuzzleHttp\Client' not found</t>
  </si>
  <si>
    <t>Posting message to Salesforce Chatter via Javascript SDK</t>
  </si>
  <si>
    <t>Can I Filter the Report which is Embedded in a Page and This Page comes when I click the stateless form Button?</t>
  </si>
  <si>
    <t>How to solve Zoho Project API General error 6500?</t>
  </si>
  <si>
    <t>Query as Widget Datasource</t>
  </si>
  <si>
    <t>Google App maker List view grouping</t>
  </si>
  <si>
    <t>Google App maker not available to Education customers?</t>
  </si>
  <si>
    <t>DriveApp.getFolderById :No item with the given ID could be found, or you do not have permission to access it</t>
  </si>
  <si>
    <t>First day of every week in every month in PowerApps</t>
  </si>
  <si>
    <t>selenium.WebDriverException: Returned value cannot be converted to WebElement</t>
  </si>
  <si>
    <t>PowerApps error message for users</t>
  </si>
  <si>
    <t>Selenium throwing null pointer for wait.until</t>
  </si>
  <si>
    <t>AppMaker - Navigate to Last Page on Table</t>
  </si>
  <si>
    <t>Accessing Chatter API using JavaScript (same origin issue)?</t>
  </si>
  <si>
    <t>Azure function response in Power apps returns true/false instead of value</t>
  </si>
  <si>
    <t>Powerapps Collection Limited To 5 Entries</t>
  </si>
  <si>
    <t>SiteRules in SEO URLs</t>
  </si>
  <si>
    <t>Window.close not Working in page Refernce Apex method</t>
  </si>
  <si>
    <t>powerapps Radio button control</t>
  </si>
  <si>
    <t>How to navigate to Communities's Menu Item with LWC</t>
  </si>
  <si>
    <t>Error 4600 Zoho CRM Insert Record using cURL</t>
  </si>
  <si>
    <t>Zoho global variables or workaround for that</t>
  </si>
  <si>
    <t>Understanding the Document Approval template by Google AppMaker</t>
  </si>
  <si>
    <t>How to share data between two app maker apps?</t>
  </si>
  <si>
    <t>Salesforce lightning out</t>
  </si>
  <si>
    <t>Connect Microsoft Powerapps to PostgreSQL</t>
  </si>
  <si>
    <t>Trying To Send Creation Notification Email</t>
  </si>
  <si>
    <t>PowerApp - image not showing when stored in SQL Server</t>
  </si>
  <si>
    <t>Dynamically create widgets based on records in a datasource</t>
  </si>
  <si>
    <t>MS PowerApps timestamp button</t>
  </si>
  <si>
    <t>How To Populate Multidimensional Array with jQuery in QuickBase</t>
  </si>
  <si>
    <t>Protected Custom Setting not available in lightning Component</t>
  </si>
  <si>
    <t>SalesForce : Redirecting the URL to Salesforce</t>
  </si>
  <si>
    <t>How to clear sfdx cache (if such thing exists)</t>
  </si>
  <si>
    <t>Salesforce and vk.com API integration</t>
  </si>
  <si>
    <t>Trigger on calculated date on Google AppMaker</t>
  </si>
  <si>
    <t>Connect my app to a Google Cloud SQL</t>
  </si>
  <si>
    <t>How to insert lightning component to visualforce page with apex after button click</t>
  </si>
  <si>
    <t>How to add google sheet excel column values to dropdown in power apps</t>
  </si>
  <si>
    <t>Appmaker - Relation between local datasource and external datasource/Directory</t>
  </si>
  <si>
    <t>how to dynamically highlight a data point in line chart</t>
  </si>
  <si>
    <t>Auto populate per user information from a SharePoint List</t>
  </si>
  <si>
    <t>Cannot assign to read only property 'disconnectedHandler' of object '[object Object]'</t>
  </si>
  <si>
    <t>Create Batch Apex to update multiple objects</t>
  </si>
  <si>
    <t>Setting / Modifying record associations with client script</t>
  </si>
  <si>
    <t>Cascading combo box/List box - Multiple select Items results (Power Apps)</t>
  </si>
  <si>
    <t>Adding folders to the eSpace Tree</t>
  </si>
  <si>
    <t>Powerapps - Setting Variable to SharePoint User Column on Start</t>
  </si>
  <si>
    <t>Can you implement a Quick Action button from Community in Salesforce</t>
  </si>
  <si>
    <t>Open in New Tab - Outsystems Web</t>
  </si>
  <si>
    <t>Salesforce lightning:carousel</t>
  </si>
  <si>
    <t>How to give Image path from Static Resource in Community using Design Attribute</t>
  </si>
  <si>
    <t>How to set quickbase permissions to add records , Edit records</t>
  </si>
  <si>
    <t>Cordova: How can I pass actions from webview page to the cordova framework (and native)</t>
  </si>
  <si>
    <t>Need to display Fileds in vf page from Query written in Controller</t>
  </si>
  <si>
    <t>Cannot Upload Image or attachment to Salesforce chatter Rest API</t>
  </si>
  <si>
    <t>have a header not scroll on table of divs</t>
  </si>
  <si>
    <t>Query a range in an Excel table linked to PowerApps Text Search box</t>
  </si>
  <si>
    <t>Convert a project from OutSystems to C# Visual Studio solution</t>
  </si>
  <si>
    <t>How to make Page Refernce work in Lighning to reidrect to an external Url</t>
  </si>
  <si>
    <t>QuickBase: Creating multiple rows in another table based on the contents of a report</t>
  </si>
  <si>
    <t>Salesforce Milestone Not Reached On Approval Process Action</t>
  </si>
  <si>
    <t>How to get custom roles enabled for an user in office 365 environment from powerapps</t>
  </si>
  <si>
    <t>How do I retrieve the last record entered in Zoho using their REST API</t>
  </si>
  <si>
    <t>Error in getting salesforce attachment Blob in iOS?</t>
  </si>
  <si>
    <t>Rails Zoho Net::SMTPAuthenticationError: 530</t>
  </si>
  <si>
    <t>Google Appmaker - Search people by PrimaryOrganizationTitle in the PeopleViewer template</t>
  </si>
  <si>
    <t>Is it possible to apply conditional formatting in Google App Maker?</t>
  </si>
  <si>
    <t>Shadow DOM not shown in Custom Element with Shadow Root when inspected on Salesforce (Rabbit hole)</t>
  </si>
  <si>
    <t>Filtering a gallery in PowerApps with entities from CDS</t>
  </si>
  <si>
    <t>Rest API - CANNOT_INSERT_UPDATE_ACTIVATE_ENTITY</t>
  </si>
  <si>
    <t>Return value of another field within model</t>
  </si>
  <si>
    <t>Salesforce Bulk API test in postman</t>
  </si>
  <si>
    <t>QuickBase Perl API: Not able to edit a Record</t>
  </si>
  <si>
    <t>Back Button for "Previous Page"</t>
  </si>
  <si>
    <t>Google app maker: How to list existent groups?</t>
  </si>
  <si>
    <t>Appmaker Thumbnail from Directory by Email</t>
  </si>
  <si>
    <t>Fetching data from event table in zoho crm</t>
  </si>
  <si>
    <t>Powerapp: Submit form if column value is true</t>
  </si>
  <si>
    <t>Looping through current item values</t>
  </si>
  <si>
    <t>Symfony 4 &amp; Zoho SKD 2.0</t>
  </si>
  <si>
    <t>Lists with relations as datasources</t>
  </si>
  <si>
    <t>App Maker Document approval template : How can I Add Default Approvers</t>
  </si>
  <si>
    <t>Setting G Suite user properties with App Script and the Admin SDK</t>
  </si>
  <si>
    <t>How to print bar code from Microsoft PowerApp</t>
  </si>
  <si>
    <t>Get a Google App Make application open to not only a specific page but also a specific record?</t>
  </si>
  <si>
    <t>How to get data from my MySQL database into Zoho Books.?</t>
  </si>
  <si>
    <t>WorkFlow Based in a Field - AppMaker</t>
  </si>
  <si>
    <t>How to embed Zoho forms in edit record mode in my website</t>
  </si>
  <si>
    <t>Adding record to Zoho creator</t>
  </si>
  <si>
    <t>Select field from SQL Datasource in Google App Maker based on drop down value</t>
  </si>
  <si>
    <t>How to autogenerate Primary Name field in custom Common Data Service Entity?</t>
  </si>
  <si>
    <t>Appmaker Unexpected client error. EditorLauncher SEVERE: Unexpected error</t>
  </si>
  <si>
    <t>Returning Array of Objects shows only one object in next step</t>
  </si>
  <si>
    <t>Appmaker group access permissions for developer to add group to role</t>
  </si>
  <si>
    <t>Unable to execute automation Test scripts wrote for Salesforce classic on Salesforce lightning using selenium web driver</t>
  </si>
  <si>
    <t>How do I change timezone in AppMaker Environment?</t>
  </si>
  <si>
    <t>Salesforce PickList to dynamic hyperlinks list</t>
  </si>
  <si>
    <t>Get email address from directory with Full name in appmaker</t>
  </si>
  <si>
    <t>How can I get all records of a field from a form?</t>
  </si>
  <si>
    <t>Use Widget Value in Server Script</t>
  </si>
  <si>
    <t>Multiple datasources for searchbox</t>
  </si>
  <si>
    <t>Add multiple rows to SharePoint List from Power Apps</t>
  </si>
  <si>
    <t>Need To Show Directory Output as Full Name Instead of Email Address</t>
  </si>
  <si>
    <t>Getting the response of a post web api call</t>
  </si>
  <si>
    <t>Can't Access salesforce Attachments raw/binary data in iphone</t>
  </si>
  <si>
    <t>Apex Lightning upload fail because missing test class</t>
  </si>
  <si>
    <t>Zoho Projects API Timesheet - General Error 6500 - Adding time entry</t>
  </si>
  <si>
    <t>SLDS : SyntaxError: Invalid regular expression: /\/: \ at end of pattern</t>
  </si>
  <si>
    <t>How to update or create N:N relationship using the Client API</t>
  </si>
  <si>
    <t>Can a PowerApps gallery be sorted from a derived column?</t>
  </si>
  <si>
    <t>ZOHO CRM Webhook fails with HTTP error - 1</t>
  </si>
  <si>
    <t>lightning component disable all other check-boxes when one is selected and post the selected image data to another lightning page</t>
  </si>
  <si>
    <t>How to include json as a query parameter in Zapier app</t>
  </si>
  <si>
    <t>Refreshing values on fields</t>
  </si>
  <si>
    <t>App maker: Show Big Query data in grid</t>
  </si>
  <si>
    <t>Cannot load static resource in a Lightning Container, with Namespace</t>
  </si>
  <si>
    <t>XCelsius using ZOHO webservice</t>
  </si>
  <si>
    <t>show users list in zoho crm</t>
  </si>
  <si>
    <t>populating Moustache.js template</t>
  </si>
  <si>
    <t>Google AppMaker Expected Date for value of 'SearchText' parameter?</t>
  </si>
  <si>
    <t>Add watermark to PDF using Appscript</t>
  </si>
  <si>
    <t>Creating from blank canvas sharepoint lookup fields are not visible when editing form</t>
  </si>
  <si>
    <t>What's the best free resource to learn about Ms IIS?</t>
  </si>
  <si>
    <t>Registering PowerApps Runtime Service API within Azure AD</t>
  </si>
  <si>
    <t>To select an option in a dropdown and have other fields fill themselves in based on the selection</t>
  </si>
  <si>
    <t>Appmaker multiple filters on one page</t>
  </si>
  <si>
    <t>Migration of Salesforce Communities configurations between environments</t>
  </si>
  <si>
    <t>Limit Dropdown Options For Datasource Relationship</t>
  </si>
  <si>
    <t>How to sort by when doing server-side request on a datasource prefetch?</t>
  </si>
  <si>
    <t>How to get user information for records created in Common Data Service entity table by Created by column?</t>
  </si>
  <si>
    <t>Passing data to Open CTI softphone from Salesforce</t>
  </si>
  <si>
    <t>File system error in ms flow from powerapps</t>
  </si>
  <si>
    <t>What callback function do I use in the client script</t>
  </si>
  <si>
    <t>Event Listener for App Maker Text Editor Widget</t>
  </si>
  <si>
    <t>Swift_TransportException while sending email</t>
  </si>
  <si>
    <t>Binding options dropdown filtering with textbox value in Google App Maker</t>
  </si>
  <si>
    <t>Multi-Select Suggest Box?</t>
  </si>
  <si>
    <t>CreateItem() untreated error return</t>
  </si>
  <si>
    <t>PHPmailier delivered as spam</t>
  </si>
  <si>
    <t>PowerApps Custom Connector returns 404 in app builder</t>
  </si>
  <si>
    <t>Not able to add custom domain in Salesforce</t>
  </si>
  <si>
    <t>How to use values from two datacardvalue fields to disable an "action" button in powerapps</t>
  </si>
  <si>
    <t>Send an email (using flow) when the text field changes in PowerApps</t>
  </si>
  <si>
    <t>PowerApps Hyperlink Display Text</t>
  </si>
  <si>
    <t>Accessing multiple JSON objects in deluge script</t>
  </si>
  <si>
    <t>How to get SMS request via twilio</t>
  </si>
  <si>
    <t>Google App Maker console</t>
  </si>
  <si>
    <t>Deleting data from Drive Tables and automatically re-importing new data</t>
  </si>
  <si>
    <t>Powerapps - Pick "Title" text from Browse screen and add it as default to Form screen dropdown Options</t>
  </si>
  <si>
    <t>Filter rows in Appmaker</t>
  </si>
  <si>
    <t>Zoho CRM API v2- Current user API (users?type=CurrentUser) returns 403</t>
  </si>
  <si>
    <t>Multi LookUp - Check for unique values</t>
  </si>
  <si>
    <t>Quickbase module add_record() function—file upload parameters?</t>
  </si>
  <si>
    <t>Salesforce SDK is not opening login screen</t>
  </si>
  <si>
    <t>Error in advanced SQL in outsystems</t>
  </si>
  <si>
    <t>vinyl ftp Cannot create a file when that file already exists</t>
  </si>
  <si>
    <t>Zoho with NodeMailer not working error code: 'EDNS'</t>
  </si>
  <si>
    <t>Pseudo elements don't appear to work in Salesforce lightning CSS</t>
  </si>
  <si>
    <t>Mendix Error Handling for Custom Error</t>
  </si>
  <si>
    <t>Subtotal and total in Apex Wrapper class with object fields</t>
  </si>
  <si>
    <t>QuickBase foreach insert</t>
  </si>
  <si>
    <t>Query image from SalesForce as blob</t>
  </si>
  <si>
    <t>Create Dynamic UI (Input Form) from API Response in a Mobile App Developed Using OutSystems Platform</t>
  </si>
  <si>
    <t>How to make an element fixed on the viewport?</t>
  </si>
  <si>
    <t>Change color of checkbox button</t>
  </si>
  <si>
    <t>A function to find or return a Google Calendar event Organizer?</t>
  </si>
  <si>
    <t>How to change window title from within Google App Maker?</t>
  </si>
  <si>
    <t>How to use smtp server in phplist</t>
  </si>
  <si>
    <t>Eval() function for Microsoft PowerApps</t>
  </si>
  <si>
    <t>ZOHO CRM Not getting refresh token in response</t>
  </si>
  <si>
    <t>403 forbidden is returned while executing php curl</t>
  </si>
  <si>
    <t>access datasource record's data in client side script</t>
  </si>
  <si>
    <t>editing autofollow with salesforce chatter</t>
  </si>
  <si>
    <t>POST method for zoho books using Json for Swift 3</t>
  </si>
  <si>
    <t>Exporting data to google sheet</t>
  </si>
  <si>
    <t>QuickBase: download QuickBase files on external site</t>
  </si>
  <si>
    <t>CANNOT CREATE NEW RECORD USING LWC - SALESFORCE</t>
  </si>
  <si>
    <t>Calling App Maker server scripts from outside of App Maker UI</t>
  </si>
  <si>
    <t>Salesforce Email Alert to Fire when Date = Today()</t>
  </si>
  <si>
    <t>return data from table storage to PowerApps</t>
  </si>
  <si>
    <t>Google App Maker: how to hide spinner programatically?</t>
  </si>
  <si>
    <t>How to create task based on Case Owner in process builder?</t>
  </si>
  <si>
    <t>Unable to save new record to the sharepoint list</t>
  </si>
  <si>
    <t>Audit of what records a given user can see in SalesForce.com</t>
  </si>
  <si>
    <t>Lightning 2.6.4 is unavailable in Thunderbird 24.3</t>
  </si>
  <si>
    <t>How to re-sync c-lightning with mainnet blockchain?</t>
  </si>
  <si>
    <t>How do i do the following task with quickbase?</t>
  </si>
  <si>
    <t>How can i merge two different queries using "Salesforce Object Query Language (SOQL)"?</t>
  </si>
  <si>
    <t>appmaker datasource not updating quick enough</t>
  </si>
  <si>
    <t>Format Number in AppMaker Number Field</t>
  </si>
  <si>
    <t>Insert Data from MySQL to Zoho Reports with the Upload Tool</t>
  </si>
  <si>
    <t>Knowledge Article Self relationship</t>
  </si>
  <si>
    <t>Does getBlob() OR getDataAsString() have a maximum file size in Google App Script?</t>
  </si>
  <si>
    <t>String search with all fields of array of objects</t>
  </si>
  <si>
    <t>Salesforce API - Using Compound fields. (Cannot deserialize instance of MailingAddress from VALUE_STRING)</t>
  </si>
  <si>
    <t>Salesforce LWC / Google Maps</t>
  </si>
  <si>
    <t>Cannot create new item in manual save mode database</t>
  </si>
  <si>
    <t>In Google App Maker, how do you display the most recent date/time on a page each time a file is uploaded with the Drive Picker button?</t>
  </si>
  <si>
    <t>Convert Postman call into normal API call</t>
  </si>
  <si>
    <t>SalesForce Create Lead Rest Api</t>
  </si>
  <si>
    <t>Table alignment in Google AppMaker</t>
  </si>
  <si>
    <t>Google App maker drive picker attachments</t>
  </si>
  <si>
    <t>MS Powerapps: Forall in combination with Office365.SendEmail</t>
  </si>
  <si>
    <t>Error: Message failed: 553 Relaying disallowed as @ . - NodeMail Zoho</t>
  </si>
  <si>
    <t>Is it possible to connect my powerapp to On prem oracle DB</t>
  </si>
  <si>
    <t>How do I add two spf records?</t>
  </si>
  <si>
    <t>Trying to trigger Enter programmatically in Mendix with a JavaScript Snippet Widget</t>
  </si>
  <si>
    <t>How to re-execute the query script of an App Maker Datasource</t>
  </si>
  <si>
    <t>Q: Zoho CRM: Create relationship (lookup) with Lead/Contact email not ID</t>
  </si>
  <si>
    <t>How to print a form in appmaker?</t>
  </si>
  <si>
    <t>App Maker delete items on table and update</t>
  </si>
  <si>
    <t>Draggable, on Google AppMaker</t>
  </si>
  <si>
    <t>How do I convert Image Path in excel to an image in PowerApps?</t>
  </si>
  <si>
    <t>Can a PowerApps connection to an SQL Server database in a model-driven application be bidirectional?</t>
  </si>
  <si>
    <t>415 error when trying to "send a document for signature - from template" using Zoho Creator and DocuSign API</t>
  </si>
  <si>
    <t>App script/maker and Big Query</t>
  </si>
  <si>
    <t>Salesforce: Dynamically grabbing record id's in a Lightning Component</t>
  </si>
  <si>
    <t>Salesforce Lead Allocation based on Region</t>
  </si>
  <si>
    <t>Google App Maker onClick event running asynchronously</t>
  </si>
  <si>
    <t>How to pass event into a debounce function?</t>
  </si>
  <si>
    <t>How to populate user avatar image in App Maker project?</t>
  </si>
  <si>
    <t>Presenting relational data as columns in table</t>
  </si>
  <si>
    <t>Is continuously previewing Google App Maker apps the only way to update/debug them?</t>
  </si>
  <si>
    <t>Save column value based on the item in combobox</t>
  </si>
  <si>
    <t>PowerApps :- Failed to load resource</t>
  </si>
  <si>
    <t>Salesforce - Unable to create/update fields: IsVisibleInCsp</t>
  </si>
  <si>
    <t>How can I restrict access to an App Maker application?</t>
  </si>
  <si>
    <t>Remove items from 'LeftMenuCollect' collection in Leave Request template?</t>
  </si>
  <si>
    <t>How to find data structure of an app in PowerApps</t>
  </si>
  <si>
    <t>Lightning Web Component Not Working in Contact Detail Page</t>
  </si>
  <si>
    <t>Quickbase delete_record</t>
  </si>
  <si>
    <t>Had trouble linking widget to a queried datasource</t>
  </si>
  <si>
    <t>How to get roles assigned for an user in Office 365 environment from Powerapps</t>
  </si>
  <si>
    <t>Python 2 Zoho Post Error?</t>
  </si>
  <si>
    <t>Drag and drop of an image in a web page using Jquery</t>
  </si>
  <si>
    <t>Move element from list to another list in sharepoint with powerapps</t>
  </si>
  <si>
    <t>suggest box appmaker drive tables</t>
  </si>
  <si>
    <t>Getting User Activity Reports for a given list of users in G Suite</t>
  </si>
  <si>
    <t>How to create Salesforce incremental package.xml automatically?</t>
  </si>
  <si>
    <t>Google App Maker - How to bind to a relation on a query datasource?</t>
  </si>
  <si>
    <t>Completely lost when it comes to using the DrivePicker widget</t>
  </si>
  <si>
    <t>How to move a record from one model to another in Google App Maker</t>
  </si>
  <si>
    <t>Get ID of lightning:button that was used in the onsuccess attribute on a Lightning:recordEditForm</t>
  </si>
  <si>
    <t>Get Contact Emails of Currently Active Account as List</t>
  </si>
  <si>
    <t>PowerApps - Listbox - Update selected values into SP list</t>
  </si>
  <si>
    <t>Is appmaker accessible to people from outside the organisation?</t>
  </si>
  <si>
    <t>vinyl-ftp does not upload the exists folder</t>
  </si>
  <si>
    <t>How to email record as pdf to user with Google App Maker</t>
  </si>
  <si>
    <t>Why is select button in App Maker Drive Picker not enabled?</t>
  </si>
  <si>
    <t>Zoho ActionMailer Rails 5.0.1</t>
  </si>
  <si>
    <t>How to Allow User Access to Published App Maker App?</t>
  </si>
  <si>
    <t>Trying to use a composite unique index instead of a composite unique identifier</t>
  </si>
  <si>
    <t>How to check whether the file belongs to My Drive or Team Drive</t>
  </si>
  <si>
    <t>Looking for education materials about App Maker</t>
  </si>
  <si>
    <t>Efficiently get total count of all Google documents in a user's Google Drive</t>
  </si>
  <si>
    <t>Read csv files and work with data</t>
  </si>
  <si>
    <t>Copy App Files and Install in a new domain using Google App Maker</t>
  </si>
  <si>
    <t>Fetch data from ZOHO CREATOR API with python using requests library</t>
  </si>
  <si>
    <t>I made some customization in Zoho CRM module and now I want to reuse these customization in another Zoho CRM</t>
  </si>
  <si>
    <t>How to I revert to manual save mode</t>
  </si>
  <si>
    <t>How can we publish the web app with custom domain?</t>
  </si>
  <si>
    <t>Use R code in outsystems application</t>
  </si>
  <si>
    <t>PowerApps failure starting on April 7th after Upgrade of App on IOS/Android</t>
  </si>
  <si>
    <t>PowerApps global variable not updating when record changed</t>
  </si>
  <si>
    <t>APPMAKER - Many to many relation is not working</t>
  </si>
  <si>
    <t>Empty table generated with Handsontable in Salesforce Lightning Web component</t>
  </si>
  <si>
    <t>Issue with lightning carousel</t>
  </si>
  <si>
    <t>App Maker - Drive Picker widget - Empty, white dialog if embedded in Google Site</t>
  </si>
  <si>
    <t>Displaying server side validation errors</t>
  </si>
  <si>
    <t>xsd schema application to xml document?</t>
  </si>
  <si>
    <t>SalesForce SOQL join Leads to Contact</t>
  </si>
  <si>
    <t>How to write in a database a text with " in OutSystems</t>
  </si>
  <si>
    <t>Google App Maker Table cannot select row</t>
  </si>
  <si>
    <t>why different filter results in Gallery? Getting unexpected returned information</t>
  </si>
  <si>
    <t>OneDrive App on iOS - Launch to a specific folder, from PowerApps</t>
  </si>
  <si>
    <t>URL that should be opened using $A.get("e.force:navigateToURL") is being blocked by browser</t>
  </si>
  <si>
    <t>How outsystems manage to develop a iOS mobile application in its P10 version without Mac and Xcode</t>
  </si>
  <si>
    <t>How do i connect ZOHO CRM with Zapier using php code?</t>
  </si>
  <si>
    <t>Field enabled based on role</t>
  </si>
  <si>
    <t>How to do salesforce authentication (pages) from ASP.Net MVC application login page using OAuth?</t>
  </si>
  <si>
    <t>Load Data from API Need to Use a Parameter Which is from a Calculated Model</t>
  </si>
  <si>
    <t>Is there a way to do a "Contains" Query in Salesforce/SOQL that picks up that word in a sentence, but not if it's part of a word?</t>
  </si>
  <si>
    <t>Onselect formula</t>
  </si>
  <si>
    <t>I to assign a default account to a custom object using Visualforce page</t>
  </si>
  <si>
    <t>PowerApps: Filter by multiple condition and distinct by one further condition</t>
  </si>
  <si>
    <t>How to determine that user reached the end of a list in PowerApps Gallery control?</t>
  </si>
  <si>
    <t>Last Activity &gt; 7 Days Ago Report</t>
  </si>
  <si>
    <t>Implement AES/RES encryption decryption in OutSystems app</t>
  </si>
  <si>
    <t>Refresh Datatable in for:each loop: Lightning Web Components</t>
  </si>
  <si>
    <t>Open Activities - New Event - Zoho CRM API</t>
  </si>
  <si>
    <t>IsBlank function not delegable?</t>
  </si>
  <si>
    <t>How to browse to the next page in a datasource that is loaded into table in Google AppMaker</t>
  </si>
  <si>
    <t>Make field visible depended on other field - Powerapps</t>
  </si>
  <si>
    <t>How to avoid Limit Exceeded: Drive?</t>
  </si>
  <si>
    <t>Grant Google App Maker Full Google Drive API Scope / Server Rejected Error</t>
  </si>
  <si>
    <t>How to read Map&lt;String,List&lt;String&gt;&gt; and get key and values in LWC JavaScript?</t>
  </si>
  <si>
    <t>Asynchronous functions in Google AppMaker</t>
  </si>
  <si>
    <t>ZOHO CRM - Does it support JSON Posts?</t>
  </si>
  <si>
    <t>Using existing Cloud SQL Table loads slow; Creating Table through AppMaker in Cloud SQL loads fast</t>
  </si>
  <si>
    <t>AppMaker strips CSS variables</t>
  </si>
  <si>
    <t>How to post a new thread and new comments to a current thread in iOS to Salesforce's Chatter feed</t>
  </si>
  <si>
    <t>Suggest Box with Calculated tables</t>
  </si>
  <si>
    <t>I need help converting an Apex Page to Lightning Component</t>
  </si>
  <si>
    <t>How can I see a Dynamics365 table?</t>
  </si>
  <si>
    <t>Access Admin SDK with Google App Maker</t>
  </si>
  <si>
    <t>Using Substitution on Text Field - Appian Expression Editor</t>
  </si>
  <si>
    <t>Images as buttons google app maker</t>
  </si>
  <si>
    <t>Creating an app open to the internet (no login needed)</t>
  </si>
  <si>
    <t>Associate data with widgets (not the other way around) - SQL data</t>
  </si>
  <si>
    <t>how to add QuickBase a CodeIgniter</t>
  </si>
  <si>
    <t>Appmaker data in column and row</t>
  </si>
  <si>
    <t>Google App Maker - Creating a contract. Methods to use?</t>
  </si>
  <si>
    <t>Adding multiple owners for Google App Maker records</t>
  </si>
  <si>
    <t>Dynamically adding or deleting widgets in google-app-maker</t>
  </si>
  <si>
    <t>How to get date range between two date in Google AppMaker?</t>
  </si>
  <si>
    <t>Google AppMaker Registration form with Photo Upload</t>
  </si>
  <si>
    <t>How can I filter distinct values on a dropdown menu coming from an excel sheet on PowerApps?</t>
  </si>
  <si>
    <t>Why does Selenium ExecuteScript method doesn't work anymore in Salesforce application but ExecuteAsyncScript works</t>
  </si>
  <si>
    <t>Connect AppMaker to Google SQL in Secure</t>
  </si>
  <si>
    <t>How to remove html tags in zoho creator</t>
  </si>
  <si>
    <t>Does MailApp.sendEmail only work for Gmail accounts?</t>
  </si>
  <si>
    <t>Limit 60 requests by minute in for loop with node JS</t>
  </si>
  <si>
    <t>OutSystems e-mail fails after 100s</t>
  </si>
  <si>
    <t>Salesforce Case Comment update Creator Name</t>
  </si>
  <si>
    <t>Create record in salesforce lightning API curl/php</t>
  </si>
  <si>
    <t>App Maker- Issues while trying to retrieve a list of all users in my department</t>
  </si>
  <si>
    <t>Get input data of Suggest Box in App Maker</t>
  </si>
  <si>
    <t>zoho books custom function with deluge</t>
  </si>
  <si>
    <t>Where to store XML or PHP file when linking Zoho CRM to Kashflow</t>
  </si>
  <si>
    <t>Data within a published app maker deployment cant be seen by anyone and doesnt update</t>
  </si>
  <si>
    <t>Export Data Table from Powerapps to Excel</t>
  </si>
  <si>
    <t>Populate Combo Box in Outsystems</t>
  </si>
  <si>
    <t>Redirect to Zoho matched Customer Record with Deluge function</t>
  </si>
  <si>
    <t>How to get Zoho Books Contact by zcrm_vendor_id</t>
  </si>
  <si>
    <t>How to show icon buttons only on selection</t>
  </si>
  <si>
    <t>How to send 'JSON' in post request using deluge?</t>
  </si>
  <si>
    <t>Query datasource referencing other datasources</t>
  </si>
  <si>
    <t>SalesForce - AWS SNS integration reference</t>
  </si>
  <si>
    <t>LAG and LEAD alternative in SQL syntax</t>
  </si>
  <si>
    <t>How to send a PDF via email with the contents displayed in table like format?</t>
  </si>
  <si>
    <t>appmaker : I get error com.google.web.bindery.event.shared.UmbrellaException: Exception caught: Path segment does not exist</t>
  </si>
  <si>
    <t>Appmaker fill a textbox with a default value in a create form</t>
  </si>
  <si>
    <t>After publishing an app, how do you find the public URL to give to your end users?</t>
  </si>
  <si>
    <t>Can you use the relation when creating a new QueryBuilder expression for a datasource?</t>
  </si>
  <si>
    <t>Filter items of relation on query</t>
  </si>
  <si>
    <t>How to get Location (Country) for Office 365 account in PowerApp?</t>
  </si>
  <si>
    <t>Correct Usage Of Groups For Permissions</t>
  </si>
  <si>
    <t>Integration of Zoho CRM and Moodle</t>
  </si>
  <si>
    <t>How to chain server calls synchronously in lightning web components</t>
  </si>
  <si>
    <t>How can we use web workers of JS in salesforce lightning UI?</t>
  </si>
  <si>
    <t>Menu error - descendants</t>
  </si>
  <si>
    <t>Sending email when using Site Rules</t>
  </si>
  <si>
    <t>Create purchase order in zoho books via API in Ruby on Rails</t>
  </si>
  <si>
    <t>Salesforce: Use one of these records? on API response</t>
  </si>
  <si>
    <t>Backup App Maker Data Nightly</t>
  </si>
  <si>
    <t>Update row in excel when list control has filtered and distinct data</t>
  </si>
  <si>
    <t>how to add relations for imported data besides server-side scripting in Google App Maker?</t>
  </si>
  <si>
    <t>Refresh UI component on DB update</t>
  </si>
  <si>
    <t>Google App Maker - autofill textbox depending on dropdown selected option from an external database</t>
  </si>
  <si>
    <t>FullCalender functionality not working after activating locker service</t>
  </si>
  <si>
    <t>Connect powerapps to 3rd party RESRT</t>
  </si>
  <si>
    <t>Tool tip text in Google App Maker</t>
  </si>
  <si>
    <t>Environment discovery failed. No matching environments matched the given Id - PowerApps</t>
  </si>
  <si>
    <t>How to properly bind objects, like gallery to SharePoint lookup columns?</t>
  </si>
  <si>
    <t>Need to get value from a textbox in salesforce Lightning using jquery</t>
  </si>
  <si>
    <t>Get custom fields from the directoy</t>
  </si>
  <si>
    <t>Google app maker Loading image</t>
  </si>
  <si>
    <t>How to convert a multi-layer JSON String to CSV in Apex</t>
  </si>
  <si>
    <t>Drive Table internal error. The developer of this script needs to provide additional authorizations before it can run</t>
  </si>
  <si>
    <t>lightning component CSP is preventing me from use inline base64 data for audio tags</t>
  </si>
  <si>
    <t>Salesforce DX: Single Project with multiple package directories vs. Multiple projects</t>
  </si>
  <si>
    <t>How to change the color of the arrow in the dropdown box</t>
  </si>
  <si>
    <t>Twitter new DM API, legacy method of authorization not working</t>
  </si>
  <si>
    <t>Zoho desk invalid oauth</t>
  </si>
  <si>
    <t>Trouble moving from Drive to Cloud SQL in Google AppMaker</t>
  </si>
  <si>
    <t>How can I fix a "Sorry, you don't have access to this application" error when accessing app from link in email?</t>
  </si>
  <si>
    <t>Error With "null" Field In Email Notification Script</t>
  </si>
  <si>
    <t>Is it possible to send info from react form to zoho crm?</t>
  </si>
  <si>
    <t>Can't get the Object Array into Controller Function called from the Aura Component &lt;ui:InputNumber&gt;</t>
  </si>
  <si>
    <t>Material-ui for PowerApps?</t>
  </si>
  <si>
    <t>Relaying dissalowed Spring boot with Zoho</t>
  </si>
  <si>
    <t>Pre-select dropdown in a popup</t>
  </si>
  <si>
    <t>Compare gallery item to string</t>
  </si>
  <si>
    <t>(appmaker) Correctly setting up a multiselect</t>
  </si>
  <si>
    <t>Initiate Appmaker Document Approval from Google Drive</t>
  </si>
  <si>
    <t>Chatbot connection in PowerApps</t>
  </si>
  <si>
    <t>error in adding an updated timestamp with a button</t>
  </si>
  <si>
    <t>Change a widget's datasource from client side code</t>
  </si>
  <si>
    <t>How to get record's primary key value on saving in manual mode?</t>
  </si>
  <si>
    <t>Can't preview the AppMaker</t>
  </si>
  <si>
    <t>How to Hide Server Scripts in Google App Maker</t>
  </si>
  <si>
    <t>Omni-Channel Log in and log out issue</t>
  </si>
  <si>
    <t>Zoho API-V2 Add Attactmetn URL</t>
  </si>
  <si>
    <t>Update records Zoho api v2 symbols</t>
  </si>
  <si>
    <t>Aura root component not handling the application event started from its child (Lightning Component)</t>
  </si>
  <si>
    <t>Cannot Open Google App Maker samples</t>
  </si>
  <si>
    <t>When using DrivePicker get the webcontent link</t>
  </si>
  <si>
    <t>How can i get all the approval process names for a specific object in salesforce</t>
  </si>
  <si>
    <t>How to query relation not set</t>
  </si>
  <si>
    <t>I am getting a list view of images instead displaying in grid format</t>
  </si>
  <si>
    <t>Relational Query - 2 degrees away</t>
  </si>
  <si>
    <t>Load Data from API into App Maker</t>
  </si>
  <si>
    <t>Haskell: refer to type of value at compile time</t>
  </si>
  <si>
    <t>Push GCLID to ZOHO crm</t>
  </si>
  <si>
    <t>powerapp adding changing hyperlinks</t>
  </si>
  <si>
    <t>Send notification to Hangout from Google AppMaker</t>
  </si>
  <si>
    <t>Cannot embed App Maker app in iframe on external website</t>
  </si>
  <si>
    <t>How to efficiently send Batch Requests through JDBC into MySQL database in Google App Script?</t>
  </si>
  <si>
    <t>PowerApps Data Source Changed to Stored Procedure</t>
  </si>
  <si>
    <t>Dynamic Div Height jQuery.Load() not working</t>
  </si>
  <si>
    <t>Connection error while reading zoho email using mail-listerner2</t>
  </si>
  <si>
    <t>Iframe issue: Salesforce not fetching parent in SOQL nested query</t>
  </si>
  <si>
    <t>How to set the CSS from Javascript of a dynamic data</t>
  </si>
  <si>
    <t>Is there a way to update a record after it's been created?</t>
  </si>
  <si>
    <t>Integrate Gmail api with Google app maker</t>
  </si>
  <si>
    <t>How To Download a generated CSV file from App Maker?</t>
  </si>
  <si>
    <t>How to implement Full-Text Search in Google App Maker?</t>
  </si>
  <si>
    <t>Correcting a webhook: Zoho People to Freshbooks</t>
  </si>
  <si>
    <t>PowerApps - Display Image received by custom connector via ASP.NET API</t>
  </si>
  <si>
    <t>Redirecting To External URL</t>
  </si>
  <si>
    <t>Loading troubles in powerapps</t>
  </si>
  <si>
    <t>Uncaught (in promise) TypeError: c.createElement is not a function</t>
  </si>
  <si>
    <t>Get a list of PowerApps using Graph or some other API</t>
  </si>
  <si>
    <t>Suggest Box not working for SQL</t>
  </si>
  <si>
    <t>Creating a separate web portal which manages custom entities inside dynamics365</t>
  </si>
  <si>
    <t>Updating relations using script overwrites relations for all but newest record</t>
  </si>
  <si>
    <t>how does aurajs sandbox.on() and sandbox.emit() works?</t>
  </si>
  <si>
    <t>How to assaign leads to users in Multiple queues through round robin with trigger in salesforce</t>
  </si>
  <si>
    <t>Web Blocks in Outsystems</t>
  </si>
  <si>
    <t>how to import states of my country in states/province picklist in salesforce</t>
  </si>
  <si>
    <t>How to Integrate OutSystems to MuleSoft?</t>
  </si>
  <si>
    <t>How can I generate the status values(count) in Dashboard</t>
  </si>
  <si>
    <t>Methods to interface Google App maker and Google Docs template and make a PDF</t>
  </si>
  <si>
    <t>Zoho CRM API simpleXMLelement get multiple product IDs</t>
  </si>
  <si>
    <t>How to save uploaded file in Rails 2</t>
  </si>
  <si>
    <t>How do i create a timer in Outsystem?</t>
  </si>
  <si>
    <t>Script Delayed - Waiting For Quota</t>
  </si>
  <si>
    <t>Could not create foreign key constraint. There are 'NIF' values of entity x (new table) with no corresponding value in entity y</t>
  </si>
  <si>
    <t>Pulling date data with onclick var</t>
  </si>
  <si>
    <t>enabling full screen mode in youtube video</t>
  </si>
  <si>
    <t>Emails not sending from smtp.zoho.com in c#</t>
  </si>
  <si>
    <t>SQL Query: Identifying Loan Non Starters and Finding Ten Payments made</t>
  </si>
  <si>
    <t>Drive Picker file upload issue</t>
  </si>
  <si>
    <t>Is there a way for my aplication to detect beacons in Powerapps?</t>
  </si>
  <si>
    <t>Spaces under Flexible Height Gallery Rows</t>
  </si>
  <si>
    <t>Excel Mobile Data Entry Form</t>
  </si>
  <si>
    <t>Cannot use Javamail with Zoho</t>
  </si>
  <si>
    <t>App Maker query multiple values and assign to another value</t>
  </si>
  <si>
    <t>Cannot determine source of Excel OneDrive data source in Powerapps</t>
  </si>
  <si>
    <t>Google App Maker not recognizing an email as a group email for app restriction</t>
  </si>
  <si>
    <t>GetEntryURL in the Destination of a link</t>
  </si>
  <si>
    <t>Google App Maker : How to update multiple row of a field ?</t>
  </si>
  <si>
    <t>How to hide or prevent from generating left navigation feature from an Appian Tempo form at runtime</t>
  </si>
  <si>
    <t>Want To Copy Certain Fields From Previous Entry To New Fragment</t>
  </si>
  <si>
    <t>Move file from Drive to TeamDrive folder appscript</t>
  </si>
  <si>
    <t>CSS style not applying on dynamically injected html elements in LWC</t>
  </si>
  <si>
    <t>How to implement My Azure function for using it in PowerApps</t>
  </si>
  <si>
    <t>Vinyl: compose record type aliases</t>
  </si>
  <si>
    <t>Unable to test setter/getter method inside of LWC using jest testing framework</t>
  </si>
  <si>
    <t>Need assistance in my script in quickbase for Jquery</t>
  </si>
  <si>
    <t>Google App Maker: Can't associate draft record with record in draft datasource</t>
  </si>
  <si>
    <t>Integration Between dot Net Application With Zoho Desk?</t>
  </si>
  <si>
    <t>Google AppMaker: data import not working from sheet</t>
  </si>
  <si>
    <t>CK Editor - data loss</t>
  </si>
  <si>
    <t>Lightning with Lighting Spritekit</t>
  </si>
  <si>
    <t>How to upload files logged in as a user to the app creator's drive?</t>
  </si>
  <si>
    <t>Embedding Zoho ASAP into website using Javascript</t>
  </si>
  <si>
    <t>Query date range?</t>
  </si>
  <si>
    <t>Custom Activity Data Binding with Salesforce Objects</t>
  </si>
  <si>
    <t>Getting duplicate rows when querying Cloud SQL in AppMaker</t>
  </si>
  <si>
    <t>Issue understanding the Inner Join Or Left join</t>
  </si>
  <si>
    <t>Powerapps : datasource result in text field</t>
  </si>
  <si>
    <t>Adaptive User Management</t>
  </si>
  <si>
    <t>Synchronisation of Owncloud 8.1 with Lightning</t>
  </si>
  <si>
    <t>List box - On Change formula</t>
  </si>
  <si>
    <t>System.TypeException: You are already logged in</t>
  </si>
  <si>
    <t>Mozilla Thunderbird Lightning sending invite to "unknown@somewhere.com</t>
  </si>
  <si>
    <t>How to pull data from Salesforce using Java SDK in Eclipse IDE?</t>
  </si>
  <si>
    <t>Why is Google AppMaker is not allowing me to add database connections?</t>
  </si>
  <si>
    <t>Custom API in PowerApps showing error</t>
  </si>
  <si>
    <t>App Maker Exporting a useful output from Doc Approval Template</t>
  </si>
  <si>
    <t>Create pivot table from Google App Maker datasource</t>
  </si>
  <si>
    <t>Outsystems platform: getting FullContact details for a person</t>
  </si>
  <si>
    <t>G Suite API create groups</t>
  </si>
  <si>
    <t>After deploying a fully functional Aura Component Bundle to some other environment, it always throws error 'Cannot read property __ of undefined'</t>
  </si>
  <si>
    <t>PowerApps - Excel connecivity issue</t>
  </si>
  <si>
    <t>Company-wide chatter access through REST api</t>
  </si>
  <si>
    <t>Google AppMaker: Fetch a MAX value</t>
  </si>
  <si>
    <t>File upload to zoho contacts in C#.Net</t>
  </si>
  <si>
    <t>Is possible to integrate Bootstrap in App Maker?</t>
  </si>
  <si>
    <t>Dropdown property in AppMaker not working</t>
  </si>
  <si>
    <t>Push information in the zoho subscriptions from zoho crm</t>
  </si>
  <si>
    <t>Change App Maker table based on date</t>
  </si>
  <si>
    <t>How to make an Excel macro run when the file is updated?</t>
  </si>
  <si>
    <t>QuickBase: Load javascript file every time it searches in tables</t>
  </si>
  <si>
    <t>Zoho Mail API authtoken issue</t>
  </si>
  <si>
    <t>PowerApps- how to create a form where users can edit or delete rows that have been submitted</t>
  </si>
  <si>
    <t>bryntum component integration</t>
  </si>
  <si>
    <t>app maker libraries/ ArrayLib</t>
  </si>
  <si>
    <t>Client Reload Record after Server Side Change</t>
  </si>
  <si>
    <t>How to fetch Data from VF Page to create a Report Type in Salesforce</t>
  </si>
  <si>
    <t>Launch to specific screen of OutSystem mobile app from native iOS and Android app</t>
  </si>
  <si>
    <t>Zoho Integration - How to Push data To Zoho CRM in XML Format Using PHP</t>
  </si>
  <si>
    <t>Google App Maker - Add a button for timestamp collection in the onclick method</t>
  </si>
  <si>
    <t>Light Rendering Results in Low FPS</t>
  </si>
  <si>
    <t>ZOHO Report API - Bulk import using CSV</t>
  </si>
  <si>
    <t>issue with O365.Calendar.GetTables() method</t>
  </si>
  <si>
    <t>Salesforce Lightning Web Component - The 'Static Resource' property doesn't exist on the component.LightningComponentBundle</t>
  </si>
  <si>
    <t>Applying Script Library for Timeline</t>
  </si>
  <si>
    <t>PowerApps Connector with Azure APIM in ASE</t>
  </si>
  <si>
    <t>Network.getNetworkId() returning Null in test class</t>
  </si>
  <si>
    <t>Combine Search() and Filter() to Gallery Items in PowerApps</t>
  </si>
  <si>
    <t>Error when running query against a calculated SQL model from server script in AppMaker</t>
  </si>
  <si>
    <t>Google App maker multiple transformers</t>
  </si>
  <si>
    <t>Play .mp3 or .gif file in Google AppMaker</t>
  </si>
  <si>
    <t>error MSB4057: The target "GetProjectOutputPa th" does not exist in the project</t>
  </si>
  <si>
    <t>Is it possible to duplicate triggers in Google App Maker?</t>
  </si>
  <si>
    <t>Unable to generate access token from grant token in zoho</t>
  </si>
  <si>
    <t>Salesforce : Mass Delete EmailMessage</t>
  </si>
  <si>
    <t>Sorting a Calculated datasource in AppMaker</t>
  </si>
  <si>
    <t>Power apps pen input image save to CRM notes</t>
  </si>
  <si>
    <t>Google App Maker Table object only displays Date not DateTime</t>
  </si>
  <si>
    <t>Display contact list images in Outsystems Mobile</t>
  </si>
  <si>
    <t>JMeter does not record nor execute javascript code, the "buttons" will not be rendered in JMeter</t>
  </si>
  <si>
    <t>Visualize Data Requested from a REST-API in POWERAPPS in my POWER BI dashboard</t>
  </si>
  <si>
    <t>How to Increase the capacity of a textbox in google app maker?</t>
  </si>
  <si>
    <t>Setting field value in AppMaker in validation script</t>
  </si>
  <si>
    <t>Flow does not show the toast message and is redirected to other screen</t>
  </si>
  <si>
    <t>Query script not run in suggest box</t>
  </si>
  <si>
    <t>PowerApps form doesn't save external data to SharePoint list</t>
  </si>
  <si>
    <t>Calling Dynamics CRM Rest API from PCF component, Embedding in Model-Driven App</t>
  </si>
  <si>
    <t>Using JSignature to return strokes</t>
  </si>
  <si>
    <t>Salesforce Classic Reports : I need to be able to create a field which subtracts value of one cell from the previous cell and display the difference</t>
  </si>
  <si>
    <t>How to allow Google App Maker app access with no sign-in required</t>
  </si>
  <si>
    <t>Change data type on AppMaker</t>
  </si>
  <si>
    <t>I am trying to create my first power apps application with 2 sql server connected tables</t>
  </si>
  <si>
    <t>What is the best way to hide "Completed or Cancelled Items" in a table?</t>
  </si>
  <si>
    <t>global action type of lightning component is not visible under link type [tile menu] in lightning community</t>
  </si>
  <si>
    <t>Create a Login screen via SalesForce</t>
  </si>
  <si>
    <t>Cannot scroll on Strike MultiSelect element using Lightening component Salesforce</t>
  </si>
  <si>
    <t>PowerApp not mapping values into Azure DevOps integration correctly</t>
  </si>
  <si>
    <t>Appian "Only Show when" Expression: when date value is not null</t>
  </si>
  <si>
    <t>How to save textbox value in the database</t>
  </si>
  <si>
    <t>Salesforce authentication failing even after extending same password by changing the setting on Salesforce</t>
  </si>
  <si>
    <t>Apply a sort to a dataset in a PowerApps component (PCF)</t>
  </si>
  <si>
    <t>Getting error when null value received in PowerApps calling the User Profile service</t>
  </si>
  <si>
    <t>Return a value from Calculated Model Table in Google App Maker</t>
  </si>
  <si>
    <t>Edit Custom Object via REST API in Salesforce</t>
  </si>
  <si>
    <t>How can I do an update import in Quick Base from a csv without importing null values?</t>
  </si>
  <si>
    <t>Appmaker - How to open a particular record in a form using URL?</t>
  </si>
  <si>
    <t>24H Dateformat Not working</t>
  </si>
  <si>
    <t>external jquery library not loading into lightning salesforce project</t>
  </si>
  <si>
    <t>How do we bulkify a trigger to create multiple @mention chatter feeditems?</t>
  </si>
  <si>
    <t>How to get refresh token and token from zohocrm api v2?</t>
  </si>
  <si>
    <t>SOQL Query not bringing back parent with no comments</t>
  </si>
  <si>
    <t>Joining two large tables using a calculated model in AppMaker</t>
  </si>
  <si>
    <t>How to create a (CSS) style variant for a dropdown widget, to target its list rows with it?</t>
  </si>
  <si>
    <t>In Zoho Creator unable to pass the decision from Zoho Workflow (deluge script) to Zoho Form</t>
  </si>
  <si>
    <t>How to move a button to center in salesforce lightning component</t>
  </si>
  <si>
    <t>I show the grades to each of my students using Google sheets and publishing them with the scripts editor. Can I do the same with Google app maker?</t>
  </si>
  <si>
    <t>Appmaker EAP from TT whitelisting</t>
  </si>
  <si>
    <t>SLDS Ligntning Design Tokens</t>
  </si>
  <si>
    <t>Connect to QuickBase REST API with Pentaho data integration</t>
  </si>
  <si>
    <t>Google app maker: How to secure sensitive data in server scripts?</t>
  </si>
  <si>
    <t>App Maker RadioGroup styling not working</t>
  </si>
  <si>
    <t>How to extra data from the app or file using google appmaker</t>
  </si>
  <si>
    <t>403 Forbidden for SharePoint version APIs BUT they work at design time AND all other REST calls work</t>
  </si>
  <si>
    <t>Google app maker testing approach</t>
  </si>
  <si>
    <t>Salesforce create view with record type selection using url hacking</t>
  </si>
  <si>
    <t>How to get last transaction of every account using aggregates Or Queries in Outsystems?</t>
  </si>
  <si>
    <t>Docusign - X-HTTP-Method-Override from POST to PUT - in view of updating envelope status to void</t>
  </si>
  <si>
    <t>I have a problem with Zoho Integration (JS SDK)</t>
  </si>
  <si>
    <t>Launch PowerApps from shortcut or command line</t>
  </si>
  <si>
    <t>Loading datastore based on boolean flag</t>
  </si>
  <si>
    <t>Shadow on hover of Grid Cell in google Appmaker similar to Hangout call Profile Pic hover</t>
  </si>
  <si>
    <t>Add IBAN check to widget validation</t>
  </si>
  <si>
    <t>How can i resolve this MarkerCluster checkin/ checkout error (leaflet salesforce)?</t>
  </si>
  <si>
    <t>LWC not update view when change @track value</t>
  </si>
  <si>
    <t>How to test contentdocumentlink trigger for Salesforce Prod deployment</t>
  </si>
  <si>
    <t>How to export a table as google sheet in Google app maker using a button</t>
  </si>
  <si>
    <t>Appmaker Preview works, but deployed webapp hangs</t>
  </si>
  <si>
    <t>Powerapps import unsuccesfull</t>
  </si>
  <si>
    <t>Can't access to Google AppMaker template</t>
  </si>
  <si>
    <t>LWC rules for folders</t>
  </si>
  <si>
    <t>Google AppMaker: Failed to load models for google cloud SQL</t>
  </si>
  <si>
    <t>Event Handling and Thread Safety in PowerApps</t>
  </si>
  <si>
    <t>How to load all Managed Metadata values from a Term Set</t>
  </si>
  <si>
    <t>Appmaker - How to enforce validation for suggest box when value is not selected from the options?</t>
  </si>
  <si>
    <t>HERE map is blank in outsystems</t>
  </si>
  <si>
    <t>How to fetch certain column data from datasource?</t>
  </si>
  <si>
    <t>How can I open a c:// folder of file or documents in powerapps</t>
  </si>
  <si>
    <t>Zoho Auth-token response in json</t>
  </si>
  <si>
    <t>sales force inner join Query is not Working?</t>
  </si>
  <si>
    <t>Use App Maker User Picker Return a List of Email Address</t>
  </si>
  <si>
    <t>Cannot find the response URL to properly register my PowerApps App on Azure AD</t>
  </si>
  <si>
    <t>How to add a wallpaper/image in the background page in google appmaker?</t>
  </si>
  <si>
    <t>Zoho Subscription Integration with angular 5</t>
  </si>
  <si>
    <t>Prevent re-targeting of events on LWC</t>
  </si>
  <si>
    <t>How to integrate a Thunderbird extension with Lightning</t>
  </si>
  <si>
    <t>Write back to Oracle from PowerApps</t>
  </si>
  <si>
    <t>Create record via client script in a relation model in App Maker</t>
  </si>
  <si>
    <t>POST to Salesforce API using Google Tag Manager and JSforce not working?</t>
  </si>
  <si>
    <t>Sharepoint / Intranet access to database</t>
  </si>
  <si>
    <t>PowerApps Custom Connector with AD Token expires too frequently with 401 and fix connection</t>
  </si>
  <si>
    <t>QuickBase AddRecord API Call</t>
  </si>
  <si>
    <t>Opening a VF Page in new tab/window</t>
  </si>
  <si>
    <t>Google Cloud SQL On Demand activation</t>
  </si>
  <si>
    <t>How to read and get events from zoho calendar using CalDav in node.js</t>
  </si>
  <si>
    <t>Excel/Sheets copy-compatible table widget</t>
  </si>
  <si>
    <t>The default Google Cloud SQL instance is not owned by any organization</t>
  </si>
  <si>
    <t>PowerApps Postgres auto increment ID</t>
  </si>
  <si>
    <t>Unable to read and upload file using FileReader object in Lightning component</t>
  </si>
  <si>
    <t>Difference between Microsoft AI Builder and Microsoft Cognitive Services</t>
  </si>
  <si>
    <t>Text Editor widget - using enabled</t>
  </si>
  <si>
    <t>Querying data from BigQuery and return a single data into Google AppMaker</t>
  </si>
  <si>
    <t>CkEditor in lightning component</t>
  </si>
  <si>
    <t>How can I show a PowerApp in VSTS / Azure Devops dashboard?</t>
  </si>
  <si>
    <t>PowerApps IF OR Formula for Date &lt; Today()+15</t>
  </si>
  <si>
    <t>Zoho Reports API - Error Code 7005</t>
  </si>
  <si>
    <t>Salesforce Summer 18 broke sweet alert 2</t>
  </si>
  <si>
    <t>Why does my deployment have no data but my preview has all the data?</t>
  </si>
  <si>
    <t>How to create multiple products (item lines) in zoho books API when creating an invoice</t>
  </si>
  <si>
    <t>Salesforce "Record is not createable INSUFFICIENT_ACCESS" error</t>
  </si>
  <si>
    <t>Google App Maker saving records to DB is taking 240ms per record</t>
  </si>
  <si>
    <t>Embedded map in Google App Maker not rendering in Chrome browser</t>
  </si>
  <si>
    <t>Import data from Zoho Analytics to Python</t>
  </si>
  <si>
    <t>Google App Maker will soon be deprecated. What alternative will App Maker experts like Markus Malessa move to?</t>
  </si>
  <si>
    <t>Performance server scripting</t>
  </si>
  <si>
    <t>vlookup-like javascript to map input value from one field to another</t>
  </si>
  <si>
    <t>How to import a table existing in DB</t>
  </si>
  <si>
    <t>Maximize Page Value Syncing between Multiple Users in App Maker?</t>
  </si>
  <si>
    <t>How to include resources in a Mendix Pluggable Widget?</t>
  </si>
  <si>
    <t>SSL certificate issue in Android for a Salesforce web service</t>
  </si>
  <si>
    <t>Deserialize JSON with vb.net</t>
  </si>
  <si>
    <t>Error when Creating New Item in datasource with relationship</t>
  </si>
  <si>
    <t>Create a new record in Google App Maker from spreadsheet</t>
  </si>
  <si>
    <t>Why does vinyl.isVinyl() return false for vinyl files emitted by gulp?</t>
  </si>
  <si>
    <t>How to set visibility based on binding expression from two different datasources in Appmaker &amp; Google Cloud SQL?</t>
  </si>
  <si>
    <t>Powerapps: using Excel DataSource, Screen blank</t>
  </si>
  <si>
    <t>Neovis.js not rendering completely in Salesforce Lightning Web Component</t>
  </si>
  <si>
    <t>Saving to specific folder with Drive Picker</t>
  </si>
  <si>
    <t>How can i import a son model with relation to a father model?</t>
  </si>
  <si>
    <t>How can I upload a file using ZOHO CRM V2 to my custom file upload Fields?</t>
  </si>
  <si>
    <t>Azure Devops for Power apps</t>
  </si>
  <si>
    <t>How to obtain list in sql query</t>
  </si>
  <si>
    <t>Not getting 'Flows' option for Buttons in PowerApps Studio for Web</t>
  </si>
  <si>
    <t>How many levels deep can App Maker relationships be accessed?</t>
  </si>
  <si>
    <t>How can I allow the user to add a value to a dropdown list while editing a form?</t>
  </si>
  <si>
    <t>Selenium getAttribute(href) return null value using java - Salesforce application</t>
  </si>
  <si>
    <t>How to set a Sharepoint lookup field when inserting a new record in PowerApps</t>
  </si>
  <si>
    <t>Creating .NET extension on Integration Studio</t>
  </si>
  <si>
    <t>Set OnDetach event handler programmatically</t>
  </si>
  <si>
    <t>client id not not event exception just after zoho salesiq xhr call</t>
  </si>
  <si>
    <t>PowerApps embedded in Power Bi Desktop communication to Local SQL Server without on Premises</t>
  </si>
  <si>
    <t>Create Table in Google Docs with App Maker</t>
  </si>
  <si>
    <t>On Hover event in Label in Appmaker</t>
  </si>
  <si>
    <t>Google Appmaker MAP api draggable marker and save new coordinates</t>
  </si>
  <si>
    <t>Custom markers - Google App maker</t>
  </si>
  <si>
    <t>How can we filter product options in salesforce cpq?</t>
  </si>
  <si>
    <t>Retrieve Zoho Mail using Zoho CRM API</t>
  </si>
  <si>
    <t>No MODULE named markup://lgc:bg found : [markup://c:accountManagerApex]</t>
  </si>
  <si>
    <t>Chatter Moderator User Security Token</t>
  </si>
  <si>
    <t>Zoho Creator -- Get calendar date from calendar report and paste into another form</t>
  </si>
  <si>
    <t>How to wrap text in Button and change Button color on click in Google App Maker?</t>
  </si>
  <si>
    <t>Unable to locate svg elements using xpath</t>
  </si>
  <si>
    <t>Is there an option in Powerapps to split a search text into individual strings and to display on a gallery only items that include "all" strings?</t>
  </si>
  <si>
    <t>Open Additional Fragment</t>
  </si>
  <si>
    <t>Power BI Dataset(or few columns) into Power Apps</t>
  </si>
  <si>
    <t>How can I present customer data from spreadsheet into form in app maker for update?</t>
  </si>
  <si>
    <t>Show records per user in table widget in App Maker</t>
  </si>
  <si>
    <t>How to get all objects using RubyZoho API</t>
  </si>
  <si>
    <t>How to invoke SOAP Webservice using Power Automate / MS Flow</t>
  </si>
  <si>
    <t>Allow user to use only one Lightning Web Component instance</t>
  </si>
  <si>
    <t>How can I embed a URL in an image in Salesforce surveys?</t>
  </si>
  <si>
    <t>Quickbase gantt chart Jquery change</t>
  </si>
  <si>
    <t>how to bulk add calendar events with powerapps</t>
  </si>
  <si>
    <t>Retrieving user's AAD App Role in Azure API Management</t>
  </si>
  <si>
    <t>How do I limit the list of pages shown on a menu?</t>
  </si>
  <si>
    <t>SalesForce Chatter Rest API - Can not set CreatedDate</t>
  </si>
  <si>
    <t>How could i achieve expoential in salesforce with decimal power</t>
  </si>
  <si>
    <t>How to filter options in app maker's SuggestBox</t>
  </si>
  <si>
    <t>How can I connect to Google Cloud SQL database as an external mysql database from Google App Maker?</t>
  </si>
  <si>
    <t>How to programmatically link newly created records to a record from another table</t>
  </si>
  <si>
    <t>How to make radio group buttons display horizontally instead of vertically?</t>
  </si>
  <si>
    <t>How to set the defaultSelectedItems value of Multi Person combo box in Powerapps?</t>
  </si>
  <si>
    <t>Aura Storage - keeps data for a few seconds? (should keep for a long time)</t>
  </si>
  <si>
    <t>Match multiple rows one table with multiple columns of another table mysql</t>
  </si>
  <si>
    <t>PowerApps Data Collection Issue</t>
  </si>
  <si>
    <t>Filter vinyl records by type</t>
  </si>
  <si>
    <t>How can I rename the header on the 'New Account' popup in Salesforce Lightning?</t>
  </si>
  <si>
    <t>Zoho Books Custom function to update a field and input a value</t>
  </si>
  <si>
    <t>Get the customer details in the Hosted Payment Page &amp; return url</t>
  </si>
  <si>
    <t>Unable to run Chatter api ios sample</t>
  </si>
  <si>
    <t>Linking PDFs (files) To Entries</t>
  </si>
  <si>
    <t>Power Apps - Create Unique List of Collection</t>
  </si>
  <si>
    <t>How to manually set a value in Dropdown widget in AppMaker?</t>
  </si>
  <si>
    <t>In SLDS, why the status bar of lightning datatable covers the date edit panel?</t>
  </si>
  <si>
    <t>Salesforce Authorization with Sandbox</t>
  </si>
  <si>
    <t>Showing confirmation popup on top of a dialog</t>
  </si>
  <si>
    <t>In telnet, what replaces &lt;starts TLS negotiation&gt;?</t>
  </si>
  <si>
    <t>Customization of BrowserGallery in PowerApps</t>
  </si>
  <si>
    <t>Determine whether a list item is a parent or child task in a sharepoint task list and modify its appearance in a powerapp gallery as a result</t>
  </si>
  <si>
    <t>SQL date discrepancy with some dates</t>
  </si>
  <si>
    <t>Salesforce image downloading</t>
  </si>
  <si>
    <t>QUICKBASE PHP SDK add_record returns blank response</t>
  </si>
  <si>
    <t>Powerapps: An error occurred on the server, Office 365 Dynamics entity data source</t>
  </si>
  <si>
    <t>Unable to take screenshot using html2canvas in lightning</t>
  </si>
  <si>
    <t>Merging a Photo Image and Pen Input Image in PowerApps</t>
  </si>
  <si>
    <t>How to display page object field values in Lightning Component?</t>
  </si>
  <si>
    <t>Where is spreadsheet with data</t>
  </si>
  <si>
    <t>Cannot Get Smarty Foreach with XML Results</t>
  </si>
  <si>
    <t>Destination Action is not excecuted</t>
  </si>
  <si>
    <t>How to create unique row in Google App Maker's Cloud SQL</t>
  </si>
  <si>
    <t>How do I add a user to collaborate on a google App Maker project</t>
  </si>
  <si>
    <t>How to hide the Accordion widget detail?</t>
  </si>
  <si>
    <t>Closable custom Lightning tabs in Salesforce</t>
  </si>
  <si>
    <t>trim and trimends in powerapps not working</t>
  </si>
  <si>
    <t>The onbeforeunload event does not occur when the browser tab of appmaker web app closes</t>
  </si>
  <si>
    <t>Is it possible to customize the text in a dropdown in powerapps?</t>
  </si>
  <si>
    <t>Connect to custom SQL Database</t>
  </si>
  <si>
    <t>Can't deserialize Zoho Docs API response</t>
  </si>
  <si>
    <t>Dynamic link to different list views within a Lightning:card component footer - Salesforce</t>
  </si>
  <si>
    <t>Google App Maker: How to assign id to HTML widget based on datasource?</t>
  </si>
  <si>
    <t>GCP project created by an app authorized by me, but I do not have access to it?</t>
  </si>
  <si>
    <t>App Maker Export Database Table in an Email HTML Format</t>
  </si>
  <si>
    <t>LWC test using jest testing framework throws error - unknown public property "smalldevicesize" of element</t>
  </si>
  <si>
    <t>List Items + Fields In Datasource</t>
  </si>
  <si>
    <t>Salesforce Visual force pages</t>
  </si>
  <si>
    <t>zoho remote api normal form server side code</t>
  </si>
  <si>
    <t>Loop over cards in the UI</t>
  </si>
  <si>
    <t>Getting App Maker to respect the order of a many-to-many relation</t>
  </si>
  <si>
    <t>Create records in AppMaker from email</t>
  </si>
  <si>
    <t>How to list separate parts of a date entry</t>
  </si>
  <si>
    <t>Zoho Books to Google Sheets API</t>
  </si>
  <si>
    <t>Automatic import Excel/CSV file from local pc to QuickBase without using third-party of quickbase</t>
  </si>
  <si>
    <t>Change Font Size In Table Chart Widget</t>
  </si>
  <si>
    <t>how to distinguish tasks on events in List&lt;sObject&gt; in salesforce</t>
  </si>
  <si>
    <t>Multi Language in SFDC in Chat Landing Page</t>
  </si>
  <si>
    <t>In Google App Maker, how do I update a label to show the current time?</t>
  </si>
  <si>
    <t>PowerApp unable to get all Users states</t>
  </si>
  <si>
    <t>Getting Bad request 400 upon rest post request from apex but works good in using postman</t>
  </si>
  <si>
    <t>How do I find out a field's type information for a 'record' in appmaker in Server script?</t>
  </si>
  <si>
    <t>Can ZOHO deluge script getUrl() function read HTTP response headers?</t>
  </si>
  <si>
    <t>Datasource in create and "normal mode for the same form</t>
  </si>
  <si>
    <t>Why am I getting an undefined value when calling these scripts in Google App Maker?</t>
  </si>
  <si>
    <t>Get list/multiset from informix to C#</t>
  </si>
  <si>
    <t>How to get roles email address in AppMaker</t>
  </si>
  <si>
    <t>Validate Stored Procedure Success in Powerapps</t>
  </si>
  <si>
    <t>Creating a javascript validation error</t>
  </si>
  <si>
    <t>Error while using CURL in java</t>
  </si>
  <si>
    <t>How to integrate Zoho Crm with twilio using Php</t>
  </si>
  <si>
    <t>Passing HtmlAttributes to &lt;aura:html&gt;</t>
  </si>
  <si>
    <t>Filter a PowerApps Data source for BrowseGallery based on Sharepoint column</t>
  </si>
  <si>
    <t>App Script run basic queries using Cloud SQL</t>
  </si>
  <si>
    <t>Show suggestions for textbox in PowerApp</t>
  </si>
  <si>
    <t>Verify SSL Certificate in Python on Windows 7 64 bit</t>
  </si>
  <si>
    <t>How can I handle circular reference error in powerapps when trying to filter selections of two comboboxes depending on each other?</t>
  </si>
  <si>
    <t>Using RxJs with LWC in Salesforce</t>
  </si>
  <si>
    <t>Unable to build a calculated datasource from a user list request to AdminDirectory</t>
  </si>
  <si>
    <t>Check server before starting service</t>
  </si>
  <si>
    <t>How to generalize an Opaleye Query in Haskell (Using Vinyl)?</t>
  </si>
  <si>
    <t>PHP cURL file from web to another API on the web</t>
  </si>
  <si>
    <t>Appmaker reload value</t>
  </si>
  <si>
    <t>How to detect an error in item creation on the client side (App Maker)</t>
  </si>
  <si>
    <t>How do I take the string returned from gen_results_table in PHP SDK and convert it to a Javascript array?</t>
  </si>
  <si>
    <t>How do I create this Character counter in Google App Maker?</t>
  </si>
  <si>
    <t>Google App Maker: how to implement pagination on table bound to a calculated model</t>
  </si>
  <si>
    <t>Is it possible to pass a variable from a client script to a server script?</t>
  </si>
  <si>
    <t>Is It possible to use Lightning app exchange components in custom lightning app?</t>
  </si>
  <si>
    <t>Trying to use HTML5 file picker in AppMaker</t>
  </si>
  <si>
    <t>How to take photo with Google App Maker on iOS?</t>
  </si>
  <si>
    <t>Appmaker: How can I create and access global variables?</t>
  </si>
  <si>
    <t>Google App Maker: change calculated datasource Query page size programatically</t>
  </si>
  <si>
    <t>How do you create unique assignments/workflows in Zoho Creator</t>
  </si>
  <si>
    <t>AppMaker: add role to user dynamically</t>
  </si>
  <si>
    <t>Client-side calculated model in Google App maker does not work for SuggestBox widget</t>
  </si>
  <si>
    <t>appmaker mismatch error, how do i resolve?</t>
  </si>
  <si>
    <t>Zoho creator ,Invalid JSON payload received, when trying to integrate creator-form-data to google sheet</t>
  </si>
  <si>
    <t>Read-only access for Gmail IMAP to connect</t>
  </si>
  <si>
    <t>Relation Filtering</t>
  </si>
  <si>
    <t>How to refresh appmaker table on change in calendar event of a calendar(dynamic) on current day?</t>
  </si>
  <si>
    <t>How to sync data between salesforce and external systems?</t>
  </si>
  <si>
    <t>Regex Validation in Model Driven PowerApps</t>
  </si>
  <si>
    <t>Proxies, type level symbols, and JSON</t>
  </si>
  <si>
    <t>Select the fields from different tables</t>
  </si>
  <si>
    <t>Unable to configure zoho invoice/books app in my admin account</t>
  </si>
  <si>
    <t>Google App Maker returns "Cannot call method getRange of null" when calling createGroup()</t>
  </si>
  <si>
    <t>Text Editor widget styling in Google App Maker</t>
  </si>
  <si>
    <t>send email with attachment in appscript using media upload method</t>
  </si>
  <si>
    <t>Using SObject Dates with lightning:formattedDateTime similar to ui:outputDateTime</t>
  </si>
  <si>
    <t>How to get the type of a field via Javascript : Google App Maker</t>
  </si>
  <si>
    <t>Error bar in Mendix</t>
  </si>
  <si>
    <t>How to parsing Json in Zoho CRM</t>
  </si>
  <si>
    <t>Is there a way to execute C# script in sharepoint online?</t>
  </si>
  <si>
    <t>Vinyl: rtraverse with a function requiring a constraint shared by all fields</t>
  </si>
  <si>
    <t>How to create a trigger to send email with dynamic subject in salesforce?</t>
  </si>
  <si>
    <t>How to pass data to another widget in Google AppMaker?</t>
  </si>
  <si>
    <t>I'm trying to update value of a field from client script</t>
  </si>
  <si>
    <t>Synthetic LWC Shadow DOM Slots vs Native shadow DOM Slots</t>
  </si>
  <si>
    <t>How to test component events when event and handler are in different components?</t>
  </si>
  <si>
    <t>Will Google App Maker decommissioned on 2021?</t>
  </si>
  <si>
    <t>Filter Calculated Model</t>
  </si>
  <si>
    <t>Open an app built with Lightning App Builder in Developer Console</t>
  </si>
  <si>
    <t>Many-to-Many Relation Table Reference in Calculated SQL Query - App Maker</t>
  </si>
  <si>
    <t>Change font size in Google App Maker code editor</t>
  </si>
  <si>
    <t>UserPicker changes not registered</t>
  </si>
  <si>
    <t>Relation API usage on Foreign key fields</t>
  </si>
  <si>
    <t>ZOHO CRM - How to find and merge all the duplicate records in bulk?</t>
  </si>
  <si>
    <t>Sharepoint List Not Saving, Giving "Skip To Main Content" Error</t>
  </si>
  <si>
    <t>Input data on Table OnCreate</t>
  </si>
  <si>
    <t>Google App Maker - Clickable Image Map</t>
  </si>
  <si>
    <t>How I can to do a binding transformer with @expr data in google app maker?</t>
  </si>
  <si>
    <t>Creating a Popup for new case assignment in salesforce</t>
  </si>
  <si>
    <t>Using json.loads() on data returned from Zoho Creator - extra_data() error</t>
  </si>
  <si>
    <t>How to display DropDown options using values from two fields</t>
  </si>
  <si>
    <t>Binding transformers to calculated expressions</t>
  </si>
  <si>
    <t>Getting user information for a large number of G Suite users quickly with AppScript</t>
  </si>
  <si>
    <t>How to see saved data of Google cloud SQL without creating a table?</t>
  </si>
  <si>
    <t>In App Maker, how do you make dynamic table cell text?</t>
  </si>
  <si>
    <t>Using NuxtJS for Zoho CRM Widgets</t>
  </si>
  <si>
    <t>Join of 3 datasources with a calculated datasource failing with deadlock</t>
  </si>
  <si>
    <t>Bind boolean to a label based on user's selection</t>
  </si>
  <si>
    <t>Office 365 developer subscription and PowerApps</t>
  </si>
  <si>
    <t>Google App Maker Widget Validate on Datasource select</t>
  </si>
  <si>
    <t>How to create multi items/records or save item/record array at one time in client script file</t>
  </si>
  <si>
    <t>How to filter a relational datasource of a widget</t>
  </si>
  <si>
    <t>Does Mendix generates a source code in any particular language, which can be edited and reused?</t>
  </si>
  <si>
    <t>How to access another widget on the page in appmaker from an event</t>
  </si>
  <si>
    <t>Connection created for CDS in PowerApp platform not appearing in dropdown list for making ConnectionSet in PowerApp Admin portal</t>
  </si>
  <si>
    <t>"Invalid legacy scope provided" error when attempting to access a Google API from web app?</t>
  </si>
  <si>
    <t>Adding a "New Tab" dynamically in the Tab widget in Google App Maker</t>
  </si>
  <si>
    <t>Integrate Docusign with a zoho CRM custom module</t>
  </si>
  <si>
    <t>Multiple ComboBoxes working together on PowerApps</t>
  </si>
  <si>
    <t>DriveApp createFile add undefined to file</t>
  </si>
  <si>
    <t>Similar way to PHP Sessions in Zoho Creator</t>
  </si>
  <si>
    <t>Is it possible to link Linkedin with Zoho CRM?</t>
  </si>
  <si>
    <t>Is it possible to migrate all collateral from Pardot to Marketing Cloud seamlessly with an app or some code?</t>
  </si>
  <si>
    <t>How to show more than 100 items in dropdown options using projections list</t>
  </si>
  <si>
    <t>Save Url of email sent by google app maker</t>
  </si>
  <si>
    <t>Apex and Visualforce Page - Data Display in Page</t>
  </si>
  <si>
    <t>In Salesforce Lightning Console- Can not add opportunity as sub tab for Case</t>
  </si>
  <si>
    <t>how to use carousel in Lightning web component see below code + need some sample example how to implement in lwc</t>
  </si>
  <si>
    <t>Connect Powerapps to Firebird SQL</t>
  </si>
  <si>
    <t>Google App Maker Calendar Sample. getCalendarByName instead of getDefaultCalendar</t>
  </si>
  <si>
    <t>How to increment counter value inside an onClick event?</t>
  </si>
  <si>
    <t>Can't Edit/Update Certain Items In Database (Table)</t>
  </si>
  <si>
    <t>how to install material icons in google app maker</t>
  </si>
  <si>
    <t>How do I call a REST Google Cloud API from AppMaker?</t>
  </si>
  <si>
    <t>How to remove specific data along with the angle brackets</t>
  </si>
  <si>
    <t>Create Zoho campaign with api gives error</t>
  </si>
  <si>
    <t>How do I fix a php file_get_contents warning caused by a negative number in JSON content?</t>
  </si>
  <si>
    <t>Querying Information_Schema on MySQL (Azure) takes too long</t>
  </si>
  <si>
    <t>Can i call a server side script from a hyper link in system generated email?</t>
  </si>
  <si>
    <t>"Sign in required" after I click "Make this app" in PowerApps</t>
  </si>
  <si>
    <t>Lookup field not showing create new record option Salesforce1</t>
  </si>
  <si>
    <t>Alter DatacardValue with Slider and vice versa in PowerApps</t>
  </si>
  <si>
    <t>Incremental/Partial Deployment using SalesforceDX</t>
  </si>
  <si>
    <t>How to jest test lightning-pills in LWC</t>
  </si>
  <si>
    <t>Salesforce REST API how to avoid leaking sensitive data in query parameter</t>
  </si>
  <si>
    <t>When there is no data on CSV, It is causing error. How can I avoid this error, Javascript</t>
  </si>
  <si>
    <t>Ideas on getting data from external users?</t>
  </si>
  <si>
    <t>Salesforce Timecard entry API</t>
  </si>
  <si>
    <t>Cannot validate on saving new record</t>
  </si>
  <si>
    <t>Trying to access database from my local server</t>
  </si>
  <si>
    <t>How to setup flask mail with zoho mail</t>
  </si>
  <si>
    <t>Pushing visitor data from DialogFlow to ZohoCRM</t>
  </si>
  <si>
    <t>Move to a specific tab index when leaving another input with jquery</t>
  </si>
  <si>
    <t>Retrieving the changes happened in the posts liked by user - Salesforce chatter</t>
  </si>
  <si>
    <t>Is it possible to do a ROW_NUMBER() OVER (PARTITION ..) in ZoHo reports?</t>
  </si>
  <si>
    <t>Do I have the latest version of an OutSystems forge component?</t>
  </si>
  <si>
    <t>Appmaker migration from Drive table to Cloud SQL queries</t>
  </si>
  <si>
    <t>Dynamically return entity attribute</t>
  </si>
  <si>
    <t>Camera streaming service works only with localhost but not with IP address</t>
  </si>
  <si>
    <t>Get document list by their request_status for example "completed" in Zoho api PHP?</t>
  </si>
  <si>
    <t>Getting selections from a list object</t>
  </si>
  <si>
    <t>My gulp plugin with through2 returns file in strange XML-like format</t>
  </si>
  <si>
    <t>How to store action result and pass as http header</t>
  </si>
  <si>
    <t>Salesforce Case Feed - Creating/Adding Custom Tools</t>
  </si>
  <si>
    <t>How do I navigate to specific screens based on selected dropdown item in Powerapps?</t>
  </si>
  <si>
    <t>How to calculate a date difference in Google Cloud SQL?</t>
  </si>
  <si>
    <t>Images in Sandbox Rich text area pointing to production Url</t>
  </si>
  <si>
    <t>zoho crm v1 to v2 migration api update using curl functions</t>
  </si>
  <si>
    <t>Pattern synonym binds differently from normal pattern</t>
  </si>
  <si>
    <t>zoho email imap connection using node-imap is getting timeout in aws instance</t>
  </si>
  <si>
    <t>Error With Email Change Notifications Using Project Tracker Template</t>
  </si>
  <si>
    <t>python 2 code VS python 3 ,zoho crm api</t>
  </si>
  <si>
    <t>In RubyZoho, how to set Task.related_to Lead.id?</t>
  </si>
  <si>
    <t>I can't embed iframes to make courses in the Appmaker training hub template</t>
  </si>
  <si>
    <t>Click on arrow button in service cloud console using selenium</t>
  </si>
  <si>
    <t>Pagination is only working for 2000 records. I am getting error maximum SOQL allowed is 2000.how to resolve the issue</t>
  </si>
  <si>
    <t>addEventListener on Panel</t>
  </si>
  <si>
    <t>Issues SQL connection with a specific account</t>
  </si>
  <si>
    <t>Rename items in PostgreSQL or any SQL</t>
  </si>
  <si>
    <t>How can I constrain Vinyl / Composite Records?</t>
  </si>
  <si>
    <t>Google App Maker not available on 16th March 2018</t>
  </si>
  <si>
    <t>Recording Phone Number and Full Name in Project Datasource</t>
  </si>
  <si>
    <t>Complex Comparison in C</t>
  </si>
  <si>
    <t>How to extract a column items based on other columns in Powerapps?</t>
  </si>
  <si>
    <t>Is App Maker hipaa compliant when is used with cloud sql</t>
  </si>
  <si>
    <t>Yammer authentication issues</t>
  </si>
  <si>
    <t>How to generate Shipment return label from Fedex api</t>
  </si>
  <si>
    <t>Post XML data to Zoho CRM from android</t>
  </si>
  <si>
    <t>PowerApps Meeting Capture Template UserProfileV2 Error</t>
  </si>
  <si>
    <t>How can I parse Outsystems OSVSTATE token to subsequent requests in Jmeter?</t>
  </si>
  <si>
    <t>When a file is uploaded to the Google Drive, how do you handle that event (call scripts)?</t>
  </si>
  <si>
    <t>How do I get a list of models in appmaker when running a server script?</t>
  </si>
  <si>
    <t>Sales Force live agent status</t>
  </si>
  <si>
    <t>Attempting to change text of label in accordion row via item in accordion detail</t>
  </si>
  <si>
    <t>How to import a widget package in Mendix?</t>
  </si>
  <si>
    <t>How do you connect multiple apps together in Google App Maker</t>
  </si>
  <si>
    <t>Opportunity Validation Rule on Closed Won Opportunities</t>
  </si>
  <si>
    <t>Replace Javascript button to Lightning Component</t>
  </si>
  <si>
    <t>Salesforce Lightning Design System 2 row grid content</t>
  </si>
  <si>
    <t>Option to restrict non-admin licensed users to create PowerApps environments</t>
  </si>
  <si>
    <t>Appmaker Input Form, change options based on earlier dropdown choices</t>
  </si>
  <si>
    <t>Export filtered result from Google Drive Table</t>
  </si>
  <si>
    <t>How to create Custom fields with Sales-force Rest Api</t>
  </si>
  <si>
    <t>Specifying a join filter between two relations using date</t>
  </si>
  <si>
    <t>Delete/Unable/ Mark combo box answers on PowerApps</t>
  </si>
  <si>
    <t>Amazon WorkMail issue with delivering mails to Route53</t>
  </si>
  <si>
    <t>Error prevents application from opening</t>
  </si>
  <si>
    <t>Rounding binding expressions appmaker</t>
  </si>
  <si>
    <t>How to subscribe for device events in Mendix?</t>
  </si>
  <si>
    <t>Previewing failed, but deployment works</t>
  </si>
  <si>
    <t>XML Data Fetching Code</t>
  </si>
  <si>
    <t>SonarQube &amp; Aura Framework</t>
  </si>
  <si>
    <t>API errors on Google Apps Script</t>
  </si>
  <si>
    <t>AppMaker - Display only Filtered Items in Tabs</t>
  </si>
  <si>
    <t>Powerapps, take photo and send it to other screen</t>
  </si>
  <si>
    <t>Merging PowerApps Photo and Pen Input using MS Flow and API</t>
  </si>
  <si>
    <t>Is there a way to close the browser using googlescript or javascript, by just clicking a button for it?</t>
  </si>
  <si>
    <t>Heroku Connect - Validation error when trying to create map for Salesforce Chatter objects</t>
  </si>
  <si>
    <t>How can I get grid-cell-collections from grid object?</t>
  </si>
  <si>
    <t>How to add -d JSONString='{} in postman</t>
  </si>
  <si>
    <t>Save calculated records on non-calculated datasource</t>
  </si>
  <si>
    <t>Can not import .zip files in appmaker</t>
  </si>
  <si>
    <t>Searching a Sharepoint list from a Powerapp is working for one column but not another</t>
  </si>
  <si>
    <t>Filter a table based on selection on related table which is connected to a different datasource</t>
  </si>
  <si>
    <t>How to create bulkconnection with accesstoken in salesforce</t>
  </si>
  <si>
    <t>AppMaker: example of a transaction</t>
  </si>
  <si>
    <t>Is it possible to call methods dynamically?</t>
  </si>
  <si>
    <t>Lightning out in react-native app webview</t>
  </si>
  <si>
    <t>I am trying to validate a string with a regular expression in the javascript controller?</t>
  </si>
  <si>
    <t>How to document merge a parent record and all of its child records</t>
  </si>
  <si>
    <t>PowerApps - How to get URL to entire Sharepoint list</t>
  </si>
  <si>
    <t>Cannot call Virtual Agent Bot from DirectLine</t>
  </si>
  <si>
    <t>Getting error for import data from sheet in appmaker</t>
  </si>
  <si>
    <t>Connect server script to page to add new data to spreadsheet</t>
  </si>
  <si>
    <t>Create Agent Database for Google App Maker</t>
  </si>
  <si>
    <t>cannot connecting Microsoft Flows with HTTP request using certificate authentification</t>
  </si>
  <si>
    <t>Programatically determine the data size in bytes of a search operation</t>
  </si>
  <si>
    <t>Triggered for every new email in Inbox, Getting by IMAP</t>
  </si>
  <si>
    <t>How to view log of user actions</t>
  </si>
  <si>
    <t>Having some trouble with getting an automatic import of a Sheet into a Data Table</t>
  </si>
  <si>
    <t>Translation model in App Maker</t>
  </si>
  <si>
    <t>Using custom metadata type</t>
  </si>
  <si>
    <t>Calculated_SQL Table - Search</t>
  </si>
  <si>
    <t>Google Appmaker createItem failing with could not select element</t>
  </si>
  <si>
    <t>Fetching data from estimates in zoho invoices</t>
  </si>
  <si>
    <t>How to Make a Timer App Using Outsystems?</t>
  </si>
  <si>
    <t>How to use a bit data type in OutSystems</t>
  </si>
  <si>
    <t>Remove selected user from User picker in Google App maker</t>
  </si>
  <si>
    <t>How to create a view?</t>
  </si>
  <si>
    <t>Upgrade from Zoho APIv1 to APIV2 -&gt; requests are not saving data</t>
  </si>
  <si>
    <t>SFDC Bulk API option in informatica session not working</t>
  </si>
  <si>
    <t>Powerapps : is it possible to geolocate user via Android?</t>
  </si>
  <si>
    <t>Binding values to multiple labels in a List Widget; Using Dynamic Page Properties</t>
  </si>
  <si>
    <t>How to get over 200 records from zoho server via ZCRMSDK in Net core?</t>
  </si>
  <si>
    <t>Adding a user-filled value as well as a pick value for google appmaker</t>
  </si>
  <si>
    <t>Isolate the Count that comes from a LEFT JOIN independent of the WHERE clause filters</t>
  </si>
  <si>
    <t>Default Value for Dropdown</t>
  </si>
  <si>
    <t>AppMaker Error: "SEVERE: Failed due to circular reference." when I try to run server script for "query.sorting" a table</t>
  </si>
  <si>
    <t>Salesforce Oauth Error. 1814 : An unexpected error has occured during authentication</t>
  </si>
  <si>
    <t>Can't push salesforce managed package</t>
  </si>
  <si>
    <t>Not able to include "design-system-react" in our project. Getting "Uncaught Error: Invalid tag: /static/media/index.8365feb8.jsx"</t>
  </si>
  <si>
    <t>Multiples Markers Google Maps</t>
  </si>
  <si>
    <t>How to send Date Value from TextBox to Server Script in app maker?</t>
  </si>
  <si>
    <t>How to access Appmaker Revision ID?</t>
  </si>
  <si>
    <t>How to use suggest box for numbers</t>
  </si>
  <si>
    <t>How to manually set a value in MultiSelect widget in AppMaker?</t>
  </si>
  <si>
    <t>I'm receiving an uncaught type error when clicking on a date on fullcalendar</t>
  </si>
  <si>
    <t>Is there a way to see/show user activity in an app?</t>
  </si>
  <si>
    <t>Date mismatch in form selection and table in App Maker</t>
  </si>
  <si>
    <t>Adding google analytics data it Zoho CRM leads information</t>
  </si>
  <si>
    <t>To select all fields from Zoho modules in CRM v2 apis</t>
  </si>
  <si>
    <t>Google App Maker / sql instance location &amp; GDPR</t>
  </si>
  <si>
    <t>Searching Date Fields</t>
  </si>
  <si>
    <t>How to create a Test scenario for a code block with Test not running check</t>
  </si>
  <si>
    <t>Should I use App Maker's Server Script, Calculated Client, or Relations to filter data for display</t>
  </si>
  <si>
    <t>How to remove error: self signed certificate in certificate chain for Node.js Mail Sender for Zoho Mail</t>
  </si>
  <si>
    <t>Google App Maker - How to keep constant space between the label and input of a dropdown/textbox widget?</t>
  </si>
  <si>
    <t>lwc-services is not recognized as an internal or external command</t>
  </si>
  <si>
    <t>Create custom Insert Form</t>
  </si>
  <si>
    <t>Google App Maker: Enable app to make Admin SDK API calls</t>
  </si>
  <si>
    <t>How to handle HOLD projects in Salesforce?</t>
  </si>
  <si>
    <t>Changing Appmaker deployment owner</t>
  </si>
  <si>
    <t>Submit New Item Form and Open the same item for editing</t>
  </si>
  <si>
    <t>Microsoft Power Platform Custom Connector to Project Server API - OAuth 2.0 Settings</t>
  </si>
  <si>
    <t>How to skip the login page of Salesforce?</t>
  </si>
  <si>
    <t>How to retrieve a value from an external page?</t>
  </si>
  <si>
    <t>Adding a Unique Index When Duplicate Values Exist in the Column</t>
  </si>
  <si>
    <t>How to Upload a Profile photo in base64 format For Community Users Using ConnectApi.UserProfiles.setPhoto</t>
  </si>
  <si>
    <t>Setting Data Transformer for $ also makes input $ required</t>
  </si>
  <si>
    <t>How can I populate an embedded website form with URL parameters using Javascript?</t>
  </si>
  <si>
    <t>Outsystems - Add another environment</t>
  </si>
  <si>
    <t>Zoho People API Today Birthday</t>
  </si>
  <si>
    <t>Displaying Image from FeedItem in Custom Lightning Web Component</t>
  </si>
  <si>
    <t>Changing polygon points in SVG for radar chart in Microsoft Powerapps</t>
  </si>
  <si>
    <t>Call search function when user is done Typing</t>
  </si>
  <si>
    <t>google-app-maker - App Maker will soon deprecate the foreign key field. We recommend you use relations instead</t>
  </si>
  <si>
    <t>Installing Salesforce apps via code</t>
  </si>
  <si>
    <t>Issue in opening a module</t>
  </si>
  <si>
    <t>PowerApp - Common Data Service Boolean Missing</t>
  </si>
  <si>
    <t>unable to create zoho oauth client id with global scope</t>
  </si>
  <si>
    <t>Zoho CRM Custom Function Deluge Script update a date field with year of different date field</t>
  </si>
  <si>
    <t>Google App Maker form answer based on previous selection</t>
  </si>
  <si>
    <t>Displaying form on first login</t>
  </si>
  <si>
    <t>Form fields are invisible after running app</t>
  </si>
  <si>
    <t>Emailing incomplete PDF rather than PDF with written data</t>
  </si>
  <si>
    <t>Google app maker - update itself from google sheet data</t>
  </si>
  <si>
    <t>How to achieve callback functionality on saving a record when in auto save mode in google appmaker?</t>
  </si>
  <si>
    <t>Is there any possibility to make my visualforce page visible in visualforce component only in specific conditions</t>
  </si>
  <si>
    <t>Google Appmaker calculated fields Dates , calculated sql usage</t>
  </si>
  <si>
    <t>PowerApp to Reset Passwords of other users</t>
  </si>
  <si>
    <t>Declare a constraint that holds for Vinyl records having a specific field</t>
  </si>
  <si>
    <t>What is Connector in PowerApps</t>
  </si>
  <si>
    <t>Using popup to select correct relational field and pass value back to an entry form</t>
  </si>
  <si>
    <t>Google App Maker - Reference multiple tables from External MySql Database</t>
  </si>
  <si>
    <t>Using a button to rotate images App Maker</t>
  </si>
  <si>
    <t>Datasource Paging Issue (Revised)</t>
  </si>
  <si>
    <t>ZOHO CRM (SDK) using Laravel: How to make Authentication request initializing the Zoho SDK and store the Access Token for one session?</t>
  </si>
  <si>
    <t>In google appmaker, can't get requestAnimationFrame working</t>
  </si>
  <si>
    <t>Quickbase and Docusign</t>
  </si>
  <si>
    <t>how to handle salesforce hover in selenium</t>
  </si>
  <si>
    <t>How to return time from Date Time data type?</t>
  </si>
  <si>
    <t>google app maker link fields of related records</t>
  </si>
  <si>
    <t>How to display boolean value as an image in Google App Maker's table?</t>
  </si>
  <si>
    <t>table thead header is not coming on every page in pdf</t>
  </si>
  <si>
    <t>How do I authenticate the Salesforce token in Laravel?</t>
  </si>
  <si>
    <t>How to display data for a specific month in a table？</t>
  </si>
  <si>
    <t>Unable to run the Rest API Using Php and Curl</t>
  </si>
  <si>
    <t>Create/authenticate a connector on a button click?</t>
  </si>
  <si>
    <t>Smart search for acronyms in Salesforce</t>
  </si>
  <si>
    <t>Is there a way to access the fields of a record, selected by a radio button widget in Google App Maker?</t>
  </si>
  <si>
    <t>Zoho Creator in iframe adds blank lines - how do we stop that behavior</t>
  </si>
  <si>
    <t>Building a custom list view lightning component from the data retrieved from the SOQL Query</t>
  </si>
  <si>
    <t>Allow non Admin users to modify / edit table</t>
  </si>
  <si>
    <t>Google AppMaker Id (primary key) missing or null on Save</t>
  </si>
  <si>
    <t>Removing one-to-many relations using splice</t>
  </si>
  <si>
    <t>How do you restrict a Google App Maker application so that only users in a Google Group can access it?</t>
  </si>
  <si>
    <t>Is it possible to set a drop down widget to be required?</t>
  </si>
  <si>
    <t>Embedded PowerApps on SharePoint page doesn't work properly in IE 11</t>
  </si>
  <si>
    <t>How to 'Add / Sum / Total / Calculate' dynamic tables in google app maker</t>
  </si>
  <si>
    <t>How to open Send Email global action in popup from lightning component</t>
  </si>
  <si>
    <t>Data Event / Server Side Event in App Maker</t>
  </si>
  <si>
    <t>Set up a domain name for Google app maker</t>
  </si>
  <si>
    <t>Move record from one data model to another with a button</t>
  </si>
  <si>
    <t>Problems with ISubset in vinyl</t>
  </si>
  <si>
    <t>MailApp specify mailbox sender</t>
  </si>
  <si>
    <t>Unable to set Record Type of Lead object in Salesforce through Segment</t>
  </si>
  <si>
    <t>Creating folders using DriveApp.createFolder gives duplicates</t>
  </si>
  <si>
    <t>Console.log() it's not showing the result of a function</t>
  </si>
  <si>
    <t>How to fix the "Required" field in powerapps?</t>
  </si>
  <si>
    <t>AppMaker error say "The instance must be a 2nd generation SQL database" but it is a 2nd gen</t>
  </si>
  <si>
    <t>PowerApps: Pull a specific record from a Sharepoint Lookup list to show additional fields using a Display Form</t>
  </si>
  <si>
    <t>How to update record on another model (trigger) in google app maker sql?</t>
  </si>
  <si>
    <t>Zoho Inventory API json</t>
  </si>
  <si>
    <t>Not able to use Read Product API published by Salesforce CPQ to read more than 31 products</t>
  </si>
  <si>
    <t>Version Controlling</t>
  </si>
  <si>
    <t>Is possible to create new account in salesforce ?</t>
  </si>
  <si>
    <t>Is it possible to implement custom transformers?</t>
  </si>
  <si>
    <t>Downloading a SQL database as a CSV instead of select rows</t>
  </si>
  <si>
    <t>How to specify in OpenAPI adding a user to a group?</t>
  </si>
  <si>
    <t>Images on buttons? It must be easy</t>
  </si>
  <si>
    <t>How to access enabled property of elements present inside a list row in appmaker?</t>
  </si>
  <si>
    <t>Save values from multi select Field</t>
  </si>
  <si>
    <t>Adding data from a column in a data table to a collection in Power Apps</t>
  </si>
  <si>
    <t>Best ways to run a Python program with Microsoft Power Apps</t>
  </si>
  <si>
    <t>Integrate ADO.NET provider on On-premise Data Gateway with PowerApps</t>
  </si>
  <si>
    <t>Android-SalesforceSDK By Pass oAuth login</t>
  </si>
  <si>
    <t>GuzzleHTTP Response 400 Status</t>
  </si>
  <si>
    <t>can you use data tables across multiple apps?</t>
  </si>
  <si>
    <t>Error while loading library mapsjs-core and mapsjs-service in salesforce lightning</t>
  </si>
  <si>
    <t>Filtering table via Query builder - null value not selecting all</t>
  </si>
  <si>
    <t>Synchronise Google Sheets and default Google App Maker Cloud SQL database</t>
  </si>
  <si>
    <t>Google App Maker not reocognising some of its own widgets</t>
  </si>
  <si>
    <t>How to use non-aggregate columns used in the SELECT clause without using it in GROUP BY clause?</t>
  </si>
  <si>
    <t>Accept button is not showing on Case List Views in Salesforce Lightning</t>
  </si>
  <si>
    <t>Handling browser refresh with query filters from page parameters</t>
  </si>
  <si>
    <t>I'm trying to execute SOQL queries in my android app but keep getting AuthFailureError everytime</t>
  </si>
  <si>
    <t>Are Media Queries Supported?</t>
  </si>
  <si>
    <t>Google App maker grouping in list view</t>
  </si>
  <si>
    <t>Multiple Selections in a Combobox</t>
  </si>
  <si>
    <t>How do I onSelect dropbox list value to display text label dynamically in Microsoft Excel using Powerapp?</t>
  </si>
  <si>
    <t>How to use a promise in do-while loop waiting a callback to be completed</t>
  </si>
  <si>
    <t>How to analyze and decide whether used or not in sfdc.com?</t>
  </si>
  <si>
    <t>Variable tables in PowerApps</t>
  </si>
  <si>
    <t>How to color a row in table depending on time?</t>
  </si>
  <si>
    <t>Salesforce Custom Object: Invalid Type error Speaker</t>
  </si>
  <si>
    <t>While preview file I need to remove 'Show More' option in Lightning</t>
  </si>
  <si>
    <t>How to apply query / filter on a datasource related to the currently selected datasource?</t>
  </si>
  <si>
    <t>React rendering new view with filtered Data in Model Driven PowerApps</t>
  </si>
  <si>
    <t>How to add headers to Common Data Service data store in Microsoft Azure Data Factory</t>
  </si>
  <si>
    <t>How to Fix Azure Maps PCF Component Drawing Tools Offset</t>
  </si>
  <si>
    <t>Writing JSDoc(-like) comments within an Apps Script library imported to App Maker causes it unable to be used?</t>
  </si>
  <si>
    <t>Microsoft Powerapps form coverd by virtual keyboard in phone layout</t>
  </si>
  <si>
    <t>Appmaker Cloud SQL PostgreSQL</t>
  </si>
  <si>
    <t>Can two people within the same organization work on the same project at the same time</t>
  </si>
  <si>
    <t>Issue with the EnabledDays in the Calendar widget</t>
  </si>
  <si>
    <t>Community customization</t>
  </si>
  <si>
    <t>How exactly does a CalDAV server advertise Tasks support?</t>
  </si>
  <si>
    <t>Outsystems - How to use ExternalSite with header block</t>
  </si>
  <si>
    <t>User Picker is not returning thumbnail</t>
  </si>
  <si>
    <t>Visual force page failed to show up in EU6 orgs in Lightning</t>
  </si>
  <si>
    <t>How to get copied content from clipboard in lightning component js</t>
  </si>
  <si>
    <t>How to obtain the record ID of the selected item in a dropdown list in google app-maker</t>
  </si>
  <si>
    <t>SalesForce marketing System not getting decrypted in Using java Crypto</t>
  </si>
  <si>
    <t>Why is RadioGroup so tall in Google AppMaker?</t>
  </si>
  <si>
    <t>How to automatically log a users name in App Maker</t>
  </si>
  <si>
    <t>Issues DocumentMerge in Google AppMaker</t>
  </si>
  <si>
    <t>How to export AppMaker app as a zip file?</t>
  </si>
  <si>
    <t>Possible values in Salesforce Setup Audit Trail action column</t>
  </si>
  <si>
    <t>Patch statement not patching to sharepoint list, Power Apps</t>
  </si>
  <si>
    <t>how to fix 'DocumentApp isn't defined' in googleappmaker</t>
  </si>
  <si>
    <t>How to access Login History object from einstein analytics dataflow?</t>
  </si>
  <si>
    <t>How to debug multiple modules at the same time in OutSystems</t>
  </si>
  <si>
    <t>how to pass SAML attributes from service provider(Salesforce) to Visualforce page Controller</t>
  </si>
  <si>
    <t>Version management and continous deployment with Appian?</t>
  </si>
  <si>
    <t>How to make pop-up data reflect selected record?</t>
  </si>
  <si>
    <t>Nested Rows inside table with shared headers - Aura Iteration</t>
  </si>
  <si>
    <t>Export Drive file Id to spreadsheet</t>
  </si>
  <si>
    <t>Zoho response returning false</t>
  </si>
  <si>
    <t>How to upload a Salesforce File using REST API properly?</t>
  </si>
  <si>
    <t>Can I use google groups to control who can access my Google AppMaker application?</t>
  </si>
  <si>
    <t>Life Time Api Authorization - OutSystems</t>
  </si>
  <si>
    <t>how to get linkedin feed data into visualforce page in salesforce</t>
  </si>
  <si>
    <t>Power Apps Question: Transfer TimerControl Information into an E-mail</t>
  </si>
  <si>
    <t>Prompt me a requested input field when add datasource in power app</t>
  </si>
  <si>
    <t>Calendar events in powerapps</t>
  </si>
  <si>
    <t>How to filter records in Google App Maker?</t>
  </si>
  <si>
    <t>How to search for 18 digit salesforce Id using regex? example : you are invited REF&lt;18 digit SFDC ID&gt; for the interview</t>
  </si>
  <si>
    <t>Connection String test failed: Outsystems</t>
  </si>
  <si>
    <t>Launch specific external application using powerapps in Android</t>
  </si>
  <si>
    <t>Trying to filter a table datasource dynamically</t>
  </si>
  <si>
    <t>One to Many lookup field in Form</t>
  </si>
  <si>
    <t>PowerApp Custom Cards Issues</t>
  </si>
  <si>
    <t>Google Cloud: Simple web app/UI for database content maintenance?</t>
  </si>
  <si>
    <t>How to open page in new tab/window?</t>
  </si>
  <si>
    <t>Client cannot access G suit with deployed app</t>
  </si>
  <si>
    <t>How to navigate Google App Maker tabs which are out of panel range</t>
  </si>
  <si>
    <t>How to export schema of a database in AppMaker</t>
  </si>
  <si>
    <t>Why do simultaneous Google web app users contaminate results</t>
  </si>
  <si>
    <t>Boolean search using Google AppMaker</t>
  </si>
  <si>
    <t>How to use default lightning email template in salesforce</t>
  </si>
  <si>
    <t>I want to combine two tables and display them as one table</t>
  </si>
  <si>
    <t>The custom connector property 'capabilities' cannot be updated - PowerApps</t>
  </si>
  <si>
    <t>How to convert a string into a specific array</t>
  </si>
  <si>
    <t>How to programmatically add a SOAP header based on a generated proxy class</t>
  </si>
  <si>
    <t>Drive Table Lock Timeout</t>
  </si>
  <si>
    <t>How to pass DisplayName property of Person column to SortByColumns function dynamically in PowerApps</t>
  </si>
  <si>
    <t>I want to display a 'loading' spinner until data is loaded completely from the server. How to do this in javascript for salesforce lwc?</t>
  </si>
  <si>
    <t>Developer Console, github</t>
  </si>
  <si>
    <t>check if two object list have the same property</t>
  </si>
  <si>
    <t>How to Save Customized Html widgets data in Drive data table</t>
  </si>
  <si>
    <t>Issue with relation when creating record</t>
  </si>
  <si>
    <t>Datasource query limit is different of page size</t>
  </si>
  <si>
    <t>Multiple sorting on tables</t>
  </si>
  <si>
    <t>How do I resolve an "incorrect syntax near ','"?</t>
  </si>
  <si>
    <t>Validate visual flow screen fields using 3rd part javascript library</t>
  </si>
  <si>
    <t>Changelog method based on project tracker template</t>
  </si>
  <si>
    <t>Making HTTPS POST call is not working in AWS production env</t>
  </si>
  <si>
    <t>Convert PowerApps Calendar from Outlook to SharePoint List</t>
  </si>
  <si>
    <t>User Picker to field values</t>
  </si>
  <si>
    <t>Google Seach Console API authorization issue with service account</t>
  </si>
  <si>
    <t>CDS Time zone independent Date Time fields not available in Powerapps</t>
  </si>
  <si>
    <t>App Maker Document approval template : Add Default Approvers and notify Owner the status automatically</t>
  </si>
  <si>
    <t>How to change datasource of a widget with script in Google AppMaker?</t>
  </si>
  <si>
    <t>How to align items with background regardless of the screen size?</t>
  </si>
  <si>
    <t>Error while running Application using PowerApps in microsoft azure</t>
  </si>
  <si>
    <t>Related to Chatter in Salesforce</t>
  </si>
  <si>
    <t>Directory User Phone Numbers not displaying</t>
  </si>
  <si>
    <t>DTAP storing script variables in a simple and fast way</t>
  </si>
  <si>
    <t>Lightning generated html list horizontal alignment issue</t>
  </si>
  <si>
    <t>Adding records onAfterCreate</t>
  </si>
  <si>
    <t>Calculating age using date of birth stored in the database</t>
  </si>
  <si>
    <t>When i am submitting my form data into zoho leads then in console i am getting content security policy error</t>
  </si>
  <si>
    <t>Row height in a gallery</t>
  </si>
  <si>
    <t>How to get a count of database rows in Appian web api</t>
  </si>
  <si>
    <t>How prevent duplicate records in appmaker?</t>
  </si>
  <si>
    <t>How to export table from google app maker using AMU code</t>
  </si>
  <si>
    <t>Mendix setup problem - suggested code not working</t>
  </si>
  <si>
    <t>How do I view the contents of my "default" type Cloud SQL database in AppMaker?</t>
  </si>
  <si>
    <t>Datasource Paging Issue (Revised Again)</t>
  </si>
  <si>
    <t>How add / edit / remove many to many relationships in google app maker using tables?</t>
  </si>
  <si>
    <t>Powerapps Explorer Dialogue to allow file selection</t>
  </si>
  <si>
    <t>Zoho Rest Invoice API Return 400 Error, Java HttpClient</t>
  </si>
  <si>
    <t>how to fetch array of input values from html to JS</t>
  </si>
  <si>
    <t>Filter Gallery based on text in label</t>
  </si>
  <si>
    <t>What service to use to send text message to user's phone?</t>
  </si>
  <si>
    <t>Last "available" month with data in SQL</t>
  </si>
  <si>
    <t>PowerApps: Inserting range of numbers into SQL</t>
  </si>
  <si>
    <t>Setting (intern) variable for color</t>
  </si>
  <si>
    <t>Why could an extra back-slash appears in javascript in outsystems?</t>
  </si>
  <si>
    <t>Core understanding f what salesforce is</t>
  </si>
  <si>
    <t>What's the easiest way to prevent closing a dialog if the input validation false</t>
  </si>
  <si>
    <t>Capture a current value from dropdown widget based on a 'one relation end'</t>
  </si>
  <si>
    <t>Two tables with relation --&gt; insert form --&gt; show multiple attributs but insert Id</t>
  </si>
  <si>
    <t>Using a hyperlink within a next arrow in PowerApps</t>
  </si>
  <si>
    <t>Delay changing pages</t>
  </si>
  <si>
    <t>How does the PowerApps SUM() function handle NULL values?</t>
  </si>
  <si>
    <t>PowerApps: Use HTML to modify form display in model-driven apps?</t>
  </si>
  <si>
    <t>How can I add rows or delete row dynamically in Lightening data table</t>
  </si>
  <si>
    <t>How to solve argument for parameter assistant (WatsonServicesAssistant)?</t>
  </si>
  <si>
    <t>Lightning - Thousand Comma Separators for Picklist labels</t>
  </si>
  <si>
    <t>Select a specific item in combo box</t>
  </si>
  <si>
    <t>Call a link from APEX</t>
  </si>
  <si>
    <t>Attempting to access Appian documents using C# and web-api's</t>
  </si>
  <si>
    <t>PowerApp Gallery Data Not Updating</t>
  </si>
  <si>
    <t>How to pass the Zoho-oauthtoken in the Header using Guzzle on Laravel?</t>
  </si>
  <si>
    <t>Google AppMaker : Timeout for server-side script calls</t>
  </si>
  <si>
    <t>How to setup people viewer</t>
  </si>
  <si>
    <t>Not able to get the Caldav URL for Zoho calendar</t>
  </si>
  <si>
    <t>PowerApps out of office different user</t>
  </si>
  <si>
    <t>AppMaker Drive.Files.list query for properties</t>
  </si>
  <si>
    <t>How to save data to REST API using a calculated model</t>
  </si>
  <si>
    <t>Dropdowns populated from Excel tables not getting selected properly</t>
  </si>
  <si>
    <t>Send and populate email through a button in Quickbase</t>
  </si>
  <si>
    <t>Can we integrate LWC component into REACT JS</t>
  </si>
  <si>
    <t>widget binding limit: Binding not work for data change from server side</t>
  </si>
  <si>
    <t>SQL Query fron AppMaker datasource</t>
  </si>
  <si>
    <t>Microsoft Flow - How to run an activity "When a record is created", until manually stop/more than 30 days</t>
  </si>
  <si>
    <t>Populate Multi-Select widget names from related values</t>
  </si>
  <si>
    <t>Display an image that's uploaded into app resources</t>
  </si>
  <si>
    <t>PowerApps Filter data</t>
  </si>
  <si>
    <t>PowerApps exist function issue?</t>
  </si>
  <si>
    <t>PHP JSON Decoding To Array To Grab Specific Key Values (All fields same name)</t>
  </si>
  <si>
    <t>Copying several records from a Query</t>
  </si>
  <si>
    <t>Retrieve the list of users in the "Only allow access to specific users" under DEPLOYMENTS</t>
  </si>
  <si>
    <t>How do you use a variable in a regular expression and manipulate the variable?</t>
  </si>
  <si>
    <t>Want to capture fields which get updated in Salesforce</t>
  </si>
  <si>
    <t>Sync data on two DB's</t>
  </si>
  <si>
    <t>Task Assignment System using AppMaker</t>
  </si>
  <si>
    <t>Powerapps Search all even if filtered</t>
  </si>
  <si>
    <t>Zoho CRM Hide Fields</t>
  </si>
  <si>
    <t>How can I sortbycolumns with a conditional 'if' before the sort?</t>
  </si>
  <si>
    <t>Google App Maker : from api to wigets, no database</t>
  </si>
  <si>
    <t>How to get Google Chat ID in Apps Script</t>
  </si>
  <si>
    <t>PowerApps DropDown Errors</t>
  </si>
  <si>
    <t>"Drive Table internal error. Request is too large" as loading data into an app maker deployment</t>
  </si>
  <si>
    <t>Cannot have a dash in my database name for AppMaker</t>
  </si>
  <si>
    <t>Appmaker onClick or onValidate</t>
  </si>
  <si>
    <t>MisFit API inegration not supporting in Outsystem InAppBrowser</t>
  </si>
  <si>
    <t>Connect app maker server script with cloud storage bucket</t>
  </si>
  <si>
    <t>How can I reduce the file size of my forge extension (.xif)?</t>
  </si>
  <si>
    <t>How to have Powerapps automatically generate existing Excel dropdowns?</t>
  </si>
  <si>
    <t>Google App Maker: Accessing widget's kind (component's class name) programmatically</t>
  </si>
  <si>
    <t>Writing to a SQL Server table using powerapps</t>
  </si>
  <si>
    <t>Error with Graph API Call via PowerApp - Office365.FindMeetingTimes when &gt; 20 rooms</t>
  </si>
  <si>
    <t>Building a query in appmaker with "or"</t>
  </si>
  <si>
    <t>Can Google App Maker connect to MS SqlServer Database in Azure?</t>
  </si>
  <si>
    <t>how insert lookup field in Zoho via PHP-SDK APIv2</t>
  </si>
  <si>
    <t>Simplify the query or rewriting the query by omitting UNION ALL?</t>
  </si>
  <si>
    <t>Import CSV from UI in PowerApp</t>
  </si>
  <si>
    <t>what's the way to get Timestamp in Google App maker?</t>
  </si>
  <si>
    <t>Using custom libraries from apps script in App Maker: Authorization problem</t>
  </si>
  <si>
    <t>Unable to publish to a new deployment</t>
  </si>
  <si>
    <t>Need to send mail from my server and also from a 3rd party provider</t>
  </si>
  <si>
    <t>How to determine if accessing application through mobile browser or with a PhoneGap app using Java</t>
  </si>
  <si>
    <t>Service Cloud Snap-ins SDK for Mobile Apps for Xamarin</t>
  </si>
  <si>
    <t>Force a page to detach in client script</t>
  </si>
  <si>
    <t>How to fix the connection error between Google App Maker and Cloud SQL: "Communications link failure"?</t>
  </si>
  <si>
    <t>How to submit html form from API Nodejs + Expressjs</t>
  </si>
  <si>
    <t>How to import data into a Salesforce sandbox from a Snowflake database or AWS S3 by API and Python code?</t>
  </si>
  <si>
    <t>Salesforce - Add If-Else statement in custom HTML email template in Lightning</t>
  </si>
  <si>
    <t>Is it possible to create a custom event for calendar similar to tasks add on in calendar</t>
  </si>
  <si>
    <t>How to convert or migrate Zoho API Version 1 code to API version 2 using php (insert Leads)</t>
  </si>
  <si>
    <t>Powerapps Canvas - Decode Base64 encoded string to actual string</t>
  </si>
  <si>
    <t>Sending information from LeadsBridge post to apex salesforce rest Service</t>
  </si>
  <si>
    <t>How to reference the PHP SDK for Zoho API Version 2</t>
  </si>
  <si>
    <t>How to pass a variable to SQL query on AppMaker?</t>
  </si>
  <si>
    <t>How to make first option of &lt;select &gt; selected with Quickbase?</t>
  </si>
  <si>
    <t>7127 code error - Zoho Reports Bulk Import API</t>
  </si>
  <si>
    <t>Using append command to update line chart in Lightning server</t>
  </si>
  <si>
    <t>How can I set the page size for a PDF created (from HTML) and emailed using AppMaker?</t>
  </si>
  <si>
    <t>How to customize RemoteAccessAuthorizationPage in Salesforce?</t>
  </si>
  <si>
    <t>Like and Support Buttons for Sharepoint Items in PowerApps</t>
  </si>
  <si>
    <t>Recursion problem reading a file from salesforce aura helper</t>
  </si>
  <si>
    <t>Have to double Click to get Selected in Aura Components</t>
  </si>
  <si>
    <t>How to pass value from one form to another in powerapps</t>
  </si>
  <si>
    <t>Is it possible to persist Drive Picker widget settings across pages?</t>
  </si>
  <si>
    <t>JDBC connection in Google Appmaker - do not want to store password in script</t>
  </si>
  <si>
    <t>Google Scripts adding viewers to a file, causes email sent</t>
  </si>
  <si>
    <t>Join tables to find churn and new customer</t>
  </si>
  <si>
    <t>how to make express port to listen to nodemailer port</t>
  </si>
  <si>
    <t>Edit form Selected field auto created in view mode</t>
  </si>
  <si>
    <t>Initial query of data source</t>
  </si>
  <si>
    <t>Added spaces and LRs in JSON via Appmaker</t>
  </si>
  <si>
    <t>Is there a way to append left-indented text in a doc using Google apps script?</t>
  </si>
  <si>
    <t>Pulling cell data from Google Sheets to a text box or label in Google App Maker</t>
  </si>
  <si>
    <t>Google AppMaker filterable columns on table that is based on calculated CloudSQL model</t>
  </si>
  <si>
    <t>Leaflet event propagation and Salesforce Mobile</t>
  </si>
  <si>
    <t>How to create a search box for multiple columns?</t>
  </si>
  <si>
    <t>Salesforce Softphone - remove popout/expand icon</t>
  </si>
  <si>
    <t>Can Heroku be deployed in the Canadian data center, with no data leaving Canada? (Heroku Private Spaces)</t>
  </si>
  <si>
    <t>Forward SMS from Twilio to Email using Zoho Deluge</t>
  </si>
  <si>
    <t>Fix Notification Email Content</t>
  </si>
  <si>
    <t>How I can print all table's content in different pages?</t>
  </si>
  <si>
    <t>Click method is not working on a Salesforce webpage after the new update of Chromedriver. How to handle this with the same method?</t>
  </si>
  <si>
    <t>Menu button not working. Will not display Menu page fragment</t>
  </si>
  <si>
    <t>add new section to lead to call api depending on the lead url</t>
  </si>
  <si>
    <t>django mail webform not connection to mail server</t>
  </si>
  <si>
    <t>Q. How to query a model, in a one-to-many relationship, return associated records?</t>
  </si>
  <si>
    <t>Why the details of my list is not showing in Details screen in outsystems</t>
  </si>
  <si>
    <t>Drupal-8 Call to a member function setRevisionable() on null</t>
  </si>
  <si>
    <t>How to customize Verify your identity (entering verification code) screen in Salesforce?</t>
  </si>
  <si>
    <t>Relate calculated data model to Cloud SQL model</t>
  </si>
  <si>
    <t>How to create lightning page for a custom object?</t>
  </si>
  <si>
    <t>Which PowerApps license?</t>
  </si>
  <si>
    <t>Google APP MAKER, Changing a TRUE/FALSE statement in an image</t>
  </si>
  <si>
    <t>How to retrieve the value of a field in client Javascript, salesforce LWC</t>
  </si>
  <si>
    <t>Google App Maker - Button onClick read and sum up from textbox to a label</t>
  </si>
  <si>
    <t>Google App Maker table query _notContains doesn't work</t>
  </si>
  <si>
    <t>what is the rate limit by SFCC/Demandware for OCAPIs?</t>
  </si>
  <si>
    <t>Is there a way to auto load data to a dataset in PowerApps Component Framework (PCF)?</t>
  </si>
  <si>
    <t>Power Automate Add member to Group</t>
  </si>
  <si>
    <t>Google Cloud SQL setup &amp; connecting to App Maker</t>
  </si>
  <si>
    <t>How do I pass a current form field value to new popup?</t>
  </si>
  <si>
    <t>Options for Archiving instead of deleting</t>
  </si>
  <si>
    <t>Can I integrate SMS gateway in App Maker</t>
  </si>
  <si>
    <t>Server Script calling an external source returns object error</t>
  </si>
  <si>
    <t>How can I use ListView.obj in filtering SOQL, or in filtering already queried data?</t>
  </si>
  <si>
    <t>Login with different accounts</t>
  </si>
  <si>
    <t>Is there a way to use dynamic "mentions" in a rich text field using scripting in Quick Base?</t>
  </si>
  <si>
    <t>Stop App Maker creating duplicate relations</t>
  </si>
  <si>
    <t>How to deal with nested empty JSON arrays with tidyjson in R</t>
  </si>
  <si>
    <t>How to style options in Appmaker MultiSelect Widget</t>
  </si>
  <si>
    <t>Alias in where query in SOQL</t>
  </si>
  <si>
    <t>How to take test.salesforce.com while deployment as salesforce login url for api connection logic app?</t>
  </si>
  <si>
    <t>Suggest Box options for relation</t>
  </si>
  <si>
    <t>Why does right-click-&gt;View Data on Entity not show all fields</t>
  </si>
  <si>
    <t>Issues with losing all documents when going to deployment url</t>
  </si>
  <si>
    <t>Notification Email Entry Won't Work For Date Box Value</t>
  </si>
  <si>
    <t>Loader displays while DOM is updating</t>
  </si>
  <si>
    <t>Data import tool for Salesforce</t>
  </si>
  <si>
    <t>Salesforce: New Trailhead Account</t>
  </si>
  <si>
    <t>Conditional Search Results</t>
  </si>
  <si>
    <t>Why is the AppMaker console not appearing in preview mode?</t>
  </si>
  <si>
    <t>How to pause an appmaker deployment?</t>
  </si>
  <si>
    <t>Why my html element is not shown in the following function</t>
  </si>
  <si>
    <t>Mendix iFrame - Page not found</t>
  </si>
  <si>
    <t>How to pass external rest api data to a model as an Array of records?</t>
  </si>
  <si>
    <t>Appmaker: Multiple filters from a search bar on a table?</t>
  </si>
  <si>
    <t>I have created a lightning component which has embedded dashboard</t>
  </si>
  <si>
    <t>My images are showing up as list rather than slide show in my lwc</t>
  </si>
  <si>
    <t>Convert HTML5 to Lightning Web Component</t>
  </si>
  <si>
    <t>Power Apps Gallery Filter based on two values</t>
  </si>
  <si>
    <t>Google AppMaker how to define App level variables</t>
  </si>
  <si>
    <t>Retrieving UserPicker Widget emnail string using onValueChanged</t>
  </si>
  <si>
    <t>The requested operation is invalid. Server Response: A value must be provided for item. clientRequestID:</t>
  </si>
  <si>
    <t>trying to access Thunderbird-tabmail does not work</t>
  </si>
  <si>
    <t>How do I correct the issue with AppMaker posting to Google Calendar</t>
  </si>
  <si>
    <t>Where do I find the data related to Campaigns in the Sitecore's SQL database?</t>
  </si>
  <si>
    <t>Query multiple datasources in Google AppMaker from single search box</t>
  </si>
  <si>
    <t>Add record to Campaign object in Salesforce using force:recordData</t>
  </si>
  <si>
    <t>Unable to login Portal community after activating Critical update</t>
  </si>
  <si>
    <t>Can't access the device camera from appmaker?</t>
  </si>
  <si>
    <t>how to delete a salesforce commerce cloud cartridge?</t>
  </si>
  <si>
    <t>Dropdown Widget and Related Model</t>
  </si>
  <si>
    <t>application name and apps script version</t>
  </si>
  <si>
    <t>Change data model to use google cloud SQL</t>
  </si>
  <si>
    <t>Can we call .Net WebApi from Salesforce?</t>
  </si>
  <si>
    <t>How to analyse multiple texts in a single request using CommunitySentiment Model of Salesforce Einstein?</t>
  </si>
  <si>
    <t>Gmail Quota Reached in AppMaker</t>
  </si>
  <si>
    <t>Google Domain, Zoho Email, MailGun Delivery: SPF Entries error</t>
  </si>
  <si>
    <t>Conga Composer - Run a Macro</t>
  </si>
  <si>
    <t>How to populate a dropdown list based on a table field in Google AppMaker</t>
  </si>
  <si>
    <t>How to send data from table to popup</t>
  </si>
  <si>
    <t>PowerApps: Loading a form and gallery from an email with a deep link - Want only to load specific ID in both</t>
  </si>
  <si>
    <t>How to get LatLng from firebase in Arraylist to build markers in Google map?</t>
  </si>
  <si>
    <t>PowerApps - Log In with a User Level Access (Custom Login Screen)</t>
  </si>
  <si>
    <t>Query on Google App Maker data movement on premise</t>
  </si>
  <si>
    <t>Get list of all google groups within the orgranization</t>
  </si>
  <si>
    <t>PowerApp Collection error due to the letter 'y' in Data Source</t>
  </si>
  <si>
    <t>How can I allow the Current User to have permissions/views tied to their Direct Reports and Manager relationships?</t>
  </si>
  <si>
    <t>Retrieve record-Id of html data POST to CRM</t>
  </si>
  <si>
    <t>Using Google Admin SDK Reports API with Google App Maker</t>
  </si>
  <si>
    <t>binding transformer #formatNumber cannot used for field in create/edit form</t>
  </si>
  <si>
    <t>Datasource Paging Issue</t>
  </si>
  <si>
    <t>Foreign Key column missing</t>
  </si>
  <si>
    <t>How do I bind the value from the Address suggest box to the customer's Address field?</t>
  </si>
  <si>
    <t>Call app maker server script from Google Sheets</t>
  </si>
  <si>
    <t>Vehicle Booking System</t>
  </si>
  <si>
    <t>App maker override server side error message</t>
  </si>
  <si>
    <t>Restrict App launcher visibility to user profile other than system admin in salesforce</t>
  </si>
  <si>
    <t>Not being able to close the dynamic lightning component</t>
  </si>
  <si>
    <t>Microsoft PowerApp - OR function</t>
  </si>
  <si>
    <t>Combining hour and minute field into one in SharePoint list</t>
  </si>
  <si>
    <t>How do I fix this? Relation Error - TypeError: Cannot read property - Creating new record: (Error)</t>
  </si>
  <si>
    <t>Merge imagefiles and convert to PDF in Powerapps</t>
  </si>
  <si>
    <t>How to check in both server-side and client-side scripts if we are in preview mode or deployed version</t>
  </si>
  <si>
    <t>Get of all dates in calendar that are not in the List</t>
  </si>
  <si>
    <t>Quickbase Calendar Report - Colorize bar</t>
  </si>
  <si>
    <t>How do I know which revisions have been deployed in AppMaker?</t>
  </si>
  <si>
    <t>SQL Query: Joining of Two tables Using LEFT OR RIGHT OR INNER JOIN only - Need NULL values</t>
  </si>
  <si>
    <t>How can I use bluetooth in google app maker?</t>
  </si>
  <si>
    <t>How to create several new records in another SQL table from one button-click</t>
  </si>
  <si>
    <t>Dependent dropdown in table columns / widget</t>
  </si>
  <si>
    <t>Customize ForgotPasswordInterstitial page in Salesforce</t>
  </si>
  <si>
    <t>Apex salesforce pagereference for URL link mergefield</t>
  </si>
  <si>
    <t>Google App Maker Server side scripting, the basics</t>
  </si>
  <si>
    <t>How to avoid errors from onchange methods on lightning-input?</t>
  </si>
  <si>
    <t>Permission denied when try to fetch records from zoho people</t>
  </si>
  <si>
    <t>How to show two Pie Charts on the same Mendix page?</t>
  </si>
  <si>
    <t>Questions about AutoComplete in Google App Maker</t>
  </si>
  <si>
    <t>Accessing item from an other item in Google App Maker</t>
  </si>
  <si>
    <t>sum fields on js object by 2 fields and create instead of the object javascript</t>
  </si>
  <si>
    <t>Link to specific record on page in google app maker</t>
  </si>
  <si>
    <t>Passing value from datasource to onclick event</t>
  </si>
  <si>
    <t>Does previewing/publishing an application created using App Maker need GCP account as well?</t>
  </si>
  <si>
    <t>How do you use query.filters.FulllName._contains on the Directory Model</t>
  </si>
  <si>
    <t>Connection could not be established with host (Zoho) using Yii2 SwiftMailer</t>
  </si>
  <si>
    <t>Google appmaker making a confirmation dialog</t>
  </si>
  <si>
    <t>Upload CSV file from App Maker to Big Query</t>
  </si>
  <si>
    <t>How to size text in an SVG element</t>
  </si>
  <si>
    <t>Is it possible to create an input widget in app maker? Or how to make a multiselect with numbers?</t>
  </si>
  <si>
    <t>If a user is not an Admin, he can't access application</t>
  </si>
  <si>
    <t>I have a table with records. No matter which View button I click, the bottom record is displayed</t>
  </si>
  <si>
    <t>Creating a Sharepoint workflow to gather data for a custom list</t>
  </si>
  <si>
    <t>Suggested UI flows for request -&gt; delay -&gt; response?</t>
  </si>
  <si>
    <t>Google photos - no teamDriveId but API thinks it a team drive file</t>
  </si>
  <si>
    <t>Save data to text</t>
  </si>
  <si>
    <t>How to get value from combobox assign to button and navigate to next screen in Powerapps?</t>
  </si>
  <si>
    <t>How can i do a join between two table and do a filter in the same way?</t>
  </si>
  <si>
    <t>sql powerapps create relation</t>
  </si>
  <si>
    <t>export data with relations in excel</t>
  </si>
  <si>
    <t>How to generate Kanban with lists based on relationship between Item A, Item B and yet another sub-relationship with Item A?</t>
  </si>
  <si>
    <t>How do i filter empty column in powerapps</t>
  </si>
  <si>
    <t>Is there any formal documentation for Google App Maker syntax?</t>
  </si>
  <si>
    <t>How to implement Zoho Subscriptions webhook hash validation?</t>
  </si>
  <si>
    <t>How to move Google App Maker app to own server?</t>
  </si>
  <si>
    <t>how to add an attachment to the sendEmail quickaction apI through lightning component?</t>
  </si>
  <si>
    <t>External script in Gatsby</t>
  </si>
  <si>
    <t>Google App Maker navigate to page while getting page name from data model</t>
  </si>
  <si>
    <t>Insert form shifts to the left after running the AMU.loadRecordByKey function</t>
  </si>
  <si>
    <t>Calculating SQL query on a string field</t>
  </si>
  <si>
    <t>How to change button state and dispatch action to redux?</t>
  </si>
  <si>
    <t>Problem with deleting a CMP file of a Lightning Component</t>
  </si>
  <si>
    <t>How to get / use the name of 2 widgets and use them in a function?</t>
  </si>
  <si>
    <t>How to connect relation between 2 google cloud sql table</t>
  </si>
  <si>
    <t>Create record to another table on Google App Maker</t>
  </si>
  <si>
    <t>OneNote nested list issues when creating page from PowerApps</t>
  </si>
  <si>
    <t>Can we connect Power Virtual agent Bot to Backend like database, calling api's?</t>
  </si>
  <si>
    <t>Security measures between appmaker and Google Cloud SQL</t>
  </si>
  <si>
    <t>Lightning components - can we make client HTTP requests?</t>
  </si>
  <si>
    <t>Invalid identifier: Amount__c in trigger in Salesforce</t>
  </si>
  <si>
    <t>How can I load the datasource for a relation in a table?</t>
  </si>
  <si>
    <t>Google Cloud SQL not updating with script</t>
  </si>
  <si>
    <t>Sharing a page with specific result shows no data</t>
  </si>
  <si>
    <t>Have an extra required error validation I can't figure out where it comes from...can't submit</t>
  </si>
  <si>
    <t>Powerapps - How to add to a collection from a gallery in one go</t>
  </si>
  <si>
    <t>How to implement client side pagination on json response with images URLs in Lightning?</t>
  </si>
  <si>
    <t>Customer Reply not saved on Email Message object (Email-to-Case Salesforce)</t>
  </si>
  <si>
    <t>What is the difference that we are making by using Docker for Mendix?</t>
  </si>
  <si>
    <t>Google App Maker: date-driven email notifications</t>
  </si>
  <si>
    <t>Client or Server Script to Print following Form or convert to PDF</t>
  </si>
  <si>
    <t>Embed PowerApps from a different tenant on a SharePoint page</t>
  </si>
  <si>
    <t>Why does the IDE break aggregates after recovery of modules?</t>
  </si>
  <si>
    <t>Did I reinvent the wheel with multiple user access to 3rd party API within Google Apps Script?</t>
  </si>
  <si>
    <t>How to handover item._key from a listPage to a first editPage and second editPage</t>
  </si>
  <si>
    <t>Timepicker is hidden by the container slds-box slds-theme--default</t>
  </si>
  <si>
    <t>Null on Foreign Key</t>
  </si>
  <si>
    <t>Logging into zoho remotely using WordPress</t>
  </si>
  <si>
    <t>I am not able to open my google appmaker project</t>
  </si>
  <si>
    <t>Getting the $_SESSION empty after filling with data from DB</t>
  </si>
  <si>
    <t>How do I implement a goBack function in app script</t>
  </si>
  <si>
    <t>Set email body content in google appmaker</t>
  </si>
  <si>
    <t>Create keywords list WITHIN Create with MANY to MANY relation</t>
  </si>
  <si>
    <t>How to change a dropdown to a text box for barcode scanning into a field</t>
  </si>
  <si>
    <t>What does find list operation return if not found?</t>
  </si>
  <si>
    <t>Is there a way to store non-datasource data in an array between a page load event and a later on click event?</t>
  </si>
  <si>
    <t>Write clearcollect function to fetch data from post API</t>
  </si>
  <si>
    <t>Error when create event series in Salesforce with REST API</t>
  </si>
  <si>
    <t>App maker trigger sends mail two times from my 2 different Email addresses</t>
  </si>
  <si>
    <t>Buttons to load different Datasources to a Panel on a different Page</t>
  </si>
  <si>
    <t>Display data by years in one page with each year in a separate table</t>
  </si>
  <si>
    <t>Securing specific fields of a record in Google App Maker</t>
  </si>
  <si>
    <t>Aligning tick marks on an Area Chart with String X-Values</t>
  </si>
  <si>
    <t>How do you do an if statement on a value from a datacard in Power Apps?</t>
  </si>
  <si>
    <t>APP MAKER not available for all users of my organization</t>
  </si>
  <si>
    <t>Issue with Advanced Query not returning desired results</t>
  </si>
  <si>
    <t>Select a form from title when I open my app</t>
  </si>
  <si>
    <t>How to onSelect dropdown1 item to show different dropdown2 item in PowerApps?</t>
  </si>
  <si>
    <t>More efficient way to add multiple records</t>
  </si>
  <si>
    <t>Cannot activate a flow in Salesforce</t>
  </si>
  <si>
    <t>Unable to make connections from a deployed App Maker app to Cloud SQL</t>
  </si>
  <si>
    <t>Repeating Salesforce Workflow actions every x days</t>
  </si>
  <si>
    <t>Any way to find out the fields in a datasource?</t>
  </si>
  <si>
    <t>What is an acceptable way to print from app maker?</t>
  </si>
  <si>
    <t>How can I use REST API authentication in Mendix?</t>
  </si>
  <si>
    <t>Error 429: Start an Approval error in Power Automate</t>
  </si>
  <si>
    <t>How to pass array of type any to a Lookup</t>
  </si>
  <si>
    <t>Zoho Bill "tax_type" field on REST endpoint</t>
  </si>
  <si>
    <t>sharepoint online - Powerapp integration</t>
  </si>
  <si>
    <t>Google App Maker: How to access properties of an item bound to widget?</t>
  </si>
  <si>
    <t>Project time tracker</t>
  </si>
  <si>
    <t>Why can't I rename SharepointForm1 to something else?</t>
  </si>
  <si>
    <t>How to create a Courier Price calculator in wordpress based on geolocation?</t>
  </si>
  <si>
    <t>Salesforce Trigger</t>
  </si>
  <si>
    <t>PowerApps Azure function connection</t>
  </si>
  <si>
    <t>Azure Active Directory Authorization Token Has Expired</t>
  </si>
  <si>
    <t>Zoho subscription validate webhook signature NodeJS</t>
  </si>
  <si>
    <t>Using filter function with multiple values for the same column in powerapps</t>
  </si>
  <si>
    <t>Map response data to required structure of domain model</t>
  </si>
  <si>
    <t>Using the CASE statement not showing the pecent</t>
  </si>
  <si>
    <t>Table with rows of variable height</t>
  </si>
  <si>
    <t>Casting Powerapps to Chromecast</t>
  </si>
  <si>
    <t>Change Field STatus</t>
  </si>
  <si>
    <t>Join Cloud SQL data models with aggregated field</t>
  </si>
  <si>
    <t>Is there a way to schedule mail messages using the API?</t>
  </si>
  <si>
    <t>Advantage JDBC , Unexpected EOF while reading from socket?</t>
  </si>
  <si>
    <t>is there a way to set dynamic field names in lightning:input like below?</t>
  </si>
  <si>
    <t>Calculate total amount per quantity enter in PowerApps</t>
  </si>
  <si>
    <t>Azure DevOps - Dynamics CRM - Powerapps Deploy Package getting timed out</t>
  </si>
  <si>
    <t>Missing resource value for @salesforce/Schema/User.Name" Error</t>
  </si>
  <si>
    <t>PowerApps Base64 PDF</t>
  </si>
  <si>
    <t>Rails Zoho configuration sending mails via console but not from mailer class</t>
  </si>
  <si>
    <t>How to check if an email address other than that of the logged-in user has Admin role?</t>
  </si>
  <si>
    <t>Salesforce PushTopic NotifyForFields if element in where</t>
  </si>
  <si>
    <t>Checkbox value in Display Mode = view &amp; edit PowerApps</t>
  </si>
  <si>
    <t>How to change the Date format as DD-MM-YYYY in salesforce lightning data table?</t>
  </si>
  <si>
    <t>Pass dynamic variable in array attribute</t>
  </si>
  <si>
    <t>Slideshare api getting 'Failed API Validation' error response</t>
  </si>
  <si>
    <t>How to authenticate indeed request using X-Indeed-Signature?</t>
  </si>
  <si>
    <t>PDF Tron Path error for Hybrid Android App</t>
  </si>
  <si>
    <t>Is there a way to pass multiple (and different) parameters to an Apex Controller class from JS in Lightning Web Components (LWC)?</t>
  </si>
  <si>
    <t>Xml Node value never change error</t>
  </si>
  <si>
    <t>How to get rid of "Send email as you" permission in Appmaker</t>
  </si>
  <si>
    <t>Can a user who isn't admin use Teamdrives.list()</t>
  </si>
  <si>
    <t>How do I just reference the Body field in a record?</t>
  </si>
  <si>
    <t>How to track when a relation value of a record has changed using onBeforeSave event?</t>
  </si>
  <si>
    <t>Lookup always return first item</t>
  </si>
  <si>
    <t>Return blank records instead of No Records found from Salesforce</t>
  </si>
  <si>
    <t>Creating Parent Child Records</t>
  </si>
  <si>
    <t>How can I edit data using a dynamically created radio-button based form in google-app-maker?</t>
  </si>
  <si>
    <t>How do I get the code in this Powerapps lesson on edit forms to work?</t>
  </si>
  <si>
    <t>Is there a way to create the type of line graph described below in QuickBase?</t>
  </si>
  <si>
    <t>How to fix the position of the label of textbox In Google app maker?</t>
  </si>
  <si>
    <t>GSuite AppMaker - Populate datasource with distinct values from another table</t>
  </si>
  <si>
    <t>What is my App Maker database key/name for published apps</t>
  </si>
  <si>
    <t>Very simple if else check in Google App Maker</t>
  </si>
  <si>
    <t>How to call Zoho mail inbox api in nodejs application?</t>
  </si>
  <si>
    <t>Why doesn't AppMaker image widget accept camera snapshot when HTML image element will?</t>
  </si>
  <si>
    <t>render vf page as pdf which is showing the content of the standard dashboard page</t>
  </si>
  <si>
    <t>Is there a widget or code that will allow ios camera access?</t>
  </si>
  <si>
    <t>Getting error: Authentication with the CRM provider failed, while creating sfdc instance through cloudelements</t>
  </si>
  <si>
    <t>Quotes to replace in string API</t>
  </si>
  <si>
    <t>nextPage() method - not functioning</t>
  </si>
  <si>
    <t>Syntax for an expression to calculate subtraction using variables</t>
  </si>
  <si>
    <t>PowerApps ComboBox with Multiple Default Values</t>
  </si>
  <si>
    <t>Giving publishing rights to a deployment to another user</t>
  </si>
  <si>
    <t>appmaker how to change the name in the browser history</t>
  </si>
  <si>
    <t>Error in custom parameters in a Query Server Script</t>
  </si>
  <si>
    <t>How to filter a powerapps database based on one dropdown comparing to multiple columns</t>
  </si>
  <si>
    <t>Connected App - Callback Url is not called after log in using customized community login page. Instead it gets redirected to Community Landing Page</t>
  </si>
  <si>
    <t>Clear filter query before running next script</t>
  </si>
  <si>
    <t>How to create collection with last visit date for each store in SharePoint list</t>
  </si>
  <si>
    <t>Powerapp filter by user's office location</t>
  </si>
  <si>
    <t>app maker: bind dropdown value to two datasource properties</t>
  </si>
  <si>
    <t>How to create a collection from Office365.Outlook data source?</t>
  </si>
  <si>
    <t>Failed to open Model driven PowerApps</t>
  </si>
  <si>
    <t>The field is not available for search in zoho cdk</t>
  </si>
  <si>
    <t>Appmaker retrieving records upon user role</t>
  </si>
  <si>
    <t>Preloading (load before attach) pages and CheckBox styling</t>
  </si>
  <si>
    <t>Difference between Entity Type Standard and Managed in Common Data Service?</t>
  </si>
  <si>
    <t>Powerapps Form: Possible to have default value from one datasource, items from another?</t>
  </si>
  <si>
    <t>Google App Maker - Problems setting UI visibility by role</t>
  </si>
  <si>
    <t>How to distinguish a function is client script or server script</t>
  </si>
  <si>
    <t>How to bind two distinct datasources to a common dropdown</t>
  </si>
  <si>
    <t>how to delete alarm in lightning (in js)</t>
  </si>
  <si>
    <t>Generating key name based on value passed to function</t>
  </si>
  <si>
    <t>How do I get the correct datasource setup in app-maker?</t>
  </si>
  <si>
    <t>How can I dynamically update 'src' in &lt;script src=&gt; in Squarespace</t>
  </si>
  <si>
    <t>PowerApps - Code Affects Performance of the Application because of Duplication of If else Loops</t>
  </si>
  <si>
    <t>Display Confirmation of New Record</t>
  </si>
  <si>
    <t>How to use the widget fullpath to access widget's properties?</t>
  </si>
  <si>
    <t>How to set value from data model as parameter value in function</t>
  </si>
  <si>
    <t>How to get users first and last name?</t>
  </si>
  <si>
    <t>Google App Maker performance issue when working with multiple people</t>
  </si>
  <si>
    <t>How to hide the null item option in appmaker radio group when allowNull=true and field is boolean?</t>
  </si>
  <si>
    <t>Redirect unauthorized users using Navigate on screen OnVisible</t>
  </si>
  <si>
    <t>Appmaker: Get ID of created item?</t>
  </si>
  <si>
    <t>Displaying JSON output from an API call in Ruby using VScode</t>
  </si>
  <si>
    <t>add string to app maker dropdown menu options in addition to datasource items</t>
  </si>
  <si>
    <t>Plotting radar/polar charts in Outsystems</t>
  </si>
  <si>
    <t>App maker: Return from the Drive Picker multiple selected files</t>
  </si>
  <si>
    <t>promise resolution in imperative APEX call</t>
  </si>
  <si>
    <t>Dynamically create object/variable and set its value</t>
  </si>
  <si>
    <t>Power Apps - Office 365 Outlook permissons</t>
  </si>
  <si>
    <t>Hoy to export @expr data table to sheets in google app maker?</t>
  </si>
  <si>
    <t>Can we integrate XLSX and Syncfusion Library with LWC</t>
  </si>
  <si>
    <t>Losing data after deployment - clarification</t>
  </si>
  <si>
    <t>Different results for Visible formulas between Preview vs. Published app</t>
  </si>
  <si>
    <t>Appmaker panel &amp; canvas height</t>
  </si>
  <si>
    <t>How to get MyTeams of CurrentUser in Office 365(Dynamics 365) Environment from Powerapps?</t>
  </si>
  <si>
    <t>Is this consider hardcoding in Powerapps canvas-app functions?</t>
  </si>
  <si>
    <t>Adding intermittent logo to my App using Powerapps</t>
  </si>
  <si>
    <t>How to access Google SQL tables outside App Maker</t>
  </si>
  <si>
    <t>Close an app created in app maker and distributed thru my organization playstore</t>
  </si>
  <si>
    <t>How do I filter choices from a lookup field that points to a different SharePoint list?</t>
  </si>
  <si>
    <t>Unable to import date data into App Maker</t>
  </si>
  <si>
    <t>Appmaker: How can I get the ID of an item i just created, on client side?</t>
  </si>
  <si>
    <t>Google App Maker - Filtering Tables on load</t>
  </si>
  <si>
    <t>Call function for newly created item</t>
  </si>
  <si>
    <t>Attach image from Sharepoint list must send to Email, Ms Teams, Kaizala</t>
  </si>
  <si>
    <t>select date field from SQL datasource in appmaker based on drop down value</t>
  </si>
  <si>
    <t>Filtering a datasource using multi select wild character</t>
  </si>
  <si>
    <t>Stop AppMaker deleting email address onSend</t>
  </si>
  <si>
    <t>How do I keep Google App Maker app from timing out</t>
  </si>
  <si>
    <t>SQL Query: JOIN Three tables thenNot showing the results after joining the 3rd table</t>
  </si>
  <si>
    <t>Showing error in Search Command Power Apps</t>
  </si>
  <si>
    <t>Restrict access to page via script Appmaker</t>
  </si>
  <si>
    <t>Embed a TradingView widget into google app maker</t>
  </si>
  <si>
    <t>What is Bot in salesforce</t>
  </si>
  <si>
    <t>Trying to connect to an API and opened MySQL port so it would work, but terminal just hangs</t>
  </si>
  <si>
    <t>Bug With CSS Animation</t>
  </si>
  <si>
    <t>If I have a transaction_id of an authorization request in Magento, can I use same that transaction id and token to capture funds in Salesforce?</t>
  </si>
  <si>
    <t>How can I modify the meta data of any field using apex</t>
  </si>
  <si>
    <t>What is the similarity between outsystem and Red hat fuse?</t>
  </si>
  <si>
    <t>Is there any possibility to have custom error messages when you try to submit an approval for an opportunity?</t>
  </si>
  <si>
    <t>How can I add all models from a Google Sql database to app maker?</t>
  </si>
  <si>
    <t>Appmaker: Date returned from Google sheets is wrong</t>
  </si>
  <si>
    <t>How to setup Swagger for PowerApps correctly?</t>
  </si>
  <si>
    <t>Ui Flows - Selenium IDE (recorder tool) - How do I store the returned value of an embedded javascript function in a webpage I am scraping?</t>
  </si>
  <si>
    <t>How to upload multiple files in selenium for validation?</t>
  </si>
  <si>
    <t>Call js method from jQuery function</t>
  </si>
  <si>
    <t>preventDefault() throws error only on Mark Complete event (D365 Unified Interface)</t>
  </si>
  <si>
    <t>Sharing source files between Client and Server side on AppMaker</t>
  </si>
  <si>
    <t>Freeze/float cell while keeping other cell scrollable</t>
  </si>
  <si>
    <t>com.google.apps.appmaker.shared.json.JsonException: JSON is not an object</t>
  </si>
  <si>
    <t>Circumventing query page size limitations</t>
  </si>
  <si>
    <t>PowerApps Navigation From Excel File Data Source</t>
  </si>
  <si>
    <t>Cannot install 3rd party CSS framework into Vue app</t>
  </si>
  <si>
    <t>Linking Google AppMaker to CloudSQL</t>
  </si>
  <si>
    <t>Devart Entity Developer Can't See Certain Picklist Fields</t>
  </si>
  <si>
    <t>Use a field in a list without use it in a datacard visible on form</t>
  </si>
  <si>
    <t>2GP packages in Salesforce production?</t>
  </si>
  <si>
    <t>how to add meta tags to AppMaker head</t>
  </si>
  <si>
    <t>PowerApps: AddMedia Control - Add more than 1 element?</t>
  </si>
  <si>
    <t>Node-Salesforce: What are possible options for execute function?</t>
  </si>
  <si>
    <t>How to change a variable when an API property is changed?</t>
  </si>
  <si>
    <t>How can I calculate the average of maximums in QuickBase?</t>
  </si>
  <si>
    <t>How to handle action state "INCOMPLETE"</t>
  </si>
  <si>
    <t>Is there any way to open the applications in two systems at same time?</t>
  </si>
  <si>
    <t>Create an App in Microsoft Power apps from the existing code</t>
  </si>
  <si>
    <t>Google appmaker how to have a password type input (hidden text)?</t>
  </si>
  <si>
    <t>Connect Cosmos DB Flow to Power Apps</t>
  </si>
  <si>
    <t>Salesforce integration - categorisation based on pricing plans</t>
  </si>
  <si>
    <t>Using Pager to rotate through Page Fragments</t>
  </si>
  <si>
    <t>Form is submitting empty values though it's required in the datasource (Google App Maker)</t>
  </si>
  <si>
    <t>Dropdown doesn't fill with values from variable</t>
  </si>
  <si>
    <t>Is it possible to change the Tab order in a Tab widget?</t>
  </si>
  <si>
    <t>How can I deselect all selected option of a dropdown when selecting an option in a different dropdown?</t>
  </si>
  <si>
    <t>Creating an Array of all patient's weight measures in different appointments</t>
  </si>
  <si>
    <t>App Maker Document Approval Template : Add Default Approvers automatically</t>
  </si>
  <si>
    <t>Count records in already applied query</t>
  </si>
  <si>
    <t>How can I add a light effect to a part of the image in xamarin?</t>
  </si>
  <si>
    <t>Appmaker Reloading datasource on onInputChange event issue</t>
  </si>
  <si>
    <t>How to input data to foreign field?</t>
  </si>
  <si>
    <t>GSuite Appmaker - how to set default value in table using button</t>
  </si>
  <si>
    <t>Open hyperlink on button click, when hyperlink is in datasource</t>
  </si>
  <si>
    <t>SOQL Query for Left Join for custom objects</t>
  </si>
  <si>
    <t>Customize list views with sharing settings in salesforce</t>
  </si>
  <si>
    <t>Enable button on drop-down &amp; Text Input Validation</t>
  </si>
  <si>
    <t>How to Change 0 to 1 in TextInput</t>
  </si>
  <si>
    <t>How to append a datasource in Google App Maker in realtime and on clientside?</t>
  </si>
  <si>
    <t>How to upload the file to the user`s 'Files' tab using system admin token (REST API)?</t>
  </si>
  <si>
    <t>Selenium not inputting the whole text to a text box/text area</t>
  </si>
  <si>
    <t>How to change user in the appmaker editor</t>
  </si>
  <si>
    <t>Is it possible to securely enforce that a user can only access data through a relation?</t>
  </si>
  <si>
    <t>How to prepopulate entries for a SQL table, so that a first time user gets sample data?</t>
  </si>
  <si>
    <t>Is there a way to auto-submit the 'form' on initialization of the lightning component bundle?</t>
  </si>
  <si>
    <t>xpath clarification in Salesforce application</t>
  </si>
  <si>
    <t>In app maker, how can I clear a column sort?</t>
  </si>
  <si>
    <t>How can we get table size in Salesforce using CData driver?</t>
  </si>
  <si>
    <t>Unable to extract attendance data in JSON postman</t>
  </si>
  <si>
    <t>Google Scope Authorizations Loop Endlessly When Previewing or Publishing Apps with Cloud SQL Database</t>
  </si>
  <si>
    <t>Problem with Power App (Loading data from power App to Excel)</t>
  </si>
  <si>
    <t>Appmaker: Home Page "AppStart" upon user role</t>
  </si>
  <si>
    <t>Cloudflare is blocking me from my wordpress site for trying to add a javascript code snippet from a zoho chat plugin</t>
  </si>
  <si>
    <t>Dynamically changing the bound entity of a list box on a canvas</t>
  </si>
  <si>
    <t>How do I generating code-coverage for salesforce locally</t>
  </si>
  <si>
    <t>Finding the Size of a Model in Google App Maker</t>
  </si>
  <si>
    <t>Google AUTOML API integration issue using service account</t>
  </si>
  <si>
    <t>Appmaker get all records of a model on serverside</t>
  </si>
  <si>
    <t>Server side microsecond timing</t>
  </si>
  <si>
    <t>How to remember page in table when navigating back</t>
  </si>
  <si>
    <t>How to show different items (that is based on first dropdown) in the second dropdown after first dropdown is selected in Powerapps?</t>
  </si>
  <si>
    <t>How to create header menu for multiple page in powerapss?</t>
  </si>
  <si>
    <t>Django can no longer find base.html after third-pary API call</t>
  </si>
  <si>
    <t>Cannot use design-system-react</t>
  </si>
  <si>
    <t>Conditional Row Color &amp; Maximum call stack size exceeded</t>
  </si>
  <si>
    <t>How to collect data from a form and inset it in another sharepoint list</t>
  </si>
  <si>
    <t>Select a record and change the value</t>
  </si>
  <si>
    <t>Do we have any event in lightning that fires after all the child components of a parent component has rendered?</t>
  </si>
  <si>
    <t>Manipulating DOM from a custom component in salesforce lightning</t>
  </si>
  <si>
    <t>Appmaker Navigate to a dynamic page</t>
  </si>
  <si>
    <t>dropdown only shows a single "page" of data</t>
  </si>
  <si>
    <t>Creating Custom Object in Salesforce Lightning using Selenium Webdriver</t>
  </si>
  <si>
    <t>Autopopulate 2 Combo box value from Selected Combo Box</t>
  </si>
  <si>
    <t>Multiple datasources for same SQL DB</t>
  </si>
  <si>
    <t>GoogleMap Widget is not loading the coordinates</t>
  </si>
  <si>
    <t>How do you update a Gmail draft relevant to a thread without it losing the link to the thread?</t>
  </si>
  <si>
    <t>Zoho Crm API2 Created_By &amp; Modifed_BY not updated by request</t>
  </si>
  <si>
    <t>How to upload files logged in as a different user to the app creator's drive such that only the most recently uploaded file is kept in the team drive?</t>
  </si>
  <si>
    <t>How to group svg icons all in a single file</t>
  </si>
  <si>
    <t>Filter only data associated to my Email address in the table (Google App Maker)</t>
  </si>
  <si>
    <t>Using a checkbox to filter a Boolean on table view. Inherited (relation) datasource</t>
  </si>
  <si>
    <t>can you Close a google appmaker app with code?</t>
  </si>
  <si>
    <t>Accept button to take ownership of custom object records in community portal salesforce</t>
  </si>
  <si>
    <t>How to get an even amount of grid cells</t>
  </si>
  <si>
    <t>How do I fetch all metadata of Salesforce using Powershell script</t>
  </si>
  <si>
    <t>Clip-path inset circle</t>
  </si>
  <si>
    <t>Offline Capabilities in PowerApps</t>
  </si>
  <si>
    <t>Calculated column not returning the correct number of days between two dates</t>
  </si>
  <si>
    <t>Non-Admin Users Can't Use on Prem Custom Connector</t>
  </si>
  <si>
    <t>await client.queryasync taking too long</t>
  </si>
  <si>
    <t>Inserting a ContentVersion using Angularjs $http</t>
  </si>
  <si>
    <t>HTML table Infinite Scrolling</t>
  </si>
  <si>
    <t>Showing a loading indicator while calling Apex in Salesforce LWC</t>
  </si>
  <si>
    <t>SQL Server : measuring real-time efficiency by operator</t>
  </si>
  <si>
    <t>Zoho JSON result into CSV file</t>
  </si>
  <si>
    <t>Why should i choose a webservice versus adding the logic to mobile code? Salesforce web versus iOS Native App</t>
  </si>
  <si>
    <t>Quickbase usertoken to supersede current user credentials/permissions</t>
  </si>
  <si>
    <t>Are external users able to use a PowerApps app?</t>
  </si>
  <si>
    <t>Zoho CRM - link to Zoho Forms from email in function</t>
  </si>
  <si>
    <t>Sharing powerapps application to multiple users</t>
  </si>
  <si>
    <t>Sub total of list based on relations</t>
  </si>
  <si>
    <t>Power Apps Modify Dropdown Items Property to List Files From a Specific SP Doc Library Folder</t>
  </si>
  <si>
    <t>Google appmaker checkbox style broken</t>
  </si>
  <si>
    <t>Create New Calendar (not events) Using PowerApps MS Flow</t>
  </si>
  <si>
    <t>LWC Passing List Parameters to Apex Controller</t>
  </si>
  <si>
    <t>I have one power apps (store data in sharepoint) and now, it is ready for go live but what is best practice to roll out</t>
  </si>
  <si>
    <t>Code Coverage Failure Your code coverage is 72%. You need at least 75% coverage to complete this deployment</t>
  </si>
  <si>
    <t>Can't find my form in PowerApps, but it can be accessed from link in SharePoint list</t>
  </si>
  <si>
    <t>How to sync the data between common data service and source?</t>
  </si>
  <si>
    <t>Forward mail through two mx records</t>
  </si>
  <si>
    <t>PowerApps : interogating datasources</t>
  </si>
  <si>
    <t>How to display just first few characters from a string</t>
  </si>
  <si>
    <t>Duplicate entry unique key.... my error catching failed</t>
  </si>
  <si>
    <t>App maker resetting drop down values after page load</t>
  </si>
  <si>
    <t>How can I change the icon of the checkbox widget?</t>
  </si>
  <si>
    <t>How to connect two datasources to a related third datasource in client script?</t>
  </si>
  <si>
    <t>How to update a field based on the success of email sending</t>
  </si>
  <si>
    <t>Date function not working on Label in PowerApps</t>
  </si>
  <si>
    <t>Trying to see custom fields on a custom object created through metadata api in salesforce</t>
  </si>
  <si>
    <t>Highlighting elements is not working in selenium java using javascript</t>
  </si>
  <si>
    <t>How to set-up a RMM in marketing cloud to create a case in Service Cloud</t>
  </si>
  <si>
    <t>How can i check for duplicate list in SharePoint using power app?</t>
  </si>
  <si>
    <t>Cascading drop down list in Power Apps</t>
  </si>
  <si>
    <t>Can we use Clasp with Google App Maker to code locally and push to AM?</t>
  </si>
  <si>
    <t>Standard connectors moving to premium. Is Logic Apps also affected</t>
  </si>
  <si>
    <t>How to upload files and attachments to the sobject record using REST API?</t>
  </si>
  <si>
    <t>Azure SQL - creating an autogenerating id with a constraint causing issues for powerapps</t>
  </si>
  <si>
    <t>Validation trouble on new records</t>
  </si>
  <si>
    <t>Field growing when text incoming</t>
  </si>
  <si>
    <t>Installing triggers on AppMaker deployment</t>
  </si>
  <si>
    <t>How to get grant token automatic</t>
  </si>
  <si>
    <t>No item display in canvas layout in PowerApp application</t>
  </si>
  <si>
    <t>Selecting Item in Array</t>
  </si>
  <si>
    <t>Query Script Datasource not updating on change</t>
  </si>
  <si>
    <t>Update table based on currentYear value from dropdown (external data)</t>
  </si>
  <si>
    <t>Is there a way to populate a table using powerapps that is a "new" product</t>
  </si>
  <si>
    <t>How can we use PHPMailer with Zoho oAuth?</t>
  </si>
  <si>
    <t>How to change extension type in Add Image control Powerapps</t>
  </si>
  <si>
    <t>App Maker: Sending Email, client script to server script function not working. Failed due to illegal value in property: a</t>
  </si>
  <si>
    <t>GSuite App Maker - how to pivot datasources</t>
  </si>
  <si>
    <t>I am unable to see activity history and open activities in related list for classic view in salesforce</t>
  </si>
  <si>
    <t>Is there a powershell command to get model driven power apps?</t>
  </si>
  <si>
    <t>Table with a relation datasource opening first item in datasource</t>
  </si>
  <si>
    <t>Where to Google app maker personal version</t>
  </si>
  <si>
    <t>What permissions does user need to create and use powerapp?</t>
  </si>
  <si>
    <t>Google Appmaker supported Drive API Version</t>
  </si>
  <si>
    <t>Change input value using javascript in a form built with Aura</t>
  </si>
  <si>
    <t>How to add new line in string variable</t>
  </si>
  <si>
    <t>Canvas PowerApp Form unable to get fields from Custom Connector returning tabular data from REST API</t>
  </si>
  <si>
    <t>Dijit buttons don't work when I move to a different page</t>
  </si>
  <si>
    <t>NPM Build Issues - Salesforce UX</t>
  </si>
  <si>
    <t>Back press is not working in SaleForce login screen</t>
  </si>
  <si>
    <t>PowerApps MySl - Dropdown Issues</t>
  </si>
  <si>
    <t>How to disable all elements of a form in appmaker without writing code for each element?</t>
  </si>
  <si>
    <t>Calculated Server Script -- Sum of calculated product</t>
  </si>
  <si>
    <t>Sending data with email</t>
  </si>
  <si>
    <t>Count records from DatasourceB based value from DatasourceA</t>
  </si>
  <si>
    <t>Getting exception while try to do a ajax call</t>
  </si>
  <si>
    <t>Resizing a div by the left and right border in lightning component?</t>
  </si>
  <si>
    <t>Appmaker: How to validate my data on the server-side before creating a record?</t>
  </si>
  <si>
    <t>Can i create a sql table populated with Salesforce objects?</t>
  </si>
  <si>
    <t>Salesforce Low bandwidth tools</t>
  </si>
  <si>
    <t>Is there a way to check the maximum hex value allowed in a string?</t>
  </si>
  <si>
    <t>how to get span inner text inside div tag</t>
  </si>
  <si>
    <t>Missing Token zoho desk integration</t>
  </si>
  <si>
    <t>Attendance API from zoho people in postman</t>
  </si>
  <si>
    <t>Power BI to call CRM process</t>
  </si>
  <si>
    <t>Has anyone tried getting this signature pad to work in Google App Maker</t>
  </si>
  <si>
    <t>Power Apps Web Resource unable to access Window object of PCF Custom Control</t>
  </si>
  <si>
    <t>Can we publish Power Apps Portal to App Source like Power Apps?</t>
  </si>
  <si>
    <t>Powerapps: cant get response value from ms flow</t>
  </si>
  <si>
    <t>Create Salesforce Canvas App from war file</t>
  </si>
  <si>
    <t>Which field describes reporter of a Salesforce Case</t>
  </si>
  <si>
    <t>Display label based on, field on one data-source (singular) being within another data-source fields many</t>
  </si>
  <si>
    <t>People Column (Allow Multiple Selections) in HTMLText Control</t>
  </si>
  <si>
    <t>PowerApps : transfer data from form to form based on date and shift DataCardValue</t>
  </si>
  <si>
    <t>how to update database fields by checking the success of sending email?</t>
  </si>
  <si>
    <t>How to send a notification email at 1 pm and 6 pm?</t>
  </si>
  <si>
    <t>convert date from DateBox to simpleDate and get year in app maker</t>
  </si>
  <si>
    <t>Link Two Tables In PowerApps</t>
  </si>
  <si>
    <t>Showing related data in a list</t>
  </si>
  <si>
    <t>Drive picker in Google App Maker stopped working</t>
  </si>
  <si>
    <t>Server side script to update the page every 10 seconds</t>
  </si>
  <si>
    <t>Appmaker: how to set the current item to be the lastly created?</t>
  </si>
  <si>
    <t>PowerApps - Creating a Date Range</t>
  </si>
  <si>
    <t>Salesforce method is not fully executed</t>
  </si>
  <si>
    <t>Create new record based on Old record on app maker</t>
  </si>
  <si>
    <t>How to make a data studio chart on projected data based on who opens the report from the appmaker app</t>
  </si>
  <si>
    <t>How to test a PowerApps Custom Connector GET request at localhost?</t>
  </si>
  <si>
    <t>Unable to make SalesForce REST API call using nforce</t>
  </si>
  <si>
    <t>How can I read a zip file from Google Drive using Google App Maker?</t>
  </si>
  <si>
    <t>Able to delete, but no confirmation</t>
  </si>
  <si>
    <t>How do I increase query page size of widget from the default of 100</t>
  </si>
  <si>
    <t>Power Apps Canvas - import data from excel sheet</t>
  </si>
  <si>
    <t>SPFx web part with CDS</t>
  </si>
  <si>
    <t>How to, using image as button to set a value of a field OnSelect</t>
  </si>
  <si>
    <t>How to get User Email who is submitting the form and save it</t>
  </si>
  <si>
    <t>In PowerApps, is there a best practice for an ordered (and re-orderable) list?</t>
  </si>
  <si>
    <t>Generating zoho ticket using google apps script</t>
  </si>
  <si>
    <t>Displaying data in salesforce app from outside</t>
  </si>
  <si>
    <t>Difficulty Integrating Powerapps, Flow, and SharePoint</t>
  </si>
  <si>
    <t>Powerapps suspense list items error waiting for bracketclose found error</t>
  </si>
  <si>
    <t>error publishing application could not access deployment</t>
  </si>
  <si>
    <t>Salesforce component issue</t>
  </si>
  <si>
    <t>Quick action tab is not visible in Account record page</t>
  </si>
  <si>
    <t>How to create composite primary keys in Google Cloud SQL through App Maker</t>
  </si>
  <si>
    <t>Salesforce login to user with lightning design - No headers</t>
  </si>
  <si>
    <t>loading community url on ios webview after login to salesforce mobile sdk</t>
  </si>
  <si>
    <t>How to make tables in Google App Maker flow horizontally</t>
  </si>
  <si>
    <t>Is there a script or binding that I can use to make a text box read only?</t>
  </si>
  <si>
    <t>How Can I bypass Zoho Creator Records Run limit?</t>
  </si>
  <si>
    <t>My navigation link isn't connecting OutSystems</t>
  </si>
  <si>
    <t>Popup scrolling Issue in Google AppMaker</t>
  </si>
  <si>
    <t>Default text into a text field in PowerApps</t>
  </si>
  <si>
    <t>Set default value for Relations table</t>
  </si>
  <si>
    <t>Saving data over time, like time series in google cloud SQL?</t>
  </si>
  <si>
    <t>Error while applying context TypeError: Cannot read property 'getReferences' of null Error</t>
  </si>
  <si>
    <t>how to Insert my Azure function to PowerApps</t>
  </si>
  <si>
    <t>how can i change the currency sign based on a condition in Microsoft flow?</t>
  </si>
  <si>
    <t>Valid checkbox is checked in PowerApps</t>
  </si>
  <si>
    <t>google play console ad section blank</t>
  </si>
  <si>
    <t>Substringing a QR code and enter automatically in a form field in Zoho</t>
  </si>
  <si>
    <t>Converting the response of the Google Admin SDK with curly-brace strings with items into a multidimensional array</t>
  </si>
  <si>
    <t>Google App Maker, importing and opening an existing web page onLoad</t>
  </si>
  <si>
    <t>Slow Navigate + Component Inefficient Delayed Loading</t>
  </si>
  <si>
    <t>how to make a salesforce1 tab available to a certain user</t>
  </si>
  <si>
    <t>How to determine salesforce config or format</t>
  </si>
  <si>
    <t>How to control pop up that embeds a payment system?</t>
  </si>
  <si>
    <t>Return created item key</t>
  </si>
  <si>
    <t>How to make a Salesforce page display more fields?</t>
  </si>
  <si>
    <t>Custom object select field in Salesforce web-to-lead form</t>
  </si>
  <si>
    <t>Salesforce Validations - If Condition with And OR</t>
  </si>
  <si>
    <t>What would be the best way to create a link to a specific part of a page (widget) in Google App Maker?</t>
  </si>
  <si>
    <t>How to Access Microsoft PowerApp</t>
  </si>
  <si>
    <t>how to enable lightning experience for a user created</t>
  </si>
  <si>
    <t>Merge rows with the same name using MYSQL</t>
  </si>
  <si>
    <t>What is the proper to handle relations in a popup when _fk item is depreciated</t>
  </si>
  <si>
    <t>How to integrate zoho 'Mobilisten' to xcode 11</t>
  </si>
  <si>
    <t>Appmaker Typeerror suggests _equals method is a property I cannot call</t>
  </si>
  <si>
    <t>Dropdown menu can not save to datasource</t>
  </si>
  <si>
    <t>Console preview panel - how to reset size?</t>
  </si>
  <si>
    <t>One If Statement, different default result</t>
  </si>
  <si>
    <t>Appmaker: send email on submit button when a specific field changes</t>
  </si>
  <si>
    <t>Checking a comma separated string for a value within an binding</t>
  </si>
  <si>
    <t>How do I make a static Radio Group in Google App Maker?</t>
  </si>
  <si>
    <t>Using Flow in Salesforce Lightning. All records that meet the filter criteria are ready to be updated when the next Screen or Wait element is executed</t>
  </si>
  <si>
    <t>An email can't have more than 1 sender email quick action in lighting</t>
  </si>
  <si>
    <t>Can this query be changed to add an or?</t>
  </si>
  <si>
    <t>Administrative Quarantined Message</t>
  </si>
  <si>
    <t>Not able to receive message as a batch from the channel subscribed using aiosfstream, Python library for salesforce</t>
  </si>
  <si>
    <t>Get a list of PowerApps</t>
  </si>
  <si>
    <t>Table with self relation overwriting itself</t>
  </si>
  <si>
    <t>How to incorporate Html in client script code?</t>
  </si>
  <si>
    <t>PowerApps Web Files returning 404 and 500 errors</t>
  </si>
  <si>
    <t>Close the loading bar only after a widget had loaded on page</t>
  </si>
  <si>
    <t>what version of mysql are datasources using?</t>
  </si>
  <si>
    <t>I am trying to use dataTables.buttons.min.js and buttons.colVis.min.js in jquery datatable lwc but it is not loaded</t>
  </si>
  <si>
    <t>How to design the ribbon (tag) within entity in Dynamics 365?</t>
  </si>
  <si>
    <t>SQL Server : using aggregations on partially null data</t>
  </si>
  <si>
    <t>Assigning variables to xml data</t>
  </si>
  <si>
    <t>Access variable in one method which was used in other method</t>
  </si>
  <si>
    <t>Admins do not have the ability to edit the deployment permissions, only Owner does</t>
  </si>
  <si>
    <t>Not required field show field required when save</t>
  </si>
  <si>
    <t>Problem with $$OwnKey$$: 48 Mouse pointing entire table rather than the required row</t>
  </si>
  <si>
    <t>How to open a page to a new record (insert) vs existing (edit) using the same edit page</t>
  </si>
  <si>
    <t>Manually set the current item in a form</t>
  </si>
  <si>
    <t>Update 2 fields onValueChange?</t>
  </si>
  <si>
    <t>Is there a way to filter datatable using multiple dropbox that uses sharepoint choices</t>
  </si>
  <si>
    <t>Cascading Lookup List</t>
  </si>
  <si>
    <t>On a simple Appmaker page - how can we retrieve data from the directory based on input with the userpicker and display it in an other field?</t>
  </si>
  <si>
    <t>Filtering unique records of a table widget datasource based on a single column in Google AppMaker</t>
  </si>
  <si>
    <t>Unexpected characters and Expected operators. Power Apps</t>
  </si>
  <si>
    <t>Community user receiving First exception on row 0; first error: INSUFFICIENT_ACCESS_OR_READONLY, null: []" error on EventRelation</t>
  </si>
  <si>
    <t>Can we integrate Twilio in Google App Maker?</t>
  </si>
  <si>
    <t>Why is this Server side script not getting the Spreadsheet values?</t>
  </si>
  <si>
    <t>Gallery with multiple listboxes automatically generated from a Collection</t>
  </si>
  <si>
    <t>Salesforce Not loading D3 V3 Script</t>
  </si>
  <si>
    <t>How do I create a record and have it relate to the parent in Google Apps Maker?</t>
  </si>
  <si>
    <t>Power Apps: Displaying table row on a new screen</t>
  </si>
  <si>
    <t>salesforce seachbox to select value in selenium</t>
  </si>
  <si>
    <t>How to Use websites in power apps</t>
  </si>
  <si>
    <t>Microsoft Common Data Services - How to disable the service</t>
  </si>
  <si>
    <t>Not displayed. vuejs with lightning-container</t>
  </si>
  <si>
    <t>Cannot properly decode Base64 string from Power Apps to audio file</t>
  </si>
  <si>
    <t>How to create an a virtual hostname or a simple url for appmaker</t>
  </si>
  <si>
    <t>Webhook integration between Podio and Zoho people</t>
  </si>
  <si>
    <t>Salesforce formula Logic</t>
  </si>
  <si>
    <t>Not able to open Attachments in Salesforce Lightning Chatter page iOS webview</t>
  </si>
  <si>
    <t>How to show document icon after picking file</t>
  </si>
  <si>
    <t>I can only see Tree View and not Screens View. Why is this so?</t>
  </si>
  <si>
    <t>Appmaker: App does not saves record to database?</t>
  </si>
  <si>
    <t>Timestamp error in Flow with Power Apps trigger and CDS as data source</t>
  </si>
  <si>
    <t>Appmaker: Handle several copies of a page fragment as one?</t>
  </si>
  <si>
    <t>Textbox with recomendations as you type</t>
  </si>
  <si>
    <t>What do I have to do to set up Google Cloud SQL with App Maker?</t>
  </si>
  <si>
    <t>Redirecting to specific record on click of custom notification</t>
  </si>
  <si>
    <t>Google AppMaker app not loading for users</t>
  </si>
  <si>
    <t>Relation between two tables</t>
  </si>
  <si>
    <t>After Insert trigger on ContentDocumentLink runs twice for 1 record. How to prevent the same?</t>
  </si>
  <si>
    <t>Iframe with Powerapps Form Height and width issue</t>
  </si>
  <si>
    <t>How to get all the page descendants in App Maker?</t>
  </si>
  <si>
    <t>Appmaker how to stop a serverside script</t>
  </si>
  <si>
    <t>how to delete all records excluding 0th record in array index</t>
  </si>
  <si>
    <t>Use path/slug after Web App's base url in Google Apps Script</t>
  </si>
  <si>
    <t>Is it possible to trigger ADF pipeline from Power App?</t>
  </si>
  <si>
    <t>How To Add Zoho CRM Leads with the Zoho CRM v2 API</t>
  </si>
  <si>
    <t>I receive an error that a record is in use when using a checkbox widget</t>
  </si>
  <si>
    <t>PointStyle Not work with lockerService enable</t>
  </si>
  <si>
    <t>How do you drag a widget onto a page when editing an app from your phone?</t>
  </si>
  <si>
    <t>How can you gracefully handle a user attempting to access a page they don't have permissions for?</t>
  </si>
  <si>
    <t>Is there a way to make a specific item in a multiselect disabled?</t>
  </si>
  <si>
    <t>Issue running MxBuild on Debian : ERROR: System.TypeLoadException: Could not load type 'Mendix.Modeler.Utility.AssemblyResolver'</t>
  </si>
  <si>
    <t>Does Powerapps return the delegatable filtered results, prior to performing the non-delegatable filtering on the app?</t>
  </si>
  <si>
    <t>Only able to access first record in a query</t>
  </si>
  <si>
    <t>How to link DataCardValue to another view</t>
  </si>
  <si>
    <t>onValueChange not being activated by a script change on load</t>
  </si>
  <si>
    <t>using oath2 to access square inventory counts via zoho analytics</t>
  </si>
  <si>
    <t>Update Information Using DML in Aura</t>
  </si>
  <si>
    <t>Two level dropdown</t>
  </si>
  <si>
    <t>PowerApps Gallery - Hybrid Screen</t>
  </si>
  <si>
    <t>Service center login do not work with outsystem credentials</t>
  </si>
  <si>
    <t>Leaflet.draw in Node with LWC configuration issues</t>
  </si>
  <si>
    <t>How to convert a Date value to unix timestamp?</t>
  </si>
  <si>
    <t>Microsoft Flow how to get the Azure Devops Connector to return multiple pages when querying users</t>
  </si>
  <si>
    <t>How to bind lookup field value in canvas app newform?</t>
  </si>
  <si>
    <t>lightning:container with Google Maps</t>
  </si>
  <si>
    <t>How to get a list of all the attached files of the specific sobject record?</t>
  </si>
  <si>
    <t>Event after Standard Modal Component is closed in a lwc</t>
  </si>
  <si>
    <t>what are the limits on the number of envelopes you can publish manually using "Publish using csv" in Docusign application connected to salesforce</t>
  </si>
  <si>
    <t>Can I used tableau to connect to the data saved by an application created using google appmaker?</t>
  </si>
  <si>
    <t>How to handle exception and continue executing the try in try catch in java?</t>
  </si>
  <si>
    <t>Fetching large data from SQL server using Powerapps and writing to Azure blob storage</t>
  </si>
  <si>
    <t>Check Update permissions on object instance/record</t>
  </si>
  <si>
    <t>Salesforce Development and configuration</t>
  </si>
  <si>
    <t>How to access crmplus zoho account?</t>
  </si>
  <si>
    <t>oauth response with restsharp for zoho</t>
  </si>
  <si>
    <t>Avoid reseting the Picture in the ai builder after navigating to another page and back?</t>
  </si>
  <si>
    <t>How to reply to an email using zoho mail API</t>
  </si>
  <si>
    <t>Connecting to third party API (basic auth)</t>
  </si>
  <si>
    <t>Creating a formula field</t>
  </si>
  <si>
    <t>Delete data in table row?</t>
  </si>
  <si>
    <t>Exception: Authorization Failed. More information: Unable to fetch tokens for CloudSql connection</t>
  </si>
  <si>
    <t>Writing out a new entry in PowerApps using Power BI</t>
  </si>
  <si>
    <t>How to make dashboard snapshot post to chatter in salesforce?</t>
  </si>
  <si>
    <t>Programmatic way to change page size</t>
  </si>
  <si>
    <t>Model Driven PowerApps</t>
  </si>
  <si>
    <t>Put key on wrong record</t>
  </si>
  <si>
    <t>Trackable array sorting in Lightning web components</t>
  </si>
  <si>
    <t>How to remove hard returns from DocuSign JavaScript to create a Salesforce custom button</t>
  </si>
  <si>
    <t>appmaker developing environment drops window in chrome</t>
  </si>
  <si>
    <t>AdminDirectory not showing up on code completion in Appmaker</t>
  </si>
  <si>
    <t>How to get the image of the reports &amp; dashboard in salesforce using API?</t>
  </si>
  <si>
    <t>Twilio incoming sms not working in Zoho CRM</t>
  </si>
  <si>
    <t>Power App authentication with Azure ADB2C</t>
  </si>
  <si>
    <t>will salesforce /deleted give only hard delete objects?</t>
  </si>
  <si>
    <t>Zoho data structure setup for e-commerce referral program</t>
  </si>
  <si>
    <t>Get a value from a string from a records in a server script</t>
  </si>
  <si>
    <t>How to replace request date with a variable extract from Combobox value in powerapps</t>
  </si>
  <si>
    <t>view custom connector activity</t>
  </si>
  <si>
    <t>Database Design and comparing quantity ordered with quantities received</t>
  </si>
  <si>
    <t>Cannot re-add the data if deleted from sql server</t>
  </si>
  <si>
    <t>From Salesforce application need to send SMS/Message on Pager/Cell using Microsoft Graph API</t>
  </si>
  <si>
    <t>Preview mode show data byt publish shows no data</t>
  </si>
  <si>
    <t>Setting up Scheduled refreshes from Data in Zoho CRM</t>
  </si>
  <si>
    <t>Limiting drop-down options based on lookup table</t>
  </si>
  <si>
    <t>How to clone a record and create a new records in app maker?</t>
  </si>
  <si>
    <t>Run lwc open source app on HTTPS instead of HTTP</t>
  </si>
  <si>
    <t>Salesforce buttons on Lightning</t>
  </si>
  <si>
    <t>Outlook Web Add-in</t>
  </si>
  <si>
    <t>I want to combine the **Sort and Filter** and **Toggle** Functions</t>
  </si>
  <si>
    <t>Convert Sharepoint List into structured database</t>
  </si>
  <si>
    <t>Wrong name display on navigation menu - Google App Maker</t>
  </si>
  <si>
    <t>Get a complex Regex</t>
  </si>
  <si>
    <t>It is possible to install Salesforce cli through command line?</t>
  </si>
  <si>
    <t>Salesforce Full Calendar Tooltip being created but not displaying</t>
  </si>
  <si>
    <t>Fetch Parent &amp; Child records Quickbase API_DoQuery</t>
  </si>
  <si>
    <t>SQL Join resulting in multiple duplicate entries</t>
  </si>
  <si>
    <t>througt module accepts only 8/16 files</t>
  </si>
  <si>
    <t>unable to parse xml data when description is large</t>
  </si>
  <si>
    <t>Trigger to delete Feedcomments generated from Feeditems - Chatter</t>
  </si>
  <si>
    <t>Output groups in GSuite</t>
  </si>
  <si>
    <t>Static resource</t>
  </si>
  <si>
    <t>How to let user to define LineChart limits in Google App Maker</t>
  </si>
  <si>
    <t>Push Notification not working for Lightning Standalone App</t>
  </si>
  <si>
    <t>What is the User Picker behaviour for leaving people?</t>
  </si>
  <si>
    <t>Bind Query in Datasource</t>
  </si>
  <si>
    <t>Can I publish my existing Android Mobile App to Salesforce AppExchange</t>
  </si>
  <si>
    <t>How Iscontain can return string</t>
  </si>
  <si>
    <t>How to connect appmaker to a Google SQL over private IP?</t>
  </si>
  <si>
    <t>Use the data from a visualforce button in the standar lightning components</t>
  </si>
  <si>
    <t>How to force load and item by key in form?</t>
  </si>
  <si>
    <t>Concurrent users and variables</t>
  </si>
  <si>
    <t>Google App Make: Unable to choose Cloud SQL option for deployment</t>
  </si>
  <si>
    <t>How can I add a Text Area widget that the users can paste clickable URL's into?</t>
  </si>
  <si>
    <t>Can an item in gallery can be selected outside with the help of button?</t>
  </si>
  <si>
    <t>VML Background Image is replaced by the color in Outlook App</t>
  </si>
  <si>
    <t>App Maker, How can I display each month of the year?</t>
  </si>
  <si>
    <t>Slider extending beyond 100%</t>
  </si>
  <si>
    <t>How remove the header - **Caution: This email originated from an outside address** in mails</t>
  </si>
  <si>
    <t>getting a single record from a Sharepoint list</t>
  </si>
  <si>
    <t>Generate a pdf out of a sharepoint-list (PowerApps audit)</t>
  </si>
  <si>
    <t>Why user doesn't finds his data available when user goes to Physical store after placing Online details from App to Salesforce.com</t>
  </si>
  <si>
    <t>Is it possible to hide/unhide or enable/disable a custom button based on conditional statements in Zoho CRM?</t>
  </si>
  <si>
    <t>Salesforce: How to show a NAME in smart capture using data extension</t>
  </si>
  <si>
    <t>Questions on how to handle creating new items while offline (Common Data Service)</t>
  </si>
  <si>
    <t>How to have display information about a variable column in a gallery via radio button?</t>
  </si>
  <si>
    <t>Error sending mail with Firebase, Nodemailer and Zoho</t>
  </si>
  <si>
    <t>Userscript: Autofill Sharepoint User list Combobox Filter</t>
  </si>
  <si>
    <t>Is it possible to list all the ContentWorkspaces (including private ones) using admin token with 'Query All Files' perms?</t>
  </si>
  <si>
    <t>!Blank on visible property of icon in gallery</t>
  </si>
  <si>
    <t>How to load Notes for Projects in Salesforce</t>
  </si>
  <si>
    <t>Choose form at opening</t>
  </si>
  <si>
    <t>AppMaker table missing rows</t>
  </si>
  <si>
    <t>Change data connection runtime</t>
  </si>
  <si>
    <t>Stage vs Prod: Importing Spreadsheet Data into Production Deployment</t>
  </si>
  <si>
    <t>prevent page breaks within line when printing html</t>
  </si>
  <si>
    <t>Integrate url parameters</t>
  </si>
  <si>
    <t>angular project using salesforce lightning</t>
  </si>
  <si>
    <t>How do I create a data source query to display a list of certain records?</t>
  </si>
  <si>
    <t>Invalid username, user not active' - salesforce2hadoop</t>
  </si>
  <si>
    <t>top 10 list display from database field</t>
  </si>
  <si>
    <t>How to Make knowledge article body visible to guest users in salesforce community?</t>
  </si>
  <si>
    <t>Error 500 while connecting api with powerapps</t>
  </si>
  <si>
    <t>Integrate Application Insights in Outsystems</t>
  </si>
  <si>
    <t>Excel VB Send Active Workbook as PDF using Zoho mail [CDO]</t>
  </si>
  <si>
    <t>Powerapps, if statement getting warnings</t>
  </si>
  <si>
    <t>getting more than 1000 documents using folder() in appian</t>
  </si>
  <si>
    <t>Deployment of LWC is too slow in WebStorm</t>
  </si>
  <si>
    <t>How do I bypass the login page when I am testing Salesforce Lightning using Selenium Webdriver?</t>
  </si>
  <si>
    <t>Unable to install pods in outsystems environment using cordova plugin</t>
  </si>
  <si>
    <t>Is it 'PowerApps' or 'Power Apps'?</t>
  </si>
  <si>
    <t>Using Google Groups for access rights - not working</t>
  </si>
  <si>
    <t>Maximum concurrent users in a powerapp</t>
  </si>
  <si>
    <t>Cannot get the attribute value in Internet Explorer when using onkeyup in Lightening Component Salesforce</t>
  </si>
  <si>
    <t>How can I enumerate all the controls on a view?</t>
  </si>
  <si>
    <t>How to check if file with same name has been attached in PowerApps?</t>
  </si>
  <si>
    <t>PowerApps: OneDrive folder sharing</t>
  </si>
  <si>
    <t>How do I seed a production database</t>
  </si>
  <si>
    <t>ID value generating colon before actual value</t>
  </si>
  <si>
    <t>Appmaker default Roles</t>
  </si>
  <si>
    <t>How to insert a record with 3 levels of relations by a server script in google app maker?</t>
  </si>
  <si>
    <t>Save spreadsheet ID to model using Drive Picker</t>
  </si>
  <si>
    <t>client id for multiple users issue with zoho integration</t>
  </si>
  <si>
    <t>Calculated YTD using date column and group by multiple column?</t>
  </si>
  <si>
    <t>ZOHO API response, not getting POJO</t>
  </si>
  <si>
    <t>Opening the VF page in a new Tab Lightning</t>
  </si>
  <si>
    <t>How can I call a stored procedure in Google app maker</t>
  </si>
  <si>
    <t>Mobiscroll calendar working inside a Salesforce LWC?</t>
  </si>
  <si>
    <t>Publish Canvas Power App to App Source, which uses Custom Connector</t>
  </si>
  <si>
    <t>Delegation Issues in IF in large Dataset More Than 2000 LIMIT POWERAPPS</t>
  </si>
  <si>
    <t>I want to keep the common header or table header row from moving</t>
  </si>
  <si>
    <t>How to get full image URL from the Zoho Inventory via the API?</t>
  </si>
  <si>
    <t>Webpack loader error: Salesforce Lightning Design React App</t>
  </si>
  <si>
    <t>Joining 2 data columns</t>
  </si>
  <si>
    <t>How to query a datasource of type DateTime MY SQL in App Maker?</t>
  </si>
  <si>
    <t>Removing focus from first record in table widget?</t>
  </si>
  <si>
    <t>Unable to pre-set Radio button tied to null value</t>
  </si>
  <si>
    <t>Getting state code and country code from area code of phone number</t>
  </si>
  <si>
    <t>In process builder how to create a new criteria that checks if the Case owner has changed and also that the owner is not a Queue</t>
  </si>
  <si>
    <t>PowerApps Modify Email-Screen Template</t>
  </si>
  <si>
    <t>Is there a text-input list in PowerApps that can be exported to a mutli-line variable?</t>
  </si>
  <si>
    <t>Always facing below error when trying to connect PowerApps with Microsoft Navision 2016</t>
  </si>
  <si>
    <t>Add-on in Google docs or others to provide functionality in App Maker</t>
  </si>
  <si>
    <t>Can't link two tables correctly</t>
  </si>
  <si>
    <t>Salesforce ForceClient never receives the response</t>
  </si>
  <si>
    <t>Bind to a list of unique items</t>
  </si>
  <si>
    <t>How to get default gmail alias for e-mail sending</t>
  </si>
  <si>
    <t>Fetch visitor data from zoho in Dialogflow Fulfillment</t>
  </si>
  <si>
    <t>In App Maker, can you fake valueIsRecord with a dropdown field?</t>
  </si>
  <si>
    <t>Why do Visualforce pages require invalid HTML? (at times)</t>
  </si>
  <si>
    <t>Can onClick refresh the page?</t>
  </si>
  <si>
    <t>Can we create new Search Layout in Lightning SalesForce?</t>
  </si>
  <si>
    <t>I encounter a 401 unauthorized in my JMeter scripts response each time when I try to send an xas-request to a Mendix application</t>
  </si>
  <si>
    <t>Powerapps - Make a single field editable and all fields viewable in a Form</t>
  </si>
  <si>
    <t>forEach is not a function in lightning</t>
  </si>
  <si>
    <t>Is there a way to concatenate across rows and columns in QuickBase?</t>
  </si>
  <si>
    <t>Granting Cognitive Services Face API access to a sharepoint folder</t>
  </si>
  <si>
    <t>Cannnot assign onSelectDate property in fabric-ui-reac Calendar component</t>
  </si>
  <si>
    <t>What is the best way in Lightening Salesforce to manage the text content of the site from a single file</t>
  </si>
  <si>
    <t>Do I need to configure azureAD for powerapps?</t>
  </si>
  <si>
    <t>Mendix - Generate PDF with charts</t>
  </si>
  <si>
    <t>What can cause a user to be able to only see one row in a report? Browser issue?</t>
  </si>
  <si>
    <t>When trying to send 10 emails (host is zoho) one after another (using PHP) I get an error</t>
  </si>
  <si>
    <t>How do I show the specific items in the navigated screen after on select gallery item in Powerapps?</t>
  </si>
  <si>
    <t>How can i use a function from Apps Script bound to my docs, with my Google App Maker application?</t>
  </si>
  <si>
    <t>use LIKE in powerapp with % and _</t>
  </si>
  <si>
    <t>How to read and structured data from an Excel and add into a pie chart in PowerApps?</t>
  </si>
  <si>
    <t>Records and multithreading, converting to pass through the wall</t>
  </si>
  <si>
    <t>Customize (OutSystems App Feedback) in Feedback Screen in Outsystems mobile</t>
  </si>
  <si>
    <t>How to solve whitescreen issue on mobile device of Salesforce application?</t>
  </si>
  <si>
    <t>Getting null for getelementbyid dynamic generated HTML</t>
  </si>
  <si>
    <t>Any function to load the data of 2 share point lists to a single gallery in power apps?</t>
  </si>
  <si>
    <t>Google AppMaker how to define page level variables</t>
  </si>
  <si>
    <t>How to automatically send emails through google app maker?</t>
  </si>
  <si>
    <t>Handling Record List operations</t>
  </si>
  <si>
    <t>Drill Down Issue in Reports after click on Bar Chart Salesforce</t>
  </si>
  <si>
    <t>GroupBy and Concatenate Rows</t>
  </si>
  <si>
    <t>How to use/code stored procedure to stop MYSQL currently running task?</t>
  </si>
  <si>
    <t>XPath error - Trying to get user by name from the database (Mendix)</t>
  </si>
  <si>
    <t>Dynamic mapping in Salesforce - generate JSON request for call third-party API</t>
  </si>
  <si>
    <t>How to include multiple import js file into another js file</t>
  </si>
  <si>
    <t>Apex Class and Apex Trigger is invisible in Salesforce Developer Console</t>
  </si>
  <si>
    <t>need to bind the current sitecollection name in lookup field and pass the corresponding lookupid in onstart of canvas app new form</t>
  </si>
  <si>
    <t>Publish Post to Contact</t>
  </si>
  <si>
    <t>How to get the URL to a specific record page in render function?</t>
  </si>
  <si>
    <t>Salesforce: retrieve images via REST API from RFT fields in custom objects</t>
  </si>
  <si>
    <t>Is it possible to use power apps to create a login page using office365 email and password for credential submission</t>
  </si>
  <si>
    <t>Nested Loops and API calls</t>
  </si>
  <si>
    <t>How to access file binary with Google App Maker?</t>
  </si>
  <si>
    <t>Is it not possible to use an SOQL query, from an outside system like a mobile app, to fetch Knowledge articles?</t>
  </si>
  <si>
    <t>Add widget to a layout when button was clicked (Google App Maker)</t>
  </si>
  <si>
    <t>Salesforce community SAML sso not working for users created through manually</t>
  </si>
  <si>
    <t>SDK not binding on page when a Color variant is changed - added JS script that works in console but not in a content asset (Demandware)</t>
  </si>
  <si>
    <t>Workflow multi email alert not sending in salesforce</t>
  </si>
  <si>
    <t>No Value showing in Gallery Price Column</t>
  </si>
  <si>
    <t>Power App Custom Connector: Cannot call CRM function RetrieveRolePrivilegesRole</t>
  </si>
  <si>
    <t>Pulling Data from Linkedin &amp; Instagram in Zoho Analytics</t>
  </si>
  <si>
    <t>AppMaker: I got a TypeError while adding a variable link in a TableRow</t>
  </si>
  <si>
    <t>Set Salesforce Variable from D3 on click event in LWC</t>
  </si>
  <si>
    <t>google recaptcha image selector styling in lightning communities</t>
  </si>
  <si>
    <t>Clicks not code and Salesforce Contacts?</t>
  </si>
  <si>
    <t>How does one import records from postgreSQL to CloudSQL via App Script inside App Maker?</t>
  </si>
  <si>
    <t>How to get Field Id from URL when creating new record from Related list in Salesforce</t>
  </si>
  <si>
    <t>How to unpick the selected gallery in PowerApps?</t>
  </si>
  <si>
    <t>How to update blueprint transition stage via v2 Api (Zoho Crm)</t>
  </si>
  <si>
    <t>Salesforce and Mulesoft Integration || Read Excel file</t>
  </si>
  <si>
    <t>Salesforce Lightning Component - Styling Spinner Modal Box</t>
  </si>
  <si>
    <t>Display base64 data in Ifram is not working in lightning Experience</t>
  </si>
  <si>
    <t>Google reCaptcha v2 in lightning communities</t>
  </si>
  <si>
    <t>C# - Parsing response content results from Zoho Creator Rest API</t>
  </si>
  <si>
    <t>Do I need to avail the subscription so that i can use the approval connector? There's an error on Assigned To email</t>
  </si>
  <si>
    <t>PowerApps Create Filter Based on SPT Lookup Column</t>
  </si>
  <si>
    <t>How to validate uniqueness in autosave mode</t>
  </si>
  <si>
    <t>Distinguish between Preview/Publish or get Database Name</t>
  </si>
  <si>
    <t>Why the AudioUnit collect 940bytes per frame under the earphone with lightning plug</t>
  </si>
  <si>
    <t>Dynamic spring boot property values for salesforce connector</t>
  </si>
  <si>
    <t>Salesforce noobie - where are the crud pages for custom objects?</t>
  </si>
  <si>
    <t>How to access liquid variables provided in desk.com in service cloud community visual force pages?</t>
  </si>
  <si>
    <t>Cases with type "question" not showing in customer service Topic Detail page's Question tab</t>
  </si>
  <si>
    <t>Is there a way to retrieve a PageReference parameter from a Lightning Component?</t>
  </si>
  <si>
    <t>Google appmaker line chart with client-side caluclated database causes "crash"</t>
  </si>
  <si>
    <t>APEX replay debugger truncates variable values in visual studio code</t>
  </si>
  <si>
    <t>In PowerApps how to configure the inline look up of subgrid component in a form</t>
  </si>
  <si>
    <t>Locker Service and Tooltip on FullCalendar V4</t>
  </si>
  <si>
    <t>Can NLP algorithm run on Force.com platform?</t>
  </si>
  <si>
    <t>What is underlying framework and programming language that MS powerapps is build upon?</t>
  </si>
  <si>
    <t>How to retrieve Zoho mails using Zoho mail api's in Node.js?</t>
  </si>
  <si>
    <t>FORM POST TO EXTERNAL URL -NEED HTTP BUT ALWAYS IN HTTPS-</t>
  </si>
  <si>
    <t>PowerShell cmdlet to associate security group to powerapps environment(database created)</t>
  </si>
  <si>
    <t>Powerapps: Adjust (deeplink) URL on select</t>
  </si>
  <si>
    <t>No Content Exception Error in Zoho Api v2 in php sdk</t>
  </si>
  <si>
    <t>Why is it impossible to fetch all the records of the SObject 'ObjectPermissions'?</t>
  </si>
  <si>
    <t>Contact Information on community Home tab</t>
  </si>
  <si>
    <t>Filtering not working properly with paging</t>
  </si>
  <si>
    <t>How can I set approvers from separate page in the Document Approval template on Google App Maker?</t>
  </si>
  <si>
    <t>Proxy issue with lightning dynamic component</t>
  </si>
  <si>
    <t>Using a DatePicker as a parameter in datasource script builder,</t>
  </si>
  <si>
    <t>Having an issue with my visualforce override</t>
  </si>
  <si>
    <t>Grid cell is collecting data before start searching</t>
  </si>
  <si>
    <t>How to use a single e-mail to send emails in power apps application without user's outlook email</t>
  </si>
  <si>
    <t>Missing button Customizable Campaign Influence in Lightning</t>
  </si>
  <si>
    <t>Add image column with AddColumns in Power Apps</t>
  </si>
  <si>
    <t>Manipulating the DOM within an iFrame within Salesforce Lightning Communities</t>
  </si>
  <si>
    <t>Job Card Device TimeOut Issue in D365</t>
  </si>
  <si>
    <t>How can we set permissions in Powerapps such that the creator of an application only can access the application within the enivironment?</t>
  </si>
  <si>
    <t>Zoho lead api not saving data for a field</t>
  </si>
  <si>
    <t>Zoho Deluge : how do i update table using large json file</t>
  </si>
  <si>
    <t>Can't Create Site in Salesforce(18) - Classic</t>
  </si>
  <si>
    <t>Calling REST API in Powerapps portal application</t>
  </si>
  <si>
    <t>Why i need to set the parentId for each record for Queueable Apex</t>
  </si>
  <si>
    <t>Getting "The table didn't load correctly" in PowerApps</t>
  </si>
  <si>
    <t>How to get metadata of Salesforce Objects using Python if the object name is dynamic?</t>
  </si>
  <si>
    <t>Display data from several tables in one Data table</t>
  </si>
  <si>
    <t>How to avoid the Salesforce Developer Console to override the next simbol when typing code?</t>
  </si>
  <si>
    <t>PowerApp Image to text using</t>
  </si>
  <si>
    <t>PowerApps interate through list updates</t>
  </si>
  <si>
    <t>How to ceate a dataflow in powerapps to a localdb database?</t>
  </si>
  <si>
    <t>test class for ConnectAPI in Salesforce?</t>
  </si>
  <si>
    <t>Automation testing for bypassing the credit card details</t>
  </si>
  <si>
    <t>Access/Update Object or Array data in Lightning Web Component</t>
  </si>
  <si>
    <t>Salesforce: Checkbox that evaluates Lead field against text list</t>
  </si>
  <si>
    <t>(Power apps)I want to create a new data table using the same method as pivot in excel</t>
  </si>
  <si>
    <t>How to call salesforce apex method with continuation annotation from another apex method</t>
  </si>
  <si>
    <t>How to Embed Power App Widget in a Website?</t>
  </si>
  <si>
    <t>Salesforce marketing cloud - Custom Journey Activity end points not executing</t>
  </si>
  <si>
    <t>You don't have any Messaging permission set licenses - Set Up Facebook Messenger Channels in Messaging Salesforce</t>
  </si>
  <si>
    <t>PowerApps SortBy - against lookup value</t>
  </si>
  <si>
    <t>Populate cost field based on selection of look up field</t>
  </si>
  <si>
    <t>how to collect all muted feed item list in salesforce soql</t>
  </si>
  <si>
    <t>Dynamic sql in Salesforce marketing cloud</t>
  </si>
  <si>
    <t>MS Flow automatically runs after 2 minutes</t>
  </si>
  <si>
    <t>Does PowerApps Feature support Cross-Site Lookup in SharePoint - Getting Error Creating App from Data</t>
  </si>
  <si>
    <t>DML not allowed with PermissionSetTabSetting</t>
  </si>
  <si>
    <t>Salesforce lightning custom label not getting updated even after page load</t>
  </si>
  <si>
    <t>Display date of a given weekday based on CalendarWeek</t>
  </si>
  <si>
    <t>Missing button in email message inbound email message</t>
  </si>
  <si>
    <t>How to use Lookup when using SPS Lookup Columns?</t>
  </si>
  <si>
    <t>AWS S3 File preview naming issue</t>
  </si>
  <si>
    <t>Lightning auraif render issue</t>
  </si>
  <si>
    <t>Setting a value on load of a table</t>
  </si>
  <si>
    <t>How to retrieve N levels of many-to-many relations?</t>
  </si>
  <si>
    <t>PowerApps: Patching to a Second SharePoint List with Secondary Button</t>
  </si>
  <si>
    <t>Appmaker create pop up to choose an object</t>
  </si>
  <si>
    <t>Multiple Salesforce IDP for single Service provider configuration</t>
  </si>
  <si>
    <t>How to Integrate Roles Field from "Account Contact Relationship" to Contacts Object Fieldset</t>
  </si>
  <si>
    <t>call controller function from dynamically created dom element</t>
  </si>
  <si>
    <t>How to create Zoho Webhook by using Oauth token</t>
  </si>
  <si>
    <t>How important that, Field level assertion for the sales force lightening web application?</t>
  </si>
  <si>
    <t>Custom Javascript Button on List View Help -- Salesforce</t>
  </si>
  <si>
    <t>Puppeteer error :uploadFile is not a function</t>
  </si>
  <si>
    <t>How to add more actions in the Health cloud Patient List view</t>
  </si>
  <si>
    <t>How do we install D365 apps in powerapps environment with PowerShell?</t>
  </si>
  <si>
    <t>Empty JSON values (LWC)</t>
  </si>
  <si>
    <t>Get element or the id from native js event in aura lightning</t>
  </si>
  <si>
    <t>test class error:Method does not exist or incorrect signature: test.setCurrentPage(System.PageReference)</t>
  </si>
  <si>
    <t>Extract Salesforce Objects and Load them into SQLLite Database Tables- Python3</t>
  </si>
  <si>
    <t>Integrate Zoho Chatbot to Angular and appear after login</t>
  </si>
  <si>
    <t>App Maker- Records appear in multiple pages (Pagging issue)</t>
  </si>
  <si>
    <t>Issues Selecting and Setting Values in PowerApps SharePoint Forms</t>
  </si>
  <si>
    <t>XML RPC API error code :2945 message INVALID_TICKET</t>
  </si>
  <si>
    <t>In Google App Maker, how do you cause a Multi Select Widget to select all options by default?</t>
  </si>
  <si>
    <t>ZOHO API v2 Insert Lead with Guzzle 6.2 (Laravel) using API records</t>
  </si>
  <si>
    <t>Salesforce Oauth Authentication from lightning component</t>
  </si>
  <si>
    <t>How to distribute your own data on Salesforce?</t>
  </si>
  <si>
    <t>How to convert lightning web component into pdf on buttom click</t>
  </si>
  <si>
    <t>Know what data I have in a list of ZOHO CREATOR</t>
  </si>
  <si>
    <t>Select start page based on button clicked in Google app maker</t>
  </si>
  <si>
    <t>How to create an upsert bulk job for 'Account' object in Salesforce? what will be the externalIdFieldName?</t>
  </si>
  <si>
    <t>Can we Call Salesforce Intent API from JavaScript?</t>
  </si>
  <si>
    <t>T_CONSTANT_ENCAPSED_STRING Zoho</t>
  </si>
  <si>
    <t>Salesforce Bulk API upload via postman</t>
  </si>
  <si>
    <t>when adding file in attachment it's showing unsaved, and when the form is submitted the attachment is not updated in the SharePoint List?</t>
  </si>
  <si>
    <t>What is the best way to sort through salesforce records to see if you need to assign tasks to people</t>
  </si>
  <si>
    <t>How to create custom URL in apex to get Json response from third party application</t>
  </si>
  <si>
    <t>LWC - wrapper object values are nullified on input tag value change</t>
  </si>
  <si>
    <t>Common Data Service fetching Primary Id in PowerApps</t>
  </si>
  <si>
    <t>Lightening component recordUpdated method binding triggers stale data event</t>
  </si>
  <si>
    <t>Question on Inline editing for 1 permission set on a Salesforce custom object.is this only at the Org level?</t>
  </si>
  <si>
    <t>What is LWC equivalent of HTMLElement.getProperty('attributeName')?</t>
  </si>
  <si>
    <t>Looping through Excel datasource rows</t>
  </si>
  <si>
    <t>Table Column Resize Salesforce lightning slds</t>
  </si>
  <si>
    <t>Salesforce LWC Jest Tests Effect on Apex Code Coverage</t>
  </si>
  <si>
    <t>Salesforce Reports: Condense multiselect values to one line</t>
  </si>
  <si>
    <t>PowerApps: How to get 3 most occuring items out of Excel data source</t>
  </si>
  <si>
    <t>CPQ quote line showing multi-time</t>
  </si>
  <si>
    <t>Custom Labels in Lightning Component for different languages</t>
  </si>
  <si>
    <t>Salesforce Reports: Alternative solution to find Unique Count Value on Salesforce Reports</t>
  </si>
  <si>
    <t>Emails aren't showing entire message</t>
  </si>
  <si>
    <t>Create collection from multiple sources where relationship is 1:n and maintain delegation</t>
  </si>
  <si>
    <t>Error: Cannot use import statement outside a module in Locker Console Salesforce Lightning</t>
  </si>
  <si>
    <t>SortByColumns / Filter / Search and Yes/No</t>
  </si>
  <si>
    <t>find associated values in dictionary</t>
  </si>
  <si>
    <t>How to get user`s files from 'Files' tab using system admin token (REST API)?</t>
  </si>
  <si>
    <t>How to integrate Zoho CRM with Messagebird</t>
  </si>
  <si>
    <t>How do i add a related record to a lightning page layout</t>
  </si>
  <si>
    <t>Reliability of Power Apps to Power Automate to SQL Server</t>
  </si>
  <si>
    <t>Apply Salesforce Community Theme branding to lightning button in LWC</t>
  </si>
  <si>
    <t>Toggle Filter by SharePoint List Field in PowerApps</t>
  </si>
  <si>
    <t>Payoneer API to send and receive payments via salesforce</t>
  </si>
  <si>
    <t>I have downloaded SFRA project from github but dont know when I try to npm install I am getting this error. What is solution for this?</t>
  </si>
  <si>
    <t>Salesforce Bulk Upsert throws Duplicate error</t>
  </si>
  <si>
    <t>In IE,a lightning component is not loading.Getting error like "Failed to initialize a component [Expected identifier]"</t>
  </si>
  <si>
    <t>The component doesn't work as expected when a new record is created</t>
  </si>
  <si>
    <t>Issue with Salesforce Live Agent</t>
  </si>
  <si>
    <t>Populate two list with data</t>
  </si>
  <si>
    <t>$A.log('CryptoAdapter was not registered') in higher Org, but not showing the same error in lower Org</t>
  </si>
  <si>
    <t>Settings page opens in a new tab in Salesforce</t>
  </si>
  <si>
    <t>Disable background view when popup</t>
  </si>
  <si>
    <t>Power App: Calculate Leave Days and Hours</t>
  </si>
  <si>
    <t>Outlook sync deleting event and creating new in Salesforce</t>
  </si>
  <si>
    <t>Mapping data types of consumed SOAP Web Service to Outsystems data types</t>
  </si>
  <si>
    <t>Power BI direct query to excel using power apps</t>
  </si>
  <si>
    <t>How do I get PptxGenJS to work in OutSystems Reactive Web App?</t>
  </si>
  <si>
    <t>What is the authorization URL if authorizing against a sandbox environment?</t>
  </si>
  <si>
    <t>Fire third party API request when lead is updated in Salesforce</t>
  </si>
  <si>
    <t>Editable Tree Component Available</t>
  </si>
  <si>
    <t>Where to put a clear coach email action so if it is changed to a queue it's cleared out</t>
  </si>
  <si>
    <t>Handle the actions after clicking Save button for standard new/edit record modal</t>
  </si>
  <si>
    <t>Jest test for LWC Cannot find module 'c/hello' from 'hello.test.js</t>
  </si>
  <si>
    <t>Where to put user configuration fields for a custom component in Salesforce</t>
  </si>
  <si>
    <t>Alert and confirm pop up is not working for particular code in apex</t>
  </si>
  <si>
    <t>How to fetch all the data into a custom object when opportunity is close as won?</t>
  </si>
  <si>
    <t>Open Edit Page From History Page</t>
  </si>
  <si>
    <t>Update case ownership immediately after a chat is transferred (Chat started from - Snap-ins in Salesforce)</t>
  </si>
  <si>
    <t>Lightning Navigation To Custom Setting Record</t>
  </si>
  <si>
    <t>Integrating GitLab-CI with SalesForce Chatter</t>
  </si>
  <si>
    <t>How to fetch all the address from any entity (given entity id) in salesforce</t>
  </si>
  <si>
    <t>How to verify call-signature hash value in GraphQL?</t>
  </si>
  <si>
    <t>Sales force - Test Apex Class List</t>
  </si>
  <si>
    <t>get lookup object recordId in helper.js in salesforce</t>
  </si>
  <si>
    <t>How to send zoho creator file field in zoho crm attacment</t>
  </si>
  <si>
    <t>Azure Common Data Service Entity not syncing to data lake</t>
  </si>
  <si>
    <t>Can I import pictures into google app maker?</t>
  </si>
  <si>
    <t>Salesforce formula</t>
  </si>
  <si>
    <t>I cannot retrieve data from PowerBi Integration after reopening PowerApps</t>
  </si>
  <si>
    <t>How can I edit the Preview text when linking another share point page in sharepoint?</t>
  </si>
  <si>
    <t>prefill zoho meeting username &amp; email on iframe embed</t>
  </si>
  <si>
    <t>Salesforce health cloud: Create a patient record using rest api</t>
  </si>
  <si>
    <t>custom object lookup relationship soql query to get sobject</t>
  </si>
  <si>
    <t>How to display a link inside lightning:map description?</t>
  </si>
  <si>
    <t>what is the call back URL when I am trying call the Salesforce API from the ASP.Net</t>
  </si>
  <si>
    <t>SalesForce SOAPUI Login call fails with SocketTimeoutException</t>
  </si>
  <si>
    <t>Get email sender profile picture (Zoho)</t>
  </si>
  <si>
    <t>Apply Standard Design Community Tokens in the Lightning Web Component (LWC)</t>
  </si>
  <si>
    <t>Map values once pushed in are persisting between LWC template transitions</t>
  </si>
  <si>
    <t>Use selected item in dropdown to show item in display in Power Apps</t>
  </si>
  <si>
    <t>OmniScript Designer Javascript and HTML css customization in Vlocity</t>
  </si>
  <si>
    <t>Power Apps. Is it possible to export text input field to specific cells in an excel document or generate an excel document based off inputs?</t>
  </si>
  <si>
    <t>How to include moment Js in Lightning Web Component? I have used the below code</t>
  </si>
  <si>
    <t>Lightning dashboard subscriptions</t>
  </si>
  <si>
    <t>Require Current Selected Standard or CustomObject name in salesforce</t>
  </si>
  <si>
    <t>Microsoft Flow: File Upload to Google Failure</t>
  </si>
  <si>
    <t>What are the access levels on Salesforce orgs? How to get retrive Managed Package metadata?</t>
  </si>
  <si>
    <t>zoho crm attendance and timesheet data in qlikview</t>
  </si>
  <si>
    <t>Salesforce, edit the add functionality of related entity</t>
  </si>
  <si>
    <t>Does Salesforce ant generate html report for testLevel="RunLocalTests"?</t>
  </si>
  <si>
    <t>How to get Zoho Books Module Fields via Zoho Books API</t>
  </si>
  <si>
    <t>Powerapps: sharpoint list gets mad when refreshing the sources</t>
  </si>
  <si>
    <t>Salesforce Lightning App - Best Practice for adding 'readonly' identifiers to elements</t>
  </si>
  <si>
    <t>How to write Test class to test a field on an attachment or file insert?</t>
  </si>
  <si>
    <t>Change default "Required" or "Pattern" Error text of lightning-input</t>
  </si>
  <si>
    <t>How to add ability to view and report on whether every Action/Activity has an attachment added in</t>
  </si>
  <si>
    <t>PowerApps : Could not establish trust relationship for the SSL/TLS secure channel</t>
  </si>
  <si>
    <t>Change color back to theme</t>
  </si>
  <si>
    <t>I want to put a validation on date picker in aura lightning component</t>
  </si>
  <si>
    <t>PowerApps aggregation connection like Visio</t>
  </si>
  <si>
    <t>"Invalid field for upsert, must be an External Id custom or standard indexed field: Name" error</t>
  </si>
  <si>
    <t>LWC Jest XMLHttpRequest from static resource</t>
  </si>
  <si>
    <t>Reassign a namespace in the same dev org</t>
  </si>
  <si>
    <t>salesforce opportunity insight</t>
  </si>
  <si>
    <t>Q: Salesforce: Communities: Display certain content at set time period in user life</t>
  </si>
  <si>
    <t>lightening button not visibile in oppertuinty object</t>
  </si>
  <si>
    <t>TWILIO Salesforce Plugin - How to send to +447 when using 07</t>
  </si>
  <si>
    <t>LWC - Javascript object is not reactive with Wrapper class object</t>
  </si>
  <si>
    <t>Fetch the Target record in NodeList using Lightning component</t>
  </si>
  <si>
    <t>Save progress of users in powerapps and it doesn't start with new instance everytime same user opens the app</t>
  </si>
  <si>
    <t>Controller Stuck at component.get("v.recordId")</t>
  </si>
  <si>
    <t>Need to click Save button twice on detail page while doing inline editing</t>
  </si>
  <si>
    <t>Need details for Library team member permission in salesforce</t>
  </si>
  <si>
    <t>Are performance problems related to Legacy Storage Capacity on Power Apps?</t>
  </si>
  <si>
    <t>implement process flow in salesforce</t>
  </si>
  <si>
    <t>Modify to delete Files in Lightning</t>
  </si>
  <si>
    <t>Salesforce Lightning Auto-Populated ID's (Parent to Child)</t>
  </si>
  <si>
    <t>Sub-Field inside a Field in ZOHO CRM</t>
  </si>
  <si>
    <t>Why does Excel tables lose their structure when pasted to Rich Text Area inside Lightning Component while it works with Classic?</t>
  </si>
  <si>
    <t>How to grant Connected App Access to a user profile using the API?</t>
  </si>
  <si>
    <t>Not able to send custom message/buttons from agent to client chat window Salesforce live agent api</t>
  </si>
  <si>
    <t>Share PowerApps Apps &amp; Connections With Groups</t>
  </si>
  <si>
    <t>Toast Messages not displayed</t>
  </si>
  <si>
    <t>Developer Sandbox - Community User not appearing in Public Group/Role After Creating User</t>
  </si>
  <si>
    <t>Lightning Web Component Reactive and Non Reactive Properties</t>
  </si>
  <si>
    <t>NotFoundError: Node.removeChild: The node to be removed is not a child of this node</t>
  </si>
  <si>
    <t>PowerApps Azure Storage Connector Upload Zero Bytes</t>
  </si>
  <si>
    <t>Access reports saved in users personal folders</t>
  </si>
  <si>
    <t>How to export views with image links from ZohoDB record?</t>
  </si>
  <si>
    <t>two regex into same pattern</t>
  </si>
  <si>
    <t>Salesforce - Re-direct to Quick Action</t>
  </si>
  <si>
    <t>Update ChildRecords when Parent Field Update Using Lightning Flow</t>
  </si>
  <si>
    <t>Salesforce Content delivery in Lightning</t>
  </si>
  <si>
    <t>Can we Check through API or Query that Agent is Logged in Ommni channel in Salesforce or not</t>
  </si>
  <si>
    <t>get fields of custom lookup relation using conga in salesforce</t>
  </si>
  <si>
    <t>Lightning Component to integrate Uber rides/cab application with Salesforce online</t>
  </si>
  <si>
    <t>error ocuring while giving command to run lightning CLI .what can be done on this?</t>
  </si>
  <si>
    <t>Pass the value onchange lightning:select from lightning component to flow builder</t>
  </si>
  <si>
    <t>SalesForce Live Agent Chat - How Do I Listen For When A User Completes A Pre-Chat Form And Starts A Session?</t>
  </si>
  <si>
    <t>Deploying communities using package.xml</t>
  </si>
  <si>
    <t>Gulp ignore specified file in subfolder</t>
  </si>
  <si>
    <t>how to update checkbox value as checked in salesforce using lwc</t>
  </si>
  <si>
    <t>Displaying large text in Salesforce</t>
  </si>
  <si>
    <t>Transition Effect Using Lightning Controller</t>
  </si>
  <si>
    <t>How to launch Sales-force app from developer trial account?</t>
  </si>
  <si>
    <t>Column label in not displayed in the datatable</t>
  </si>
  <si>
    <t>Need to Customize PhoneGap Build for Andriod ver. 6 &amp; 7</t>
  </si>
  <si>
    <t>Lightning for outlook Addin configuration is editable?</t>
  </si>
  <si>
    <t>Fit Multiple fields in one row</t>
  </si>
  <si>
    <t>SalesForce Live Agent - Can You Pass A Custom Variable From Live Agent Config To The Front-End?</t>
  </si>
  <si>
    <t>Email to case reply-to field</t>
  </si>
  <si>
    <t>Custom setting is null on trigger but available in Apex class</t>
  </si>
  <si>
    <t>How to validate a salesforce react input component?</t>
  </si>
  <si>
    <t>on clicking any pencil icons to update the record, the currency data fields that are in SKK change to USD</t>
  </si>
  <si>
    <t>Configure PIWIK to run in Salesforce Lightning</t>
  </si>
  <si>
    <t>How do I Get Records (including Referenced Objects) from sales force in Azure Logic Apps through Sales Force Connector?</t>
  </si>
  <si>
    <t>How to enable Aura for this class</t>
  </si>
  <si>
    <t>How to read Environment Variables in a PowerApp?</t>
  </si>
  <si>
    <t>Can we get the days between the dates in SAQL or in dashboard like this</t>
  </si>
  <si>
    <t>Salesforce Lightning Sync</t>
  </si>
  <si>
    <t>How to keep Quick Action window open on intra-page link</t>
  </si>
  <si>
    <t>How to embed LWC/VF page in Angular based button click event UI in Vlocity</t>
  </si>
  <si>
    <t>How do I capture XHR request count with Selenium Java?</t>
  </si>
  <si>
    <t>How to make an AppSheet report template add columns as required, depending on a list</t>
  </si>
  <si>
    <t>Does user configuration flow across when CDS is added to the environment that has users configured and vice versa?</t>
  </si>
  <si>
    <t>Insertion of Related Records using Apex</t>
  </si>
  <si>
    <t>Sort by option is disabled in standard knowledge component</t>
  </si>
  <si>
    <t>Deployment issue with knowledge page layout required fields</t>
  </si>
  <si>
    <t>Conga Composer IF statement with static text and merge field?</t>
  </si>
  <si>
    <t>Open a Subtab in a Lightning Console App from another Tab</t>
  </si>
  <si>
    <t>How we can add smart search functionality in lwc</t>
  </si>
  <si>
    <t>Sharepoint ID search in PowerApps</t>
  </si>
  <si>
    <t>Can nested LookUp be done?</t>
  </si>
  <si>
    <t>How to prepare a report on average days cases are open</t>
  </si>
  <si>
    <t>How to set dynamic shapes in Google charts scatterplot</t>
  </si>
  <si>
    <t>How to get Field Service Dispatcher/Resource license in Scratch org?</t>
  </si>
  <si>
    <t>Reports to be generated on profile and case record type</t>
  </si>
  <si>
    <t>How to manage SQL connections to a PowerApp between environments?</t>
  </si>
  <si>
    <t>Viewer access to Dashboard folders</t>
  </si>
  <si>
    <t>Body</t>
  </si>
  <si>
    <t>AcceptedAnswer</t>
  </si>
  <si>
    <t xml:space="preserve">&lt;p&gt;I wish to create an online system to track some things (e.g., a database with children, where each child has 1 or more visits from doctors). I want the users to be able to enter data as well as search for it, especially from mobile devices. So, this is a custom mobile online DB app of modest but non-zero size.&lt;/p&gt;
&lt;p&gt;I've looked into DabbleDB and Zoho Creator, looking for an easy solution that will have low-cost maintenance.&lt;/p&gt;
&lt;p&gt;Although I feel my app is not too complicated, I find that if I want to do something slightly out of their mainstream, I hit walls. For example, dealing with many-to-many relationships, or with 100K records, or doing an involved mathematical calculation for a field.&lt;/p&gt;
&lt;p&gt;What are people's experiences with these online DB apps? Should I keep pushing ahead, or just write a custom app myself?&lt;/p&gt;
</t>
  </si>
  <si>
    <t xml:space="preserve">&lt;p&gt;I also tried building a simple web application with Zoho Creator and got so frustrated that I am now looking for a different solution. I consider Zoho Creator to be at a point right now suitable for educational purposes but I would not consider using it for a functional application.&lt;/p&gt;
</t>
  </si>
  <si>
    <t xml:space="preserve">&lt;p&gt;I usually use IIS in conjunction with the OutSystems development platform, which does code-generation for web applications.&lt;/p&gt;
&lt;p&gt;As it does the compiling and deployment of the applications to IIS, I end up knowing very little on how it really works, and sometimes it is very useful.&lt;/p&gt;
&lt;p&gt;Thanks&lt;/p&gt;
</t>
  </si>
  <si>
    <t xml:space="preserve">&lt;p&gt;&lt;a href="http://learn.iis.net/" rel="nofollow noreferrer"&gt;http://learn.iis.net/&lt;/a&gt;&lt;/p&gt;
</t>
  </si>
  <si>
    <t xml:space="preserve">&lt;p&gt;We are currently looking into the Agile Platform by Outsystems.&lt;/p&gt;
&lt;p&gt;We have went through their courses and did all the examples but from experience these types of things only show part of the picture.&lt;/p&gt;
&lt;p&gt;Are there any serious pitfalls that we may not be aware of?&lt;/p&gt;
</t>
  </si>
  <si>
    <t xml:space="preserve">&lt;p&gt;&lt;em&gt;DISCLAIMER: I work for OutSystems&lt;/em&gt;&lt;/p&gt;
&lt;p&gt;Every development tool/language/stack/... involves some tradeoffs at some point. Therefore, depending on what you're looking for, or particularly interested in, you may consider some aspect of a platform as an unforgivable pitfall where others might see it as a godsend blessing, or vice-versa. Thus, only by knowing what you really like and what you consider essential, may I try to guess what you'll miss and what you'll consider a pitfall.&lt;/p&gt;
&lt;p&gt;Since we usually only notice the lack of something the first time we try to use it, I'd recommend trying to use the platform to hack something at your will without following the tutorials and the courses to the letter. If while creating something different you find anything you dislike, we'll be happy to hear it from you!&lt;/p&gt;
&lt;p&gt;TL;DR: If you think the tutorials for a tool aren't showing you something, play with it a bit without following them.&lt;/p&gt;
</t>
  </si>
  <si>
    <t xml:space="preserve">&lt;p&gt;If anyone has used one of these systems could you give me a feedback on the pros and cons for both? Also are there better tools out there besides these?&lt;/p&gt;
&lt;ol&gt;
&lt;li&gt;Alpha Five&lt;/li&gt;
&lt;li&gt;Outsystems agile development&lt;/li&gt;
&lt;li&gt;Omnis Studio from Tiger Logic&lt;/li&gt;
&lt;/ol&gt;
&lt;p&gt;Thanks in advance,
Jimmy&lt;/p&gt;
</t>
  </si>
  <si>
    <t xml:space="preserve">&lt;p&gt;I'm looking for a AaaS to handle the agile/scrum project management for a commercial software development project. We are probably going to use git as SCM and ideally we would like to have a good integration between the code changes in SCM and the tasks/bugs in the project management. I've narrowed down the search to a few options:&lt;/p&gt;
&lt;p&gt;&lt;strong&gt;Redmine&lt;/strong&gt;: Mainstream open source, free software development management tool. Tasks, bugs, wiki, blogs, time tracking, git integration, pretty much everything we need. Not hosted. Could be deployed in-house or in a PaaS like CloudFoundry.&lt;/p&gt;
&lt;p&gt;&lt;strong&gt;JIRA&lt;/strong&gt;: Lots of features. Integration with Git, Eclipse, plenty of plugins, plenty of functionality. 1 to 4 $/month/person/application. Limited integration with google apps.&lt;/p&gt;
&lt;p&gt;&lt;strong&gt;Zoho Projects&lt;/strong&gt;: New generation of management apps, fully integrated with google apps (calendar, docs, tasks). Task Management, Document Sharing, Time Tracking &amp;amp; Billing, Bug Tracking Software, Gantt Charts, Project Wiki, Project Chat, Project Calendar, Project Forums. With bug tracker, ticketing, git integration. Quite expensive (Projects $299 / year, Bug Tracker Add-on  $299 / year)&lt;/p&gt;
&lt;p&gt;&lt;strong&gt;Yodiz&lt;/strong&gt;: Looks perfect for scrum (scrum board, release board, backlog, planning board, epics, sprints, releases). It has time sheets and integration with SCM, with automatic posting in the tasks/defects when the code is committed (&lt;a href="http://app.yodiz.com/thirdparty/pages/git.vz?pid=6" rel="noreferrer"&gt;http://app.yodiz.com/thirdparty/pages/git.vz?pid=6&lt;/a&gt;). Pricing 5$/user/month + 22$ month for GitHub. There is another similar software fogcreek (&lt;a href="http://www.fogcreek.com" rel="noreferrer"&gt;http://www.fogcreek.com&lt;/a&gt;) but it's VERY expensive.&lt;/p&gt;
&lt;p&gt;&lt;strong&gt;Assembla&lt;/strong&gt;: Everything under one roof. SCM repository + all the agile functionality (wiki, tickets, files, etc). 9$ to 99$ per month, 10$/user/month for assembla portfolio. Quite popular.&lt;/p&gt;
&lt;p&gt;Assembla looks like a very good option, but I don't seem to find a loot of feedback about it. Could you give me your advice on Assembla, the other tools and maybe other different options. &lt;/p&gt;
&lt;p&gt;An interesting project managament/CRM/bug trackers comparison spreadsheet:&lt;/p&gt;
&lt;p&gt;&lt;a href="https://spreadsheets.google.com/spreadsheet/pub?hl=en&amp;amp;key=0Ahw066SJeeSadFJGWXRTUVVfaE1WWmpkU09WUkt6Z0E&amp;amp;hl=en&amp;amp;gid=6" rel="noreferrer"&gt;https://spreadsheets.google.com/spreadsheet/pub?hl=en&amp;amp;key=0Ahw066SJeeSadFJGWXRTUVVfaE1WWmpkU09WUkt6Z0E&amp;amp;hl=en&amp;amp;gid=6&lt;/a&gt;&lt;/p&gt;
</t>
  </si>
  <si>
    <t xml:space="preserve">&lt;p&gt;Assembla is good at integrating your SCM with your ticket/bug tracking.  This is it's specialty.  You can use Merge Requests for Code Review and Release Management.  It has several ticket views for Management planning and Development planning.  Every commit is able to be linked directly to tickets and you are able to track not only your bugs as they flow through the system, but the code that surrounds these bugs.&lt;/p&gt;
&lt;p&gt;You should try it, there is a 30 day free trial that will allow you to use all of the various tools associated.&lt;/p&gt;
</t>
  </si>
  <si>
    <t xml:space="preserve">&lt;p&gt;Is developing with App Maker restricted to accounts in the G Suite tenant where the App Maker apps were created? &lt;/p&gt;
&lt;p&gt;Or have I missed a way to include external developers in the engineering process (eg. gmail accounts or other G Suite Orgs)? &lt;/p&gt;
</t>
  </si>
  <si>
    <t xml:space="preserve">&lt;p&gt;Yes, only users in your G Suite domain can create and edit App Maker apps in your domain.&lt;/p&gt;
</t>
  </si>
  <si>
    <t xml:space="preserve">&lt;p&gt;In my organization, I have a pretty long(56 steps), well-defined google form. I'd like to use new responses of this form in my appmaker project. 
I could recreate the form in appmaker but this would be a huge manual labor. I want to avoid this by setting some kind of a data transfer between the responses spreadsheet and my appmaker project. And I do not have access to the cloudSQL option when creating the data model (presumably admin turned it off).&lt;/p&gt;
&lt;p&gt;Question: Spreadsheet app-script has a method to listen to new updates, is there a way to send the new response data to the appmaker app? &lt;/p&gt;
&lt;p&gt;Highly appreciate your ideas.&lt;/p&gt;
&lt;p&gt;PS how do we call apps written in app maker? AMA?:)&lt;/p&gt;
</t>
  </si>
  <si>
    <t xml:space="preserve">&lt;p&gt;As of now Appmaker doesnt support PostgreSQL on Cloud SQL. Will it be supported in the future. Is it on the roadmap. &lt;/p&gt;
&lt;p&gt;Thanks&lt;/p&gt;
</t>
  </si>
  <si>
    <t xml:space="preserve">&lt;p&gt;We do not see app maker architecture in the documentation, Is there any diagrammatic representation of app maker architecture.&lt;/p&gt;
&lt;p&gt;Can anyone suggest how can we represent the architecture of app maker&lt;/p&gt;
</t>
  </si>
  <si>
    <t xml:space="preserve">&lt;p&gt;How Out System guys are managing to develop a iOS mobile application in its P10 version without Mac and Xcode. It is given in their link &lt;a href="https://success.outsystems.com/Documentation/10/Getting_Started/New_in_OutSystems_10" rel="nofollow noreferrer"&gt;https://success.outsystems.com/Documentation/10/Getting_Started/New_in_OutSystems_10&lt;/a&gt; that it doesn't need Xcode. How ?&lt;/p&gt;
</t>
  </si>
  <si>
    <t xml:space="preserve">&lt;p&gt;Google announced that Apps Script UI service will be discontinued next July. At my school some teachers are using Google sheets gradebooks together with app scripts code to publish the grades as a webpage, so that each student can see only his/her grades. If next school year this is not going to work any more, we need to find a new way of doing the same. Google suggests using Google App maker. &lt;/p&gt;
&lt;p&gt;Since I am a teacher and not a developer, I have no idea of how to use the App maker. I am ready to learn, though, if it is the best way to solve the problem. &lt;/p&gt;
&lt;p&gt;But before I use a lot of the time I don't really have in learning to use a new tool, I would really appreciate if you could tell me that what we are doing with Apps Script can be done using the Google App maker.&lt;/p&gt;
&lt;p&gt;I would be really grateful if you could show me the way to start migrating the script code to App maker.&lt;/p&gt;
&lt;p&gt;This is a sample of the Google sheet we use as Gradebook:
&lt;a href="https://docs.google.com/spreadsheets/d/1Id3-5o6JpNJWkHWUjOSWaJ3PLRveOdYoAynURxzNYFE/edit?usp=sharing" rel="nofollow noreferrer"&gt;https://docs.google.com/spreadsheets/d/1Id3-5o6JpNJWkHWUjOSWaJ3PLRveOdYoAynURxzNYFE/edit?usp=sharing&lt;/a&gt;&lt;/p&gt;
&lt;p&gt;This is the code we use in the Google sheets script editor:&lt;/p&gt;
&lt;pre&gt;&lt;code&gt;//Script-as-app template.
function doGet() {
var app = UiApp.createApplication();
return app;
}
function myClickHandler(e) {
var app = UiApp.getActiveApplication();
app.close();
return app;
}
var ss = SpreadsheetApp.openById('1Id3-5o6JpNJWkHWUjOSWaJ3PLRveOdYoAynURxzNYFE');//Put your spreadsheet key here
var sh1 = ss.getSheetByName('StudentGrades');//Meta sheet name
var logsheet = ss.getSheetByName('logsheet');
var data = sh1.getDataRange().getValues();
var user = Session.getEffectiveUser()
Logger.log(user)
function doGet() {
var app = UiApp.createApplication().setTitle('English Grades - Teacher: Anna C');//App title
 if(!getcol(user)){
 var warn = app.createLabel().setWidth('400').setText("Your results are not available or your email is not in the list. Please contact your teacher.");
// if user is not in the list, warning + return
app.add(warn)
return app
      }
var grid = app.createGrid(data.length, 3).setWidth('900px').setBorderWidth(1).setCellPadding(6).setCellSpacing(6).setStyleAttribute('borderCollapse','collapse').setId('grid');
//Overall table styling
var text = app.createLabel(user).setWidth('250px');
var col = getcol(user)
grid.setWidget(0,1,text).setText(0, 0, 'ENGLISH RESULTS FOR');
for(n=1;n&amp;lt;data.length;++n){
     grid.setText(n, 0, string(data[n][0]));
     grid.setText(n, 1, string(data[n][1]));
     grid.setText(n, 2, string(data[n][col]));         
     //FIRST ROW HEADER (Dark blue background) - row 0
     grid.setRowStyleAttributes(0, {fontFamily: "Verdana, sans-serif",'textAlign':'left','fontWeight':'bold',color: "#fff",'background':'#384c80','border':'1px solid #c0c0c0'});
     //COURSE-JUNE-SEPTEMBER MARKS (Dark red background) - rows 288,294,298
     grid.setRowStyleAttributes(250, {fontFamily: "Verdana, sans-serif",'textAlign':'left','fontWeight':'bold',color: "#fff",'background':'#900202','border':'1px solid #c0c0c0'});
     //TERMS-TERM MARKS (Orange background) - rows 5,105,202,289,291,293
     grid.setRowStyleAttributes(5, {fontFamily: "Verdana, sans-serif",'textAlign':'left','fontWeight':'bold',color: "#fff",'background':'#ff953f','border':'1px solid #c0c0c0'});
     //SUMMER-1ST T MARKS (Orange bold font)
     grid.setRowStyleAttributes(20, {fontFamily: "Verdana, sans-serif",'textAlign':'left','fontWeight':'bold',color: "#ff953f",'background':'#fff','border':'1px solid #c0c0c0'});
     //DIMENSIONS MARKS (Dark blue bold font)
     grid.setRowStyleAttributes(54, {fontFamily: "Verdana, sans-serif",'textAlign':'left','fontWeight':'bold',color: "#384c80",'background':'#fff','border':'1px solid #c0c0c0'});
     //Level B green exercises (Dark green font)
     grid.setRowStyleAttributes(30, {fontFamily: "Verdana, sans-serif",'textAlign':'left','fontWeight':'normal',color: "#009A46",'background':'#fff','border':'1px solid #c0c0c0'});
     //Level A red exercises (Red font)
     grid.setRowStyleAttributes(45, {fontFamily: "Verdana, sans-serif",'textAlign':'left','fontWeight':'normal',color: "#ff0000",'background':'#fff','border':'1px solid #c0c0c0'});
   }
   app.add(grid);
   return app
}
function string(value){
Logger.log(typeof(value))
if (typeof(value)=='string'){return value};// if string then don't do anything
if (typeof(value)=='number'){return Utilities.formatString('%.2f',value)};// if number then format with 2 decimal
if (typeof(value)=='object'){return Utilities.formatDate(value, Session.getTimeZone(), "MM-dd")};//object &amp;gt;&amp;gt; date in this case, format month/day
return 'error'
}
function getcol(mail){
if(data[0].toString().indexOf(mail.toString())!=-1){
for(zz=1;zz&amp;lt;data[0].length;++zz){
if(data[0][zz] == mail){var colindex=zz;break}
}
return colindex
}
return false
}
&lt;/code&gt;&lt;/pre&gt;
&lt;p&gt;And this is what our students see after they log in with their gmail account. They see their results as a webpage. (I have created a sample student's mail so that I can show you what they see).&lt;/p&gt;
&lt;p&gt;Go to 
&lt;a href="https://script.google.com/a/jverdaguer.com/macros/s/AKfycbwGmZr-UVw1hAtkyQEM8mqax1UkiKEGrF1wCOE/exec" rel="nofollow noreferrer"&gt;https://script.google.com/a/jverdaguer.com/macros/s/AKfycbwGmZr-UVw1hAtkyQEM8mqax1UkiKEGrF1wCOE/exec&lt;/a&gt; 
and log in with the mail samplestudent@jverdaguer.com and the password sstudent2018&lt;/p&gt;
</t>
  </si>
  <si>
    <t xml:space="preserve">&lt;p&gt;Where to find google app maker personal version for learning purposes. Any information, would be really helpful to know. Thanks in advance. &lt;/p&gt;
</t>
  </si>
  <si>
    <t xml:space="preserve">&lt;p&gt;I want to know the underlying framework of microsoft powerapps. Can any one tell on what language or framework is powerapps build upon or share some references.&lt;/p&gt;
&lt;p&gt;Thanks.&lt;/p&gt;
</t>
  </si>
  <si>
    <t xml:space="preserve">&lt;p&gt;What is the most concurrent users in a powerapp app (using SharePoint lists)? My concern is performance, the user not having to wait because of multiple users.&lt;/p&gt;
</t>
  </si>
  <si>
    <t xml:space="preserve">&lt;p&gt;I'm a C# developer. I don't have any experience in iOS development and I've been given a project to make an iPad app that sends data to Quickbase. I know there are SDK's out there for Objective-C, Java, and others... but can I use one in Xamarin? &lt;/p&gt;
</t>
  </si>
  <si>
    <t xml:space="preserve">&lt;p&gt;I am new to salesforce. I need to know how to design a WSDL for salesforce REST API inorder to connect salesforce service?&lt;/p&gt;
&lt;p&gt;I have a doubt, is it possible to do a GET request(sales force has REST access) on sales force resources and create xsd based on the response xml received for each request?&lt;/p&gt;
&lt;p&gt;But I cant able to find particular schema available for salesforce.
or&lt;/p&gt;
&lt;p&gt;Is there any other way to design a WSDL for REST API?&lt;/p&gt;
&lt;p&gt;Thank you for your answer in advance&lt;/p&gt;
</t>
  </si>
  <si>
    <t xml:space="preserve">&lt;p&gt;For the REST API, you don't need to use the WSDL. You can explore the API by going to&lt;/p&gt;
&lt;p&gt;https://{instance}.salesforce.com/services/data/v24.0&lt;/p&gt;
&lt;p&gt;For an interactive explorer, check out apigee's salesforce console:&lt;/p&gt;
&lt;p&gt;&lt;a href="https://apigee.com/console/salesforce"&gt;https://apigee.com/console/salesforce&lt;/a&gt;&lt;/p&gt;
</t>
  </si>
  <si>
    <t xml:space="preserve">&lt;p&gt;I'm currently looking for an overview of the objects (like Accounts, Campaigns, Cases, Contact, Contract, Lead, Opportunity, ...) in the Service Cloud in comarison to the Sales Cloud. I know there are function overviews but there is not list of objects related to those versions yet. I need a clear separation with all objects of both. Maybe someone can help me out?&lt;/p&gt;
</t>
  </si>
  <si>
    <t xml:space="preserve">&lt;p&gt;I tried to connect AppMaker to an existing Google SQL database without success. In Google Cloud, I created a second generation instance (europe-west1) and allow every IP (for the test). Next, I created a user, connected Workbench with the database and created a schema. Without problems.
In AppMaker I use the following address to connect to the database:&lt;/p&gt;
&lt;blockquote&gt;
  &lt;p&gt;[domainName:]myprojectID:regionName:myinstanceID/mydatabase
  (with and without domain)&lt;/p&gt;
&lt;/blockquote&gt;
&lt;p&gt;Feedback:&lt;/p&gt;
&lt;blockquote&gt;
  &lt;p&gt;Unable to connect to Google Cloud SQL instance.
  The Google Cloud SQL address may be incorrect or this App Maker editor may not have permission to access the database. You can find more information about using Google Cloud SQL in our documentation.&lt;/p&gt;
&lt;/blockquote&gt;
&lt;p&gt;How can I connect to Google SQL with AppMaker?&lt;/p&gt;
&lt;p&gt;Thanks.&lt;/p&gt;
</t>
  </si>
  <si>
    <t xml:space="preserve">&lt;p&gt;The process I followed to connect to the database is the following: &lt;/p&gt;
&lt;ol&gt;
&lt;li&gt;Create a second generation instance by following the steps &lt;strong&gt;&lt;a href="https://cloud.google.com/sql/docs/mysql/quickstart#create_a_title_short_instance" rel="nofollow noreferrer"&gt;here&lt;/a&gt;&lt;/strong&gt; (Please make sure to follow the steps only for "Create a Cloud SQL instance" and then create a database inside that instance)&lt;/li&gt;
&lt;li&gt;Now, go to the &lt;a href="https://console.cloud.google.com/iam-admin/iam/iam-zero" rel="nofollow noreferrer"&gt;IAM &amp;amp; ADMIN&lt;/a&gt; section of your project. Click on the blue &lt;strong&gt;&lt;em&gt;"add"&lt;/em&gt;&lt;/strong&gt; member option on the top. Type "&lt;strong&gt;&lt;em&gt;appmaker-maestro@appspot.gserviceaccount.com&lt;/em&gt;&lt;/strong&gt;" on the "&lt;strong&gt;&lt;em&gt;Members&lt;/em&gt;&lt;/strong&gt;" field and from the "&lt;strong&gt;&lt;em&gt;Roles&lt;/em&gt;&lt;/strong&gt;" dropdown select &lt;strong&gt;&lt;em&gt;Project-&gt;Editor&lt;/em&gt;&lt;/strong&gt; &lt;/li&gt;
&lt;li&gt;Return to your second generation SQL instance and copy the value of the &lt;strong&gt;&lt;em&gt;Instance connection name&lt;/em&gt;&lt;/strong&gt; property of your instance. Example: &lt;a href="https://i.stack.imgur.com/MZSyL.png" rel="nofollow noreferrer"&gt;&lt;img src="https://i.stack.imgur.com/MZSyL.png" alt="enter image description here"&gt;&lt;/a&gt;&lt;/li&gt;
&lt;li&gt;Follow the steps for second generation found &lt;a href="https://developers.google.com/appmaker/models/cloudsql#create_a_new_google_cloud_sql_database_for_your_app" rel="nofollow noreferrer"&gt;here&lt;/a&gt; to connect to the database from AppMaker and when asked for the instance address, type the value you copied on the previous step and add &lt;strong&gt;/yourdatabase&lt;/strong&gt; at the end of it. For example: &lt;strong&gt;my-foto-app:us-central1:myinstance/userphotodatabase&lt;/strong&gt;&lt;/li&gt;
&lt;li&gt;You should now be asked to enter the user and password. Do so and you are finished.&lt;/li&gt;
&lt;/ol&gt;
&lt;p&gt;Please note that I haven't tested out this with a &lt;strong&gt;europe&lt;/strong&gt; location but only on a &lt;strong&gt;us central&lt;/strong&gt; location. I hope this helps and works!&lt;/p&gt;
</t>
  </si>
  <si>
    <t xml:space="preserve">&lt;p&gt;I'm using Outsystems Service Studio to develop a web application. I need to configure a connection to access a local server database. I get "Connection String test failed: Unable to connect to any of the specified MySQL hosts." I just figured out I can't connect using "localhost", because the Outsystems server is not local, but I'm not able to find a solution. what is wrong? Other details:&lt;/p&gt;
&lt;ul&gt;
&lt;li&gt;&lt;p&gt;MySQL Server is up and running&lt;/p&gt;&lt;/li&gt;
&lt;li&gt;&lt;p&gt;I selected MySQL in DBMS&lt;/p&gt;&lt;/li&gt;
&lt;li&gt;&lt;p&gt;Inserted my schema name&lt;/p&gt;&lt;/li&gt;
&lt;li&gt;&lt;p&gt;Inserted the username (with all privileges granted)&lt;/p&gt;&lt;/li&gt;
&lt;li&gt;&lt;p&gt;Inserted the user password&lt;/p&gt;&lt;/li&gt;
&lt;/ul&gt;
&lt;p&gt;Tried both basic and advanced configuration. I inserted j"dbc:mysql://127.0.0.1:3306/mydb?user=outsystems2" as connection string parameters and I get "Connection String test failed: Keyword not supported.Parameter name: mysql://127.0.0.1:3306/mydb?user". I know this connection string can't work , but I'm not able to find a functioning one. I've read many guides about this configuration, but no solution was found. Thank you all for your time and help, feel free to ask for more details&lt;/p&gt;
</t>
  </si>
  <si>
    <t xml:space="preserve">&lt;p&gt;Luciano,&lt;/p&gt;
&lt;p&gt;Is your OutSystems environment on-premises or in the cloud? Either way, you need to make sure that this server is able to reach - it as connectivity - to your MySQL database server. Using localhost or 127.0.0.1 is pretty much the same thing as this is an address for the machine where the request is running, which is, in this case, the OutSystems server. Do you have the MySQL database on your local machine? This is not a good approach as you will need to have an address that won't change otherwise the connection won't be stable and you'd have to reconfigure it all the time.&lt;/p&gt;
&lt;p&gt;Regards&lt;/p&gt;
</t>
  </si>
  <si>
    <t xml:space="preserve">&lt;p&gt;I have a Google App Maker project where I have a Many-To-Many Relation between 2 tables &lt;strong&gt;A&lt;/strong&gt; and &lt;strong&gt;B&lt;/strong&gt;.&lt;/p&gt;
&lt;p&gt;I can build a page for table &lt;strong&gt;A&lt;/strong&gt; where I have a table of related &lt;strong&gt;B&lt;/strong&gt; records and add new ones using a dialog.&lt;/p&gt;
&lt;p&gt;However, this approach enables me to create new &lt;strong&gt;B&lt;/strong&gt; records and associate them to an &lt;strong&gt;A&lt;/strong&gt; record but how can I make the user able to select an existing &lt;strong&gt;B&lt;/strong&gt; record and associate it to an &lt;strong&gt;A&lt;/strong&gt; record via UI?&lt;/p&gt;
&lt;p&gt;I will need to have it work both ways (Select &lt;strong&gt;A&lt;/strong&gt; records from &lt;strong&gt;B&lt;/strong&gt; record page as well).&lt;/p&gt;
&lt;p&gt;UPDATE:&lt;/p&gt;
&lt;p&gt;I was to accomplish this by creating a separate dialog for selecting existing records which would show all available &lt;strong&gt;B&lt;/strong&gt; records in a table widget with a SELECT button on each row. clicking the button will add the record to the &lt;strong&gt;B&lt;/strong&gt; related records of the &lt;strong&gt;A&lt;/strong&gt; record. However, I know there has to be an automatic way built by Google that will be less work and better design.&lt;/p&gt;
&lt;p&gt;Thanks and I appreciate your help.&lt;/p&gt;
</t>
  </si>
  <si>
    <t xml:space="preserve">&lt;p&gt;Your solution is a good one, another solution, depending on the number of existing records, is to use the multi-select widget. (You can bind the items to B's datasource, and values to the relation on a record in A. But as I mentioned, this only works well if the number of items in B is small.)&lt;/p&gt;
&lt;p&gt;Making this easier is something we've been looking in to, the main challenge is the correct UI in this case depends a lot on the kind of app you're writing.&lt;/p&gt;
</t>
  </si>
  <si>
    <t xml:space="preserve">&lt;p&gt;I've done a ton of research on this and I've seen people asking this, but never seen an answer: Is there any way that anyone has discovered to work with the Docusign API from within Quickbase? As far as I can tell, quickbase only supports Javascript, without Node.js, and Docusign doesn't support CORS. I tried talking to both companies who won't say it isn't possible, but aren't really giving me any direction beyond the official docs, which aren't helping.&lt;/p&gt;
</t>
  </si>
  <si>
    <t xml:space="preserve">&lt;p&gt;I suggest that you build a small Gateway that will support cors on one side and the DocuSign API on the other side&lt;/p&gt;
</t>
  </si>
  <si>
    <t xml:space="preserve">&lt;p&gt;I am working on outsystems 10.0. I have created a common menu in my app. It should be only visible after the login page. But in my app it is displaying in login screen too. Plz help me in disabling menu in Login screen.&lt;/p&gt;
</t>
  </si>
  <si>
    <t xml:space="preserve">&lt;p&gt;What kind of application are you building, and what Template are you using?&lt;/p&gt;
&lt;p&gt;If it is a Web App, both Web Application (a.k.a. London) and SilkUI templates do not have the menu in the default Login screen generated (inside the Common flow). Same thing for Mobile Apps (for Tablet and Phone templates).&lt;/p&gt;
&lt;p&gt;If you have a menu in your Login screen, then you must have have a custom Template.&lt;/p&gt;
</t>
  </si>
  <si>
    <t xml:space="preserve">&lt;p&gt;Currently, I store my data on google-drive tables. When I export the data to spreadsheets, the relationship between models are lost. For example, I have a farm object and contacts tied to that farm object. &lt;/p&gt;
&lt;p&gt;When I export the data of farms and contacts from my deployment, google gives me a spreadsheet with two sheets (farms, contacts). Each of them contains the data but the relationship of farms and contacts tie to each other is not shown or listed.&lt;/p&gt;
&lt;p&gt;Is it not possible to show the relationship? Should I use the google cloud SQL?&lt;/p&gt;
</t>
  </si>
  <si>
    <t xml:space="preserve">&lt;p&gt;This problem was addressed with one of the latest App Maker releases:&lt;/p&gt;
&lt;blockquote&gt;
  &lt;p&gt;&lt;strong&gt;November 9, 2017&lt;/strong&gt;&lt;/p&gt;
  &lt;p&gt;You can now import and export all app data and relations.&lt;/p&gt;
&lt;/blockquote&gt;
&lt;p&gt;You can read full release note by pointing your browser to this link:
&lt;a href="https://developers.google.com/appmaker/release-notes#import_and_export_relations" rel="nofollow noreferrer"&gt;https://developers.google.com/appmaker/release-notes#import_and_export_relations&lt;/a&gt;&lt;/p&gt;
&lt;p&gt;Documentation related to import and export functionality can be found here:
&lt;a href="https://developers.google.com/appmaker/models/import-export" rel="nofollow noreferrer"&gt;https://developers.google.com/appmaker/models/import-export&lt;/a&gt;&lt;/p&gt;
</t>
  </si>
  <si>
    <t xml:space="preserve">&lt;p&gt;I have a powerapp that is connected to a SQL database, I know powerapps has a limitation of showing 500 sharepoint list items, and i want to know if this 500 record retrieval limitation also applies when pulling data from an SQL database.&lt;/p&gt;
</t>
  </si>
  <si>
    <t xml:space="preserve">&lt;p&gt;In PowerApps, when querying any data source, a maximum of 500 records are retrieved.
If your data source is delegable and the functions you use in the query are also delegable for that data source, then all the records in your source table will be queried and the first 500 results returned.
If your data source is not delegable, or the functions you use in the query are not delegable for that data source, then only results from the first 500 records of the source table will be returned.
Details are &lt;a href="https://powerapps.microsoft.com/en-us/tutorials/delegation-overview/" rel="nofollow noreferrer"&gt;here&lt;/a&gt;.&lt;/p&gt;
</t>
  </si>
  <si>
    <t xml:space="preserve">&lt;p&gt;Is there any way to add file upload functionality in G-suite app maker?&lt;/p&gt;
&lt;p&gt;If any one have any idea please help.&lt;/p&gt;
</t>
  </si>
  <si>
    <t xml:space="preserve">&lt;p&gt;Trying to make a relational join between a local source (MyStaff) and the external datasource Directory (my company's directory).&lt;/p&gt;
&lt;p&gt;However, there isn't an option to relate them.&lt;/p&gt;
&lt;p&gt;Was hoping to create a local datasource with custom fields that I can "append" to user records from the existing Directory datasource.&lt;/p&gt;
&lt;p&gt;Any help is appreciated.&lt;/p&gt;
&lt;p&gt;L.&lt;/p&gt;
</t>
  </si>
  <si>
    <t xml:space="preserve">&lt;p&gt;There is no way to create relations between Directory Model and other model types. You have at least three ways to workaround this shortage:&lt;/p&gt;
&lt;p&gt;&lt;strong&gt;One&lt;/strong&gt;&lt;/p&gt;
&lt;p&gt;Query directory records on the fly - this will okish work for single-record pages, but it will be tooo slow for lists.&lt;/p&gt;
&lt;p&gt;&lt;strong&gt;Two&lt;/strong&gt;&lt;/p&gt;
&lt;p&gt;You can duplicate Directory fields you need in your tables.&lt;/p&gt;
&lt;p&gt;Pros:&lt;/p&gt;
&lt;ul&gt;
&lt;li&gt;it will NOT slow down your app&lt;/li&gt;
&lt;li&gt;it will let you to implement queries with mixed models data (Directory + Drive Tables or Cloud SQL)&lt;/li&gt;
&lt;/ul&gt;
&lt;p&gt;Cons:&lt;/p&gt;
&lt;ul&gt;
&lt;li&gt;You will store same data in two different places&lt;/li&gt;
&lt;li&gt;Eventually your version of Directory data will become stale&lt;/li&gt;
&lt;/ul&gt;
&lt;p&gt;You can find nice sample of the second approach in
&lt;a href="https://developers.google.com/appmaker/templates/people-skills/" rel="nofollow noreferrer"&gt;People Skills app&lt;/a&gt;.&lt;/p&gt;
&lt;p&gt;&lt;strong&gt;Three&lt;/strong&gt;&lt;/p&gt;
&lt;p&gt;Query Directory data on demand. Let's say you have databound list, and records bound to the list have UserEmail field. In this case you can:&lt;/p&gt;
&lt;ol&gt;
&lt;li&gt;Add some button to the list row&lt;/li&gt;
&lt;li&gt;In button onClick event handler add code similar to this:&lt;/li&gt;
&lt;/ol&gt;
&lt;pre class="lang-js prettyprint-override"&gt;&lt;code&gt;app.datasources.Directory.query.filters.PrimaryEmail._equals = widget.datasource.item.UserEmail;
app.datasources.Directory.load();
app.showPage(app.pages.UserDetails); // or app.showDialog(app.pages.UserDetails);
&lt;/code&gt;&lt;/pre&gt;
</t>
  </si>
  <si>
    <t xml:space="preserve">&lt;p&gt;In App Maker we have drive picker widget that will save files in current user google drive.&lt;/p&gt;
&lt;p&gt;When a user uploads a file to his drive, the other users in the application should access the file from the uploaded URL. Or is there a option to configure a common drive for all users to save there files.&lt;/p&gt;
</t>
  </si>
  <si>
    <t xml:space="preserve">&lt;p&gt;I am building a powerapps where I need to submit the form controls like radio, dropdown selected,textinput values into excel online . Also in excel I need to predefine the header column names like Product name, Product Value , Product weight , Product manufactured date in excel so that when I submit the form in powerapp, it will get stored into excel online under these column headers.
Please tell me how to do so as I am very much new to powerapps .&lt;/p&gt;
</t>
  </si>
  <si>
    <t xml:space="preserve">&lt;p&gt;I'm sure this is a common task that people need to accomplish in Salesforce, but I can't for the life of my figure out a good way to do it using the Salesforce Data Import Wizard. I simply need to bulk convert a bunch of Leads to Contacts. I can export my lead data and then reimport it as contacts, but then how do I update all of the old leads and mark them as converted? There is a field in Salesforce called "IsConverted", but it's not an option in the list of mappable fields in the import wizard. What is the best way to accomplish this task of bulk converting leads to contacts?&lt;/p&gt;
</t>
  </si>
  <si>
    <t xml:space="preserve">&lt;p&gt;A straight forward approach you can take for this is a simple trigger. You'll need to add a boolean field on the lead with a name like "API Convert". The purpose of this field will be to trigger the conversion of a lead when updated to true. This will allow you to be able to update leads in a data loader by just marking API_Convert__c = true.&lt;/p&gt;
&lt;p&gt;Example of the bulkified trigger borrowed from Salesforce Developer community, with an update to add this field as a dependency.&lt;/p&gt;
&lt;pre&gt;&lt;code&gt;trigger AutoConvert on Lead (after update) {
    list&amp;lt;Lead&amp;gt; LeadsToConvert = new list&amp;lt;Lead&amp;gt;();
    for(Lead myLead: Trigger.new){
      if(!myLead.isConverted &amp;amp;&amp;amp; myLead.API_Convert__c == true)
        LeadsToConvert.add(myLead);
    }
    list&amp;lt;Database.LeadConvert&amp;gt; leadConverts = new list&amp;lt;Database.LeadConvert&amp;gt;();
    for(Lead myLead : LeadsToConvert){
      Database.LeadConvert lc = new database.LeadConvert();
      lc.setLeadId(myLead.Id);
      lc.convertedStatus = 'Qualified';
      //Database.ConvertLead(lc,true);
      lc.setDoNotCreateOpportunity(true);
      leadConverts.add(lc);
    }
    if(!leadConverts.isEmpty()){
      for(Integer i = 0; i &amp;lt;= leadConverts.size()/100 ; i++){
        list&amp;lt;Database.LeadConvert&amp;gt; tempList = new list&amp;lt;Database.LeadConvert&amp;gt;();
        Integer startIndex = i*100;
        Integer endIndex = ((startIndex+100) &amp;lt; leadConverts.size()) ? startIndex+100: leadConverts.size();
        for(Integer j=startIndex;j&amp;lt;endIndex;j++){
          tempList.add(leadConverts[j]);
        }
        Database.LeadConvertResult[] lcrList = Database.convertLead(tempList, false);
        for(Database.LeadConvertResult lcr : lcrList)
          System.assert(lcr.isSuccess());
      }
    }
}
&lt;/code&gt;&lt;/pre&gt;
</t>
  </si>
  <si>
    <t xml:space="preserve">&lt;p&gt;App maker has relations to configure Primary and foreign key relation ship. I configure 1 to many relation, it creates parent column name in the child model.&lt;/p&gt;
&lt;p&gt;I don't know how it works, it is taking the first column by default to save in the child model. I re ordered the fields but it is not changing the name and I have deleted the relation and re created but it is not reflecting.&lt;/p&gt;
&lt;p&gt;Can any one explain how it works, Which field is configured as default primary key in the documentation also it is not mentioned any where.&lt;/p&gt;
</t>
  </si>
  <si>
    <t xml:space="preserve">&lt;p&gt;I have two tables as entities. &lt;/p&gt;
&lt;ol&gt;
&lt;li&gt;Travel details&lt;/li&gt;
&lt;li&gt;Travellers&lt;/li&gt;
&lt;/ol&gt;
&lt;p&gt;I will have the trip details in first table and "who is travelling list" as separate records in second table.&lt;/p&gt;
&lt;p&gt;Here are my screens:&lt;/p&gt;
&lt;p&gt;&lt;a href="https://i.stack.imgur.com/xwtt6.png" rel="nofollow noreferrer"&gt;&lt;img src="https://i.stack.imgur.com/xwtt6.png" alt="enter image description here"&gt;&lt;/a&gt;&lt;/p&gt;
&lt;p&gt;After I fill the travel details, I should hold the data somewhere and pass it to the next page and collect travellers. It is one to many relationship. One trip might have one or more travellers. Finally I should submit these to my two different entities.&lt;/p&gt;
&lt;p&gt;Since I'm new to powerapps, it's quite challenging for me. Please help.&lt;/p&gt;
</t>
  </si>
  <si>
    <t xml:space="preserve">&lt;p&gt;I would suggest to store the travel details ID (or whatever the primary key of the travel details table is) as a variable (context or global depending on how you want to do this) when the travel details are saved on the first screen, and then modifying the OnSelect property of the save button on the second screen to include the information stored in the variable when it writes to the Travellers table.
I realise this is not very clear, but more information about the data structure and the current OnSelect property of both save buttons would help.&lt;/p&gt;
</t>
  </si>
  <si>
    <t xml:space="preserve">&lt;p&gt;The communication between the browser and the appmaker runtime environment is secured by HTTPS.  What security measures are put in place to secure the connection between appmaker runtime on Google and the Google cloud database?&lt;/p&gt;
&lt;p&gt;In Appmaker it simply asks for the database address and credentials when setting up a Google Cloud SQL connection.  There is no option about security.  I assume it's secure as both the appmaker and the database live in Google Cloud.  Can someone confirm the right security measures is in place?&lt;/p&gt;
</t>
  </si>
  <si>
    <t xml:space="preserve">&lt;p&gt;My company has lots of data in Google Sheets which is nowadays too slow to work with so I built an app and data models with relations to handle the tasks. Next I need to import the data but &lt;strong&gt;is there any way to map the data relations while importing from Google Sheets?&lt;/strong&gt; &lt;/p&gt;
&lt;p&gt;The only way I could come up with is to write a server-side script but considering that App Maker is a platform for non-developers I think there could be some build-in way for this..? And thanks for the help in advance :)&lt;/p&gt;
</t>
  </si>
  <si>
    <t xml:space="preserve">&lt;p&gt;Is anybody sending out text messages to user's phones with AppMaker?  If so, would you mind posting your preferred solution that has been tried and works with AppMaker/Google Cloud?&lt;/p&gt;
&lt;p&gt;Thanks!&lt;/p&gt;
</t>
  </si>
  <si>
    <t xml:space="preserve">&lt;p&gt;I am new to the App Maker, just curious, can the App Maker connect to Google Cloud apis, such as Google Speech api? and where should I start with? Thanks! &lt;/p&gt;
</t>
  </si>
  <si>
    <t xml:space="preserve">&lt;p&gt;&lt;strong&gt;G Suite Services&lt;/strong&gt;&lt;/p&gt;
&lt;p&gt;Some APIs are available out of the box. You can find docs for all of them in Apps Script reference:
&lt;a href="https://developers.google.com/apps-script/reference/" rel="nofollow noreferrer"&gt;https://developers.google.com/apps-script/reference/&lt;/a&gt;
&lt;a href="https://i.stack.imgur.com/4zQ6F.png" rel="nofollow noreferrer"&gt;&lt;img src="https://i.stack.imgur.com/4zQ6F.png" alt="G Suite Services"&gt;&lt;/a&gt;&lt;/p&gt;
&lt;p&gt;&lt;strong&gt;Advanced Google Services&lt;/strong&gt;&lt;/p&gt;
&lt;p&gt;Even more, you can easily plug-in Advanced Google Services:
&lt;a href="https://developers.google.com/appmaker/settings#advanced_google_services" rel="nofollow noreferrer"&gt;https://developers.google.com/appmaker/settings#advanced_google_services&lt;/a&gt;
&lt;a href="https://i.stack.imgur.com/yf0in.png" rel="nofollow noreferrer"&gt;&lt;img src="https://i.stack.imgur.com/yf0in.png" alt="Add Advanced Google Services"&gt;&lt;/a&gt;&lt;/p&gt;
&lt;p&gt;&lt;strong&gt;Other Services&lt;/strong&gt;&lt;/p&gt;
&lt;p&gt;If you need something special... Then you can try to enable that specific API for your Cloud Project and talk to it using oAuth(I'm not 100% sure, never tried it myself). You can access your Cloud Project by viewing you deployment logs: &lt;code&gt;Settings -&amp;gt; Deployments -&amp;gt; Deployment Logs&lt;/code&gt;
&lt;a href="https://i.stack.imgur.com/GXPkM.png" rel="nofollow noreferrer"&gt;&lt;img src="https://i.stack.imgur.com/GXPkM.png" alt="View deployment logs"&gt;&lt;/a&gt;&lt;/p&gt;
&lt;p&gt;This will redirect you to Google Cloud Console. There you'll be enable services you need.
&lt;a href="https://i.stack.imgur.com/Nt2FE.png" rel="nofollow noreferrer"&gt;&lt;img src="https://i.stack.imgur.com/Nt2FE.png" alt="Cloud Platform"&gt;&lt;/a&gt;&lt;/p&gt;
&lt;p&gt;You can find further steps by following the link:&lt;/p&gt;
&lt;p&gt;&lt;a href="https://developers.google.com/apps-script/guides/services/external" rel="nofollow noreferrer"&gt;https://developers.google.com/apps-script/guides/services/external&lt;/a&gt;&lt;/p&gt;
</t>
  </si>
  <si>
    <t xml:space="preserve">&lt;p&gt;I have three data models, Partner, Client and SOW, where Client is a one-to-many relation to SOW, and Partner is a one-to-many relation to Client. I would like to include Partner Name as a column in a table displaying SOWs. Is there a way to do this with a datasource query script? Or a different approach altogether? 
I was able to add a label to the SOW table row that is data bound to the Partner name via relation, but I have yet to tackle sorting and filtering by Partner, and this method appears to fetch Partner real-time after the table loads. I am currently using Drive Tables as my datasource, but am open to switching to Cloud SQL.&lt;/p&gt;
</t>
  </si>
  <si>
    <t xml:space="preserve">&lt;p&gt;You can manually add header and 'cell'(one more label in list row).&lt;/p&gt;
&lt;p&gt;Binding for the label in the header:&lt;/p&gt;
&lt;p&gt;&lt;code&gt;@models.Partner.fields.Name.displayName&lt;/code&gt;&lt;/p&gt;
&lt;p&gt;Binding for the label in the list row:&lt;/p&gt;
&lt;p&gt;&lt;code&gt;@datasource.item.Client.Partner.Name&lt;/code&gt;&lt;/p&gt;
&lt;p&gt;And don't forget to add both &lt;code&gt;Client&lt;/code&gt; and &lt;code&gt;Client.Partner&lt;/code&gt; relations to &lt;a href="https://developers.google.com/appmaker/models/datasources#prefetch" rel="nofollow noreferrer"&gt;Prefetch&lt;/a&gt;, it should make your page load/render faster.&lt;/p&gt;
&lt;p&gt;&lt;strong&gt;Useful tip:&lt;/strong&gt;&lt;/p&gt;
&lt;p&gt;You can copy/paste existing table labels to duplicate all original margins/paddings/styles and make them look/behave in the same way as all other labels within the table. In this case you'll need just to adjust your bindings and maybe rename some things.&lt;/p&gt;
&lt;p&gt;&lt;strong&gt;Note:&lt;/strong&gt;&lt;/p&gt;
&lt;p&gt;Most likely you'll not be able to sort your table by relation of relation, but feel free to try(checkout &lt;code&gt;onClick&lt;/code&gt; event handlers of labels in the table header).&lt;/p&gt;
</t>
  </si>
  <si>
    <t xml:space="preserve">&lt;p&gt;Is there a way to import data into an app from Google Sheets that includes importing relations? &lt;a href="https://developers.google.com/appmaker/models/import-export#how_you_can_import_data" rel="nofollow noreferrer"&gt;The documentation I found&lt;/a&gt; mentions the following:&lt;/p&gt;
&lt;p&gt;&lt;em&gt;You can import all data in a Sheet into a model, adding the imported records to any records that are already present. The import process preserves any relations that exist.&lt;/em&gt;&lt;/p&gt;
&lt;p&gt;If I select to import All Models and Relations data below, how do I need to have the Sheets file structured (in terms of column names, etc.)? How do I include the relations exactly? I have been able to import Single Model Data into App Maker easily, but am unclear how to do import All Models and Relations (see linked image below).&lt;/p&gt;
&lt;p&gt;&lt;a href="https://i.stack.imgur.com/Rq23R.png" rel="nofollow noreferrer"&gt;Here's the App Maker Import Data dialog I'm referring to&lt;/a&gt;&lt;/p&gt;
</t>
  </si>
  <si>
    <t xml:space="preserve">&lt;p&gt;Without digging into documentation and your data structure, I would suggest that your &lt;code&gt;exported&lt;/code&gt; data format would be the same as your &lt;code&gt;to import&lt;/code&gt; format should be. In other words you can:&lt;/p&gt;
&lt;ol&gt;
&lt;li&gt;Populate your app with some records of each type with all possible relations&lt;/li&gt;
&lt;li&gt;Export your dummy data to spreadsheet to reverse engineer it&lt;/li&gt;
&lt;li&gt;Populate spreadsheet with your data in exactly the same format App Maker generated it on step 2.&lt;/li&gt;
&lt;li&gt;Import your data&lt;/li&gt;
&lt;/ol&gt;
&lt;p&gt;You can try to immediately import exported data just to proof the entire concept and save some of your time.&lt;/p&gt;
&lt;p&gt;&lt;strong&gt;Note&lt;/strong&gt;&lt;/p&gt;
&lt;p&gt;You cannot do all this magic for &lt;code&gt;Preview&lt;/code&gt;, you need to have 'real' &lt;code&gt;Deployment(s)&lt;/code&gt;&lt;/p&gt;
</t>
  </si>
  <si>
    <t xml:space="preserve">&lt;p&gt;I have three models:&lt;/p&gt;
&lt;ol&gt;
&lt;li&gt;Timesheets&lt;/li&gt;
&lt;li&gt;Employee&lt;/li&gt;
&lt;li&gt;Manager&lt;/li&gt;
&lt;/ol&gt;
&lt;p&gt;I am looking for all timesheets that need to be approved by a manager (many timesheets per employee, one manager per employee).&lt;/p&gt;
&lt;p&gt;I have tried creating datasources and prefetching both Employee and Employee.Manager, but I so far no success as of yet.&lt;/p&gt;
&lt;p&gt;Is there a trick to this? Do I need to load the query and then do another load? Or create an intermediary datasource that holds both the Timesheet and Employee data or something else?&lt;/p&gt;
</t>
  </si>
  <si>
    <t xml:space="preserve">&lt;p&gt;I use AppMaker with Google Cloud SQL and needed to change a String field to Date (StartDate).&lt;/p&gt;
&lt;p&gt;A page on the AppMaker guides said 'To change the field type, delete and recreate the field.', as I deleted the field I was prompted to choose between 'Delete data' or 'Keep data', I chose keep data as I had input some already.&lt;/p&gt;
&lt;p&gt;I then went on to recreate the field with the same name (StartDate) but as Date now and I get "Duplicate column name 'StartDate'".&lt;/p&gt;
</t>
  </si>
  <si>
    <t xml:space="preserve">&lt;p&gt;This is an expected behavior. If you have a field with &lt;strong&gt;string&lt;/strong&gt; data type and then you want to convert that to a &lt;strong&gt;date&lt;/strong&gt; data type, app maker won't do that for you. These are two different types of data. Since you've chosen to keep the data, the field was deleted from app maker's interface; however, the data is still available in google cloud sql. If you really want to keep the data, you'll have to create a new field with a different name, but if you really need the field with the same name and a different data type, you'll need to do the following:&lt;/p&gt;
&lt;ol&gt;
&lt;li&gt;In app maker, go to the app settings:
&lt;a href="https://i.stack.imgur.com/96RrI.png" rel="nofollow noreferrer"&gt;&lt;img src="https://i.stack.imgur.com/96RrI.png" alt="enter image description here"&gt;&lt;/a&gt;&lt;/li&gt;
&lt;/ol&gt;
&lt;p&gt;2.Then go the &lt;strong&gt;database&lt;/strong&gt; and click on &lt;strong&gt;check&lt;/strong&gt;:
&lt;a href="https://i.stack.imgur.com/Ik9Zk.png" rel="nofollow noreferrer"&gt;&lt;img src="https://i.stack.imgur.com/Ik9Zk.png" alt="enter image description here"&gt;&lt;/a&gt;&lt;/p&gt;
&lt;ol start="3"&gt;
&lt;li&gt;You will be presented with the three options:
&lt;a href="https://i.stack.imgur.com/XV9c5.png" rel="nofollow noreferrer"&gt;&lt;img src="https://i.stack.imgur.com/XV9c5.png" alt="enter image description here"&gt;&lt;/a&gt;&lt;/li&gt;
&lt;/ol&gt;
&lt;p&gt;In summary, appmaker is not able to create the field with the same name and different data type because the field name already exists in the sql backend. The only thing you can do is to completely delete that field and get rid of the data, or restore the field and continue using strings. I hope this helps!&lt;/p&gt;
</t>
  </si>
  <si>
    <t xml:space="preserve">&lt;p&gt;I have an app page that shows information from the same table in 2 places on a page.&lt;/p&gt;
&lt;p&gt;In the place A, I want an editable field that is owned by the current user.&lt;/p&gt;
&lt;p&gt;In the place B, I want to see the list of entries for all users.&lt;/p&gt;
&lt;p&gt;I thought I could somehow have two pointers into the same table by configuring more than one datasource for the table, and bind placeA/B widgets to the two separate datasource.&lt;/p&gt;
&lt;p&gt;However, I could not find out how I can bind a panel or widget to a specific datasource within a table.&lt;/p&gt;
&lt;p&gt;What bugs me is that clearly the UI allows me to add multiple datasources for a table, so I probably misunderstand what the usercase for multiple datasources are.&lt;/p&gt;
&lt;p&gt;My current plan is to ivestigate whether I can create a computed datasource that limits results to just the current user, but I don't understand how I could updated a computed datasource (which is something I want to do).&lt;/p&gt;
&lt;p&gt;This is probably less than clear, happy to add clarifying information.&lt;/p&gt;
&lt;p&gt;Many thanks in advance for any help&lt;/p&gt;
</t>
  </si>
  <si>
    <t xml:space="preserve">&lt;p&gt;I have two tables, Application and Client. Application has One Client, Client can have many Applications. I want to use a suggest box to select the client in an application form. &lt;/p&gt;
&lt;p&gt;I got it to work with "Suggest Box Query Options" but that only uses startsWith. I want to be able to get suggestions for any word in a string, not just the first one. If I set the "Options" to a string list it does have the desired behavior.&lt;/p&gt;
&lt;p&gt;My problem is I don't know how to pick the "Value". I can't pick the foreign key field (Created from adding relation) because it takes a record not a string. And I don't know if I can use a list of relations for the option.&lt;/p&gt;
</t>
  </si>
  <si>
    <t xml:space="preserve">&lt;p&gt;We are having O365 cloud plan and i am developing powerapps on it ,now the requirement is to connect my app to the oracle DB which is residing On-Prem,is it possible ? Please let me know how to do it&lt;/p&gt;
&lt;p&gt;I have &lt;strong&gt;Microsoft PowerApps Plan 2 Trial&lt;/strong&gt; subscription&lt;/p&gt;
</t>
  </si>
  <si>
    <t xml:space="preserve">&lt;p&gt;I would like to use Google Cloud SQL with my application in App Maker that is used occasionally. So I need some pricing configuration that doesn't charge me 24/7. But I know that activation policy "On Demand" is not available in Second Generation of Cloud SQL. Is there any other way (some replacement) how to reduce the costs for App Maker applications - i.e. I want to be charged only if application is used and active. &lt;/p&gt;
</t>
  </si>
  <si>
    <t xml:space="preserve">&lt;p&gt;I need a way to update a Quick Base table with a csv update import, but I don't want to over-write existing data in the Quick Base table with null values in the csv. I want to only import the non-null data from the csv.&lt;/p&gt;
&lt;p&gt;I would like to do regular updates of a Quick Base table by uploading a CSV. However, my csv will only include values for data that is changing from the existing records. Most of the values in the csv will be null.&lt;/p&gt;
</t>
  </si>
  <si>
    <t xml:space="preserve">&lt;p&gt;I recently began using Google App Maker and in order to reference multiple tables from an external MySql Database, do I have to create multiple &lt;strong&gt;Data Models&lt;/strong&gt; for each table or do I have to create multiple &lt;strong&gt;datasources&lt;/strong&gt; inside one &lt;strong&gt;Data Model&lt;/strong&gt; and adding all the fields in it? The database has 15 tables in total. &lt;/p&gt;
</t>
  </si>
  <si>
    <t xml:space="preserve">&lt;p&gt;You need to create model per table.&lt;/p&gt;
&lt;p&gt;You can connect your existing database to App Maker (in application settings) and import tables as models (create model -&gt; existing model). So you don't need to re-create fields.&lt;/p&gt;
&lt;p&gt;Please be aware that as you change models in App Maker the database from application settings changes accordingly. So I would recommend use prototype database in application settings and production one in production deployment.&lt;/p&gt;
</t>
  </si>
  <si>
    <t xml:space="preserve">&lt;p&gt;I’ve been looking into using App Maker within our company and during setup (we're based in the UK &amp;amp; and bound by GDPR), the App Maker utility wouldn’t work unless the SQL instance was set up with its location in the &lt;code&gt;us-central1&lt;/code&gt; region.&lt;/p&gt;
&lt;p&gt;Q. Is it possible to set the location to London? And if we must use the &lt;code&gt;us-central1&lt;/code&gt; rection, is it possible at the point of publishing the designed app to create a database in Europe/London, or to migrate to a SQL instance there?&lt;/p&gt;
&lt;p&gt;It would be preferable to retain the data within the UK, for GDPR compliance.&lt;/p&gt;
</t>
  </si>
  <si>
    <t xml:space="preserve">&lt;p&gt;I understand AppMaker can be used with PostgreSQL and MySQL but the documentation says you can use your own data source. This is a bit ambiguous and I am trying to find out specifically if I can use an existing SQL Server database. I've spoken with Google's support team but they were unable to answer and directed me to ask a question here. Thanks in advance :-)&lt;/p&gt;
</t>
  </si>
  <si>
    <t xml:space="preserve">&lt;p&gt;App Maker is hosted on app engine which is hipaa compliant. So when i use Cloud SQL which is hipaa compliant as well, can i use app maker for hipaa compliant applications in our company?&lt;/p&gt;
</t>
  </si>
  <si>
    <t xml:space="preserve">&lt;p&gt;Honestly the service itself I don't think it is hipaa compliance, it could be hosted on App Engine which is hipaa compliance but I guess that App Engine works as hipaa compliance when you use it in your personal projects. Maybe you can find helpful details here &lt;a href="https://static.googleusercontent.com/media/gsuite.google.com/en//intl/en/terms/2015/1/hipaa_implementation_guide.pdf" rel="nofollow noreferrer"&gt;https://static.googleusercontent.com/media/gsuite.google.com/en//intl/en/terms/2015/1/hipaa_implementation_guide.pdf&lt;/a&gt;, I would suggest to create a case with the API/App Maker team trough your Admin Console.&lt;/p&gt;
</t>
  </si>
  <si>
    <t xml:space="preserve">&lt;p&gt;Last year Google launched a RAD platform, that is called &lt;a href="https://developers.google.com/appmaker/" rel="nofollow noreferrer"&gt;App Maker&lt;/a&gt;.&lt;/p&gt;
&lt;p&gt;It looks promising for my needs, as it's quite often when I need to build something small in a short time.&lt;/p&gt;
&lt;p&gt;Surprisingly, but there are no many educational materials. All I could find so far is just official documentation, while I would like to learn how to build a real production app with some course.&lt;/p&gt;
&lt;p&gt;Is there, maybe, some free video course about App Maker?&lt;/p&gt;
</t>
  </si>
  <si>
    <t xml:space="preserve">&lt;p&gt;App Maker Academy is a free educational video course about App maker that covers the following topics:
 - Introduction to App Maker
 - View Fragments
 - Database
 - Scripts and Integrations
 - Debugging and App Maker Settings
 - Styling and CSS&lt;/p&gt;
&lt;p&gt;&lt;a href="http://appmakeracademy.com" rel="noreferrer"&gt;http://appmakeracademy.com&lt;/a&gt; (via learn.by)&lt;/p&gt;
&lt;p&gt;P.S. During the whole course, starting from the basics of the App Maker platform and to the advanced Platform techniques, you will continue to work on the real production application.&lt;/p&gt;
</t>
  </si>
  <si>
    <t xml:space="preserve">&lt;p&gt;what are the limits on the number of envelopes you can publish manually using "Publish using .csv" option? I have tried digging into all the documentation provided and there is no mention on the maximum/recommended number of envelopes you can publish using .csv in DocuSign connect. Appreciate your insights/comments on this&lt;/p&gt;
</t>
  </si>
  <si>
    <t xml:space="preserve">&lt;p&gt;I am trying to collect data from salesforce and then load them into sqllite tables.&lt;/p&gt;
&lt;p&gt;Here is my code:&lt;/p&gt;
&lt;pre&gt;&lt;code&gt;from simple_salesforce import Salesforce, SFType, SalesforceLogin
from pandas import DataFrame, read_csv
import json 
import pandas as pd
from pprint import pprint as pp 
    #Connect to salesforce site
session_id, instance = SalesforceLogin(username=username, password=password, security_token=security_token)
    #Create Instance
sf = Salesforce(instance=instance, session_id=session_id)
desc = sf.Opportunity.describe()  
# Below is what you need
field_names = [field['name'] for field in desc['fields']]
soql = "SELECT {} FROM Opportunity ".format(','.join)
results = sf.query_all(soql)
sf_df = pd.DataFrame(results['records']).drop(columns='attributes')
sf_df.to_csv('/Users/ma/test1.csv')
&lt;/code&gt;&lt;/pre&gt;
&lt;p&gt;This collects the opportunity table and writes it to a CSV file. Any suggestions on how to improve this step and also the next step which is to create a sqllite table out of the salesforce generated csv files? I am new to salesforce and sqllite and am stuck on these steps.&lt;/p&gt;
</t>
  </si>
  <si>
    <t xml:space="preserve">&lt;p&gt;I've got a Powerapp which is driven by an unstructured Sharepoint list. Need to convert list to structured database to improve quality etc. &lt;/p&gt;
&lt;p&gt;What's the best DB to use, I'm thinking SQL with a gateway to the Powerapp? Are there any benefits of Azure SQL?&lt;/p&gt;
&lt;p&gt;Also, are there any migration tools that can convert a Sharepoint list?
Thank you!&lt;/p&gt;
</t>
  </si>
  <si>
    <t xml:space="preserve">&lt;p&gt;In powerapps admin centre, I have an environment without CDS.&lt;/p&gt;
&lt;p&gt;Inside the environment there are 2 roles - Admin and maker. Is it environment admin and environment maker? Or is it powerapp admin and powerapp maker?&lt;/p&gt;
&lt;p&gt;What permissions does user need to create and use powerapp?&lt;/p&gt;
</t>
  </si>
  <si>
    <t xml:space="preserve">&lt;p&gt;I know the security role terms are little confusing. Maybe it should read App Maker/admin but again it’s going to confuse Model-driven app makers who need System Admin/customizer roles to do their job. So Environment is right now used to deal with Canvas app and Power Automate (MS Flow) makers. Still Environment May or May not have CDS. &lt;/p&gt;
&lt;p&gt;Read it as “Canvas powerapp maker role in current Environment”&lt;/p&gt;
&lt;p&gt;&lt;a href="https://docs.microsoft.com/en-us/power-platform/admin/database-security#predefined-security-roles" rel="nofollow noreferrer"&gt;Reference&lt;/a&gt;&lt;/p&gt;
&lt;blockquote&gt;
  &lt;ul&gt;
  &lt;li&gt;Environment Maker and Environment Admin are the only predefined roles for environments that have no Common Data Service database.&lt;/li&gt;
  &lt;li&gt;The Environment Maker role can create resources within an environment, including apps, connections, custom connectors, gateways, and flows using Power Automate. Environment makers can also distribute the apps they build in an environment to other users in your organization. They can share the app with individual users, security groups, or all users in the organization. More information: Share an app in Power Apps&lt;/li&gt;
  &lt;li&gt;For users who make apps that connect to the database and need to create or update entities and security roles, you need to assign the System Customizer role in addition to the Environment Maker role. This is necessary because the Environment Maker role doesn't have privileges on the environment's data.&lt;/li&gt;
  &lt;li&gt;If the environment has a Common Data Service database, a user must be assigned the System Administrator role instead of the Environment Admin role for full admin privileges, as described in the preceding table.&lt;/li&gt;
  &lt;/ul&gt;
&lt;/blockquote&gt;
&lt;p&gt;To regulate the administration of creating new environment itself is different. &lt;a href="https://stackoverflow.com/questions/55864354/option-to-restrict-non-admin-licensed-users-to-create-powerapps-environments"&gt;Read this&lt;/a&gt;&lt;/p&gt;
</t>
  </si>
  <si>
    <t xml:space="preserve">&lt;p&gt;New to deluge. My Current crm doesnt integrate with zoho so i'm having to update zoho manually using api calls.&lt;/p&gt;
&lt;p&gt;So far i've used Deluge to get an access token and use said access token to get large json file full of contact information.&lt;/p&gt;
&lt;p&gt;Bellow i've added 2 of many contacts in the json file. What i need is to take the json file i received in my response and&lt;/p&gt;
&lt;ol&gt;
&lt;li&gt;&lt;p&gt;If the file exists update it (if its changed)&lt;/p&gt;&lt;/li&gt;
&lt;li&gt;&lt;p&gt;If file doesnt exists then ad it.&lt;/p&gt;&lt;/li&gt;
&lt;/ol&gt;
&lt;p&gt;&lt;strong&gt;FILE SAMPLE&lt;/strong&gt;:&lt;/p&gt;
&lt;pre&gt;&lt;code&gt;{  "TotalCount": 6787,
  "Data": [
    {
      "Location": {
        "Id": 9545707,
        "Name": "Primary"
      },
      "Customer": {
        "Inactive": false,
        "Id": 8873547,
        "Name": "John Ashley"
      },
      "FirstName": "John",
      "LastName": "Ashley",
      "PhoneNumber": "",
      "PhoneNumber2": "777777777",
      "Email": "email",
      "Title": "",
      "Fax": "",
      "Notes": "",
      "Id": 9342900,
      "Metadata": {
        "CreatedBy": "email",
        "CreatedOn": "2020-04-30T17:40:39",
        "UpdatedOn": "2020-04-30T17:40:39",
        "UpdatedBy": "email",
        "Version": 1
      },
      "ExternalSystemId": null
    },
    {
      "Location": {
        "Id": 9545829,
        "Name": "adress"
      },
      "Customer": {
        "Inactive": false,
        "Id": 8873674,
        "Name": "Ename"
      },
      "FirstName": "fname",
      "LastName": "lname",
      "PhoneNumber": "",
      "PhoneNumber2": "7777777",
      "Email": "email",
      "Title": "",
      "Fax": "",
      "Notes": "",
      "Id": 9343021,
      "Metadata": {
        "CreatedBy": "email",
        "CreatedOn": "2020-04-30T16:04:23",
        "UpdatedOn": "2020-04-30T16:04:23",
        "UpdatedBy": "email",
        "Version": 1
      },
      "ExternalSystemId": null
    },
    {
      "Location": {
        "Id": 9546128,
        "Name": "Primary"
      },
      "Customer": {
        "Inactive": false,
        "Id": 8873966,
        "Name": "name"
      },
      "FirstName": "fname",
      "LastName": "lname",
      "PhoneNumber": "",
      "PhoneNumber2": "7777777777",
      "Email": "email",
      "Title": "",
      "Fax": "",
      "Notes": "",
      "Id": 9343319,
      "Metadata": {
        "CreatedBy": "email",
        "CreatedOn": "2020-04-30T18:38:02",
        "UpdatedOn": "2020-04-30T18:38:02",
        "UpdatedBy": "email",
        "Version": 1
      },
      "ExternalSystemId": null
    }
  }
]
} 
&lt;/code&gt;&lt;/pre&gt;
&lt;p&gt;&lt;strong&gt;Code i've written so far&lt;/strong&gt;&lt;/p&gt;
&lt;p&gt;(this code doesnt work after second "insert into contact table", on top of that it doesnt update it just adds new lines)&lt;/p&gt;
&lt;pre&gt;&lt;code&gt;jsonVar = getUrl("https://cloud.servicebridge.com/api/v1.1/Contacts?
pageSize=500&amp;amp;sessionKey=" + APIKEY);
DataVar = jsonVar.getJSON("Data");
DataList = DataVar.toJSONList();
LocationList = list();
for each  Locationdata in DataList {
    LocationList.add(Locationdata.getJson("Location"));
}
for each  Location in LocationList {
    Name = Location.getJSON("Name");
    Desi = Location.getJSON("Id");
    insert into contact_table
    [
        LocationName=Name
        Location_ID=Desi
        Added_User=zoho.loginuser
    ]
}
DataList = DataVar.toJSONList();
custList = list();
for each  custdata in DataList {
    custList.add(custdata.getJson("Customer"));
}
info custList;
for each  Customer in custList {
    Name = Customer.getJSON("Name");
    Desi = Customer.getJSON("Id");
    insert into contact_table
    [
        CustomerName=Name
        CustomerId=Desi
    ]
}
&lt;/code&gt;&lt;/pre&gt;
</t>
  </si>
  <si>
    <t xml:space="preserve">&lt;p&gt;Hey,  I'm having some trouble using the QuickBase API from Python.  From the QuickBase guide, there are two methods of hitting the API: POST and GET.  I can handle the GET calls, but some API methods require XML to be sent over POST.  The link to the documentation is here: &lt;a href="http://member.developer.intuit.com/MyIDN/technical_resources/quickbase/framework/httpapiref/HTML_API_Programmers_Guide.htm" rel="nofollow noreferrer"&gt;http://member.developer.intuit.com/MyIDN/technical_resources/quickbase/framework/httpapiref/HTML_API_Programmers_Guide.htm&lt;/a&gt;&lt;/p&gt;
&lt;p&gt;I guess I don't quite understand how to pack the XML payload into the POST request from python.  Using the urllib.urlencode method, as well as any other way I've created POST requests requires a key-value type data structure, where all I have here is a string.  Any help would be appreciated.&lt;/p&gt;
</t>
  </si>
  <si>
    <t xml:space="preserve">&lt;p&gt;Got it.  For some reason The data I was sending in my POST needed to have a .strip() placed after it.&lt;/p&gt;
</t>
  </si>
  <si>
    <t xml:space="preserve">&lt;p&gt;I am using the OutSystems platform and I am having trouble implementing something like a dynamic questionnaire. Admin users should be able to login and add new questions(no limit to number of questions), modify existing questions/answers and delete existing questions. Answer Choices can be of various types like radio buttons, dropdowns, text boxes etc. Normal users should see the updated questionnaire upon next login.&lt;/p&gt;
&lt;p&gt;I was thinking of creating something like a template to which we can add dynamic controls at runtime. We can use dynamic page rendering features in .net etc to implement this, but we are looking to see how I can implement this in OutSystems as here we add most of the controls as static controls. The major hurdle is that the number of web blocks that we need to create is not fixed. It may depend on a user selection.&lt;/p&gt;
&lt;p&gt;Can anybody help?&lt;/p&gt;
</t>
  </si>
  <si>
    <t xml:space="preserve">&lt;p&gt;You may have a List Records widget with several If widgets inside to display the appropriate "controls". I believe this is one way to have dynamic controls. I don't know if this applies to your specific problem.&lt;/p&gt;
</t>
  </si>
  <si>
    <t xml:space="preserve">&lt;p&gt;Just started testing &lt;a href="http://crm.zoho.com" rel="nofollow noreferrer"&gt;Zoho Crm&lt;/a&gt; as a CRM solution for our company. Someone asked for a Google map on the page showing our upcoming engagements.&lt;p&gt;I know Zoho provides an API that allows accessing its data from the outside, but I actually need to integrate the map on the data-entry form.&lt;p&gt;If anyone could provide a pointer to any mashup with Zoho CRM (be it Google MAps, Bing Maps, or any similar web service), I would be extremely grateful.&lt;/p&gt;
</t>
  </si>
  <si>
    <t xml:space="preserve">&lt;p&gt;I know this is an ancient question, but since there's no answers and this is pretty much all that came up on google when searching for Zoho CRM integration with Google Maps I'll take a stab at this anyway. I recently got a similiar request, but in this case they wanted to display the leads on a page outside of Zoho. &lt;/p&gt;
&lt;p&gt;I created a Java servlet and JSP that runs on Google App Engine. The servlet will connect to Zoho CRM to retrieve all leads and geocode the addresses they are registered with. The client-side Javascript is then taking care of creating the markers on the map for all the addresses. &lt;/p&gt;
&lt;p&gt;It's a bit too much code to paste here (although not that much), but you can check it out at &lt;a href="http://code.google.com/p/zohomap/" rel="nofollow noreferrer"&gt;http://code.google.com/p/zohomap/&lt;/a&gt;. &lt;/p&gt;
&lt;p&gt;I put the demo up at &lt;a href="http://zohomap.appspot.com/" rel="nofollow noreferrer"&gt;http://zohomap.appspot.com/&lt;/a&gt;. &lt;/p&gt;
</t>
  </si>
  <si>
    <t xml:space="preserve">&lt;p&gt;I'm making a Greasemonkey script for someone to change the display of some of the fields their CRM(Zoho) created because they don't have access to change the rendered HTML.&lt;/p&gt;
&lt;p&gt;This should be easy, BUT Zoho decided that creating proper HTML was too big a pain in the ass, I guess, and their HTML contains things like this:&lt;/p&gt;
&lt;pre&gt;&lt;code&gt;&amp;lt;input type="text" maxlength="50" style="width: 100%;" class="textField" id="property(Phone)" name="property(Phone)"/&amp;gt;
&lt;/code&gt;&lt;/pre&gt;
&lt;p&gt;The ID's contain spaces and parentheses, which aren't valid in ID attributes, and is preventing me from using either document.getElementById() to select them or from using jQuery to select them.&lt;/p&gt;
&lt;p&gt;Does anyone have any ideas for how I could grab that element? Obviously I could grab it via its index in its parent element, or by traversing the DOM, but both of those would mean that if the order of the fields changed, the Greasemonkey script would stop working correctly because it would then be targeting the wrong elements.&lt;/p&gt;
</t>
  </si>
  <si>
    <t xml:space="preserve">&lt;p&gt;You can escape the spaces and parentheses using backslashes:&lt;/p&gt;
&lt;pre&gt;&lt;code&gt;$('#property\\(Phone\\)').val('jQuery selected property(Phone)!');
$('#ab\\ cd\\ ef').val('jQuery selected ab cd ef!');
&lt;/code&gt;&lt;/pre&gt;
</t>
  </si>
  <si>
    <t xml:space="preserve">&lt;p&gt;I need to make a dashboard application using data from &lt;a href="http://www.projects.zoho.com" rel="nofollow noreferrer"&gt;http://www.projects.zoho.com&lt;/a&gt;
It is a project management site.&lt;/p&gt;
&lt;p&gt;ZOHO provides data about projects by APIs available at &lt;a href="http://www.zoho.com/projects/developers/projects-api.html" rel="nofollow noreferrer"&gt;http://www.zoho.com/projects/developers/projects-api.html&lt;/a&gt; &lt;/p&gt;
&lt;p&gt;So can I use XCelsius engage to make my dashboard?
Is it feasible &amp;amp; advisable?&lt;/p&gt;
&lt;p&gt;Also tell me if any other tool like XCelsius is more suitable for me....&lt;/p&gt;
&lt;p&gt;expecting satisfactory answers....&lt;/p&gt;
</t>
  </si>
  <si>
    <t xml:space="preserve">&lt;p&gt;I've looked at these three CRM systems for some very simple lead management, they have the usual REST get info out, put info in data sync api, some have colour changing stuff but aside from that its seems impossible to integrate.&lt;/p&gt;
&lt;p&gt;Take HighRiseHQ or ZohoCRM, all I want to do is add a button to the page that does an ajax post into my company system. If they give just one line, just one measly line in header, I can inject a script src="myurl/customise-zoho-crm.js" which manipulate the dom on ready, pull a few bits of info needed, injects a button and does ajax on hit. But no hosted CRM I can see allows this, unless you hit ms crm or salesforce.. &lt;/p&gt;
&lt;p&gt;I thought about greasemonkey as only 5 users, but its feel so dirty, but then to get basic contact/lead management is waste of my dev time. Due to sales calcs etc.. it does need to tie (or post into my backend system).. Any ideas? &lt;/p&gt;
</t>
  </si>
  <si>
    <t xml:space="preserve">&lt;p&gt;I'm looking for APIs to bring online document editing features for a web app - Any suggestions? The criteria of selection depends on the following factors&lt;/p&gt;
&lt;ul&gt;
&lt;li&gt;Support for editing for common document formats (doc, docx)&lt;/li&gt;
&lt;li&gt;Support for viewing common document and presentation formats (doc, docx, pdf, ppt, pptx)&lt;/li&gt;
&lt;li&gt;The API should be easily accessible from ASP.NET environment&lt;/li&gt;
&lt;li&gt;We are not looking for data hosting - The data/documents will be kept in the local repository. The API/Related framework should have some functionality to load the documents from a store, provide a UI to the user to edit them, and save them back to the store&lt;/li&gt;
&lt;li&gt;The editor/view component should be able to keep track of user annotations on a specific part of document etc&lt;/li&gt;
&lt;/ul&gt;
&lt;p&gt;One option I'm evaluating is Zoho Remote API - &lt;a href="http://apihelp.wiki.zoho.com/Zoho-API-Program---Overview.html" rel="nofollow noreferrer"&gt;http://apihelp.wiki.zoho.com/Zoho-API-Program---Overview.html&lt;/a&gt;&lt;/p&gt;
&lt;p&gt;What I Would like to know&lt;/p&gt;
&lt;ul&gt;
&lt;li&gt;Any similar APIs (Suggestions, links etc)&lt;/li&gt;
&lt;li&gt;Any experience you have (issues, problems) with Zoho API in ASP.NET&lt;/li&gt;
&lt;li&gt;Normal challenges in integrating document editing/viewing in web apps&lt;/li&gt;
&lt;/ul&gt;
</t>
  </si>
  <si>
    <t xml:space="preserve">&lt;p&gt;I must to write a algorithm that exponentiates a base (integer or float) in a integer or float argument. I wrote this algorithm for Deluge (zoho.com), but it can only use integer exponents:&lt;/p&gt;
&lt;pre&gt;&lt;code&gt;float math.potencia(float base, int expoente)
{  
   if(expoente&amp;gt;0)
    {
    base = base * thisapp.math.potencia(base, (input.expoente  -  1));
    }
    else if (expoente == 0)
    {
    base = 1;
    }
    return base;
}
&lt;/code&gt;&lt;/pre&gt;
&lt;p&gt;(Deluge doesn't have a potentiation operator or function). Thanks!&lt;/p&gt;
</t>
  </si>
  <si>
    <t xml:space="preserve">&lt;p&gt;Well, more than 17 hours without a reply, finally I've found an answer to my own question:&lt;/p&gt;
&lt;p&gt;In the simplest way, we can solve the problem using the value of "e" exponentiating to the logarithm of the number divided by the index:&lt;/p&gt;
&lt;p&gt;e^(Log(number)/index)&lt;/p&gt;
&lt;p&gt;where number is the radicand and index is the desired root.&lt;/p&gt;
&lt;p&gt;Eg: The 10th root of the number 1024:
e^(Log(1024)/10) = 2.&lt;/p&gt;
&lt;p&gt;PS: the base of the Log function is also "e".
the rounded value for "e" is: 2.718281828459045&lt;/p&gt;
&lt;p&gt;I hope this technique may be usefull for you.&lt;/p&gt;
</t>
  </si>
  <si>
    <t xml:space="preserve">&lt;p&gt;Its available for me only log(base "e"), sin, tan and sqrt (only square root) functions and the basic arithmetical operators (+ - * / mod). I have also the "e" constant.&lt;/p&gt;
&lt;p&gt;I'm experimenting several problems with Deluge (zoho.com) for these restrictions. I must implement exponentiation of rational (fraction) bases and exponents.&lt;/p&gt;
</t>
  </si>
  <si>
    <t xml:space="preserve">&lt;p&gt;Say you want to calculate &lt;code&gt;pow(A, B)&lt;/code&gt;&lt;/p&gt;
&lt;p&gt;Consider the representation of &lt;code&gt;B&lt;/code&gt; in base 2:&lt;/p&gt;
&lt;pre&gt;&lt;code&gt;B = b[n]   * pow(2, n    ) +
    b[n-1] * pow(2, n - 1) +
    ...
    b[2]   * pow(2, 2    ) +
    b[1]   * pow(2, 1    ) +
    b[0]   * pow(2, 0    ) +
    b[-1]  * pow(2, -1   ) +
    b[-2]  * pow(2, -2   ) +
    ...
 = sum(b[i] * pow(2, i))
&lt;/code&gt;&lt;/pre&gt;
&lt;p&gt;where &lt;code&gt;b[x]&lt;/code&gt; can be &lt;code&gt;0&lt;/code&gt; or &lt;code&gt;1&lt;/code&gt; and &lt;code&gt;pow(2, y)&lt;/code&gt; is an integer power of two (i.e., &lt;code&gt;1&lt;/code&gt;, &lt;code&gt;2&lt;/code&gt;, &lt;code&gt;4&lt;/code&gt;, &lt;code&gt;1/2&lt;/code&gt;, &lt;code&gt;1/4&lt;/code&gt;, &lt;code&gt;1/8&lt;/code&gt;).&lt;/p&gt;
&lt;p&gt;Then,&lt;/p&gt;
&lt;pre&gt;&lt;code&gt;pow(A, B) = pow(A, sum(b[i] * pow(2, i)) = mul(pow(A, b[i] * pow(2, i)))
&lt;/code&gt;&lt;/pre&gt;
&lt;p&gt;And so &lt;code&gt;pow(A, B)&lt;/code&gt; can be calculated using only multiplications and square root operations&lt;/p&gt;
</t>
  </si>
  <si>
    <t xml:space="preserve">&lt;p&gt;HI im trying to integrate zoho into my website and open a document in browser
Im using Wamp server.&lt;/p&gt;
&lt;p&gt;This the code im trying to work with:&lt;/p&gt;
&lt;pre&gt;&lt;code&gt; &amp;lt;html&amp;gt;
&amp;lt;head&amp;gt;
&amp;lt;/head&amp;gt;
&amp;lt;body&amp;gt;
&amp;lt;form method="POST" action="http(s)://export.writer.zoho.com/remotedoc.im" target="_self" 
accept-charset="UTF-8"&amp;gt;
&amp;lt;input type="hidden" name="url" value="http://localhost/paper.doc"&amp;gt;
&amp;lt;input type="hidden" name="apikey" value="here goes api key"&amp;gt;
&amp;lt;input type="hidden" name="output" value="url"&amp;gt;
&amp;lt;input type="hidden" name="mode" value="normaledit"&amp;gt;
&amp;lt;input type="hidden" name="filename" value="paper.doc"&amp;gt;
&amp;lt;input type="hidden" name="lang" value="en"&amp;gt;
&amp;lt;input type="hidden" name="skey" value="here goes secret value"&amp;gt;
&amp;lt;input type="hidden" name="id" value="12345678"&amp;gt;
&amp;lt;input type="hidden" name="format" value="doc"&amp;gt;
&amp;lt;input type="hidden" name="saveurl" value="http://localhost/save.php"&amp;gt;
&amp;lt;input type="submit" name="submit" value="Open/Edit"&amp;gt;
&amp;lt;/form&amp;gt;
&amp;lt;/body&amp;gt;
&amp;lt;/html&amp;gt;
&lt;/code&gt;&lt;/pre&gt;
&lt;p&gt;I dont know i get this error:
Forbidden&lt;/p&gt;
&lt;p&gt;You don't have permission to access /http(s)://export.writer.zoho.com/remotedoc.im on this server.&lt;/p&gt;
&lt;p&gt;I have entered the api key correctly and the secret key
Im just confused and stuck here.Im blocked&lt;/p&gt;
&lt;p&gt;Here is the documentation : &lt;a href="http://apihelp.wiki.zoho.com/Open-Document.html" rel="nofollow"&gt;http://apihelp.wiki.zoho.com/Open-Document.html&lt;/a&gt;&lt;/p&gt;
</t>
  </si>
  <si>
    <t xml:space="preserve">&lt;p&gt;You have taken the (s) out of the url right? I know it might seem like a silly question but I thought I should check in case you had overlooked it.  The url resolves for me and gives an 'api key is invalid' warning.&lt;/p&gt;
&lt;p&gt;The error given would seem to indicate the browser thinks its a relative instead of absolute url.&lt;/p&gt;
</t>
  </si>
  <si>
    <t xml:space="preserve">&lt;p&gt;What is the best/easiest way to send information from a form to two different locations, basically have 2 actions on one form. I have a few fields that need to be named differently for each action, for example..&lt;/p&gt;
&lt;pre&gt;&lt;code&gt;&amp;lt;form id="form" name="form" action='post.php' method='POST' accept-charset='UTF-8'&amp;gt;&amp;lt;input type='hidden' name='xnQsjsdp' value=SlGqwqH3ITc$/&amp;gt;  &amp;lt;input type='hidden' name='xmIwtLD' value=x4LHs39QfKiFkCs1PrsnsG-*B6-MHnNR/&amp;gt;  &amp;lt;input type='hidden' name='actionType' value=TGVhZHM=/&amp;gt; &amp;lt;input type='hidden' name='returnURL' /&amp;gt;
&amp;lt;input name='firstName' type='text' id="firstName" style="float:left; width:45%;" maxlength='40' /&amp;gt;
&amp;lt;input name='lastName' type='text' id="lastName" style="float:left; width:45%;" maxlength='40' /&amp;gt;
&amp;lt;input type="submit" /&amp;gt;
&amp;lt;/form&amp;gt;
&lt;/code&gt;&lt;/pre&gt;
&lt;p&gt;post.php look like this.&lt;/p&gt;
&lt;pre&gt;&lt;code&gt;&amp;lt;?php
    if ($_SERVER['REQUEST_METHOD'] == "POST") {
      $hidden1      = $_POST["xnQsjsdp"];
      $hidden2      = $_POST["xmIwtLD"];
      $hidden3      = $_POST["actionType"];
      $hidden4      = $_POST["returnURL"];
      $firstName    = $_POST["firstName"];
      $lastName     = $_POST["lastName"];
      $street       = $_POST["Street"];
      $city         = $_POST["City"];
      $State        = $_POST["State"];
      $zipCode      = $_POST["Zip"];
      $email        = $_POST["Email"];
      $phone        = $_POST["Phone"];
      $LEADCF7      = $_POST["LEADCF7"];
      $zohoPrams    = "xnQsjsdp=$hidden1&amp;amp;xmIwtLD=$hidden2&amp;amp;actionType=$hidden3&amp;amp;returnURL=$hidden4&amp;amp;First Name=$firstName&amp;amp;Last Name=$lastName";
      $maxPrams     = "FName=$firstName&amp;amp;LName=$lastName";
    };
?&amp;gt;
&lt;/code&gt;&lt;/pre&gt;
&lt;pre&gt;&lt;code&gt;&amp;lt;script&amp;gt;
$(function() { // setup an onReady (similar to onLoad) handler
        $.post("https://crm.zoho.com/crm/WebToLeadForm", &amp;lt;?php echo $zohoPrams; ?&amp;gt;; // post to first address
        $.post("http://www.max360group.com/", &amp;lt;?php echo $maxPrams; ?&amp;gt;; // post to second address
});
&amp;lt;/script&amp;gt;
&lt;/code&gt;&lt;/pre&gt;
&lt;p&gt;as you can see i tried using ajax.. but i guess i'm doing something wrong, if you have any suggestions to do this any other way that would be great :] Thank you!&lt;/p&gt;
</t>
  </si>
  <si>
    <t xml:space="preserve">&lt;p&gt;You could do it server side with cURL in post.php.&lt;/p&gt;
&lt;p&gt;So, you have your variables set and they've been validated and cleaned, then:&lt;/p&gt;
&lt;pre&gt;&lt;code&gt;$zoho = curl_init("https://crm.zoho.com/crm/WebToLeadForm");
curl_setopt($zoho, CURLOPT_SSL_VERIFYPEER, false); //Note, not very secure.  Would have to get certificate otherwise.  Look up how to.
curl_setopt($zoho, CURLOPT_FOLLOWLOCATION, 1); //Makes sure that it follows any redirects
curl_setopt($zoho, CURLOPT_RETURNTRANSFER, 1); //Returns the result instead of outputting it to the browser
curl_setopt($zoho, CURLOPT_USERAGENT, "Mozilla/4.0 (compatible; MSIE 5.01; Windows NT 5.0)"); //Will make the end server think it was submitted with Firefox, and not by a server using cURL.
curl_setopt($zoho, CURLOPT_POST, 1);
curl_setopt($zoho, CURLOPT_POSTFIELDS, $zohoprams);  
//If you want the rest of the $_POST data and not just what you set above in $zohoprams, 
//CURLOPT_POSTFIELDS takes either an array, which will automatically do the appropriate thing with it as a $key=$value, or a string like you have formatted for $zohoprams
curl_exec($zoho);
curl_close($zoho);
$max = curl_init('http://www.max360group.com/');
curl_setopt($max, CURLOPT_POST, 1);
curl_setopt($max, CURLOPT_POSTFIELDS, $maxprams);
curl_setopt($max, CURLOPT_FOLLOWLOCATION, 1);
curl_setopt($max, CURLOPT_RETURNTRANSFER, 1);
curl_setopt($max, CURLOPT_USERAGENT, "Mozilla/4.0 (compatible; MSIE 5.01; Windows NT 5.0)"); 
curl_exec($max);
curl_close($max);
&lt;/code&gt;&lt;/pre&gt;
&lt;p&gt;Might need to be changed a bit to do exactly what you want, and probably would need to forge the headers like it's a browser doing it, but that is the basic functionality of it.  Might also need to set CURLOPT_RETURNTRANSFER to true.&lt;/p&gt;
</t>
  </si>
  <si>
    <t xml:space="preserve">&lt;p&gt;Anybody had any experience or know of a way of integrating Moodle with Zoho CRM? Can't find a plug-in. Would like to be able to sync the two of them. Any pointers?&lt;/p&gt;
</t>
  </si>
  <si>
    <t xml:space="preserve">&lt;p&gt;I want to know if i take a website to lead form from zoho crm and integrate it into my moodle website and someone registers to my site with that form. Can the information be sent to both my moodle database and my zoho crm account. If so can someone explain to me how to do it.. Please please please&lt;/p&gt;
</t>
  </si>
  <si>
    <t xml:space="preserve">&lt;p&gt;I have to retrieve News feed of salesforce chatter I am able to get main status but not able to retrieve comments. Is there any sample to get comments using SalesForce chatter WSDL API in c#? &lt;/p&gt;
</t>
  </si>
  <si>
    <t xml:space="preserve">&lt;p&gt;You can use child relationship queries to traverse from the NewsFeed to the child FeedComments. Here's an example of a SOQL query that returns both the main status and comments for a given user:&lt;/p&gt;
&lt;pre&gt;&lt;code&gt;SELECT Id, Body, (Select Id, CommentBody FROM FeedComments) FROM NewsFeed WHERE ParentId = '00560000000wX0aAAE'
&lt;/code&gt;&lt;/pre&gt;
&lt;p&gt;Not sure about C# specifically, but it will likely return the FeedComments as a nested array. Here's an example of iterating over the results in Apex:&lt;/p&gt;
&lt;pre&gt;&lt;code&gt;NewsFeed nf = [SELECT Id, Body, (Select Id, CommentBody FROM FeedComments) FROM NewsFeed WHERE ParentId = '00560000000wX0aAAE'];
System.debug(nf.Id);
System.debug(nf.Body);
for (FeedComment fc : nf.FeedComments) {
   System.debug(fc.Id);
   System.debug(fc.CommentBody);
}
&lt;/code&gt;&lt;/pre&gt;
</t>
  </si>
  <si>
    <t xml:space="preserve">&lt;p&gt;I read documentation of Salesforce Chatter REST API and started to implement code in c#.
See following code:&lt;/p&gt;
&lt;pre&gt;&lt;code&gt;System.Net.WebRequest req = System.Net.WebRequest.Create(URI);
        req.Method = "POST";
        req.Headers.Add("Authorization: OAuth " + accessToken);
        req.ContentType = "application/x-www-form-urlencoded";
        string par = 
               "fileName=" + fileName +
            "&amp;amp;feedItemFileUpload="                
           + @"D:\\MyFiles\\NewTextDocument.txt" +                  
                     "&amp;amp;desc=" + desc+
                     "&amp;amp;text=" + text;
        byte[] byteArray = Encoding.UTF8.GetBytes(par);
        req.ContentLength = byteArray.Length;
        Stream dataStream = req.GetRequestStream();
        dataStream.Write(byteArray, 0, byteArray.Length);
        dataStream.Close();
        System.Net.WebResponse resp = req.GetResponse();
&lt;/code&gt;&lt;/pre&gt;
&lt;p&gt;I am gettig error on response
&lt;strong&gt;The remote server returned an error: (400) Bad Request.&lt;/strong&gt;&lt;/p&gt;
&lt;p&gt;If i see response of error, i got following message:&lt;/p&gt;
&lt;p&gt;&lt;strong&gt;Please specify a file to upload. Type in the path to the file, or use the \"Browse\" button to locate it in your local filesystem.&lt;/strong&gt;&lt;/p&gt;
&lt;p&gt;I have already defined the file path and name. I tried with and without @ sign before path string but getting same error.  Let me know if anything is missing.&lt;/p&gt;
</t>
  </si>
  <si>
    <t xml:space="preserve">&lt;p&gt;You can easily use Fiddler to see what's going on.&lt;/p&gt;
&lt;p&gt;You are posting a simple form where &lt;code&gt;fileName&lt;/code&gt; and &lt;code&gt;feedItemFileUpload&lt;/code&gt; are just like &lt;code&gt;desc&lt;/code&gt; and &lt;code&gt;text&lt;/code&gt;, in other words, &lt;strong&gt;plain simple text&lt;/strong&gt;!&lt;/p&gt;
&lt;p&gt;What you need to do is send the file as a stream.&lt;/p&gt;
&lt;p&gt;I can see that you're using &lt;a href="http://www.hanselman.com/blog/HTTPPOSTsAndHTTPGETsWithWebClientAndCAndFakingAPostBack.aspx" rel="nofollow noreferrer"&gt;Hanselman's&lt;/a&gt; code, but that's only for text parameters&lt;/p&gt;
&lt;p&gt;for more information on using it for files, see this answer &lt;/p&gt;
&lt;blockquote&gt;
  &lt;p&gt;&lt;a href="https://stackoverflow.com/questions/566462/upload-files-with-httpwebrequest-multipart-form-data/567460#567460"&gt;Upload files with HTTPWebrequest (multipart/form-data)&lt;/a&gt;&lt;/p&gt;
&lt;/blockquote&gt;
</t>
  </si>
  <si>
    <t xml:space="preserve">&lt;p&gt;Basically I am trying accomplish 2 goals:
(1) Start a new Chatter Thread, and
(2) Comment on an existing Chatter Thread that has been loaded.&lt;/p&gt;
&lt;p&gt;I am using OAuth to get connected and am able to successfully view and update custom objects but can't seem to figure out how to access and create a new chatter thread using the same [switchboard create:] method.&lt;/p&gt;
&lt;p&gt;Does anyone have any idea where to start? I have tried their documentation and the best I could find was Asynchronous HTTPS posts with a body and a parent ID but how can I accomplish the same thing using the provided switchboard interface in the iOS client?&lt;/p&gt;
&lt;p&gt;Any help appreciated,
Thanks,
~Arash&lt;/p&gt;
</t>
  </si>
  <si>
    <t xml:space="preserve">&lt;p&gt;In my ASP.NET application, I want to make a POST request out to a third-party, document editing service (&lt;a href="https://apihelp.wiki.zoho.com/Open-Document.html" rel="nofollow"&gt;Zoho&lt;/a&gt;). I understand how to make this request with a front-end form, and how to make one in my VB.NET code-behind. However, since I the file I'm sending is stored in my database as a byte array and the POST results (an editor page on the Zoho website) must be displayed in a special 'target' (new window or an iframe), it looks like I need some weird combination of both. &lt;/p&gt;
&lt;p&gt;Basically, I want to attach the content of this byte array&lt;/p&gt;
&lt;pre&gt;&lt;code&gt;Dim fileContents() As Byte = Files.get(fileId)
&lt;/code&gt;&lt;/pre&gt;
&lt;p&gt;to the file input field in this form&lt;/p&gt;
&lt;pre&gt;&lt;code&gt;&amp;lt;form id="theForm" action="http://zohoservice" method="POST" target="_blank" &amp;gt;
    ...
    &amp;lt;input type="file" name="fileContents" /&amp;gt;
&amp;lt;/form&amp;gt;
&lt;/code&gt;&lt;/pre&gt;
&lt;p&gt;and then submit it via javascript like this&lt;/p&gt;
&lt;pre&gt;&lt;code&gt;theForm.submit();
&lt;/code&gt;&lt;/pre&gt;
&lt;p&gt;I hope I'm not asking for the impossible. Thanks for your help!&lt;/p&gt;
</t>
  </si>
  <si>
    <t xml:space="preserve">&lt;p&gt;You actually can't do what you're suggesting.  When using an &lt;code&gt;&amp;lt;input type="file" .../&amp;gt;&lt;/code&gt; the uploaded file is never loaded into the HTML.  Instead it's included as part of the POST request.  So what you want to actually do is craft a complete POST request, and submit that post to your action (http://zohoservice).&lt;/p&gt;
&lt;p&gt;This is doable, but it's going to be a bit of work on your end, and you'll need to understand how to create a MIME multipart POST request.  And if there are any anti-botting technologies or view state tracking (kinds of things) then you'll run into some trouble there.&lt;/p&gt;
</t>
  </si>
  <si>
    <t xml:space="preserve">&lt;p&gt;Using &lt;a href="http://wiki.developerforce.com/index.php/Digging_Deeper_into_OAuth_2.0_on_Force.com" rel="nofollow"&gt;this guide&lt;/a&gt; as a reference, I've created a Remote Access application entry in my developer account.
I tried to play around with the Authorization screen that the user should see after navigating to this URL:&lt;/p&gt;
&lt;p&gt;https://login.salesforce.com/services/oauth2/authorize?response_type=code&amp;amp;client_id=[your_client_id]&amp;amp;redirect_uri=[your_redirect_uri]&lt;/p&gt;
&lt;p&gt;When I fill in the right values and navigate to the URL, I am not taken to &lt;a href="http://wiki.developerforce.com/index.php/File%3aOAuthApproval.png" rel="nofollow"&gt;the screen that I expect to see&lt;/a&gt;, but rather the regular Salesforce login screen.  If I enter credentials &amp;amp; log in, I get redirected to the 'redirect uri' that I set on the Remote Access screen. (i'm using google.com for now).  What am I getting wrong?&lt;/p&gt;
</t>
  </si>
  <si>
    <t xml:space="preserve">&lt;p&gt;The approval screen should appear once the user has logged in, is that not what you see ?&lt;/p&gt;
</t>
  </si>
  <si>
    <t xml:space="preserve">&lt;p&gt;The case I'm trying to solve is the following: I'm working with Service Cloud Enterprise. I'm a support agent and I'm assigned a new case. Cases are public read/write by OWD, and I want all members of a group of users to take a look at the case in case they can help me out.&lt;/p&gt;
&lt;p&gt;The group could be implemented as a queue a public group, or a chatter group, or some other kind of group. The thing is I don't know who the members of that group are (or at least I shouldn't need to know. I just want anyone on the group to get the message).&lt;/p&gt;
&lt;p&gt;I want to be able to make a chatter post for that case and mention the group of users, so that they get this post on their feed and they can go check the case and comment on it to help me out.&lt;/p&gt;
&lt;p&gt;Is there a way to do this?&lt;/p&gt;
</t>
  </si>
  <si>
    <t xml:space="preserve">&lt;p&gt;You can't @mention a group. I'd think the best approach would be to post to the group about the case (and perhaps include a link to the case)&lt;/p&gt;
</t>
  </si>
  <si>
    <t xml:space="preserve">&lt;p&gt;This deals with exchanging data between two web services.&lt;/p&gt;
&lt;p&gt;I'm stumped as to where to even start.  Any assistance, pointers, or even complete solutions :) much appreciated.&lt;/p&gt;
&lt;p&gt;I'll describe in plain language...&lt;/p&gt;
&lt;p&gt;SurveyGizmo can post (insert) data to ZohoCRM.&lt;/p&gt;
&lt;p&gt;After insert, Zoho responds with either an xml response that includes an ID of the inserted record.&lt;/p&gt;
&lt;p&gt;Gizmo needs that ID for subsequent updates.&lt;/p&gt;
&lt;p&gt;The problem is, Gizmo will only accept a response in a simple "key1=value1,key2=value2" format.&lt;/p&gt;
&lt;p&gt;I'd like to have a php script on my server (or ZohoCreator deluge script) receive Gizmo's post, pass it through to ZohoCRM, receive the xml response from Zoho, convert it to key=value, and return it to Gizmo.&lt;/p&gt;
&lt;p&gt;This is what Gizmo posts to ZohoCRM:&lt;/p&gt;
&lt;pre&gt;&lt;code&gt;https://crm.zoho.com/crm/private/xml/Cases/insertRecords?newFormat=2&amp;amp;apikey=KEYGOESHERE&amp;amp;ticket=TICKETGOESHERE&amp;amp;duplicateCheck=2&amp;amp;xmlData=
&amp;lt;Cases&amp;gt;
&amp;lt;row no="1"&amp;gt;
&amp;lt;FL val="WHOID"&amp;gt;contactidrelatedtocasebeinginserted&amp;lt;/FL&amp;gt;
&amp;lt;FL val="Subject"&amp;gt;mysubject&amp;lt;/FL&amp;gt;
&amp;lt;FL val="Project"&amp;gt;myproject&amp;lt;/FL&amp;gt;
&amp;lt;FL val="Case Owner"&amp;gt;myemail&amp;lt;/FL&amp;gt;
&amp;lt;/row&amp;gt;
&amp;lt;/Cases&amp;gt;
&lt;/code&gt;&lt;/pre&gt;
&lt;p&gt;This is what Zoho CRM responds after insert:&lt;/p&gt;
&lt;p&gt;(the 00000 from Id is what I need to return to Gizmo as "Id=000000"):&lt;/p&gt;
&lt;pre&gt;&lt;code&gt;&amp;lt;response uri="/crm/private/xml/Cases/insertRecords"&amp;gt;
&amp;lt;result&amp;gt;
&amp;lt;message&amp;gt;Record(s) inserted successfully&amp;lt;/message&amp;gt;
&amp;lt;recorddetail&amp;gt;
&amp;lt;FL val="Id"&amp;gt;00000&amp;lt;/FL&amp;gt;
&amp;lt;FL val="Created Time"&amp;gt;2011-11-03 20:14:44&amp;lt;/FL&amp;gt;
&amp;lt;FL val="Modified Time"&amp;gt;2011-11-03 21:34:39&amp;lt;/FL&amp;gt;
&amp;lt;FL val="Created By"&amp;gt;
&amp;lt;![CDATA[ Bamboo ]]&amp;gt;
&amp;lt;/FL&amp;gt;
&amp;lt;FL val="Modified By"&amp;gt;
&amp;lt;![CDATA[ Bamboo ]]&amp;gt;
&amp;lt;/FL&amp;gt;
&amp;lt;/recorddetail&amp;gt;
&amp;lt;/result&amp;gt;
&amp;lt;/response&amp;gt;
&lt;/code&gt;&lt;/pre&gt;
&lt;h2&gt;Thank you so much.&lt;/h2&gt;
&lt;p&gt;Below is a script I've been using elsewhere.  I'm just not sure where to put the xml parser to echo the ID response back to the posting url.&lt;/p&gt;
&lt;pre&gt;&lt;code&gt;////
/////note: the whole point of the script was to fix the hyphen to underscore in smtp-id so zoho would accept sendgrid
////
 define('POSTURL', 'https://creator.zoho.com/api/xml/USERNAME/test/add/');
 define('POSTVARS', '');  // POST VARIABLES TO BE SENT
 // INITIALIZE ALL VARS
 $event='';
 $email='';
 $response='';
 $attempt='';
 $url='';
 $status='';
 $reason='';
 $type='';
 $category='';
 $zoho_email_id='';
 $smtp_id='';
 $timestamp='';
 $ch='';
 $Rec_Data='';
 $Temp_Output='';
 if($_SERVER['REQUEST_METHOD']==='POST') {  // REQUIRE POST OR DIE
 if(isset($_POST['event'])) $event=$_POST['event'];  // GET event INTO VAR 
 if(isset($_POST['email'])) $email=$_POST['email'];  // GET email INTO VAR 
 if(isset($_POST['response'])) $response=$_POST['response'];  // GET response INTO VAR 
 if(isset($_POST['attempt'])) $attempt=$_POST['attempt'];  // GET attempt INTO VAR 
 if(isset($_POST['url'])) $url=$_POST['url'];  // GET url INTO VAR 
 if(isset($_POST['status'])) $status=$_POST['status'];  // GET status INTO VAR 
 if(isset($_POST['reason'])) $reason=$_POST['reason'];  // GET reason INTO VAR 
 if(isset($_POST['type'])) $type=$_POST['type'];  // GET type INTO VAR 
 if(isset($_POST['category'])) $category=$_POST['category'];  // GET category INTO VAR 
 if(isset($_POST['zoho_email_id'])) $zoho_email_id=$_POST['zoho_email_id'];  // GET zoho_email_id INTO VAR 
 if(isset($_POST['smtp-id'])) $smtp_id=$_POST['smtp-id'];  // GET smtp-id INTO VAR 
 if(isset($_POST['timestamp'])) $timestamp=$_POST['timestamp'];  // GET timestamp INTO VAR 
 $ch = curl_init(POSTURL);
 curl_setopt($ch, CURLOPT_POST      ,1);
 curl_setopt($ch, CURLOPT_POSTFIELDS    ,'apikey=APIKEY&amp;amp;zc_ownername=USERNAME&amp;amp;event='.$event.'&amp;amp;email='.$email.'&amp;amp;response='.$response.'&amp;amp;attempt='.$attempt.'&amp;amp;url='.$url.'&amp;amp;status='.$status.'&amp;amp;reason='.$reason.'&amp;amp;type='.$type.'&amp;amp;category='.$category.'&amp;amp;zoho_email_id='.$zoho_email_id.'&amp;amp;smtp_id='.$smtp_id.'&amp;amp;timestamp='.$timestamp);
 curl_setopt($ch, CURLOPT_FOLLOWLOCATION  ,1); 
 curl_setopt($ch, CURLOPT_HEADER      ,0);  // DO NOT RETURN HTTP HEADERS 
 curl_setopt($ch, CURLOPT_RETURNTRANSFER  ,1);  // RETURN THE CONTENTS OF THE CALL
 $Rec_Data = curl_exec($ch);
 ob_start();
 header("Content-Type: text/html");
 $Temp_Output = ltrim(rtrim(trim(strip_tags(trim(preg_replace ( "/\s\s+/" , " " , html_entity_decode($Rec_Data)))),"\n\t\r\h\v\0 ")), "%20");
 $Temp_Output = ereg_replace (' +', ' ', trim($Temp_Output));
 $Temp_Output = ereg_replace("[\r\t\n]","",$Temp_Output);
 $Temp_Output = substr($Temp_Output,307,200);
 echo $Temp_Output;
 $Final_Out=ob_get_clean();
 echo $Final_Out;  
 curl_close($ch);
} else die('Blah! That didn't work!');
exit;
&lt;/code&gt;&lt;/pre&gt;
</t>
  </si>
  <si>
    <t xml:space="preserve">&lt;p&gt;I'm writing triggers / classes to post field change notifications to the Chatter feeds of objects related to the object undergoing change (e.g. posting a field update of an Opportunity to its related Account is changed).&lt;/p&gt;
&lt;p&gt;I've written the code to compare the before and after values and post feed updates for the values that have changed just fine.  But I only want to post updates for fields that are set to be "tracked" in Chatter (Setup -&gt; Customize -&gt; Chatter -&gt; Feed Tracking).  &lt;/p&gt;
&lt;p&gt;How can I get at these settings in Apex?&lt;/p&gt;
&lt;p&gt;(It's possible to call isFeedEnabled() on an object to see if Chatter is enabled for that object.  But I don't see any way to tell if an individual field is set to have its updates posted to the feed)&lt;/p&gt;
&lt;p&gt;Cheers,
Ray&lt;/p&gt;
</t>
  </si>
  <si>
    <t xml:space="preserve">&lt;p&gt;I was experimenting with the salesforce Package creation (Upload) and installation. I have done some important changes in Opportunity &amp;amp; Products &lt;strong&gt;Search layouts&lt;/strong&gt; and I wish them to get added in the final Package. When I am creating the package I am able to add only the following Components.&lt;br&gt;
Analytic Snapshot&lt;br&gt;
Apex Class&lt;br&gt;
Apex sharing Reason&lt;br&gt;
Apex Trigger&lt;br&gt;
App&lt;br&gt;
Button or Link&lt;br&gt;
Custom Field&lt;br&gt;
Custom Object&lt;br&gt;
Custom Report Type&lt;br&gt;
Custom Setting&lt;br&gt;
Dashboard&lt;br&gt;
Document&lt;br&gt;
Email Template&lt;br&gt;
Field Set&lt;br&gt;
Folder&lt;br&gt;
Home Page Component&lt;br&gt;
Home Page Layout&lt;br&gt;
Letterhead&lt;br&gt;
List view&lt;br&gt;
Page Layout&lt;br&gt;
Permission Set&lt;br&gt;
Profile Settings&lt;br&gt;
Record Type&lt;br&gt;
Remote Site&lt;br&gt;
Report&lt;br&gt;
S-Control&lt;br&gt;
Static Resource&lt;br&gt;
Tab&lt;br&gt;
Validation Rule&lt;br&gt;
Visualforce Component&lt;br&gt;
Visualforce Page&lt;br&gt;
Workflow Email Alert&lt;br&gt;
Workflow Field Update&lt;br&gt;
Workflow Outbound Message&lt;br&gt;
Workflow Rule&lt;br&gt;
Workflow Task&lt;br&gt;&lt;br&gt;
I have tried my best but was unable to add the &lt;strong&gt;Search Layouts&lt;/strong&gt; into my package.
Please Help!&lt;/p&gt;
</t>
  </si>
  <si>
    <t xml:space="preserve">&lt;p&gt;I am trying to post the content in a file as a param using PHP CURL.&lt;/p&gt;
&lt;p&gt;The data gets posted but Zoho opens a blank document instead of the one I'm trying to open.&lt;/p&gt;
&lt;p&gt;I believe its because I am providing invalid input the &lt;code&gt;$post_data['content']&lt;/code&gt; variable.&lt;/p&gt;
&lt;p&gt;&lt;code&gt;$post_data['content']  = "@/c:/xampp/htdocs/site/a.doc";&lt;/code&gt;&lt;/p&gt;
&lt;p&gt;Zoho opens a blank document when the content received is empty according to what it says in the ZOHO API.&lt;/p&gt;
&lt;p&gt;My code is given below for reference.
    &amp;lt;&lt;/p&gt;
&lt;pre&gt;&lt;code&gt;?php   
        $post_data['content']  = "@/c:/xampp/htdocs/site/a.doc";
        $post_data['apikey']   = '[MY API KEY IS HERE]';
        $post_data['output']   = 'url';
        $post_data['filename'] = "a.doc";
        $post_data['id']       = '12345678';
        $post_data['format']   = "doc";
        $post_data['saveurl']  = 'https://localhost/researchPortal/tmp/save.php';
        $post_data['agentname'] = 'ZRemoteAgent';
        $post_data['mode']   = "normaledit";
        foreach ( $post_data as $key =&amp;gt; $value)
        {
            $post_items[] = $key . '=' . $value;
        }
        $post_string = implode ('&amp;amp;', $post_items);
    //create cURL connection
$curl_connection =  curl_init('https://exportwriter.zoho.com/remotedoc.im');
//set options
curl_setopt($curl_connection, CURLOPT_CONNECTTIMEOUT, 30);
curl_setopt($curl_connection, CURLOPT_USERAGENT,  "Mozilla/4.0 (compatible; MSIE 6.0; Windows NT 5.1)");
curl_setopt($curl_connection, CURLOPT_RETURNTRANSFER, true);
curl_setopt($curl_connection, CURLOPT_SSL_VERIFYPEER, false);
curl_setopt($curl_connection, CURLOPT_FOLLOWLOCATION, 1);
//set data to be posted
curl_setopt($curl_connection, CURLOPT_POSTFIELDS, $post_string);
//perform our request
$result = curl_exec($curl_connection);
                echo $result;
//close the connection
curl_close($curl_connection);
?&amp;gt;
&lt;/code&gt;&lt;/pre&gt;
</t>
  </si>
  <si>
    <t xml:space="preserve">&lt;p&gt;My guess would be change&lt;/p&gt;
&lt;p&gt;&lt;code&gt;curl_setopt($curl_connection, CURLOPT_POSTFIELDS, $post_string);&lt;/code&gt;&lt;/p&gt;
&lt;p&gt;to &lt;/p&gt;
&lt;p&gt;&lt;code&gt;curl_setopt($curl_connection, CURLOPT_POSTFIELDS, $post_data);&lt;/code&gt;&lt;/p&gt;
&lt;p&gt;Im guessing converting it into a string is making curl not upload the file with the magic @
&lt;a href="http://dtbaker.com.au/random-bits/uploading-a-file-using-curl-in-php.html" rel="nofollow"&gt;http://dtbaker.com.au/random-bits/uploading-a-file-using-curl-in-php.html&lt;/a&gt;&lt;/p&gt;
</t>
  </si>
  <si>
    <t xml:space="preserve">&lt;p&gt;There are no triggers available on EntitySubscription and FeedLike objects, so there's no way available to log deletion of these objects. &lt;/p&gt;
&lt;p&gt;Is there a way to determine the deleted entity subscription and feedlike records for a specific period of time ie say a api call that gives last xhrs deleted records.&lt;/p&gt;
&lt;p&gt;I tried using ALL ROWS and Isdeleted=true clause with  EntitySubscription to retrieve deleted records, but it's not working. &lt;/p&gt;
</t>
  </si>
  <si>
    <t xml:space="preserve">&lt;p&gt;I have requirement to fetch comment likes. I'm not able to figure out on how to retrieve commentlikes.&lt;/p&gt;
&lt;p&gt;FeedLike object represents likes. You can't query FeedLike records directly. They can only be queried via the parent NewsFeed, UserProfileFeed, or entity feed, such as AccountFeed.&lt;/p&gt;
&lt;p&gt;So to query FeedPost likes, use following:&lt;/p&gt;
&lt;pre&gt;&lt;code&gt;SELECT Id, (SELECT Id, CreatedById, CreatedDate, FeedItemId, FeedEntityId FROM FeedLikes) FROM UserFeed
&lt;/code&gt;&lt;/pre&gt;
&lt;p&gt;to query group post likes, use following:&lt;/p&gt;
&lt;pre&gt;&lt;code&gt;SELECT Id, (SELECT Id, CreatedById, CreatedDate, FeedItemId, FeedEntityId FROM FeedLikes) FROM CollaborationGroupFeed
&lt;/code&gt;&lt;/pre&gt;
&lt;p&gt;How to retrieve comment likes?&lt;/p&gt;
</t>
  </si>
  <si>
    <t xml:space="preserve">&lt;p&gt;I'm running into a problem using the remote api to save documents.  I've managed to set up a session and open the document inside Zoho.  But when my users try to save the document within Zoho, Zoho gives the following error:&lt;/p&gt;
&lt;p&gt;&lt;strong&gt;"Document format not supported. Error in saving content."&lt;/strong&gt;&lt;/p&gt;
&lt;p&gt;This happens for both .doc and .txt files (the only two I've tried so far).  The save routine appears to die within Zoho somewhere...my servlet that is supposed to get the files back from Zoho never reports receiving any POSTs at all.  &lt;/p&gt;
&lt;p&gt;Please note that I'm not asking Zoho to convert file formats...I am handing it a .doc and asking for a .doc back, or handing it a .txt and asking it for a .txt back.&lt;/p&gt;
&lt;p&gt;Here are my log entries from setting up the Zoho session.....as you can see, everything appears to be working.&lt;/p&gt;
&lt;p&gt;&lt;strong&gt;Log:&lt;/strong&gt;&lt;/p&gt;
&lt;pre&gt;&lt;code&gt;20120123 15:37:26 DEBUG [ajp-8009-6] (ZohoAPI)  - setupPrivateEditor using following for POST:
apikey: [redacted]
output: url
mode: normaledit
filename: Test_Doc_06.doc
documentid: 31101
id: 31101
lang: en
format: doc
saveurl: https://app.bizmarx.net/Bizmarx/bizmarx/saveZohoDocument
20120123 15:37:26 DEBUG [ajp-8009-6] (ZohoAPI)  - setupPrivateEditor executing POST
20120123 15:37:28 DEBUG [ajp-8009-6] (ZohoAPI)  - setupPrivateEditor sees response status: 200  :  OK
20120123 15:37:28 DEBUG [ajp-8009-6] (ZohoAPI)  - setupPrivateEditor:  full response string seen as:
URL=[redacted, but functional during testing]
WARNING=NULL
RESULT=TRUE
&lt;/code&gt;&lt;/pre&gt;
&lt;p&gt;&lt;strong&gt;Zoho Remote API References:&lt;/strong&gt;&lt;/p&gt;
&lt;p&gt;These are the documents I'm using to put together my requests.  Unfortunately, they don't provide a sandbox, so I can't verify exactly what they're seeing on their end.  &lt;/p&gt;
&lt;p&gt;To set up the private editing session, I'm using the multipart form submit described here: &lt;a href="https://apihelp.wiki.zoho.com/Open-Document.html" rel="nofollow"&gt;https://apihelp.wiki.zoho.com/Open-Document.html&lt;/a&gt;.  The java code I'm using to put this together is:&lt;/p&gt;
&lt;pre&gt;&lt;code&gt;MultipartEntity paramsEntity = new MultipartEntity();
paramsEntity.addPart("apikey", new StringBody(apiKey));
paramsEntity.addPart("output", new StringBody(outputType));
paramsEntity.addPart("mode", new StringBody(modeType));
paramsEntity.addPart("filename", new StringBody(fileName));
paramsEntity.addPart("documentid", new StringBody(uid));
paramsEntity.addPart("id", new StringBody(uid));
paramsEntity.addPart("lang", new StringBody(langType));
paramsEntity.addPart("format", new StringBody( type ));
paramsEntity.addPart("saveurl", new StringBody(saveURL));
paramsEntity.addPart("content", new FileBody(documentFile));
post.setEntity(paramsEntity);
response = httpClient.execute(post);
&lt;/code&gt;&lt;/pre&gt;
&lt;p&gt;To save the file after the user is done editing it, I'm following the details given by Zoho (can't post URL because this is a new account), though I'm just using an httpservlet to listen for POSTs instead of setting up a new action page.  However, even if this were to cause problems, it doesn't appear to be the problem now, since my servers never report getting pinged by Zoho at all.  &lt;/p&gt;
&lt;p&gt;Has anyone run into this problem before?  Is my initial POST somehow malformed in such a way that the document will still load in Zoho fine, but Zoho isn't sure where or how to save it?  Thanks!&lt;/p&gt;
</t>
  </si>
  <si>
    <t xml:space="preserve">&lt;p&gt;I'm try to authorize to Salesforce APIs using the &lt;a href="http://code.google.com/chrome/extensions/tut_oauth.html" rel="nofollow"&gt;Chrome Extension OAuth Library&lt;/a&gt;, but I get the following response from Salesforce when I send a signed request using oauth.sendSignedRequest() method:&lt;/p&gt;
&lt;pre&gt;&lt;code&gt;&amp;lt;response&amp;gt;&amp;lt;error&amp;gt;LOGIN_OAUTH_INVALID_DSIG&amp;lt;/error&amp;gt;&amp;lt;message&amp;gt;Failed: Signature Invalid&amp;lt;/message&amp;gt;&amp;lt;/response&amp;gt;
&lt;/code&gt;&lt;/pre&gt;
&lt;p&gt;Any thoughts on what could be causing this?&lt;/p&gt;
</t>
  </si>
  <si>
    <t xml:space="preserve">&lt;p&gt;I ended up creating my OAuth 2.0 Library for Chrome Extension that works fine with Salesforce.  Ping me if you would like to get a copy of the library.&lt;/p&gt;
</t>
  </si>
  <si>
    <t xml:space="preserve">&lt;p&gt;Can any one told me that how can i add ,Edit or delete records in quickbase using the URL only 
like i have a URL for api_doquery i.e.&lt;/p&gt;
&lt;p&gt;&lt;a href="https://www.quickbase.com/db/bad8qdsuy?a=api_doquery&amp;amp;qid=98" rel="nofollow"&gt;https://www.quickbase.com/db/bad8qdsuy?a=api_doquery&amp;amp;qid=98&lt;/a&gt;&lt;/p&gt;
&lt;p&gt;But i want to add,edit or delete the records so please provide me the way to do that for add,edit or delete with my form data  ,&lt;/p&gt;
&lt;p&gt;I have found this URL https:///db/57pa5vjf?act=API_AddRecord&amp;amp;_fnm_second_year=1776&amp;amp;_fid_8=changed but didnt get the meanig of this one ,&lt;/p&gt;
&lt;p&gt;So please tell me that how can i do this type of things in Quickbase...&lt;/p&gt;
</t>
  </si>
  <si>
    <t xml:space="preserve">&lt;p&gt;I am new for quickbase , i am adding a data into my quickbase database and i have fond the resut as &lt;/p&gt;
&lt;pre&gt;&lt;code&gt;&amp;lt;qdbapi&amp;gt;&amp;lt;action&amp;gt;API_AddRecord&amp;lt;/action&amp;gt;&amp;lt;errcode&amp;gt;34&amp;lt;/errcode&amp;gt;&amp;lt;errtext&amp;gt;You cannot change the value of this field&amp;lt;/errtext&amp;gt;&amp;lt;errdetail&amp;gt;The field named "Customer Name" with field id 264 cannot be modified&amp;lt;/errdetail&amp;gt;&amp;lt;udata&amp;gt;mydata&amp;lt;/udata&amp;gt;&amp;lt;ticket&amp;gt;6_bgxe7d289_bv3b7j_b_b32jss8dsypt66cgs2ujxcrqmqshb2b5yw2dc45zgzd4i8e9ydzemkyu&amp;lt;/ticket&amp;gt;&amp;lt;/qdbapi&amp;gt;
&lt;/code&gt;&lt;/pre&gt;
&lt;p&gt;Could any one told me that how can add data .&lt;/p&gt;
</t>
  </si>
  <si>
    <t xml:space="preserve">&lt;p&gt;In my app I display a list of the current users. I request it like this:&lt;/p&gt;
&lt;h2&gt;Attempt 1&lt;/h2&gt;
&lt;pre&gt;&lt;code&gt;List&amp;lt;User&amp;gt; Following = [SELECT Id, Name, SmallPhotoUrl 
  FROM User 
  WHERE Id IN (
      SELECT ParentId 
      FROM EntitySubscription 
      WHERE SubscriberId = :UserInfo.getUserId()) 
    AND Id != :UserInfo.getUserId() 
  LIMIT 96];
&lt;/code&gt;&lt;/pre&gt;
&lt;p&gt;This does exactly what it's supposed to when logged in as an admin but I found out that non-admins get an error: &lt;/p&gt;
&lt;blockquote&gt;
  &lt;p&gt;Implementation restriction: EntitySubscription only allows security
  evaluation for non-admin users when LIMIT is specified and at most
  1000&lt;/p&gt;
&lt;/blockquote&gt;
&lt;p&gt;OK, no big deal, I'll just slap a LIMIT on there like so:&lt;/p&gt;
&lt;h2&gt;Attempt 2&lt;/h2&gt;
&lt;pre&gt;&lt;code&gt;List&amp;lt;User&amp;gt; Following = [SELECT Id, Name, SmallPhotoUrl 
  FROM User 
  WHERE Id IN (
      SELECT ParentId 
      FROM EntitySubscription 
      WHERE SubscriberId = :UserInfo.getUserId() 
      LIMIT 1000) 
    AND Id != :UserInfo.getUserId() 
  LIMIT 96];
&lt;/code&gt;&lt;/pre&gt;
&lt;p&gt;Easy, right? WRONG. This gives the following: &lt;/p&gt;
&lt;blockquote&gt;
  &lt;p&gt;expecting a right parentheses, found 'LIMIT'&lt;/p&gt;
&lt;/blockquote&gt;
&lt;p&gt;OK...&lt;/p&gt;
&lt;p&gt;I then tried breaking it out like so:&lt;/p&gt;
&lt;h2&gt;Attempt 3&lt;/h2&gt;
&lt;pre&gt;&lt;code&gt;List&amp;lt;EntitySubscription&amp;gt; sub = [SELECT ParentId 
  FROM EntitySubscription 
  WHERE SubscriberId = :UserInfo.getUserId() 
  LIMIT 1000];
List&amp;lt;Id&amp;gt; ids = new List&amp;lt;Id&amp;gt;();
for(EntitySubscription s : sub){
    ids.add(s.ParentId);
}
List&amp;lt;User&amp;gt; Following = [SELECT Id, Name, SmallPhotoUrl 
  FROM User 
  WHERE Id IN (:ids) 
    AND Id != :UserInfo.getUserId() 
  LIMIT 96]; 
&lt;/code&gt;&lt;/pre&gt;
&lt;p&gt;I crossed my fingers and...   &lt;/p&gt;
&lt;pre&gt;&lt;code&gt;Invalid bind expression type of LIST&amp;lt;Id&amp;gt; for column of type Id
&lt;/code&gt;&lt;/pre&gt;
&lt;p&gt;Hmm, I'd seen examples where this seemed to be possible, such as on the &lt;a href="http://boards.developerforce.com/t5/Apex-Code-Development/Invalid-bind-expression-type-of-SOBJECT/td-p/110378" rel="nofollow"&gt;developerforce boards&lt;/a&gt;, so I'm at a bit of a loss now.&lt;/p&gt;
&lt;p&gt;So here we are. I need to select a list of user names and pictures that a particular user is following on Chatter. If there is a completely different way to go about it I'm open to it.&lt;/p&gt;
</t>
  </si>
  <si>
    <t xml:space="preserve">&lt;p&gt;Try removing the parenthesis around the bind, i.e. change:&lt;/p&gt;
&lt;pre&gt;&lt;code&gt;WHERE Id IN (:ids) 
&lt;/code&gt;&lt;/pre&gt;
&lt;p&gt;to:&lt;/p&gt;
&lt;pre&gt;&lt;code&gt;WHERE Id IN :ids
&lt;/code&gt;&lt;/pre&gt;
&lt;p&gt;And also simplify the query by just making sure that your list of IDs doesn't contain the current user's ID:&lt;/p&gt;
&lt;pre&gt;&lt;code&gt;List&amp;lt;EntitySubscription&amp;gt; sub = [SELECT ParentId 
  FROM EntitySubscription 
  WHERE SubscriberId = :UserInfo.getUserId() AND ParentId != :UserInfo.getUserId()
  LIMIT 1000];
Set&amp;lt;Id&amp;gt; ids = new Set&amp;lt;Id&amp;gt;();
for(EntitySubscription s : sub){
    ids.add(s.ParentId);
}
&lt;/code&gt;&lt;/pre&gt;
&lt;p&gt;Hope that helps!&lt;/p&gt;
</t>
  </si>
  <si>
    <t xml:space="preserve">&lt;p&gt;I have two custom objects 'User Name' and 'Salary'. There is a lookup relationship between the two objects. For every User Name, there are many salary records. I want one field,that is, 'Available Salary' to be there which adds the 'Net Salary' records from all the salary records for a particular user. Should I make this field in User Name?? Please tell me the formula for this and in which object should I make this field?? &lt;/p&gt;
</t>
  </si>
  <si>
    <t xml:space="preserve">&lt;p&gt;I am working on ZOHO API and trying to update the record using cURL. I tried different cURL variations, but it always returns "false". But when I call the same URL using a browser, it works.  &lt;/p&gt;
&lt;p&gt;Is there any way they can block cURL requests? Is there any other way I can call that URL using a POST or maybe a GET request?&lt;/p&gt;
&lt;p&gt;The cURL code I have tried is as below:&lt;/p&gt;
&lt;pre&gt;&lt;code&gt;$ch = curl_init();
curl_setopt($ch, CURLOPT_URL, $url);
curl_setopt($ch, CURLOPT_RETURNTRANSFER, true);
curl_setopt($ch, CURLOPT_HEADER, 0);
$data = curl_exec($ch);
curl_close($ch);
&lt;/code&gt;&lt;/pre&gt;
</t>
  </si>
  <si>
    <t xml:space="preserve">&lt;p&gt;Servers cannot block cURL requests per se, but they can block any request that they do not like. If the server checks for some parameters that your cURL request does not satisfy, it could decide to respond differently.&lt;/p&gt;
&lt;p&gt;In the vast majority of cases, this difference in behavior is triggered by the presence (or absence) and values of the HTTP request headers. For example, the server might check that the &lt;code&gt;User-Agent&lt;/code&gt; header is present and has a valid value (it could also check lots of other things).&lt;/p&gt;
&lt;p&gt;To find out what the HTTP request coming from the browser looks like, use an HTTP debugging proxy like &lt;a href="http://fiddler2.com/fiddler2/" rel="noreferrer"&gt;Fiddler&lt;/a&gt; or your browser's developer tools.&lt;/p&gt;
&lt;p&gt;To add your own headers to your cURL request, use&lt;/p&gt;
&lt;pre&gt;&lt;code&gt;curl_setopt($ch, CURLOPT_HTTPHEADER, array('HeaderName: HeaderValue'));
&lt;/code&gt;&lt;/pre&gt;
</t>
  </si>
  <si>
    <t xml:space="preserve">&lt;p&gt;I thought using get_file_contents function would allow me to execute the API as I would with other API's I've used in the past.  However this approach doesn't work with the Zoho CRM API - possibly because I'm passing XML data rather than it being a RESTful query?&lt;/p&gt;
&lt;p&gt;API doc is at &lt;a href="http://zohocrmapi.wiki.zoho.com/insertRecords-Method.html" rel="nofollow"&gt;http://zohocrmapi.wiki.zoho.com/insertRecords-Method.html&lt;/a&gt;&lt;/p&gt;
&lt;p&gt;When passing this through the web browser address bar it works:&lt;/p&gt;
&lt;pre&gt;&lt;code&gt;https://crm.zoho.com/crm/private/xml/Contacts/insertRecords?authtoken=Auth Token&amp;amp;scope=crmapi
&amp;amp;newFormat=1
&amp;amp;xmlData=
&amp;lt;Contacts&amp;gt;
&amp;lt;row no="1"&amp;gt;
&amp;lt;FL val="First Name"&amp;gt;Scott&amp;lt;/FL&amp;gt;
&amp;lt;FL val="Last Name"&amp;gt;James&amp;lt;/FL&amp;gt;
&amp;lt;FL val="Email"&amp;gt;test@test.com&amp;lt;/FL&amp;gt;
&amp;lt;FL val="Department"&amp;gt;CG&amp;lt;/FL&amp;gt;
&amp;lt;FL val="Phone"&amp;gt;999999999&amp;lt;/FL&amp;gt;
&amp;lt;FL val="Fax"&amp;gt;99999999&amp;lt;/FL&amp;gt;
&amp;lt;FL val="Mobile"&amp;gt;99989989&amp;lt;/FL&amp;gt;
&amp;lt;FL val="Assistant"&amp;gt;John&amp;lt;/FL&amp;gt;
&amp;lt;/row&amp;gt;
&amp;lt;/Contacts&amp;gt;
&lt;/code&gt;&lt;/pre&gt;
&lt;p&gt;I don't get any errors when running this using file_get_contents.  Does anyone know what I need to do to get this to work?&lt;/p&gt;
</t>
  </si>
  <si>
    <t xml:space="preserve">&lt;p&gt;I have puzzled over this QuickBase jQuery/Ajax problem for the better part of two days. Consider this jquery code running inside $(function()...:&lt;/p&gt;
&lt;pre&gt;&lt;code&gt;    &amp;lt;script type="text/javascript"&amp;gt;
        $(function() { 
            $.ajax({
                type: "GET",
                url: "https://www.quickbase.com/db/&amp;lt;mydbid&amp;gt;", // &amp;lt;- returns error
                //url: "http://pfs.fedcap.com/testdata.xml",  // &amp;lt;- returns xml
                data: {
                    act:"API_DoQuery",
                    query:"{7.EX.235445}",
                    apptoken:"&amp;lt;myapptoken&amp;gt;"
                },
                dataType: "xml",
                error: function(xhr,status) {
                    alert("error");
                },
                success: function(xml) { 
                    alert("OK");
                }
            });
        });
    &amp;lt;/script&amp;gt;
&lt;/code&gt;&lt;/pre&gt;
&lt;p&gt;As noted, the url pointing to QuickBase returns an error, but the url pointing to the xml file returns the xml as expected. But here's the kicker: the xml file (testdata.xml) was created by pointing my browser directly to the specified url: &lt;a href="https://www.quickbase.com/db/&amp;lt;mydbid" rel="nofollow"&gt;https://www.quickbase.com/db/&amp;lt;mydbid&lt;/a&gt;&gt;?a=API_DoQuery&amp;amp;query={7.EX.235445}&amp;amp;apptoken=&amp;lt;myapptoken&gt; and saving the results to testdata.xml. It seems to me the jquery ajax call SHOULD produce the same results as the testdata.xml file. But it does not.&lt;/p&gt;
&lt;p&gt;The Firebug xml pane shows that the call when executed against the QuickBase site returns "XML Parsing Error: syntax error Location: moz-nullprincipal:{3e0d38f1-0e36-4adb-965e-d0e7d68ab0cb} Line Number 1, Column 1:Reload the page to get source for: &lt;a href="https://www.quickbase.com/db" rel="nofollow"&gt;https://www.quickbase.com/db&lt;/a&gt;..."&lt;/p&gt;
&lt;p&gt;What am I overlooking? Any thoughts?&lt;/p&gt;
</t>
  </si>
  <si>
    <t xml:space="preserve">&lt;pre&gt;&lt;code&gt;&amp;lt;?xml version=\"1.0\" encoding=\"UTF-8\" ?&amp;gt; 
 &amp;lt;response uri=\"/crm/private/xml/Potentials/updateRecords\"&amp;gt;
   &amp;lt;result&amp;gt;
      &amp;lt;message&amp;gt;***TEST***Record(s) updated successfully&amp;lt;/message&amp;gt;
      &amp;lt;recorddetail&amp;gt;
          &amp;lt;FL val=\"Id\"&amp;gt;414100000000000000&amp;lt;/FL&amp;gt;
          &amp;lt;FL val=\"Created Time\"&amp;gt;2012-03-30 16:54:03&amp;lt;/FL&amp;gt;
          &amp;lt;FL val=\"Modified Time\"&amp;gt;2012-04-11 16:53:48&amp;lt;/FL&amp;gt;
          &amp;lt;FL val=\"Created By\"&amp;gt;&amp;lt;![CDATA[Bayer]]&amp;gt;&amp;lt;/FL&amp;gt;
          &amp;lt;FL val=\"Modified By\"&amp;gt;&amp;lt;![CDATA[Bayer]]&amp;gt;&amp;lt;/FL&amp;gt;
      &amp;lt;/recorddetail&amp;gt;
  &amp;lt;/result&amp;gt;
&amp;lt;/response&amp;gt;
&lt;/code&gt;&lt;/pre&gt;
&lt;p&gt;This is a generic response from Zoho stating that my record was updated successfully (minus the test part and the bogus ZohoID.) I have been trying to get my C# program to be able to make that style of xml document because when i post things to zoho it actually is very similar in style. But i just can't figure out how to make it work This is an example from their website.&lt;/p&gt;
&lt;pre&gt;&lt;code&gt;&amp;lt;Leads&amp;gt;
&amp;lt;row no="1"&amp;gt;
&amp;lt;FL val="Lead Source"&amp;gt;Web Download&amp;lt;/FL&amp;gt;
&amp;lt;FL val="First Name"&amp;gt;contacto 1&amp;lt;/FL&amp;gt;
&amp;lt;FL val="Last Name"&amp;gt;apellido&amp;lt;/FL&amp;gt;
&amp;lt;FL val="Email"&amp;gt;testing@testing.com&amp;lt;/FL&amp;gt;
&amp;lt;FL val="Title"&amp;gt;Manager&amp;lt;/FL&amp;gt;
&amp;lt;FL val="Phone"&amp;gt;1234567890&amp;lt;/FL&amp;gt;
&amp;lt;FL val="Home Phone"&amp;gt;0987654321&amp;lt;/FL&amp;gt;
&amp;lt;FL val="Other Phone"&amp;gt;1212211212&amp;lt;/FL&amp;gt;
&amp;lt;FL val="Fax"&amp;gt;02927272626&amp;lt;/FL&amp;gt;
&amp;lt;FL val="Mobile"&amp;gt;292827622&amp;lt;/FL&amp;gt;
&amp;lt;/row&amp;gt;
&amp;lt;/Leads&amp;gt;
&lt;/code&gt;&lt;/pre&gt;
&lt;p&gt;I am trying to replicate it using a unit test in C#, but it gives me errors of all kinds.. i've lost all the different ways that i've tried, but i'll post what i currently have and the error it is throwing.&lt;/p&gt;
&lt;pre&gt;&lt;code&gt;    [Test]
    public void TestMethod()
    {
        XmlDocument doc = new XmlDocument();
        XmlDeclaration declare = doc.CreateXmlDeclaration("1.0", null, null);
        doc.AppendChild(declare);
        doc.AppendChild(doc.CreateElement("Potentials"));
        doc.AppendChild(doc.CreateAttribute("FL", "AccountName", "Robert Snyder"));
        doc.Save("C:\\test.xml");
        //doc.WriteContentTo(XmlWriter.Create("C:\\test.xml"));
    }
&lt;/code&gt;&lt;/pre&gt;
&lt;p&gt;Exception&lt;/p&gt;
&lt;blockquote&gt;
  &lt;p&gt;System.InvalidOperationException : The specified node cannot be inserted as the valid child of this node, because the specified node is the wrong type. - c:\Subversion\ZohoApi\ZohoApi\Tests\XmlDataTests.cs:22&lt;/p&gt;
&lt;/blockquote&gt;
&lt;p&gt;Please help me understand this a little better. I have been trying for a long time, and just can't figure it out.&lt;/p&gt;
</t>
  </si>
  <si>
    <t xml:space="preserve">&lt;p&gt;In order to make the following output&lt;/p&gt;
&lt;pre&gt;&lt;code&gt;&amp;lt;Leads&amp;gt;
  &amp;lt;row no="1"&amp;gt;
    &amp;lt;FL val="Lead Source"&amp;gt;Web Download&amp;lt;/FL&amp;gt;
    &amp;lt;FL val="First Name"&amp;gt;Robert&amp;lt;/FL&amp;gt;
    &amp;lt;FL val="Last Name"&amp;gt;Snyder&amp;lt;/FL&amp;gt;
    &amp;lt;FL val="Email"&amp;gt;rob@snyder.com&amp;lt;/FL&amp;gt;
    &amp;lt;FL val="Title"&amp;gt;Programmer&amp;lt;/FL&amp;gt;
    &amp;lt;FL val="Phone"&amp;gt;1029384756&amp;lt;/FL&amp;gt;
    &amp;lt;FL val="Home Phone"&amp;gt;6574839201&amp;lt;/FL&amp;gt;
    &amp;lt;FL val="Other Phone"&amp;gt;1243567890&amp;lt;/FL&amp;gt;
    &amp;lt;FL val="Fax"&amp;gt;098776545432&amp;lt;/FL&amp;gt;
    &amp;lt;FL val="Mobile"&amp;gt;1243098566&amp;lt;/FL&amp;gt;
  &amp;lt;/row&amp;gt;
&amp;lt;/Leads&amp;gt;
&lt;/code&gt;&lt;/pre&gt;
&lt;p&gt;copy use this code and run it in a unit test.&lt;/p&gt;
&lt;pre&gt;&lt;code&gt;[TestFixture]
public class XmlDataTests
{
    XmlDocument doc = new XmlDocument();
    [Test]
    public void TestMethod()
    {
        var rootNode = doc.CreateElement("Leads");
        doc.AppendChild(rootNode);
        var rowNode = doc.CreateElement("row");
        var attribute = doc.CreateAttribute("no");
        attribute.Value = "1";
        rowNode.Attributes.Append(attribute);
        rowNode.AppendChild(GenerateNode("Lead Source","Web Download"));
        rowNode.AppendChild(GenerateNode("First Name","Robert"));
        rowNode.AppendChild(GenerateNode("Last Name","Snyder"));
        rowNode.AppendChild(GenerateNode("Email","rob@snyder.com"));
        rowNode.AppendChild(GenerateNode("Title","Programmer"));
        rowNode.AppendChild(GenerateNode("Phone","1029384756"));
        rowNode.AppendChild(GenerateNode("Home Phone","6574839201"));
        rowNode.AppendChild(GenerateNode("Other Phone","1243567890"));
        rowNode.AppendChild(GenerateNode("Fax","098776545432"));
        rowNode.AppendChild(GenerateNode("Mobile","1243098566"));
        rootNode.AppendChild(rowNode);
        doc.Save("C:\\test.xml");
    }
    private XmlNode GenerateNode(string field, string innerValue)
    {
        var xmlNode = doc.CreateElement("FL");
        var xmlAttribute = doc.CreateAttribute("val");
        xmlAttribute.Value = field;
        xmlNode.Attributes.Append(xmlAttribute);
        xmlNode.InnerText = innerValue;
        return xmlNode;
    }
}
&lt;/code&gt;&lt;/pre&gt;
</t>
  </si>
  <si>
    <t xml:space="preserve">&lt;p&gt;I am fairly new to the use of APIs and haven't touched Quickbase until today. I was researching the Quickbase API and it seemed as if all the examples I saw were written in XML or some similar variant. Is there a way to write code in C# that will do the same things that I saw could be done on the Quickbase website's API documentation? If you know of any code examples, please let me know.&lt;/p&gt;
</t>
  </si>
  <si>
    <t xml:space="preserve">&lt;p&gt;There is a &lt;a href="https://github.com/QuickbaseAdmirer/QuickBase-C-Sharp-SDK" rel="nofollow"&gt;QuickBase C# SDK&lt;/a&gt; that might help get you started.&lt;/p&gt;
&lt;pre&gt;&lt;code&gt;using System;
using Intuit.QuickBase.Client;
namespace MyProgram.QB.Interaction
{
    class MyApplication
    {
        static void Main(string[] args)
        {
            var client = QuickBase.Client.QuickBase.Login("your_QB_username", "your_QB_password");
            var application = client.Connect("your_app_dbid", "your_app_token");
            var table = application.GetTable("your_table_dbid");
            table.Query();
            foreach(var record in table.Records)
            {
               Console.WriteLine(record["your_column_heading"]);
            }
            client.Logout();
        }
    }
}
&lt;/code&gt;&lt;/pre&gt;
&lt;p&gt;There is also a &lt;a href="http://icanhascode.blogspot.com/2009/12/quickbase-c-api-wrapper.html" rel="nofollow"&gt;QuickBase API Wrapper&lt;/a&gt; example as well.&lt;/p&gt;
</t>
  </si>
  <si>
    <t xml:space="preserve">&lt;p&gt;I am relatively new to JavaScript. I have developed an application with the Outsystems technology, where-in I present a pop-up to the user and once the user fills the information, the user clicks 'Save' button. Now I need to disable all the page contents as it takes a long time to save and in between that the user may click anything else.&lt;/p&gt;
&lt;p&gt;So I need to lock the page using JavaScript, with a message that tells user to wait until the process finishes.(on-click of the 'Save' button)&lt;/p&gt;
&lt;p&gt;Any hints ?&lt;/p&gt;
&lt;p&gt;Thanks.&lt;/p&gt;
</t>
  </si>
  <si>
    <t xml:space="preserve">&lt;p&gt;Simply add a full page fixed position overlay that says "Saving... Please wait." on it. You might even make it semi-transparent grey.&lt;/p&gt;
</t>
  </si>
  <si>
    <t xml:space="preserve">&lt;p&gt;Hello and thank you for your help,&lt;/p&gt;
&lt;p&gt;I am using PHP to write an XML request, the problem I am having is when I use the variable in the value field, it returns an error. However when I write in the value manually it works perfectly. 
Under field name='Serial_Number' you will see the $MREPSerial is the variable, let's assume that 
in the PHP we have $MREPSerial = 'A-000-1042'; The below XML would give an error. However if i were to replace $MREPSerial with just the value in the XML it would be successful. Any help would be greatly appreciated. Thank you!&lt;/p&gt;
&lt;pre&gt;&lt;code&gt;$MREPSerial  = htmlspecialchars(strtoupper($_POST['NSMREP']));
echo "Hi".$MREPSerial;
&amp;lt;ZohoCreator&amp;gt;
            &amp;lt;applicationlist&amp;gt;
                &amp;lt;application name='ajout-de-materiel'&amp;gt;
                    &amp;lt;formlist&amp;gt;
                        &amp;lt;form name='MREP'&amp;gt;
                            &amp;lt;update&amp;gt;
                                &amp;lt;criteria&amp;gt;
                                    &amp;lt;field name='Serial_Number' compOperator='Equals' value={$MREPSerial}&amp;gt;&amp;lt;/field&amp;gt;
                                    &amp;lt;reloperator&amp;gt;AND&amp;lt;/reloperator&amp;gt;
                                    &amp;lt;field name='MREP_Type' compOperator='Equals' value='0'&amp;gt;&amp;lt;/field&amp;gt;                            
                                &amp;lt;/criteria&amp;gt;
                                &amp;lt;newvalues&amp;gt;
                                    &amp;lt;field name='Is_being_Used' value='TRUE'&amp;gt;&amp;lt;/field&amp;gt;
                                &amp;lt;/newvalues&amp;gt;
                            &amp;lt;/update&amp;gt;    
                        &amp;lt;/form&amp;gt;
                    &amp;lt;/formlist&amp;gt;
                &amp;lt;/application&amp;gt;
            &amp;lt;/applicationlist&amp;gt;
        &amp;lt;/ZohoCreator&amp;gt;";
&lt;/code&gt;&lt;/pre&gt;
&lt;p&gt;...
the return response on echo (including the XML i echoed)&lt;/p&gt;
&lt;pre&gt;&lt;code&gt;A-000-1012HI! &amp;lt;?xml version="1.0" encoding="UTF-8" ?&amp;gt;
&amp;lt;response&amp;gt;&amp;lt;errorlist&amp;gt;&amp;lt;error&amp;gt;&amp;lt;code&amp;gt;2830&amp;lt;/code&amp;gt;&amp;lt;message&amp;gt;&amp;lt;![CDATA[Open quote is expected for attribute "value" associated with an  element type  "field".]]&amp;gt;&amp;lt;/message&amp;gt;&amp;lt;/error&amp;gt;&amp;lt;/errorlist&amp;gt;&amp;lt;/response&amp;gt;
&lt;/code&gt;&lt;/pre&gt;
&lt;p&gt;the return response on echo if i change it to '".$MREPSerial." is:&lt;/p&gt;
&lt;pre&gt;&lt;code&gt;A-000-1012HI! &amp;lt;?xml version="1.0" encoding="UTF-8" ?&amp;gt;
&amp;lt;response&amp;gt;&amp;lt;result&amp;gt;&amp;lt;form name="MREP"&amp;gt;&amp;lt;update&amp;gt;&amp;lt;criteria&amp;gt;&amp;lt;field name="Serial_Number" compOperator="Equals" value=""&amp;gt;&amp;lt;/field&amp;gt;&amp;lt;reloperator&amp;gt;AND&amp;lt;/reloperator&amp;gt;&amp;lt;field name="MREP_Type" compOperator="Equals" value="0"&amp;gt;&amp;lt;/field&amp;gt;&amp;lt;/criteria&amp;gt;&amp;lt;newvalues&amp;gt;&amp;lt;field name="Is_being_Used"&amp;gt;&amp;lt;value&amp;gt;&amp;lt;![CDATA[TRUE]]&amp;gt;&amp;lt;/value&amp;gt;&amp;lt;/field&amp;gt;&amp;lt;/newvalues&amp;gt; &amp;lt;status&amp;gt;Failure, No Records Found With Specified Criteria&amp;lt;/status&amp;gt;&amp;lt;/update&amp;gt;&amp;lt;/form&amp;gt;&amp;lt;/result&amp;gt;&amp;lt;/response&amp;gt;
&lt;/code&gt;&lt;/pre&gt;
</t>
  </si>
  <si>
    <t xml:space="preserve">&lt;p&gt;I am developing an application using Outsystems, where-in I am using 'RichWidgets\Tabs_ClientSide'. I need to navigate from one page to other page, where the other page has multiple tabs. Currently, I am being redirected to the first tab by default.&lt;/p&gt;
&lt;p&gt;Is there some property or functionality so that I can navigate the control to a particular tab(web-block) at runtime ?&lt;/p&gt;
&lt;p&gt;Thanks !&lt;/p&gt;
&lt;p&gt;I have implemented the below given answer.
I have a link. When I click that link it is redirected to destination A. I have an input paramater which is a boolean parameter. I pass 'true' as its value. The destination A which is a webscreen has a webblock B. On that particular webblock, for the InitialActiveTab property I have checked whether the input parameter is True or False.
For true I am passing WebblockC.Id as the value.&lt;/p&gt;
&lt;p&gt;But, on the browser underneth the webblock it is showing this error.&lt;/p&gt;
&lt;p&gt;Invalid use of RichWidgets\Tabs_ClientSide: The initial tab must have the 'title' extended property defined.&lt;/p&gt;
&lt;p&gt;I have set the OnTabActivation property as desired to the system, but still it does not works.&lt;/p&gt;
</t>
  </si>
  <si>
    <t xml:space="preserve">&lt;p&gt;That behavior can be accomplished this way:&lt;/p&gt;
&lt;ul&gt;
&lt;li&gt;add an optional input parameter to the webscreens where you have the tabs to specify which tab to be selected when the user lands on the page&lt;/li&gt;
&lt;li&gt;feed that parameter to the &lt;code&gt;InitialactiveTab&lt;/code&gt; input of the *Tabs_ClientSide* web block&lt;/li&gt;
&lt;li&gt;in all links where you want the target to open with an initial different tab, specify which tab to open by filling the optional input parameter you created with the title of the tab to be activated&lt;/li&gt;
&lt;/ul&gt;
</t>
  </si>
  <si>
    <t xml:space="preserve">&lt;p&gt;I am developing an application with Outsystems, where I have a list of projects specifying different attributes of project. The list is big, and when I scroll down I am able to see the contents of the list but I am not able to judge the column headers as they are not visible once you scroll down.&lt;/p&gt;
&lt;p&gt;So is there any solution for this problem ? I have tried with a 'Fixed table' widget but it went in vain.&lt;/p&gt;
&lt;p&gt;Thanks!&lt;/p&gt;
</t>
  </si>
  <si>
    <t xml:space="preserve">&lt;p&gt;This is a generic &lt;em&gt;fixed table header&lt;/em&gt; problem. You can solve it employing solutions that aren't specific to the OutSystems paltform. Please check &lt;a href="https://stackoverflow.com/questions/673153/html-table-with-fixed-headers"&gt;this answer&lt;/a&gt; or this &lt;a href="http://fixedheadertable.com/" rel="nofollow noreferrer"&gt;jQuery Plugin for Fixed header tables&lt;/a&gt;.&lt;/p&gt;
&lt;p&gt;Should you need any help with using jQuery with OutSystems, you can check the posts by João Rosado in &lt;a href="http://www.outsystems.com/NetworkForums/ViewTopic.aspx?TopicId=7548&amp;amp;Topic=Integration-of-jQuery" rel="nofollow noreferrer"&gt;this thread&lt;/a&gt;.&lt;/p&gt;
</t>
  </si>
  <si>
    <t xml:space="preserve">&lt;p&gt;Hi i am creating visualforce pages and apex classes triggers etc for last some  time.i want to know what is app in salesforce and how to publish it on AppExchange? Any requirement for publishing app on app exchange i went through this tutorial &lt;a href="http://www.youtube.com/watch?v=lVITwMCotP8" rel="nofollow"&gt;link&lt;/a&gt;&lt;/p&gt;
&lt;p&gt;they teach how to create an app in developer org by default there are 6 tabs Home,Chatter,File,Your Tab ,Reports,DashBoard.i basically want to know what app contains? apex class,visualforce page these components or only standard tabs and some customization tab what we see when we select an app in developer org&lt;/p&gt;
</t>
  </si>
  <si>
    <t xml:space="preserve">&lt;p&gt;An &lt;code&gt;app&lt;/code&gt; in Salesforce.com is nothing but a container which contains in it - a name, a logo, and an ordered set of tabs.&lt;/p&gt;
&lt;p&gt;&lt;a href="http://www.salesforce.com/us/developer/docs/fundamentals/Content/adg_simple_app_introduction.htm" rel="nofollow"&gt;http://www.salesforce.com/us/developer/docs/fundamentals/Content/adg_simple_app_introduction.htm&lt;/a&gt;&lt;/p&gt;
&lt;p&gt;All the metadata such as &lt;code&gt;Objects&lt;/code&gt;, &lt;code&gt;Visualforce Pages&lt;/code&gt;, &lt;code&gt;Classes&lt;/code&gt;, etc are independent of an &lt;code&gt;app&lt;/code&gt;. An &lt;code&gt;app&lt;/code&gt; just helps to group things together &lt;strong&gt;visually&lt;/strong&gt;. But internally the metadata has nothing to do with an &lt;code&gt;app&lt;/code&gt; i.e. you can have the same &lt;code&gt;tab&lt;/code&gt;, &lt;code&gt;VF Page&lt;/code&gt; in multiple apps.&lt;/p&gt;
&lt;p&gt;Publishing an app on AppExchange is a long procedure. Please follow the AppExchange Publishing Guide &lt;a href="https://sites.secure.force.com/appexchange/resource/1237050882000/help/index_Left.htm" rel="nofollow"&gt;https://sites.secure.force.com/appexchange/resource/1237050882000/help/index_Left.htm&lt;/a&gt; for full details on how to publish your app on AppExchange.&lt;/p&gt;
</t>
  </si>
  <si>
    <t xml:space="preserve">&lt;p&gt;I had a working PHP integration to zohoCRM to insert leads into the system from a web form. Suddenly these forms don't work anymore, and there's no useful debug info from the Zoho error message. Here's the code:&lt;/p&gt;
&lt;pre&gt;&lt;code&gt;$xml  = '&amp;lt;?xml version="1.0" encoding="UTF-8"?&amp;gt;'; // same error with or without this line
$xml .= '&amp;lt;Leads&amp;gt;';
$xml .= '&amp;lt;row no="1"&amp;gt;';
if(isset($fname)) $xml .= '&amp;lt;FL val="First Name"&amp;gt;'.$fname.'&amp;lt;/FL&amp;gt;';
if(isset($lname)) $xml .= '&amp;lt;FL val="Last Name"&amp;gt;'.$lname.'&amp;lt;/FL&amp;gt;';
if(isset($post['sender_email'])) $xml .= '&amp;lt;FL val="Email"&amp;gt;'.$post['sender_email'].'&amp;lt;/FL&amp;gt;';
$xml .= '&amp;lt;FL val="Lead Source"&amp;gt;Web Research&amp;lt;/FL&amp;gt;';
if(isset($phone)) $xml .= '&amp;lt;FL val="Phone"&amp;gt;'.$phone.'&amp;lt;/FL&amp;gt;';
$xml .= '&amp;lt;FL val="Description"&amp;gt;'.$comments.'&amp;lt;/FL&amp;gt;';
$xml .= '&amp;lt;/row&amp;gt;';
$xml .= '&amp;lt;/Leads&amp;gt;';
/*
var_dump($xml) returns:
&amp;lt;?xml version="1.0" encoding="UTF-8"?&amp;gt;&amp;lt;Leads&amp;gt;&amp;lt;row no="1"&amp;gt;&amp;lt;FL val="First Name"&amp;gt;Joe&amp;lt;/FL&amp;gt;&amp;lt;FL val="Last Name"&amp;gt;Smith&amp;lt;/FL&amp;gt;&amp;lt;FL val="Email"&amp;gt;smith@example.com&amp;lt;/FL&amp;gt;&amp;lt;FL val="Lead Source"&amp;gt;Web Research&amp;lt;/FL&amp;gt;&amp;lt;FL val="Phone"&amp;gt;123-456-5678&amp;lt;/FL&amp;gt;&amp;lt;FL val="Description"&amp;gt;My comments&amp;lt;/FL&amp;gt;&amp;lt;/row&amp;gt;&amp;lt;/Leads&amp;gt;
*/
$url ="https://crm.zoho.com/crm/private/xml/Leads/insertRecords";
$query="authtoken=validtoken&amp;amp;scope=crmapi&amp;amp;newFormat=1&amp;amp;xmlData=".$xml;
$ch = curl_init();
curl_setopt($ch, CURLOPT_URL, $url);
curl_setopt($ch, CURLOPT_FOLLOWLOCATION, 1);
curl_setopt($ch, CURLOPT_RETURNTRANSFER, 1);
curl_setopt($ch, CURLOPT_TIMEOUT, 30);
curl_setopt($ch, CURLOPT_POST, 1);
curl_setopt($ch, CURLOPT_POSTFIELDS, $query);// Set the request as a POST FIELD for curl.
//Execute cUrl session
$response = curl_exec($ch);
curl_close($ch);
var_dump( $response );
// returns 4600 Unable to process your request. Please verify if the name and value is appropriate for the "xmlData" parameter. 
&lt;/code&gt;&lt;/pre&gt;
&lt;p&gt;It seems like no matter what I try (and I've tried a whole lot for most of the day) I can't get anything other than this useless &lt;code&gt;4600&lt;/code&gt; error. Has anyone run into this? &lt;/p&gt;
</t>
  </si>
  <si>
    <t xml:space="preserve">&lt;p&gt;We do our posts to Zoho exactly the same way and they seem to be working fine (I just ran it to make sure it wasn't an issue across the board.) The only thing I can think of is to make sure that the values in your XML are properly escaped with slashes and HTML-entities so the XML is valid. That could be the issue, since it seems like it's saying something along the lines of "unable to read your XML".&lt;/p&gt;
</t>
  </si>
  <si>
    <t xml:space="preserve">&lt;p&gt;i want javascript code to check whether my input text is in specific format as AS0301-12345&lt;/p&gt;
&lt;pre&gt;&lt;code&gt;&amp;lt;apex:inputText id="searchText" value="{!searchText}" onmousemove="checkingstring(this)"/&amp;gt;
&amp;lt;script&amp;gt;
function checkingstring(searchText){
var pattern = "([a-zA-Z](2)[0-9](4)-[0-9](5))";  /// is it correct
var regexp = new System.Text.RegularExpressions.Regex(pattern);
var userInput = "(123) 555-1243";
if (!regexp.IsMatch($component.searchText))
 {
  alert("The syntax is always as follows: AANNNN-NNNNN (A= Alpha/Letter; N= Number) i.e.FL0301-12345&amp;lt;/b&amp;gt;");  
}
}
&amp;lt;/script&amp;gt;
&lt;/code&gt;&lt;/pre&gt;
</t>
  </si>
  <si>
    <t xml:space="preserve">&lt;p&gt;Your JS function should look more like this: &lt;/p&gt;
&lt;pre&gt;&lt;code&gt;function checkingstring(inputElem) {
  var regex = /^[A-Z]{2}[0-9]{4}-[0-9]{5}$/i;
  var searchText = inputElem.value;
  if (searchText.length &amp;amp;&amp;amp; !regex.test(searchText)) {
    alert('The syntax is always as follows: AANNNN-NNNNN \n' +
          '(A: Alpha/Letter; N: Number), e.g. FL0301-12345');
  }
}
&lt;/code&gt;&lt;/pre&gt;
&lt;p&gt;You should probably also change the &lt;code&gt;onmousemove&lt;/code&gt; to something more meaningful, like &lt;code&gt;onblur&lt;/code&gt; maybe.&lt;br&gt;
Take a look at this &lt;strong&gt;&lt;a href="http://jsfiddle.net/ExpertSystem/Qc2bd/" rel="nofollow noreferrer"&gt;short demo&lt;/a&gt;&lt;/strong&gt;.&lt;/p&gt;
</t>
  </si>
  <si>
    <t xml:space="preserve">&lt;p&gt;Is it possible to override the standard 'Create new ' button and 'detail' link in the list view of service cloud console?&lt;/p&gt;
&lt;p&gt;I want to show my custom VF pages on click of these buttons/links.(if yes how?)&lt;/p&gt;
&lt;p&gt;In addition, any examples to the service cloud API toolkit would be helpful.&lt;/p&gt;
&lt;p&gt;Thanks in advance.&lt;/p&gt;
</t>
  </si>
  <si>
    <t xml:space="preserve">&lt;p&gt;I am trying to parse the following complex JSON result, which is returned from the Zoho Crm API:&lt;/p&gt;
&lt;pre&gt;&lt;code&gt;{
"response":
{
    "result":
    {
        "Contacts":
        {
            "row":
            [
                {
                    "no":"1",
                    "FL":
                    [
                        {
                            "content":"555555000000123456",
                            "val":"CONTACTID"
                        },
                        {
                            "content":"555555000000012345",
                            "val":"SMOWNERID"
                        },
                        {
                            "content":"John Doe",
                            "val":"Contact Owner"
                        },
                        {
                            "content":"Pete",
                            "val":"First Name"
                        },
                        {
                            "content":"Smith",
                            "val":"Last Name"
                        },
                        {
                            "content":"pete@mail.com",
                            "val":"Email"
                        },
                        {
                            "content":"5555551000000012346",
                            "val":"SMCREATORID"
                        },
                        {
                            "content":"Jane Doe",
                            "val":"Created By"
                        },
                        {
                            "content":"555555000000012347",
                            "val":"MODIFIEDBY"
                        },
                        {
                            "content":"Doris Doe",
                            "val":"Modified By"
                        },
                        {
                            "content":"2013-06-14 17:24:10",
                            "val":"Created Time"
                        },
                        {
                            "content":"2013-06-14 17:24:10",
                            "val":"Modified Time"
                        },
                        {
                            "content":"2013-06-14 17:28:05",
                            "val":"Last Activity Time"
                        }
                    ]
                },
                {
                    ...
                }
            ]
        }
    },
    "uri":"/crm/private/json/Contacts/getRecords"
}
&lt;/code&gt;&lt;/pre&gt;
&lt;p&gt;}&lt;/p&gt;
&lt;p&gt;Here is how my Object looks:&lt;/p&gt;
&lt;pre&gt;&lt;code&gt;public class Contact
{
    [JsonProperty(PropertyName = "CONTACTID")]
    public string ContactID { get; set; }
    [JsonProperty(PropertyName = "SMOWNERID")]
    public string OwnerID { get; set; }
    [JsonProperty(PropertyName = "Contact Owner")]
    public string ContactOwner { get; set; }
    [JsonProperty(PropertyName = "First Name")]
    public string FirstName { get; set; }
    [JsonProperty(PropertyName = "Last Name")]
    public string LasName { get; set; }
    [JsonProperty(PropertyName = "Email")]
    public string Email { get; set; }
    [JsonProperty(PropertyName = "SMCREATORID")]
    public string CreatorID { get; set; }
    [JsonProperty(PropertyName = "Created By")]
    public string CreatedBy { get; set; }
    [JsonProperty(PropertyName = "MODIFIEDBY")]
    public string ModifiedByID { get; set; }
    [JsonProperty(PropertyName = "Modified By")]
    public string ModifiedBy { get; set; }
    [JsonProperty(PropertyName = "Created Time")]
    public DateTime CreatedTime { get; set; }
    [JsonProperty(PropertyName = "Modified Time")]
    public DateTime ModifiedTime { get; set; }
    [JsonProperty(PropertyName = "Last Activity Time")]
    public DateTime LastActivityTime { get; set; }
}
&lt;/code&gt;&lt;/pre&gt;
&lt;p&gt;The "row" pattern repeats (no 1, 2, 3 ...) so what I am basically trying to get is a Generic List of Objects of this type. I am trying to using JSON.NET, but I am open to other suggestions if it makes this any easier. &lt;/p&gt;
&lt;p&gt;This doesn't work in this case obviously:&lt;/p&gt;
&lt;pre&gt;&lt;code&gt;var response = JsonConvert.DeserializeObject&amp;lt;Contact&amp;gt;(jsonString);
&lt;/code&gt;&lt;/pre&gt;
&lt;p&gt;And neither does this:&lt;/p&gt;
&lt;pre&gt;&lt;code&gt;var deserializedObjects = JsonConvert.DeserializeObject&amp;lt;List&amp;lt;Contact&amp;gt;&amp;gt;(jsonString);
&lt;/code&gt;&lt;/pre&gt;
&lt;p&gt;Here is a workaround I have put together to parse this using JavaScriptSerializer, but it is by far one of my worst code blocks ever! &lt;/p&gt;
&lt;pre&gt;&lt;code&gt;            List&amp;lt;Contact&amp;gt; loContactList = new List&amp;lt;Contact&amp;gt;();
        Contact loContact = null;
        Dictionary&amp;lt;string, object&amp;gt; dictionary = new JavaScriptSerializer().Deserialize&amp;lt;Dictionary&amp;lt;string, object&amp;gt;&amp;gt;(jsonString);
        var response = (Dictionary&amp;lt;string, object&amp;gt;)dictionary["response"];
        var result = (Dictionary&amp;lt;string, object&amp;gt;)response["result"];
        var contacts = (Dictionary&amp;lt;string, object&amp;gt;)result["Contacts"];
        var row = (ArrayList)contacts["row"];
        foreach (var item in row)
        {
            var loArrayItem = (Dictionary&amp;lt;string, object&amp;gt;)item;
            var fl = (ArrayList)loArrayItem["FL"];
            loContact = new Contact();
            foreach (var contactitem in fl)
            {
                var contactdict = (Dictionary&amp;lt;string, object&amp;gt;)contactitem;
                string val = (string)contactdict["val"];
                string content = (string)contactdict["content"];
                if (val == "CONTACTID")
                {
                    loContact.ContactID = content;
                }
                else if (val == "SMOWNERID")
                {
                    loContact.OwnerID = content;
                }
                else if (val == "Contact Owner")
                {
                    loContact.ContactOwner = content;
                }
                else if (val == "First Name")
                {
                    loContact.FirstName = content;
                }
                else if (val == "Last Name")
                {
                    loContact.LastName = content;
                }
                else if (val == "Email")
                {
                    loContact.Email = content;
                }
                else if (val == "SMCREATORID")
                {
                    loContact.CreatorID = content;
                }
                else if (val == "Created By")
                {
                    loContact.CreatedBy = content;
                }
                else if (val == "MODIFIEDBY")
                {
                    loContact.ModifiedByID = content;
                }
                else if (val == "Modified By")
                {
                    loContact.ModifiedBy = content;
                }
                else if (val == "Created Time")
                {
                    loContact.CreatedTime = Convert.ToDateTime(content);
                }
                else if (val == "Modified Time")
                {
                    loContact.ModifiedTime = Convert.ToDateTime(content);
                }
                else if (val == "Last Activity Time")
                {
                    loContact.LastActivityTime = Convert.ToDateTime(content);
                }
            }
            loContactList.Add(loContact);
        }
&lt;/code&gt;&lt;/pre&gt;
&lt;p&gt;I have gone through other similar posts on StackOverflow and none of them seem to provide a solution for this problem. Does anyone have a solution for this? My goal is to parse this JSON response in a more elegant way, which doesn't involve a million dictionary objects and ArrayList! Any help would be appreciated.&lt;/p&gt;
&lt;p&gt;Thanks,
Pete&lt;/p&gt;
&lt;p&gt;&lt;strong&gt;Update 7/2/13:&lt;/strong&gt;&lt;/p&gt;
&lt;p&gt;Based on Manvik's suggestion, I put together the following additional solution:&lt;/p&gt;
&lt;pre&gt;&lt;code&gt;    public class ResponseActual
{
    [JsonProperty("response")]
    public Response2 Response { get; set; }
}
public class Response2
{
    [JsonProperty("result")]
    public Result Result { get; set; }
    [JsonProperty("uri")]
    public string Uri { get; set; }
}
public class Result
{
    [JsonProperty("Contacts")]
    public Contacts Contacts { get; set; }
}
public class Contacts
{
    [JsonProperty("row")]
    public IList&amp;lt;Row&amp;gt; Row { get; set; }
}
public class Row
{
    [JsonProperty("no")]
    public string No { get; set; }
    [JsonProperty("FL")]
    public IList&amp;lt;FL&amp;gt; FL { get; set; }
}
public class FL
{
    [JsonProperty("content")]
    public string Content { get; set; }
    [JsonProperty("val")]
    public string Val { get; set; }
}
List&amp;lt;Contact&amp;gt; loContactList = new List&amp;lt;Contact&amp;gt;();
Contact loContact = null;
ResponseActual respone = JsonConvert.DeserializeObject&amp;lt;ResponseActual&amp;gt;(jsonString);
foreach (var row in respone.Response.Result.Contacts.Row)
{
    loContact = new Contact();
    var rowItem = row.FL.ToList();
    try { loContact.ContactID = rowItem.Where&amp;lt;FL&amp;gt;((s, t) =&amp;gt; s.Val == "CONTACTID").Select(x =&amp;gt; x.Content).Single(); }
    catch { }
    try { loContact.OwnerID = rowItem.Where&amp;lt;FL&amp;gt;((s, t) =&amp;gt; s.Val == "SMOWNERID").Select(x =&amp;gt; x.Content).Single(); }
    catch { }
    try { loContact.ContactOwner = rowItem.Where&amp;lt;FL&amp;gt;((s, t) =&amp;gt; s.Val == "Contact Owner").Select(x =&amp;gt; x.Content).Single(); }
    catch { }
    try { loContact.FirstName = rowItem.Where&amp;lt;FL&amp;gt;((s, t) =&amp;gt; s.Val == "First Name").Select(x =&amp;gt; x.Content).Single(); }
    catch { }
    try { loContact.LastName = rowItem.Where&amp;lt;FL&amp;gt;((s, t) =&amp;gt; s.Val == "Last Name").Select(x =&amp;gt; x.Content).Single(); }
    catch { }
    try { loContact.Email = rowItem.Where&amp;lt;FL&amp;gt;((s, t) =&amp;gt; s.Val == "Email").Select(x =&amp;gt; x.Content).Single(); } catch { }
    try { loContact.CreatorID = rowItem.Where&amp;lt;FL&amp;gt;((s, t) =&amp;gt; s.Val == "SMCREATORID").Select(x =&amp;gt; x.Content).Single(); }
    catch { }
    try { loContact.CreatedBy = rowItem.Where&amp;lt;FL&amp;gt;((s, t) =&amp;gt; s.Val == "Created By").Select(x =&amp;gt; x.Content).Single(); }
    catch { }
    try { loContact.ModifiedByID = rowItem.Where&amp;lt;FL&amp;gt;((s, t) =&amp;gt; s.Val == "MODIFIEDBY").Select(x =&amp;gt; x.Content).Single(); }
    catch { }
    try { loContact.ModifiedBy = rowItem.Where&amp;lt;FL&amp;gt;((s, t) =&amp;gt; s.Val == "Modified By").Select(x =&amp;gt; x.Content).Single(); }
    catch { }
    try { loContact.CreatedTime = Convert.ToDateTime(rowItem.Where&amp;lt;FL&amp;gt;((s, t) =&amp;gt; s.Val == "Created Time").Select(x =&amp;gt; x.Content).Single()); }
    catch { }
    try { loContact.ModifiedTime = Convert.ToDateTime(rowItem.Where&amp;lt;FL&amp;gt;((s, t) =&amp;gt; s.Val == "Modified Time").Select(x =&amp;gt; x.Content).Single()); }
    catch { }
    try { loContact.LastActivityTime = Convert.ToDateTime(rowItem.Where&amp;lt;FL&amp;gt;((s, t) =&amp;gt; s.Val == "Last Activity Time").Select(x =&amp;gt; x.Content).Single()); }
    catch { }
    loContactList.Add(loContact);
}
&lt;/code&gt;&lt;/pre&gt;
</t>
  </si>
  <si>
    <t xml:space="preserve">&lt;p&gt;Use the below classes for de-serializing using JSON.Net&lt;/p&gt;
&lt;pre&gt;&lt;code&gt;public class ResponseActual
{
    [JsonProperty("response")]
    public Response2 Response { get; set; }
}
public class Response2
{
    [JsonProperty("result")]
    public Result Result { get; set; }
    [JsonProperty("uri")]
    public string Uri { get; set; }
}
public class Result
{
    [JsonProperty("Contacts")]
    public Contacts Contacts { get; set; }
}
public class Contacts
{
    [JsonProperty("row")]
    public IList&amp;lt;Row&amp;gt; Row { get; set; }
}
  public class Row
{
    [JsonProperty("no")]
    public string No { get; set; }
    [JsonProperty("FL")]
    public IList&amp;lt;FL&amp;gt; FL { get; set; }
}
 public class FL
{
    [JsonProperty("content")]
    public string Content { get; set; }
    [JsonProperty("val")]
    public string Val { get; set; }
}
//To De-serialize
ResponseActual respone = JsonConvert.DeserializeObject&amp;lt;ResponseActual&amp;gt;(jSON_sTRING)
//Get the contacts list
List&amp;lt;FL&amp;gt; contacts = respone.Response.Result.Contacts.Row[0].FL.ToList();
//Now Get the required value using LINQ
var value = contacts.Where&amp;lt;FL&amp;gt;((s, e) =&amp;gt; s.Val =="Email").Select(x=&amp;gt;x.Content).Single();
&lt;/code&gt;&lt;/pre&gt;
&lt;p&gt;You may also checkout this - 
&lt;a href="https://stackoverflow.com/questions/4749639/deserializing-json-to-net-object-using-newtonsoft-or-linq-to-json-maybe"&gt;Deserializing JSON to .NET object using Newtonsoft (or LINQ to JSON maybe?)&lt;/a&gt;&lt;/p&gt;
</t>
  </si>
  <si>
    <t xml:space="preserve">&lt;p&gt;I am following this tutorial &lt;a href="http://wiki.developerforce.com/page/Integrating_Force.com_with_Microsoft_.NET" rel="nofollow"&gt;http://wiki.developerforce.com/page/Integrating_Force.com_with_Microsoft_.NET&lt;/a&gt;&lt;/p&gt;
&lt;p&gt;However, I am getting this error:&lt;/p&gt;
&lt;blockquote&gt;
  &lt;p&gt;LOGIN_MUST_USE_SECURITY_TOKEN: Invalid username, password, security
  token; or user locked out. Are you at a new location? When accessing
  Salesforce--either via a desktop client or the API--from outside of
  your company’s trusted networks, you must add a security token to your
  password to log in. To receive a new security token, log in to
  salesforce.com at &lt;a href="http://login.salesforce.com" rel="nofollow"&gt;http://login.salesforce.com&lt;/a&gt; and click Setup | My
  Personal Information | Reset Security Token.&lt;/p&gt;
&lt;/blockquote&gt;
&lt;p&gt;This is my code in my Console App:&lt;/p&gt;
&lt;pre&gt;&lt;code&gt;static void Main(string[] args)
        {
            string userName;
            string password;
            userName = "me@myWebsite.com";
            password = "myPassword";
            SforceService SfdcBinding = null;
            LoginResult CurrentLoginResult = null;
            SfdcBinding = new SforceService();
            try
            {
                CurrentLoginResult = SfdcBinding.login(userName, password);
            }
            catch (System.Web.Services.Protocols.SoapException e)
            {
                // This is likley to be caused by bad username or password
                SfdcBinding = null;
                throw (e);
            }
            catch (Exception e)
            {
                // This is something else, probably comminication
                SfdcBinding = null;
                throw (e);
            }
        }
&lt;/code&gt;&lt;/pre&gt;
&lt;p&gt;The error states I need a security token, but the documentation never seems to mention it and I'm not sure how to get one.&lt;/p&gt;
</t>
  </si>
  <si>
    <t xml:space="preserve">&lt;p&gt;What I had to do (which was not in the documentation) is go to here:&lt;/p&gt;
&lt;p&gt;&lt;a href="https://na15.salesforce.com/_ui/system/security/ResetApiTokenConfirm?retURL=%2Fui%2Fsetup%2FSetup%3Fsetupid%3DPersonalInfo&amp;amp;setupid=ResetApiToken"&gt;https://na15.salesforce.com/_ui/system/security/ResetApiTokenConfirm?retURL=%2Fui%2Fsetup%2FSetup%3Fsetupid%3DPersonalInfo&amp;amp;setupid=ResetApiToken&lt;/a&gt;&lt;/p&gt;
&lt;p&gt;And, reset my token.  Then, append it to the end of my password like:&lt;/p&gt;
&lt;blockquote&gt;
  &lt;p&gt;If your password = "mypassword" &lt;/p&gt;
  &lt;p&gt;And your security token = "XXXXXXXXXX"&lt;/p&gt;
  &lt;p&gt;You must enter "mypasswordXXXXXXXXXX" in place of your password&lt;/p&gt;
&lt;/blockquote&gt;
&lt;p&gt;Ref. &lt;a href="http://docs.servicerocket.com/pages/viewpage.action?pageId=83099770"&gt;http://docs.servicerocket.com/pages/viewpage.action?pageId=83099770&lt;/a&gt;&lt;/p&gt;
</t>
  </si>
  <si>
    <t xml:space="preserve">&lt;p&gt;I have one data table where no. of records are available.&lt;/p&gt;
&lt;p&gt;I am using actionPollar and my action is updateList to get the latest list to display on my view on given time interval with below code&lt;/p&gt;
&lt;pre&gt;&lt;code&gt;&amp;lt;apex:actionPoller action="{!updateList}" reRender="thePageBlock" interval="5"/&amp;gt;
&lt;/code&gt;&lt;/pre&gt;
&lt;p&gt;Now, I am updating any row using below code.&lt;/p&gt;
&lt;pre&gt;&lt;code&gt;&amp;lt;apex:commandButton action="{!quicksave}" value="Save" id="saveButton" reRender="thePageBlock"/&amp;gt;
&lt;/code&gt;&lt;/pre&gt;
&lt;p&gt;but, it does not change. and does not update the record.&lt;/p&gt;
&lt;p&gt;if i remove code of actionPollar and remove method updateList from controller ..it updates the data..but, after putting it, it does not work.&lt;/p&gt;
&lt;p&gt;Can anyone tell how Can I do that ?&lt;/p&gt;
&lt;p&gt;Thanks&lt;/p&gt;
</t>
  </si>
  <si>
    <t xml:space="preserve">&lt;p&gt;Interesting, so it is always keeping same copy of your DataSet, which is been refreshed every 5 seconds and displayed, that means your ViewState is been refreshed also every 5 seconds, it looks to me you might be submitting same values last received not containing any changes, I'll go one of two routes:&lt;/p&gt;
&lt;ol&gt;
&lt;li&gt;Stop the poller when edit mode or making changes also blocking the record for editing so no one else could overwrite your changes.&lt;/li&gt;
&lt;li&gt;Split the viewState into two separate ViewStates, one is going to load records, second one is going to be used for editing selected record, when saved first ViewState is going to be refreshed with last changes made on second ViewState, you can accomplish this by using multiple forms and a syncing mechanism.&lt;/li&gt;
&lt;/ol&gt;
&lt;p&gt;Proposed solution for using option (1), the poller stays active it is not interfering with the record, still missing a lock mechanism for the record when selected &lt;/p&gt;
&lt;p&gt;&lt;strong&gt;VisualForce Page&lt;/strong&gt;&lt;/p&gt;
&lt;pre&gt;&lt;code&gt;&amp;lt;apex:page controller="MultipleActionRegionsCtrl"&amp;gt;
&amp;lt;!-- SINGLE FORM --&amp;gt;
&amp;lt;apex:form &amp;gt;
&amp;lt;apex:pageBlock title="Master Detail Record Selection/Edition"&amp;gt;
&amp;lt;!-- MASTER LIST --&amp;gt;
&amp;lt;apex:pageBlockSection title="Available Records"&amp;gt;
&amp;lt;apex:actionRegion &amp;gt;
&amp;lt;!-- TABLE--&amp;gt;
&amp;lt;apex:outputPanel id="recordsPanel"&amp;gt;
&amp;lt;apex:PageBlockTable value="{!cList}" var="c"&amp;gt;
&amp;lt;apex:column value="{!c.FirstName}"/&amp;gt; 
&amp;lt;apex:column value="{!c.LastName}"/&amp;gt; 
&amp;lt;apex:actionSupport event="onRowClick" action="{!editSelectedRecord}" rerender="recDetail" status="dataUpdateStatus"&amp;gt;
&amp;lt;apex:param name="cid" value="{!c.Id}" /&amp;gt;
&amp;lt;/apex:actionSupport&amp;gt;
&amp;lt;/apex:PageBlockTable&amp;gt;
&amp;lt;/apex:outputPanel&amp;gt;          
&amp;lt;apex:actionStatus id="dataRefreshStatus"&amp;gt;
&amp;lt;apex:facet name="start"&amp;gt;Refreshing...&amp;lt;/apex:facet&amp;gt;
&amp;lt;apex:facet name="stop"&amp;gt;Data Loaded&amp;lt;/apex:facet&amp;gt;
&amp;lt;/apex:actionStatus&amp;gt;
&amp;lt;!-- RELOAD TABLE--&amp;gt;
&amp;lt;apex:actionPoller action="{!reloadContacts}" reRender="recordsPanel" interval="5" status="dataRefreshStatus"/&amp;gt;
&amp;lt;/apex:actionRegion&amp;gt;
&amp;lt;/apex:pageBlockSection&amp;gt;
&amp;lt;!-- DETAIL --&amp;gt;
&amp;lt;apex:pageBlockSection title="Record Details" id="recDetail" columns="2"&amp;gt;
&amp;lt;apex:actionRegion rendered="{!IF(editableRecord=null,false,true)}"&amp;gt;
&amp;lt;table&amp;gt;
&amp;lt;tr&amp;gt;
&amp;lt;td colSpan="2"&amp;gt;
&amp;amp;nbsp;
&amp;lt;apex:actionStatus id="dataUpdateStatus" &amp;gt;
&amp;lt;apex:facet name="start"&amp;gt;Loading...&amp;lt;/apex:facet&amp;gt;
&amp;lt;apex:facet name="stop"&amp;gt; &amp;lt;/apex:facet&amp;gt;
&amp;lt;/apex:actionStatus&amp;gt;
&amp;lt;/td&amp;gt;
&amp;lt;/tr&amp;gt;
&amp;lt;tr&amp;gt;
&amp;lt;td&amp;gt;First Name &amp;lt;/td&amp;gt;
&amp;lt;td&amp;gt;&amp;lt;apex:inputField value="{!editableRecord.FirstName}"/&amp;gt;&amp;lt;/td&amp;gt;
&amp;lt;/tr&amp;gt;
&amp;lt;tr&amp;gt;
&amp;lt;td&amp;gt;Last Name &amp;lt;/td&amp;gt;
&amp;lt;td&amp;gt;&amp;lt;apex:inputField value="{!editableRecord.LastName}"/&amp;gt;&amp;lt;/td&amp;gt;
&amp;lt;/tr&amp;gt;                 
&amp;lt;tr&amp;gt;
&amp;lt;td&amp;gt;&amp;lt;apex:commandButton action="{!saveRecord}" value="Save" reRender="recordsPanel,recDetail"/&amp;gt;&amp;lt;/td&amp;gt;
&amp;lt;/tr&amp;gt;
&amp;lt;/table&amp;gt;
&amp;lt;/apex:actionRegion&amp;gt;    
&amp;lt;/apex:pageBlockSection&amp;gt;
&amp;lt;/apex:pageBlock&amp;gt;     
&amp;lt;/apex:form&amp;gt;
&amp;lt;/apex:page&amp;gt;
&lt;/code&gt;&lt;/pre&gt;
&lt;p&gt;&lt;strong&gt;Controller&lt;/strong&gt;&lt;/p&gt;
&lt;pre&gt;&lt;code&gt;public class MultipleActionRegionsCtrl {
public Map&amp;lt;ID, Contact&amp;gt; cMap {get;set;}
public Contact editableRecord {get;set;}
// Using lazy load for test purposes
public List&amp;lt;Contact&amp;gt; cList {
get{
if(cMap == null){
cMap = new Map&amp;lt;ID, Contact&amp;gt;([SELECT Id, FirstName, LastName From Contact limit 10]);
}
return cMap.values();
}
}
public MultipleActionRegionsCtrl(){ }
public PageReference reloadContacts(){
if(cMap!=null &amp;amp;&amp;amp; !cMap.isEmpty()){
Set&amp;lt;Id&amp;gt; myIds = cMap.keySet();
// reload same records loaded at the start
cMap = new Map&amp;lt;ID, Contact&amp;gt;([SELECT Id, FirstName, LastName From Contact WHERE Id IN :myIds]); 
}
return null;
}
public PageReference editSelectedRecord() {
String cID = ApexPages.currentPage().getParameters().get('cid');
if(cMap!=null &amp;amp;&amp;amp; !cMap.isEmpty() &amp;amp;&amp;amp; cMap.containsKey(cID)){
editableRecord = cMap.get(cID);
}
return null;
}
public PageReference saveRecord(){
update editableRecord;
editableRecord = null; // so we don't save two times same record
return reloadContacts(); //instantly update current list do not wait for poller
}
}
&lt;/code&gt;&lt;/pre&gt;
</t>
  </si>
  <si>
    <t xml:space="preserve">&lt;p&gt;How do I get a reference to a child component of the current component from within the controller? For example:&lt;/p&gt;
&lt;pre&gt;&lt;code&gt;&amp;lt;aura:component&amp;gt;
  &amp;lt;div class="container"&amp;gt;
    &amp;lt;foo:myComponent /&amp;gt;
  &amp;lt;/div&amp;gt;
&amp;lt;/aura:component&amp;gt;
&lt;/code&gt;&lt;/pre&gt;
&lt;p&gt;In this case I would like to have a reference to &lt;code&gt;myComponent&lt;/code&gt; from within this component's controller. &lt;/p&gt;
</t>
  </si>
  <si>
    <t xml:space="preserve">&lt;p&gt;I am trying to attach a file to a Zoho CRM Account page using the ZohoCRM API and not having any success. I am using Curl and PHP5.3 (no curl_file_create, so using hand rolled version).&lt;/p&gt;
&lt;p&gt;In my log I get the following report&lt;/p&gt;
&lt;pre&gt;&lt;code&gt;Curl::post 
Url: https://crm.zoho.com/crm/private/json/Accounts/uploadFile?authtoken=MY_TOKEN&amp;amp;scope=crmapi
Params: Array(
    [content] =&amp;gt; @/tmp/b2d-JbJvMY;filename=b2d-JbJvMY;type=application/pdf
    [id] =&amp;gt; MY_ACCOUNT_ID
)
&lt;/code&gt;&lt;/pre&gt;
&lt;p&gt;I get no response from ZohoCRM and the file is definitely not attached to the target Account record. What am I doing wrong?&lt;/p&gt;
&lt;p&gt;Here's some excerpts from my code that may help or hinder: ... other methods from my ZohoAPI class such as getSearchRecords appear to be working fine...&lt;/p&gt;
&lt;pre class="lang-php prettyprint-override"&gt;&lt;code&gt;class Curl {
...
protected static function post($url, $params) {
    $ch = curl_init();
    curl_setopt($ch, CURLOPT_URL, $url);
    curl_setopt($ch, CURLOPT_HEADER,0);
    curl_setopt($ch, CURLOPT_RETURNTRANSFER, true);
    curl_setopt($ch, CURLOPT_SSL_VERIFYPEER, false);
    curl_setopt($ch, CURLOPT_POST, true);
    curl_setopt($ch, CURLOPT_POSTFIELDS, $params);
    $data = curl_exec($ch);
    curl_close($ch);
    return $data;
}
...
}
class ZohoAPI extends Curl {
....
protected function apiPost($url, $params) {
    $url .= "?authtoken={$this-&amp;gt;token}&amp;amp;scope={$this-&amp;gt;scope}";
    $apiParams = empty($params) ? '' : $params;
    return $this-&amp;gt;post($url, $apiParams);
}
...
public function uploadFile($module='Accounts', $zohoId = '', $file ) {
    $url = "{$this-&amp;gt;apiUrl}/{$this-&amp;gt;mode}/{$module}/uploadFile";
    $params = array(
        'content' =&amp;gt; curl_file_create($file, 'application/pdf' , basename( $file, '.pdf')),
        'id' =&amp;gt; $zohoId
    );
    return $this-&amp;gt;apiPost($url, $params);
}
...
}
&lt;/code&gt;&lt;/pre&gt;
</t>
  </si>
  <si>
    <t xml:space="preserve">&lt;p&gt;When trying to upload a file, check you have permission to do so :-(&lt;/p&gt;
&lt;p&gt;Turns out the file I was trying to upload could not be read by the process.&lt;/p&gt;
</t>
  </si>
  <si>
    <t xml:space="preserve">&lt;p&gt;I created a Chrome Extension as a solution to override the helpText bubbles in SalesForce Console pages. The helpText bubbles show up the text without the ability to link URLs. It looks like this: &lt;/p&gt;
&lt;p&gt;&lt;img src="https://i.stack.imgur.com/kEMxL.png" alt="enter image description here"&gt;&lt;/p&gt;
&lt;p&gt;The extension is taking the helpText bubble (which in the SalesForce console window, is inside an iFrame) and makes the URL click-able. It also adds word wrap and marks the links in blue. &lt;/p&gt;
&lt;p&gt;The solution works fine when the page loads with the initial iFrame (or iFrames) on it, meaning when you open the SalesForce console the first time (&lt;a href="https://eu3.salesforce.com/console" rel="nofollow noreferrer"&gt;https://eu3.salesforce.com/console&lt;/a&gt;).&lt;br&gt;
When a new tab is created at the SalesForce console, my inject script doesn't run. &lt;/p&gt;
&lt;p&gt;&lt;img src="https://i.stack.imgur.com/nOrKS.png" alt="enter image description here"&gt;&lt;/p&gt;
&lt;p&gt;Can you please assist in understanding how to inject the script on each and every new Tab SalesForce Console is creating?  &lt;/p&gt;
&lt;p&gt;The Extension as follows: &lt;/p&gt;
&lt;p&gt;&lt;strong&gt;&lt;code&gt;manifest.js&lt;/code&gt;:&lt;/strong&gt; &lt;/p&gt;
&lt;pre&gt;&lt;code&gt;    {
   "browser_action": {
      "default_icon": "icons/icon16.png"
   },
   "content_scripts": [ {
      "all_frames": true,
      "js": [ "js/jquery/jquery.js", "src/inject/inject.js" ],
      "matches": [ "https://*.salesforce.com/*", "http://*.salesforce.com/*" ]
   } ],
   "default_locale": "en",
   "description": "This extension Fix SalesForce help bubbles",
   "icons": {
      "128": "icons/icon128.png",
      "16": "icons/icon16.png",
      "48": "icons/icon48.png"
   },
   "manifest_version": 2,
   "name": "--Fix SalesForce bubble text--",
   "permissions": [ "https://*.salesforce.com/*", "http://*.salesforce.com/*" ],
   "update_url": "https://clients2.google.com/service/update2/crx",
   "version": "5"
}
&lt;/code&gt;&lt;/pre&gt;
&lt;p&gt;&lt;strong&gt;And this is the &lt;code&gt;inject.js&lt;/code&gt;:&lt;/strong&gt; &lt;/p&gt;
&lt;pre&gt;&lt;code&gt;chrome.extension.sendMessage({}, function(response) {
  var readyStateCheckInterval = setInterval(function() {
    if (document.readyState === "complete") {
      clearInterval(readyStateCheckInterval);
      var frame = jQuery('#servicedesk iframe.x-border-panel');
      frame = frame.contents();
      function linkify(inputText) {
        var replacedText, replacePattern1, replacePattern2, replacePattern3;
        var originalText = inputText;
        //URLs starting with http://, https://, file:// or ftp://
        replacePattern1 = /(\b(https?|ftp|file):\/\/[-A-Z0-9+&amp;amp;@#\/%?=~_|!:,.;]*[-A-Z0-9+&amp;amp;@#\/%=~_|])/gim;
        replacedText = inputText.replace(replacePattern1, '&amp;lt;a href="$1" style="color: blue;" target="_blank"&amp;gt;$1&amp;lt;/a&amp;gt;');
        //URLs starting with "www." (without // before it, or it'd re-link the ones done above).
        replacePattern2 = /(^|[^\/f])(www\.[\S]+(\b|$))/gim;
        replacedText = replacedText.replace(replacePattern2, '$1&amp;lt;a href="http://$2" style="color: blue;" target="_blank"&amp;gt;$2&amp;lt;/a&amp;gt;');
        //Change email addresses to mailto:: links.
        replacePattern3 = /(([a-zA-Z0-9\-\_\.])+@[a-zA-Z\_]+?(\.[a-zA-Z]{2,6})+)/gim;
        replacedText = replacedText.replace(replacePattern3, '&amp;lt;a href="mailto:$1"&amp;gt;$1&amp;lt;/a&amp;gt;');
        //If there are hrefs in the original text, let's split
        // the text up and only work on the parts that don't have urls yet.
        var count = originalText.match(/&amp;lt;a href/g) || [];
        if(count.length &amp;gt; 0){
          var combinedReplacedText;
          //Keep delimiter when splitting
          var splitInput = originalText.split(/(&amp;lt;\/a&amp;gt;)/g);
          for (i = 0 ; i &amp;lt; splitInput.length ; i++){
            if(splitInput[i].match(/&amp;lt;a href/g) == null){
              splitInput[i] = splitInput[i].replace(replacePattern1, '&amp;lt;a href="$1" target="_blank"&amp;gt;$1&amp;lt;/a&amp;gt;').replace(replacePattern2, '$1&amp;lt;a href="http://$2" style="color: blue;" target="_blank"&amp;gt;$2&amp;lt;/a&amp;gt;').replace(replacePattern3, '&amp;lt;a href="mailto:$1"&amp;gt;$1&amp;lt;/a&amp;gt;');
            }
          }
          combinedReplacedText = splitInput.join('');
          return combinedReplacedText;
        } else {
          return replacedText;
        }
      }
      var helpOrbReady = setInterval(function() {
        var helpOrb = frame.find('.helpOrb');
        if (helpOrb) {
          clearInterval(helpOrbReady)
        } else {
          return;
        }
        helpOrb.on('mouseout', function(event) {
          event.stopPropagation();
          event.preventDefault();
          setTimeout(function() {
            var helpText = frame.find('.helpText')
            helpText.css('display', 'block');
            helpText.css('opacity', '1');
            helpText.css('word-wrap', 'break-word');
            var text = helpText.html()
            text = text.substr(text.indexOf('http'))
            text = text.substr(0, text.indexOf(' '))
            var newHtml = helpText.html()
            helpText.html(linkify(newHtml))
          }, 500); });
      }, 1000);
    }
  }, 1000);
});
&lt;/code&gt;&lt;/pre&gt;
</t>
  </si>
  <si>
    <t xml:space="preserve">&lt;p&gt;It is possible (I have not tested it, but it sounds plausible from a few questions I've seen here) that Chrome does not automatically inject manifest-specified code into newly-created &lt;code&gt;&amp;lt;iframe&amp;gt;&lt;/code&gt; elements.&lt;/p&gt;
&lt;p&gt;In that case, you will have to use a background script to &lt;a href="https://developer.chrome.com/extensions/tabs#method-executeScript" rel="nofollow noreferrer"&gt;re-inject your script&lt;/a&gt;:&lt;/p&gt;
&lt;pre&gt;&lt;code&gt;chrome.runtime.onMessage.addListener( function(request, sender, sendResponse) {
  if(request.reinject) {
    chrome.tabs.executeScript(
      sender.tab.id,
      { file: "js/jquery/jquery.js", "all_frames": true },
      function(){
        chrome.tabs.executeScript(
          sender.tab.id,
          { file: "js/inject/inject.js", "all_frames": true }
        );
      }
    );
});
&lt;/code&gt;&lt;/pre&gt;
&lt;p&gt;Content script:&lt;/p&gt;
&lt;pre&gt;&lt;code&gt;// Before everything: include guard, ensure injected only once
if(injected) return;
var injected = true;
function onNewIframe(){
  chrome.runtime.sendMessage({reinject: true});
}
&lt;/code&gt;&lt;/pre&gt;
&lt;hr&gt;
&lt;p&gt;Now, I have many questions about your code, which are not directly related to your question.&lt;/p&gt;
&lt;ul&gt;
&lt;li&gt;Why the pointless &lt;code&gt;sendMessage&lt;/code&gt; wrapper? No-one is even listening, so your code basically returns with an error set.&lt;/li&gt;
&lt;li&gt;Why all the intervals? Use events instead of polling.
&lt;ul&gt;
&lt;li&gt;If you are waiting on document to become ready, jQuery offers &lt;a href="http://learn.jquery.com/using-jquery-core/document-ready/" rel="nofollow noreferrer"&gt;&lt;code&gt;$(document).ready(...)&lt;/code&gt;&lt;/a&gt;&lt;/li&gt;
&lt;li&gt;If you're waiting on DOM modifications, learn to use DOM Mutation Observers, as &lt;a href="https://developer.mozilla.org/en/docs/Web/API/MutationObserver" rel="nofollow noreferrer"&gt;documented&lt;/a&gt; and as outlined &lt;a href="https://stackoverflow.com/a/11546242/934239"&gt;here&lt;/a&gt; or &lt;a href="https://stackoverflow.com/a/23625023/934239"&gt;here&lt;/a&gt;. &lt;strong&gt;This would be, by the way, the preferred way to call &lt;code&gt;onNewIframe()&lt;/code&gt;.&lt;/strong&gt;&lt;/li&gt;
&lt;/ul&gt;&lt;/li&gt;
&lt;/ul&gt;
</t>
  </si>
  <si>
    <t xml:space="preserve">&lt;p&gt;I have .Net application (built with the Outsystems platform) deployed on a Windows 2008R2, IIS 7 environment. This application is already working with no problems. It is serving requests through HTTPS on port 443 and i can access it with no problems.&lt;/p&gt;
&lt;p&gt;Now, there is the need to enable some users to access it through a NAT, which is configured to serve requests on port 8200. The requests are forwarded to the server with no problem, except when the response is a redirect (HTTP 302). In these cases, the Location Header of the response is set with the port where the application is actually being served which is port 443. When the client's browser tries to access this URL that was set in the Location Header, it will fail since the NAT is only serving the requests in port 8200.&lt;/p&gt;
&lt;p&gt;In sum:&lt;/p&gt;
&lt;ul&gt;
&lt;li&gt;Client browser accesses &lt;code&gt;https://myserver:8200/myapp&lt;/code&gt; ;&lt;/li&gt;
&lt;li&gt;NAT translates the URL and forwards to &lt;code&gt;https://myserver:443/myapp&lt;/code&gt; ;&lt;/li&gt;
&lt;li&gt;Application replies with a 302 redirect to &lt;code&gt;https://myserver:443/redirect&lt;/code&gt; ;&lt;/li&gt;
&lt;li&gt;Client browser accesses &lt;code&gt;https://myserver:443/redirect&lt;/code&gt; ;&lt;/li&gt;
&lt;li&gt;NAT blocks this access because it is expecting port 8200 ;&lt;/li&gt;
&lt;/ul&gt;
&lt;p&gt;Here is what i tried to do; I installed the URL Rewrite module in IIS and created the following rules:&lt;/p&gt;
&lt;ul&gt;
&lt;li&gt;An Inbound rule to store the request's Host Header (in these cases it's &lt;code&gt;https://myserver:8200&lt;/code&gt;) to a server variable ORIGINAL_HOST.&lt;/li&gt;
&lt;li&gt;An Outbound rule to replace the host part of the URL that is sent in the response's Location Header (&lt;code&gt;https://myserver:443/redirect&lt;/code&gt;) with the value stored in my server variable ORIGINAL_HOST. The rule is only applied in case of a redirect.&lt;/li&gt;
&lt;/ul&gt;
&lt;p&gt;The problem i am facing now is that the minute i enable this Rule, all AJAX requests stop working even it the rule does not apply to them and even when not accessing the application through the NAT.
When this happens, i am seeing through IE's Network tab in Developer Tools that the request header and body is ok, response header is ok, but the response body is empty and should not be. Also, if i try to debug the AJAX request at the server using a breakpoint, it is not stopping at the breakpoint.&lt;/p&gt;
&lt;p&gt;So, my question: Is using the URL Rewrite the best way to solve the NAT/URL problem? If so, how can i solve the AJAX situation? If not, then how do i solve the redirect problem?&lt;/p&gt;
&lt;p&gt;*edit: here is my rule configuration:&lt;/p&gt;
&lt;ul&gt;
&lt;li&gt;&lt;a href="https://drive.google.com/file/d/0B3vS5aEfCF76bXpXQWYtR1FXWkE/edit?usp=sharing" rel="noreferrer"&gt;Inbound rule to store the host value&lt;/a&gt;&lt;/li&gt;
&lt;li&gt;&lt;a href="https://drive.google.com/file/d/0B3vS5aEfCF76VjhqSU5PVzAwaU0/edit?usp=sharing" rel="noreferrer"&gt;Outbound rule to replace the host&lt;/a&gt;&lt;/li&gt;
&lt;li&gt;&lt;a href="https://drive.google.com/file/d/0B3vS5aEfCF76dWNpSzBuSlNmS2s/edit?usp=sharing" rel="noreferrer"&gt;Outbound precondition to handle only redirects&lt;/a&gt;&lt;/li&gt;
&lt;/ul&gt;
&lt;p&gt;Thank you in Advance,&lt;/p&gt;
&lt;p&gt;João Gomes&lt;/p&gt;
</t>
  </si>
  <si>
    <t xml:space="preserve">&lt;p&gt;We have two standard objects  account(parent) and contact (child ). i want to write a trigger to populate the lastname field of contact with the name field of account&lt;/p&gt;
&lt;p&gt;The trigger below performs the same task but soql query is from child to parent .&lt;/p&gt;
&lt;p&gt;I want the trigger which performs the same work but using soql query ( relationship query )   from parent to child .&lt;/p&gt;
&lt;pre&gt;&lt;code&gt;trigger trgSetLastName on Contact (after insert) 
{
List&amp;lt;Contact&amp;gt; lstConUpdate = new List&amp;lt;Contact&amp;gt;();
List&amp;lt;Contact&amp;gt; lstContact = [select id,Account.Name from Contact where 
id in:  trigger.newmap.keyset()];
for(Contact con: lstContact)
{
    con.LastName = con.Account.Name;
    lstConUpdate.add(con);
}
if(lstConUpdate.size() &amp;gt; 0){
    update lstConUpdate;
}
}
&lt;/code&gt;&lt;/pre&gt;
&lt;p&gt;i want a trigger for this .help&lt;/p&gt;
</t>
  </si>
  <si>
    <t xml:space="preserve">&lt;p&gt;I uploaded jpeg image for an account. The jpeg image file id is 069i0000001dkl8 and it can't access via,
&lt;a href="https://c.na15.content.force.com/servlet/servlet.FileDownload?file=069i0000001dkl8" rel="nofollow"&gt;https://c.na15.content.force.com/servlet/servlet.FileDownload?file=069i0000001dkl8&lt;/a&gt; &lt;/p&gt;
&lt;p&gt;But it can acces via,
&lt;a href="https://c.na15.content.force.com/sfc/servlet.shepherd/version/download/068i0000001hwPn?asPdf=false&amp;amp;operationContext=CHATTER" rel="nofollow"&gt;https://c.na15.content.force.com/sfc/servlet.shepherd/version/download/068i0000001hwPn?asPdf=false&amp;amp;operationContext=CHATTER&lt;/a&gt; &lt;/p&gt;
&lt;p&gt;Is there a way that I can get downloadable URL for attachment in salesforce (using api calls)?
Or Is there a way that I can build downloadable URL by processing some fields in API object (SObject)?&lt;/p&gt;
&lt;p&gt;Thanks.&lt;/p&gt;
</t>
  </si>
  <si>
    <t xml:space="preserve">&lt;p&gt;I am very new to Quickbase.&lt;br&gt;
I want to query the quickbase using javascript to get a table records and also insert to it.  &lt;/p&gt;
&lt;p&gt;How should I do this?&lt;/p&gt;
&lt;p&gt;Any help is highly appreciated.&lt;/p&gt;
</t>
  </si>
  <si>
    <t xml:space="preserve">&lt;p&gt;I have a  huge JSON which I need to parse in &lt;code&gt;zoho&lt;/code&gt; creator and then upload that data into &lt;code&gt;zoho&lt;/code&gt; reports. &lt;/p&gt;
&lt;p&gt;JSON data:&lt;/p&gt;
&lt;pre&gt;&lt;code&gt;{
    "response": {
        "result": {
            "SalesOrders": {
                "row": [
                    {
                        "no": "1",
                        "FL": [
                            {
                                "content": "15 Taco Bar - Fabio 5/12",
                                "val": "Subject"
                            },
                            {
                                "content": "Emily Fabio",
                                "val": "Contact Name"
                            },
                            {
                                "content": "Confirmed for Delivery",
                                "val": "Status"
                            },
                            {
                                "content": "Chaska Private Parties",
                                "val": "Account Name"
                            }
                        ]
                    }
                ]
            }
        },
        "uri": "/crm/private/json/SalesOrders/getRecords"
    }
}
jsonstring=jsondata.toString(); //convert json data to string
    resp1=remove(jsonstring,"{\"response\":{\"result\":{\"Potentials\":{\"row\":");//Formatted json
    list={"1", "2", "3", "4", "5", "6", "7", "8", "9", "10", "11", "12", "13", "15"};       --This is list
    jsonmap = map();
    jsonmap=jsonstring.toMap(); //Convert json string to map
    jsonlist=jsonstring.toJSONList();                               
    address=jsonmap.get("Origin Address");
    info address;
    for each index j in list 
    {
        address = jsonstring.getJSON("Origin Address"); // get data from json.
        info address;   // print address
    }
&lt;/code&gt;&lt;/pre&gt;
&lt;p&gt;It always show &lt;code&gt;null&lt;/code&gt; return.
Please help me to do this. &lt;/p&gt;
</t>
  </si>
  <si>
    <t xml:space="preserve">&lt;p&gt;I have to select list of projects where an user doesnot have access to in the given organization.&lt;/p&gt;
&lt;p&gt;I tried with this query
&lt;img src="https://i.stack.imgur.com/kzHBu.jpg" alt="enter image description here"&gt;&lt;/p&gt;
&lt;pre&gt;&lt;code&gt;SELECT {Project}.[Number],{Project}.[Name]
FROM {Project}
INNER JOIN {ProjectParticipant} ON {Project}.[Id]={ProjectParticipant}.[ProjectId]
WHERE {Project}.[Tenant_Id]=@TenantId AND {ProjectParticipant}.[UserId] &amp;lt;&amp;gt; @UserId
GROUP BY {Project}.[Number],
         {Project}.[Name]
ORDER BY {Project}.[Number]
&lt;/code&gt;&lt;/pre&gt;
&lt;p&gt;But here it lists all the Projects within the given organization. I am missing something basic. Tried using left outer join too but no use. Help me out&lt;/p&gt;
</t>
  </si>
  <si>
    <t xml:space="preserve">&lt;p&gt;It looks like you want to get all rows in the Project table for which there is no corresponding row in the ProjectParticipant table for the given userid.&lt;/p&gt;
&lt;p&gt;This should do the trick:&lt;/p&gt;
&lt;pre&gt;&lt;code&gt;SELECT {Project}.[Number],{Project}.[Name]
FROM {Project}
WHERE {Project}.[Tenant_Id]=@TenantId
AND NOT EXISTS (
    SELECT * FROM {ProjectParticipant} 
    WHERE {Project}.[Id]={ProjectParticipant}.[ProjectId]
    AND {ProjectParticipant}.[UserId] = @UserId
)
ORDER BY {Project}.[Number]
&lt;/code&gt;&lt;/pre&gt;
</t>
  </si>
  <si>
    <t xml:space="preserve">&lt;p&gt;How to put field validation on &lt;code&gt;ui:inputtext&lt;/code&gt; in &lt;code&gt;JavaScript&lt;/code&gt; using lightning component? &lt;/p&gt;
&lt;p&gt;Below is my html code:&lt;/p&gt;
&lt;pre&gt;&lt;code&gt;&amp;lt;ui:inputText 
      class="slds-form-element__control slds-input" 
      value="{!v.CustomerPo}" 
      aura:id="customer_po" 
      maxlength="35"/&amp;gt;
&lt;/code&gt;&lt;/pre&gt;
&lt;p&gt;kindly reply &lt;/p&gt;
</t>
  </si>
  <si>
    <t xml:space="preserve">&lt;p&gt;I have a mobile number field and I want to check if it has 
Any digit repeated 9 times, including zero and if 
Any phone number or mobile number only composed of two different digits.&lt;/p&gt;
&lt;p&gt;Is there any Regex or something to do this?&lt;/p&gt;
&lt;p&gt;In Portugal phone numbers starts with 2######## and mobile with 91/92/93/96 and both have 9 digits.&lt;/p&gt;
</t>
  </si>
  <si>
    <t xml:space="preserve">&lt;p&gt;Try this regex:&lt;/p&gt;
&lt;pre&gt;&lt;code&gt;^(?:(?:(2)([013-9])|(9)([1236]))(?!(?:\1|\2){7})(?!(?:\3|\4){7})\d{7}|(?=2{2,7}([^2])(?!(?:2|\5)+\b))22\d{7})\b
&lt;/code&gt;&lt;/pre&gt;
&lt;p&gt;&lt;a href="https://regex101.com/r/qV2jV9/2" rel="nofollow"&gt;Regex live here.&lt;/a&gt;&lt;/p&gt;
&lt;p&gt;Explaining:&lt;/p&gt;
&lt;pre&gt;&lt;code&gt;^                              # from start
(?:                            # look at (?:...) as subsets
  (?:                          # 
    (2)([013-9])|(9)([1236])   # store possible digits in groups \1 \2 \3 \4
  )                            #
  (?!(?:\1|\2){7})             # in front cannot repeat only \1 \2
  (?!(?:\3|\4){7})             # neither only \3 \4
  \d{7}                        # plus seven digits to complete nine
|                              # or
  (?=                          # to avoid number repetitions:
    2{2,7}([^2])               # in front should be possible to match
                               # the number 2 from 2 to seven times 
                               # and another digit stored in \5
    (?!(?:2|\5)+\b)            # but not only them,
                               # so, should match another digit 
                                   # (not two or the \5) till the boundary
  )                            #
  22\d{7}                      # then, it refers to 22 and 7 digits = nine
)\b                            # confirm it don't overflows nine digits
&lt;/code&gt;&lt;/pre&gt;
&lt;p&gt;Hope it helps.&lt;/p&gt;
</t>
  </si>
  <si>
    <t xml:space="preserve">&lt;p&gt;I am new to Outsystems and SQL. I am try to create a Bus Application where the entities are
&lt;a href="https://i.stack.imgur.com/yVzJd.jpg" rel="nofollow noreferrer"&gt;&lt;img src="https://i.stack.imgur.com/yVzJd.jpg" alt="enter image description here"&gt;&lt;/a&gt;&lt;/p&gt;
&lt;p&gt;When I try to create a new rider with the same name and different Route and  bus Id. I get 
&lt;code&gt;Cannot insert duplicate key row in object 'dbo.OSUSR_6SL_RIDER' with unique index 'OSIDX_OSUSR_6SL_RIDER_4NAME'. The duplicate key value is (ABC).
The statement has been terminated.&lt;/code&gt;
When I check Name field in the database table 'dbo.OSUSR_6SL_RIDER' it is not having the unique identifier set up. Can anybody please help me with this. &lt;/p&gt;
</t>
  </si>
  <si>
    <t xml:space="preserve">&lt;p&gt;Open the &lt;code&gt;Indexes&lt;/code&gt; tree under your table.   You will find an Index named &lt;code&gt;'OSIDX_OSUSR_6SL_RIDER_4NAME'&lt;/code&gt;.&lt;/p&gt;
&lt;p&gt;Script out that Index and you will see that it is a UNIQUE index on a "name" column that you are trying to create a duplicate value in.&lt;/p&gt;
&lt;p&gt;You must either change that Index to include Route and Bus ID, or you must abandon your attempt to create a new row with a duplicate name.&lt;/p&gt;
</t>
  </si>
  <si>
    <t xml:space="preserve">&lt;p&gt;I am new to Outsystems and having a page where each users signs an agreement. Every time the agreement is signed it needs to be converted in to pdf and attached in to email and sent. I have set up all the email part, for converting the page in to PDF I have installed the extension. But I am I am not sure how to proceed. Can I have any sample appliccation where it is being used. &lt;/p&gt;
</t>
  </si>
  <si>
    <t xml:space="preserve">&lt;p&gt;First you have to configure the HTML2PDFConverter extension. To do that, open the extension through your web browser, and follow the instructions on the "installation instructions" page.&lt;/p&gt;
&lt;p&gt;After completing the configuring, the "administration" page should look something like this.&lt;/p&gt;
&lt;p&gt;&lt;a href="https://i.stack.imgur.com/gUJO3.jpg" rel="nofollow noreferrer"&gt;&lt;img src="https://i.stack.imgur.com/gUJO3.jpg" alt="Html2PdfConfigurations"&gt;&lt;/a&gt;&lt;/p&gt;
</t>
  </si>
  <si>
    <t xml:space="preserve">&lt;p&gt;I have been looking for a method to send an email from my zohomail account using Java mailing api, I have been through many examples available online but none of them did worked.There was always a problem with setting up properties. After being through the forums of zohomail, I have figured out that the following code worked for me.&lt;/p&gt;
</t>
  </si>
  <si>
    <t xml:space="preserve">&lt;p&gt;Below is a Java program to send an email from an email id registered on zohomail. The program uses java mailing API.&lt;/p&gt;
&lt;pre&gt;&lt;code&gt;import java.util.Properties;
import javax.mail.MessagingException;
import javax.mail.PasswordAuthentication;
import javax.mail.Session;
import javax.mail.Transport;
import javax.mail.internet.InternetAddress;
import javax.mail.internet.MimeMessage;
public class MailTest 
{   public static void main(String[] args) 
    {   Properties properties = new Properties();
        properties.setProperty("mail.smtp.host", "smtp.zoho.com");
        properties.setProperty("mail.smtp.socketFactory.class", "javax.net.ssl.SSLSocketFactory");
        properties.setProperty("mail.smtp.socketFactory.fallback", "false");
        properties.setProperty("mail.smtp.port", "465");
        properties.setProperty("mail.smtp.socketFactory.port", "465");
        properties.put("mail.smtp.starttls.enable", "true");
        properties.put("mail.smtp.auth", "true");
        properties.put("mail.debug", "true");
        properties.put("mail.store.protocol", "pop3");
        properties.put("mail.transport.protocol", "smtp");
        properties.put("mail.debug.auth", "true");
        properties.setProperty( "mail.pop3.socketFactory.fallback", "false");
        Session session = Session.getDefaultInstance(properties,new javax.mail.Authenticator() 
        {   @Override
            protected PasswordAuthentication getPasswordAuthentication() 
            {   return new PasswordAuthentication("sendersid@anymail.com","passwordofid");
            }
        });
        try 
        {   MimeMessage message = new MimeMessage(session);
            message.setFrom(new InternetAddress("sendersid@anymail.com"));
            message.setRecipients(MimeMessage.RecipientType.TO,InternetAddress.parse("recieversid@anymail.com"));
            message.setSubject("Test Subject");
            message.setText("Test Email Body");
            Transport.send(message);
        } 
        catch (MessagingException e) 
        {   e.printStackTrace();
        }
    }
}
&lt;/code&gt;&lt;/pre&gt;
</t>
  </si>
  <si>
    <t xml:space="preserve">&lt;p&gt;I need a hand here &lt;/p&gt;
&lt;p&gt;The default OutSystems timezone is UTC
There's an Action called ConvertFromTimeZone(1,2,3)&lt;/p&gt;
&lt;p&gt;1- You write the Date and Time, no problem here.&lt;/p&gt;
&lt;p&gt;2 &amp;amp; 3 - You have to write the SourceTimeZone and the DestinationTimeZone, these must be written in Text data type.&lt;/p&gt;
&lt;p&gt;My question is: How exactly am I supposed to write it?&lt;/p&gt;
&lt;p&gt;Thanks.&lt;/p&gt;
</t>
  </si>
  <si>
    <t xml:space="preserve">&lt;p&gt;you can use GetSystemTimeZones to get the list of available timezones in the servers.&lt;/p&gt;
&lt;p&gt;This post &lt;a href="http://www.outsystems.com/forums/discussion/16005/convertfromtimezone/#Post67485" rel="nofollow"&gt;http://www.outsystems.com/forums/discussion/16005/convertfromtimezone/#Post67485&lt;/a&gt; shows the Identifier that uniquely identifiers a timezone.&lt;/p&gt;
</t>
  </si>
  <si>
    <t xml:space="preserve">&lt;p&gt;I am playing around with Microsoft PowerApps and Microsoft Flow.  I am trying to figure out how to make API calls from PowerApps and return the results(Status and Body) to a field such as a text box in my app.  &lt;/p&gt;
&lt;p&gt;I can make the HTTP requests through Flow and put them in a static file such as an excel spreadsheet...etc.  I can also make the calls from a PowerApps control such as a button but all I know how to do with it is return it to something like an excel file, when really I want to return it to a Text Box or Text Area.  &lt;/p&gt;
</t>
  </si>
  <si>
    <t xml:space="preserve">&lt;p&gt;Today you cannot access the raw HTTP status/body from a PowerApp. The way to call "arbitrary" HTTP endpoints is to use Custom APIs that you can describe using Swagger. I wrote a quick blog on how to call Azure functions that shows how to craft a swagger to call the API: &lt;a href="https://powerapps.microsoft.com/en-us/blog/using-azure-functions-in-powerapps/" rel="noreferrer"&gt;https://powerapps.microsoft.com/en-us/blog/using-azure-functions-in-powerapps/&lt;/a&gt;&lt;/p&gt;
&lt;p&gt;Might be good if you could clarify the specific scenario you are trying to build to see if there are other ways, but one option that comes to mind is to build a custom API that receives the URL and on the server-side performs the HTTP request and returns the values in an object that then you can easily access in PowerApps.&lt;/p&gt;
</t>
  </si>
  <si>
    <t xml:space="preserve">&lt;p&gt;I created a simple news browsing application with &lt;a href="https://powerapps.microsoft.com/en-us/" rel="nofollow"&gt;PowerApps&lt;/a&gt;. To display articles list I use &lt;a href="https://powerapps.microsoft.com/en-us/tutorials/control-gallery/" rel="nofollow"&gt;Gallery&lt;/a&gt; control named &lt;code&gt;NewsGallery&lt;/code&gt;. The &lt;a href="https://powerapps.microsoft.com/en-us/tutorials/working-with-data-sources/" rel="nofollow"&gt;data source&lt;/a&gt; for it is my &lt;a href="https://powerapps.microsoft.com/en-us/tutorials/register-custom-api/" rel="nofollow"&gt;custom api&lt;/a&gt; that returns the collection of &lt;code&gt;Articles&lt;/code&gt;. My article entity contains of &lt;code&gt;Text&lt;/code&gt;, &lt;code&gt;Title&lt;/code&gt; and &lt;code&gt;TitleImage&lt;/code&gt;. Let's say I want to display a number of an article in my &lt;code&gt;NewsGallery&lt;/code&gt;. I can access the bound data through the &lt;a href="https://powerapps.microsoft.com/en-us/tutorials/operators/#thisitem-operator" rel="nofollow"&gt;ThisItem&lt;/a&gt; operator and can easily display my article's &lt;code&gt;Text&lt;/code&gt;, &lt;code&gt;Title&lt;/code&gt; or &lt;code&gt;TitleImage&lt;/code&gt;. Also, as it is mentioned in &lt;a href="https://powerapps.microsoft.com/en-us/tutorials/show-images-text-gallery-sort-filter/" rel="nofollow"&gt;this article&lt;/a&gt;, I can determine either the item &lt;code&gt;IsSelected&lt;/code&gt; in the gallery using &lt;code&gt;ThisItem&lt;/code&gt; operator: &lt;code&gt;ThisItem!IsSelected&lt;/code&gt;. &lt;strong&gt;So can I get the index of an item in my &lt;code&gt;NewsCollection&lt;/code&gt; also using &lt;code&gt;ThisItem&lt;/code&gt; operator? Or is there another way?&lt;/strong&gt; As a workaround I can pass this value through my custom api but I wouldn't want to do that.&lt;/p&gt;
</t>
  </si>
  <si>
    <t xml:space="preserve">&lt;p&gt;I'm currently testing some stuff with Microsoft PowerApps. My aim is to create an app, which shows the calendar events of my office 365 account. I've applied the connection to office 365, and was able to get emails. But I don't know how to get the events, because nothing is documented. In the PowerAppStudio environment I can see that functions such as &lt;code&gt;Office365.CalendarGetItem(...&lt;/code&gt; are available but the syntax is unclear. Please, can someone explain to me how to use it correctly.&lt;/p&gt;
</t>
  </si>
  <si>
    <t xml:space="preserve">&lt;p&gt;I have a screen where the user can select an option (not a browse gallery as it does not do what is required).&lt;/p&gt;
&lt;p&gt;I want to pass the item the user has selected to the pre-made "DetailScreen1" which is used by the browse gallery. &lt;/p&gt;
&lt;p&gt;I looked at the browse screen but did not see how it does it as the navigate onselect event is just normal navigation.&lt;/p&gt;
&lt;p&gt;Code:&lt;/p&gt;
&lt;pre&gt;&lt;code&gt;Navigate(DetailScreen1, ScreenTransition.Fade)
&lt;/code&gt;&lt;/pre&gt;
&lt;p&gt;I want to do something like &lt;/p&gt;
&lt;pre&gt;&lt;code&gt;Navigate(DetailScreen1, ScreenTransition.None {Last(listOfStuff)})
&lt;/code&gt;&lt;/pre&gt;
&lt;p&gt;Thanks&lt;/p&gt;
</t>
  </si>
  <si>
    <t xml:space="preserve">&lt;p&gt;You can use the third parameter of the &lt;a href="https://powerapps.microsoft.com/en-us/tutorials/function-navigate/" rel="noreferrer"&gt;Navigate function&lt;/a&gt; to pass extra parameters to the context of the screen being navigated to. For example, if your first screen has a dropdown and a text input control that you want to pass the values to the next screen, you can use the following expression:&lt;/p&gt;
&lt;pre&gt;&lt;code&gt;Navigate(DetailScreen1, ScreenTransition.Fade, { text: TextInput1.Value, dropdownChoice: Dropdown1.Selected.Value })
&lt;/code&gt;&lt;/pre&gt;
&lt;p&gt;In the DetailScreen1, you can use those context variables as they'll be available.&lt;/p&gt;
&lt;p&gt;Here's an example: the dropdown in the first screen contains a list of sections, and after selecting one you would navigate to another page:&lt;/p&gt;
&lt;p&gt;&lt;a href="https://i.stack.imgur.com/zqwHv.png" rel="noreferrer"&gt;&lt;img src="https://i.stack.imgur.com/zqwHv.png" alt="Sample result"&gt;&lt;/a&gt;&lt;/p&gt;
&lt;p&gt;In the "right arrow", we can set the following OnSelect property:&lt;/p&gt;
&lt;pre&gt;&lt;code&gt;Navigate(ProductsScreen, ScreenTransition.Fade, { selectedSection: Dropdown1.Selected.Value })
&lt;/code&gt;&lt;/pre&gt;
&lt;p&gt;In the ProductsScreen, you can then have a gallery whose items are filtered based on that value that was passed:&lt;/p&gt;
&lt;pre&gt;&lt;code&gt;Items: Filter(AllProducts, Section = selectedSection)
&lt;/code&gt;&lt;/pre&gt;
</t>
  </si>
  <si>
    <t xml:space="preserve">&lt;p&gt;How do you bind a datasource to a dropdown in PowerApps.&lt;/p&gt;
&lt;p&gt;I have connected my Azure table to my PowerApps app so that the tables appear in my Data Sources.&lt;/p&gt;
&lt;p&gt;I then added a dropdown control to my form.&lt;/p&gt;
&lt;p&gt;In my Items property I can have list values  hardcoded e.g. &lt;/p&gt;
&lt;p&gt;&lt;code&gt;Table({ColorName:"red"; ID: "1"};{ColorName:"green"; ID: "2"}{ColorName:"blue"; ID: "3"})&lt;/code&gt; &lt;/p&gt;
&lt;p&gt;but I want to link it to my DataSourceTable values that has &lt;code&gt;"ID"&lt;/code&gt; and &lt;code&gt;"ColorName"&lt;/code&gt; columns.&lt;/p&gt;
&lt;p&gt;According to this &lt;a href="https://powerapps.microsoft.com/en-us/tutorials/control-drop-down/" rel="nofollow"&gt;help page&lt;/a&gt; I just need to put my tablename in the Items Property but this doesn't work. &lt;/p&gt;
</t>
  </si>
  <si>
    <t xml:space="preserve">&lt;p&gt;Solution was to put the table name as it appears under data sources in single quotations&lt;/p&gt;
&lt;p&gt;&lt;code&gt;'[dbo].[MyTableName]'&lt;/code&gt;&lt;/p&gt;
</t>
  </si>
  <si>
    <t xml:space="preserve">&lt;p&gt;I have a dropdown in powerapps and need to set the default value&lt;/p&gt;
&lt;p&gt;My &lt;code&gt;Items&lt;/code&gt; property of my dropdown I have it linked to my data source which is an Azure table.&lt;/p&gt;
&lt;p&gt;&lt;code&gt;'[dbo].[ColorTable]'&lt;/code&gt;&lt;/p&gt;
&lt;p&gt;One could see the contents simplified as the following&lt;/p&gt;
&lt;p&gt;&lt;code&gt;Table({ColorName:"red"; ID: "1"};{ColorName:"green"; ID: "2"}{ColorName:"blue"; ID: "3"})&lt;/code&gt;&lt;/p&gt;
&lt;p&gt;although I have many more entries.&lt;/p&gt;
&lt;p&gt;In my details edit screen I have the ID value in my main datasource. However I need to set the dropdown's default with this value, however the dropdown use the &lt;code&gt;ColorName&lt;/code&gt; as it's value.&lt;/p&gt;
&lt;p&gt;How do I set the dropdowns default &lt;code&gt;ID&lt;/code&gt; value since its Value is &lt;code&gt;ColorName&lt;/code&gt; and not &lt;code&gt;ID&lt;/code&gt;?&lt;/p&gt;
</t>
  </si>
  <si>
    <t xml:space="preserve">&lt;p&gt;I have a workaround that works but in conjunction with saving the selected value back again it can conflict with the saving.&lt;/p&gt;
&lt;p&gt;In the &lt;code&gt;Default&lt;/code&gt; property of the dropdown I add the following code&lt;/p&gt;
&lt;pre&gt;&lt;code&gt;LookUp('[dbo].[ColorTable]';ID=ThisItem.fk_ColorID;ColorName)
&lt;/code&gt;&lt;/pre&gt;
</t>
  </si>
  <si>
    <t xml:space="preserve">&lt;p&gt;I added a textbox called &lt;code&gt;TextBox1&lt;/code&gt; to my &lt;code&gt;PowerApps&lt;/code&gt; form.&lt;/p&gt;
&lt;p&gt;Then in the &lt;code&gt;OnSelect&lt;/code&gt; and &lt;code&gt;OnChange&lt;/code&gt; Actions/Events I add the following code&lt;/p&gt;
&lt;pre&gt;&lt;code&gt;TextBox1.Text="Hallo world"
&lt;/code&gt;&lt;/pre&gt;
&lt;p&gt;When I run the app and change the select values in the dropdown then the textbox text does not change.&lt;/p&gt;
&lt;p&gt;Why does the &lt;code&gt;OnChange&lt;/code&gt; or &lt;code&gt;OnSelect&lt;/code&gt; events not get triggered?&lt;/p&gt;
</t>
  </si>
  <si>
    <t xml:space="preserve">&lt;p&gt;The expression &lt;code&gt;TextBox1.Text="Hallo world"&lt;/code&gt; doesn't mean an assignment in PowerApps as it does in many programming languages. Instead, it is a boolean expression, with no side effects (it will compare the text property of the text box with the string &lt;code&gt;"Hallo world"&lt;/code&gt;.&lt;/p&gt;
&lt;p&gt;If you want to use variables, you need to use the &lt;a href="https://powerapps.microsoft.com/en-us/tutorials/function-updatecontext/" rel="nofollow"&gt;UpdateContext function&lt;/a&gt;. In your case, you'd have something like this in the OnChange/OnSelect property of a control:&lt;/p&gt;
&lt;pre&gt;&lt;code&gt;UpdateContext({ myVar: "Hallo world" })
&lt;/code&gt;&lt;/pre&gt;
&lt;p&gt;And set the Text property of the TextBox1 to &lt;code&gt;myVar&lt;/code&gt;.&lt;/p&gt;
&lt;p&gt;&lt;a href="https://powerapps.microsoft.com/en-us/tutorials/working-with-variables/" rel="nofollow"&gt;This doc&lt;/a&gt; has more information on the use of variables in PowerApps.&lt;/p&gt;
</t>
  </si>
  <si>
    <t xml:space="preserve">&lt;p&gt;I stumbled across Microsoft PowerApps earlier, and though I would have a play with it. I have connected to my SQL Server, and created a template for browsing, viewing and editing a basic application. Now in my database I have the following relationship:&lt;/p&gt;
&lt;p&gt;&lt;a href="https://i.stack.imgur.com/7WSph.png" rel="nofollow"&gt;&lt;img src="https://i.stack.imgur.com/7WSph.png" alt="enter image description here"&gt;&lt;/a&gt;&lt;/p&gt;
&lt;p&gt;On the add/edit screen this asks the user to enter the "&lt;code&gt;CustomerID&lt;/code&gt;". &lt;strong&gt;&lt;em&gt;I want to be able to use a drop down menu to search the list of customers&lt;/em&gt;&lt;/strong&gt;.&lt;/p&gt;
&lt;p&gt;So far I have:&lt;/p&gt;
&lt;ol&gt;
&lt;li&gt;Added an additional Datasorce to my table "Customers"&lt;/li&gt;
&lt;li&gt;Changed the control from a text box to a drop down menu&lt;/li&gt;
&lt;/ol&gt;
&lt;p&gt;&lt;a href="https://i.stack.imgur.com/UMlY9.png" rel="nofollow"&gt;&lt;img src="https://i.stack.imgur.com/UMlY9.png" alt="enter image description here"&gt;&lt;/a&gt;&lt;/p&gt;
&lt;p&gt;it is at this stage I am stuck and unsure of how to progress further. Currently when debugging, the list shows nothing, nor appears to be searchable. &lt;/p&gt;
</t>
  </si>
  <si>
    <t xml:space="preserve">&lt;p&gt;I found out how to do it! (with a different example, however the same thing required)&lt;/p&gt;
&lt;p&gt;after the 2nd stage above, scroll down until you see the &lt;code&gt;DataCardValue[number].value&lt;/code&gt;. its here that you can enter the alternative data source and populate the drop down list with the value you want. This automatically references the ID's and the correct options are shown:&lt;/p&gt;
&lt;p&gt;&lt;a href="https://i.stack.imgur.com/52iYU.png" rel="nofollow"&gt;&lt;img src="https://i.stack.imgur.com/52iYU.png" alt="enter image description here"&gt;&lt;/a&gt;&lt;/p&gt;
</t>
  </si>
  <si>
    <t xml:space="preserve">&lt;p&gt;How can I filter rows for my Dropdown control?&lt;/p&gt;
&lt;p&gt;Currently I'm binding Items property to column e.g. &lt;code&gt;Items=Table1.Name&lt;/code&gt;
but this populates dropdown with all possible rows. I want to filter all rows in which another column meets condition e.g. &lt;code&gt;Table1.Date=Today()&lt;/code&gt;&lt;/p&gt;
</t>
  </si>
  <si>
    <t xml:space="preserve">&lt;p&gt;I tried to get records from salesforce from external local files using JS.
I can see a response in network tab.
i received an error message in console:  &lt;/p&gt;
&lt;blockquote&gt;
  &lt;p&gt;"XMLHttpRequest cannot load &lt;a href="https://login.salesforce.com/services/oauth2/token" rel="nofollow noreferrer"&gt;https://login.salesforce.com/services/oauth2/token&lt;/a&gt;. No 'Access-Control-Allow-Origin' header is present on the requested resource. Origin 'null' is therefore not allowed access."&lt;/p&gt;
&lt;/blockquote&gt;
&lt;p&gt;&lt;strong&gt;MYCODE:&lt;/strong&gt;&lt;/p&gt;
&lt;pre&gt;&lt;code&gt;$.post("https://login.salesforce.com/services/oauth2/token",
{
    grant_type:"password",
    dataType : 'jsonp',
    headers : {Accept : "application/json","Access-Control-Allow-Origin" : "*"},
    client_id:"CLIENTID",
    client_secret:"CLIENTSECRET",
    username: "uname",
    password: "password"
},
function(data,status){
    //my_function(data);
    console.log(data);
});
function my_function(data){
    alert(data);
}
&lt;/code&gt;&lt;/pre&gt;
&lt;p&gt;Any help and suggestions.&lt;/p&gt;
</t>
  </si>
  <si>
    <t xml:space="preserve">&lt;p&gt;Add &lt;code&gt;crossOrigin: true&lt;/code&gt; in your option &lt;/p&gt;
&lt;p&gt;&lt;div class="snippet" data-lang="js" data-hide="false" data-console="true" data-babel="false"&gt;
&lt;div class="snippet-code"&gt;
&lt;pre class="snippet-code-js lang-js prettyprint-override"&gt;&lt;code&gt;$.post("https://login.salesforce.com/services/oauth2/token",
{
    grant_type:"password",
    dataType : 'jsonp',
    crossOrigin : true,   /// Add this option 
    headers : {Accept : "application/json","Access-Control-Allow-Origin" : "*"},
    client_id:"CLIENTID",
    client_secret:"CLIENTSECRET",
    username: "uname",
    password: "password"
},
function(data,status){
    //my_function(data);
    console.log(data);
});
function my_function(data){
    alert(data);
}&lt;/code&gt;&lt;/pre&gt;
&lt;/div&gt;
&lt;/div&gt;
&lt;/p&gt;
</t>
  </si>
  <si>
    <t xml:space="preserve">&lt;p&gt;i want to use session  and site properties in java script in out systems.&lt;/p&gt;
&lt;p&gt;what is the way to access them in my code?
below is my tried code. weeknumber is session variable which is having some default value.
"alert(Session.weeknumber);"
and am getting "Uncaught ReferenceError: Session is not defined" error.&lt;/p&gt;
</t>
  </si>
  <si>
    <t xml:space="preserve">&lt;p&gt;Using MS PowerApps how can I make it so that a user can create records, but only view/edit/delete records they created themselves, i,e not see any records created by other users.&lt;/p&gt;
&lt;p&gt;Furthermore can this be group based? so two users that belong to to the same group can view/edit/delete records created by users in the same group?&lt;/p&gt;
&lt;p&gt;there is not a lot of documentation about this, the only docs I have find specify User access to entities, but I need more granular access than that.&lt;/p&gt;
</t>
  </si>
  <si>
    <t xml:space="preserve">&lt;p&gt;I am very new to salesforce lighting application development. I am looking for some help from you in creating a functionality in the lightning app. I have loaded all the accounts into the lightning component and I need to filter the records using the BillingCity by clicking the Billing city name. Once the billing city is clicked, all the accounts related to that city should be displayed and the filter can be cleared by clicking on the clear filter image (here I used a black circle) which loads all the records except the particular criteria.&lt;/p&gt;
&lt;p&gt;Please help !!!&lt;/p&gt;
&lt;p&gt;&lt;strong&gt;Lightning App Main Page&lt;/strong&gt;&lt;/p&gt;
&lt;p&gt;&lt;a href="https://i.stack.imgur.com/YGsBy.png" rel="nofollow noreferrer"&gt;&lt;img src="https://i.stack.imgur.com/YGsBy.png" alt="Screenshot of page"&gt;&lt;/a&gt;&lt;/p&gt;
&lt;p&gt;&lt;strong&gt;AccountMainScreen.cmp&lt;/strong&gt;&lt;/p&gt;
&lt;pre&gt;&lt;code&gt;&amp;lt;aura:component controller="AccountController"&amp;gt;
    &amp;lt;aura:attribute name="allaccounts" type="List" description="All Products" /&amp;gt;
    &amp;lt;aura:handler name="init" value="{!this}" action="{!c.fillAccount}"/&amp;gt;
    &amp;lt;div class="container"&amp;gt;
        &amp;lt;div style="font-weight: bold;"&amp;gt;Filter by Billing City&amp;lt;/div&amp;gt;&amp;lt;br/&amp;gt;
        &amp;lt;div&amp;gt;Bangalore&amp;lt;/div&amp;gt;&amp;lt;br/&amp;gt;
        &amp;lt;div&amp;gt;Mountain View&amp;lt;/div&amp;gt;&amp;lt;br/&amp;gt;
        &amp;lt;div&amp;gt;Singapore&amp;lt;/div&amp;gt;&amp;lt;br/&amp;gt;
        &amp;lt;div&amp;gt;
        &amp;lt;div style="background-color: #7f7e8a;height: 20px;"&amp;gt;&amp;lt;/div&amp;gt;    
        &amp;lt;aura:iteration items="{!v.allaccounts}" var="account"&amp;gt;
            &amp;lt;article class="slds-card"&amp;gt;
            &amp;lt;div class="slds-card__header slds-grid"&amp;gt;
             &amp;lt;header class="slds-media slds-media--center slds-has-flexi-truncate"&amp;gt;
              &amp;lt;div class="slds-media__body slds-truncate"&amp;gt;
        &amp;lt;h2&amp;gt;
          &amp;lt;a href="javascript:void(0);" class="slds-text-link--reset"&amp;gt;
            &amp;lt;span class="slds-text-heading--small"&amp;gt;{!account.Name}&amp;lt;/span&amp;gt;
          &amp;lt;/a&amp;gt;
        &amp;lt;/h2&amp;gt;
      &amp;lt;/div&amp;gt;
    &amp;lt;/header&amp;gt;
  &amp;lt;/div&amp;gt;
  &amp;lt;div class="slds-card__body"&amp;gt;{!account.BillingCity}&amp;lt;/div&amp;gt;
&amp;lt;/article&amp;gt;
        &amp;lt;/aura:iteration&amp;gt;
        &amp;lt;/div&amp;gt;
    &amp;lt;/div&amp;gt;   
&amp;lt;/aura:component&amp;gt;
&lt;/code&gt;&lt;/pre&gt;
&lt;p&gt;&lt;strong&gt;AccountController.apxc&lt;/strong&gt;&lt;/p&gt;
&lt;pre&gt;&lt;code&gt;public class AccountController {
    @AuraEnabled
    public static List&amp;lt;Account&amp;gt; getAllAccounts()
    {
        List&amp;lt;Account&amp;gt; lstacc=[select Name,BillingCity from Account where BillingCity != null];
        return lstacc;
    }
}
&lt;/code&gt;&lt;/pre&gt;
&lt;p&gt;&lt;strong&gt;AccountMainScreenController.js&lt;/strong&gt;&lt;/p&gt;
&lt;pre&gt;&lt;code&gt; ({     fillAccount : function(component, event, helper) {
        helper.getAccountsfromSF(component, event)  } })
&lt;/code&gt;&lt;/pre&gt;
&lt;p&gt;&lt;strong&gt;AccountMainScreenHelper.js&lt;/strong&gt;&lt;/p&gt;
&lt;pre&gt;&lt;code&gt;({
    getAccountsfromSF : function(component, event) {
        var action = component.get('c.getAllAccounts');
        action.setCallback(this,function(actionResult){
        component.set('v.allaccounts', actionResult.getReturnValue());           
        });
        $A.enqueueAction(action);    
    }
})
&lt;/code&gt;&lt;/pre&gt;
</t>
  </si>
  <si>
    <t xml:space="preserve">&lt;p&gt;I already have contact by using &lt;em&gt;Accountid&lt;/em&gt;, so before creating the new contact I want to verify the existing contact with email and id, can you please help me with this salesforce query to check if the Contact already exist with Contact &lt;em&gt;Email&lt;/em&gt; and &lt;em&gt;AccountId&lt;/em&gt;?&lt;/p&gt;
&lt;p&gt;I already tried using the below query but it was throwing exceptions: &lt;/p&gt;
&lt;p&gt;&lt;div class="snippet" data-lang="js" data-hide="false" data-console="true" data-babel="false"&gt;
&lt;div class="snippet-code"&gt;
&lt;pre class="snippet-code-html lang-html prettyprint-override"&gt;&lt;code&gt;SELECT Id, Name , email 
FROM Contact
WHERE email='XXX@Email.com'
AND Id IN (SELECT ContactId
   FROM AccountContactRelation
   WHERE AccountId = 'XXXX')&lt;/code&gt;&lt;/pre&gt;
&lt;/div&gt;
&lt;/div&gt;
&lt;/p&gt;
&lt;p&gt;Got the below error: &lt;/p&gt;
&lt;blockquote&gt;
  &lt;p&gt;INVALID_TYPE:  and Id IN (SELECT ContactId FROM AccountContactRelation
  WHERE AccountId
                                   ^&lt;/p&gt;
  &lt;p&gt;ERROR at Row:1:Column:121 sObject type 'AccountContactRelation' is not
  supported. If you are attempting to use a custom object, be sure to
  append the '__c' after the entity name. Please reference your WSDL or
  the describe call for the appropriate names.&lt;/p&gt;
&lt;/blockquote&gt;
&lt;p&gt;Can you please share the correct Salesforce Query ?&lt;/p&gt;
</t>
  </si>
  <si>
    <t xml:space="preserve">&lt;p&gt;Is it currently possible to send a captured image from PowerApps to Microsoft flow?&lt;/p&gt;
&lt;p&gt;The basic idea of the app is to take a picture with the camera control then pass the image to a Microsoft flow which will then send an email with the image as an attachment.&lt;/p&gt;
</t>
  </si>
  <si>
    <t xml:space="preserve">&lt;p&gt;I'm trying to create a form in PowerApps where a user clicks a button (called "I Agree") and the button then:
-navigates to a thank-you screen (works fine)
-captures that users login info and saves it in some type of list or database that I can reference later (no dice)&lt;/p&gt;
&lt;p&gt;If not possible to complete this from a button, proposed workarounds?&lt;/p&gt;
&lt;p&gt;Thanks,
Jesse&lt;/p&gt;
</t>
  </si>
  <si>
    <t xml:space="preserve">&lt;p&gt;I am creating a custom confirmation dialog in Google App Maker and would like the Confirm button to call a passed-in function.  I don't see an "onclick" event in the button widget.  Any suggestions on how to do this?&lt;/p&gt;
&lt;pre&gt;&lt;code&gt;function confirmationDialog(msg, confirmFunction)
{
  var desc = app.pageFragments.ConfirmationDialog.descendants;
  var label = desc.Label;
  var confirmButton = desc.Confirm;
  label.text = msg;
  confirmButton.onClick = confirmFunction;  // does not work
  app.showDialog(app.pageFragments.ConfirmationDialog);
}
&lt;/code&gt;&lt;/pre&gt;
&lt;p&gt;Thanks&lt;/p&gt;
</t>
  </si>
  <si>
    <t xml:space="preserve">&lt;p&gt;It'd be great if this was a bit easier, but the best bet is to use Custom Properties (&lt;a href="https://developers.google.com/appmaker/ui/viewfragments" rel="nofollow noreferrer"&gt;https://developers.google.com/appmaker/ui/viewfragments&lt;/a&gt;).&lt;/p&gt;
&lt;p&gt;You can set up a custom property of type "Dynamic" and call it anything, take "onConfirmCallback", for example. Then you can set the function on that custom property:&lt;/p&gt;
&lt;p&gt;Code to invoke dialog:&lt;/p&gt;
&lt;pre&gt;&lt;code&gt;app.pageFragments.ConfirmationDialog.properties.onConfirmCallback = function(param) {
  alert(param); 
};
app.showDialog(app.pageFragments.ConfirmationDialog);
&lt;/code&gt;&lt;/pre&gt;
&lt;p&gt;And then in the onClick for the close button:&lt;/p&gt;
&lt;pre&gt;&lt;code&gt;app.pageFragments.ConfirmationDialog.properties.onConfirmCallback("hi");
app.closeDialog();
&lt;/code&gt;&lt;/pre&gt;
&lt;p&gt;Also note that there are slightly better ways to set up labels than in your example, also using custom properties.&lt;/p&gt;
&lt;p&gt;Create custom properties for any widget properties you want to customize, and then bind those custom properties (@properties.propertyName) to the widget property. For example you might have a confirmText property, with the confirm buttons text property boudn to @properties.confirmText.&lt;/p&gt;
&lt;p&gt;Then when you invoke your dialog, you can just set those custom properties. Quick modification of your example code using properties for everything:&lt;/p&gt;
&lt;pre&gt;&lt;code&gt;function confirmationDialog(msg, confirmFunction)
{
  var properties = app.pageFragments.ConfirmationDialog.properties;
  properties.text = msg;
  properties.confirmCallback = confirmFunction;
  app.showDialog(app.pageFragments.ConfirmationDialog);
}
&lt;/code&gt;&lt;/pre&gt;
</t>
  </si>
  <si>
    <t xml:space="preserve">&lt;p&gt;I am trying to figure out how I can get database information involving the email column, make an array with all of the emails and then use the "button" feature to populate the "To:" part of an email page.&lt;/p&gt;
&lt;p&gt;Any help is appreciated. Very new at this and pointing me on where to get the info would be great. Thanks&lt;/p&gt;
</t>
  </si>
  <si>
    <t xml:space="preserve">&lt;p&gt;I recommend you to run a server script that would query the datasource that has the emails. The script will look something like this: &lt;/p&gt;
&lt;pre&gt;&lt;code&gt;function getEmails(){
  var query = app.models.&amp;lt;yourmodel&amp;gt;.newQuery();
  var results = query.run();
  var allEmails = [];
  if(results.length &amp;gt; 0){  
    for(var i = 0; i &amp;lt; results.length; i++){    
      var uniqueEmail = results[i].&amp;lt;emailfieldname&amp;gt;;
      allEmails.push(uniqueEmail);      
    }
  }
  return allEmails.join();      
}
&lt;/code&gt;&lt;/pre&gt;
&lt;p&gt;Then add a script to the button widget "onclick" event that will run the server script and manipulate the returned data. Something similar to this:&lt;/p&gt;
&lt;pre&gt;&lt;code&gt;function poulateToField(response){
  &amp;lt;widget path&amp;gt;.text/value = response;
}
google.script.run.withSuccessHandler(poulateToField).getEmails();
&lt;/code&gt;&lt;/pre&gt;
&lt;p&gt;The above &lt;strong&gt;widget path&lt;/strong&gt; would be the path to the "To:" widget, which can be a text box, text area, etc. In my case, I used a text area and the path was this "&lt;strong&gt;&lt;em&gt;widget.parent.descendants.TextArea1.value&lt;/em&gt;&lt;/strong&gt;"&lt;/p&gt;
&lt;p&gt;I hope this helps. If you have more questions, just let me know! :)&lt;/p&gt;
&lt;p&gt;P.D. Please don't forget to review the &lt;strong&gt;&lt;a href="https://developers.google.com/appmaker/scripting/overview" rel="nofollow noreferrer"&gt;official documentation&lt;/a&gt;&lt;/strong&gt; for a better and more detailed explanation. &lt;/p&gt;
</t>
  </si>
  <si>
    <t xml:space="preserve">&lt;p&gt;I am try to make a volunteer Check in App in MS Power Apps, I have figured out how to add a timestamp to a record. Like, when I hit the Sign in button it adds the time into the "Check IN" record. But it adds the time to the first person on the list. How can I make it so I can select any person and have a time added to them? I've attached images of what I got: &lt;a href="https://i.stack.imgur.com/1cKUu.jpg" rel="nofollow noreferrer"&gt;Excel Data&lt;/a&gt;&lt;/p&gt;
&lt;p&gt;&lt;a href="https://i.stack.imgur.com/sftw9.jpg" rel="nofollow noreferrer"&gt;OnSelect code for Sign In Button&lt;/a&gt;&lt;/p&gt;
&lt;p&gt;Also how can I make the button disappear after they have signed in?&lt;/p&gt;
&lt;p&gt;Thank you in advance for your help!&lt;/p&gt;
</t>
  </si>
  <si>
    <t xml:space="preserve">&lt;p&gt;I am creating a Leave Request form on PowerApps and i want to connect it with Azure AD of my organization.
The scenario is:
 1. User fills up the form of Leave Request
 2. The "Employee Name" and "Department" fields should be called by itself in the text box. I want to call these identities from Azure AD.&lt;/p&gt;
&lt;p&gt;How can i perform this?&lt;/p&gt;
</t>
  </si>
  <si>
    <t xml:space="preserve">&lt;p&gt;I have a Grid Widget which shows up Items names and Image link in the Data Table in its Grid Cells.When I hover on the Grid Cell, I want a shadow to appear with the Item Description in the Data table. Please suggest how can I achieve it.&lt;/p&gt;
</t>
  </si>
  <si>
    <t xml:space="preserve">&lt;p&gt;The User() function only gets currently logged on user's information. &lt;/p&gt;
&lt;p&gt;Is there a way to find out the user information, i.e. user name, email address etc. via the created by id in the table? &lt;/p&gt;
&lt;p&gt;Thanks,
Jack&lt;/p&gt;
</t>
  </si>
  <si>
    <t xml:space="preserve">&lt;p&gt;I'm trying to define a widget's datasource as the result of a query, but I'm not sure if it's posible. &lt;/p&gt;
&lt;p&gt;I'm working with SQL views and a Table, I'd like to show the values of the IDs that I have on the table that come from the views.&lt;/p&gt;
&lt;pre&gt;&lt;code&gt;function queryValue(source, model, key){
  console.log("source " + source);
  app.datasources[model].query.filters.id._equals = source;
  app.datasources[model].load(function () {
    console.log(app.datasources.users.items[0][key]);
    return app.datasources.users.items[0][key];
  });
  app.datasources[model].query.clearFilters();
}
&lt;/code&gt;&lt;/pre&gt;
&lt;p&gt;Calling it like:&lt;/p&gt;
&lt;pre&gt;&lt;code&gt;queryValue(@datasource.item.[the_id], "[the_SQLView_Datasouce]", "[the_field_i_want]");
&lt;/code&gt;&lt;/pre&gt;
&lt;p&gt;In this case the widget is a table, so the fucntion would repeat the amount of items in the talbe&lt;/p&gt;
&lt;p&gt;The problem is that either I get the same result as meny times as the amount of items or the first one does not work!&lt;/p&gt;
&lt;p&gt;And the second problem is that the result does not over write the widget text to show.
&lt;a href="https://i.stack.imgur.com/r7HFv.png" rel="nofollow noreferrer"&gt;&lt;img src="https://i.stack.imgur.com/r7HFv.png" alt="enter image description here"&gt;&lt;/a&gt;&lt;/p&gt;
&lt;p&gt;It's a very simple function and I did found some workarounds but not with the datasource feature and they work too slowly, any sugestions? Is it possible to do such thing with the datasource?&lt;/p&gt;
</t>
  </si>
  <si>
    <t xml:space="preserve">&lt;p&gt;If I understand the question correctly, you probably want to do the query on the server side. The issue with the sample code posted is it's triggering a load on a single data source multiple times before any of the loads can return. When this is done, the data source is only loaded with the results from one of the loads, I believe the last one. So you're probably seeing the results from the last query you did for all your callbacks.&lt;/p&gt;
&lt;p&gt;So instead your code should instead be a server side script, and should be something like:&lt;/p&gt;
&lt;pre&gt;&lt;code&gt;function queryValue(source, model, key){
  console.log("source " + source);
  var query = app.models.newQuery();
  query.filters.id._equals = source;
  var results = query.run;
  return results[0].key;
}
&lt;/code&gt;&lt;/pre&gt;
&lt;p&gt;(Written from memory, so pardon any errors.)&lt;/p&gt;
</t>
  </si>
  <si>
    <t xml:space="preserve">&lt;p&gt;In power apps I have created a drop down list called series and another called models. How do I get the drop down in Models to reference an item in the Series drop down? For example, If the series has car, truck, van how to i get the models list to auto populate when car is chosen. &lt;/p&gt;
</t>
  </si>
  <si>
    <t xml:space="preserve">&lt;p&gt;So I can create custom CSS styles for various widgets (Sample: Dropdowns) &lt;/p&gt;
&lt;pre&gt;&lt;code&gt;*.app-Dropdown--RobotoBolded {
  font-family:'Roboto Condensed';
  font-weight: 600;
  font-size: 15px;
  text-align: right;
  align-items: center
}*
&lt;/code&gt;&lt;/pre&gt;
&lt;p&gt;No problems calling out specific widgets either: &lt;/p&gt;
&lt;pre&gt;&lt;code&gt;*.app-TestPage-Field6 {
  font-weight:bold;
}*
&lt;/code&gt;&lt;/pre&gt;
&lt;p&gt;However this does not seem to work with TextBoxes that are displaying data (like in a table). &lt;/p&gt;
&lt;p&gt;&lt;strong&gt;Example:&lt;/strong&gt; &lt;/p&gt;
&lt;pre&gt;&lt;code&gt;*.app-TestPage-Field7 {
  font-weight:bold;
}*
&lt;/code&gt;&lt;/pre&gt;
&lt;p&gt;Doesn't work. &lt;/p&gt;
&lt;hr&gt;
&lt;pre&gt;&lt;code&gt;*.app-TextBox {
  font-weight:bold;
}*
&lt;/code&gt;&lt;/pre&gt;
&lt;p&gt;Doesn't work. &lt;/p&gt;
&lt;hr&gt;
&lt;pre&gt;&lt;code&gt;.app-TextBox-Input {
  font-weight:bold;
}
&lt;/code&gt;&lt;/pre&gt;
&lt;p&gt;Works. But then it applies to ALL text boxes, not just the specific one(s) I would like. &lt;/p&gt;
&lt;p&gt;Is this a bug? Or am I just not understanding something. &lt;/p&gt;
&lt;p&gt;Any help would be appreciated. Thanks! &lt;/p&gt;
</t>
  </si>
  <si>
    <t xml:space="preserve">&lt;p&gt;I have a page showing room status via color (Green = Available, Red = Booked, etc). The goal is that users can leave that page open and when someone else edits the database (via a table on a separate page) the status page will update automatically. &lt;/p&gt;
&lt;p&gt;Manually refreshing the page works, but an automated option would be best.&lt;/p&gt;
&lt;p&gt;It doesn't have to be instant, but if I could tell the page to refresh automatically every "2 minutes" or something like that, that would be great. &lt;/p&gt;
&lt;p&gt;I'm not sure if it would make the most sense to just have some kind of client side code running, or if there is maybe something a little more elegant where you can tell the widget itself to refresh automatically. &lt;/p&gt;
&lt;p&gt;Thank you for your help! &lt;/p&gt;
</t>
  </si>
  <si>
    <t xml:space="preserve">&lt;p&gt;I see that the draft record in datasource is deprecated.  I read the &lt;a href="https://developers.google.com/appmaker/release-notes" rel="nofollow noreferrer"&gt;release notes&lt;/a&gt; but am having trouble with one bit of code.  Tried to convert this:&lt;/p&gt;
&lt;pre&gt;&lt;code&gt;widget.datasource.draft.Email = (newValue) ? newValue.PrimaryEmail : null;
&lt;/code&gt;&lt;/pre&gt;
&lt;p&gt;to this:&lt;/p&gt;
&lt;pre&gt;&lt;code&gt;widget.datasource.item.Email = (newValue) ? newValue.PrimaryEmail : null;
&lt;/code&gt;&lt;/pre&gt;
&lt;p&gt;But am getting this error:  Cannot set property 'Email' of null&lt;/p&gt;
&lt;p&gt;Any suggestions on what is wrong?  The widget is being passed from the onValueChange action.&lt;/p&gt;
&lt;p&gt;Thanks&lt;/p&gt;
</t>
  </si>
  <si>
    <t xml:space="preserve">&lt;p&gt;You can change the widget's datasource to the create datasource in the Property Editor on the right side. Click the datasource binding and select "[Datasource Name] (create)". (&lt;a href="https://i.stack.imgur.com/MHdu7.png" rel="nofollow noreferrer"&gt;screenshot&lt;/a&gt;)&lt;/p&gt;
&lt;p&gt;An alternative option if you want to keep your widget bound to the normal datasource would be to set it programmatically:&lt;/p&gt;
&lt;pre&gt;&lt;code&gt;widget.datasource.modes.create.item.Email = (newValue) ? newValue.PrimaryEmail : null;
&lt;/code&gt;&lt;/pre&gt;
&lt;p&gt;&lt;a href="https:///developers.google.com/appmaker/scripting/api/client#CreateDataSource" rel="nofollow noreferrer"&gt;Here is further documentation for accessing the create datasource through scripting.&lt;/a&gt;&lt;/p&gt;
</t>
  </si>
  <si>
    <t xml:space="preserve">&lt;p&gt;I have a master/detail relation similar to the relations sample provided.
In my example department has a one to many relationship with employee
I have a form widget(department) which has a button to insert an employee.&lt;/p&gt;
&lt;p&gt;when I click on that button the correct dialog form is displayed but I am allowed to enter any department which I do not want.
I am looking to have the relation defaulted to the "parent" widget where it was clicked and ideally not be editable.&lt;/p&gt;
</t>
  </si>
  <si>
    <t xml:space="preserve">&lt;p&gt;It's hard to give an exact answer without seeing your app, but you should probably replace the dropdown in the form with a label, that will make it not editable. You can bind the value of the label to the relation just like the value of the dropdown was bound.&lt;/p&gt;
&lt;p&gt;A slightly easier option would be disabling the dropdown (look for the Enabled probably in the property inspector). But that could be confusing for your users since they might think it should be editable.&lt;/p&gt;
&lt;p&gt;(Alternatively, you could just remove the field altogether if it's not important to show the relation.)&lt;/p&gt;
&lt;p&gt;I think this only answers the "not editable" part of your question, if you want it to be pre-filled you either need to do some scripting, or use &lt;a href="https://developers.google.com/appmaker/models/datasources#relation_datasources" rel="nofollow noreferrer"&gt;relation data sources&lt;/a&gt;.&lt;/p&gt;
&lt;p&gt;I suggest using relation data sources, so right now you probably have something like:&lt;/p&gt;
&lt;p&gt;&lt;code&gt;app.datasources.Emp.create()&lt;/code&gt;, which creates a new employee.&lt;/p&gt;
&lt;p&gt;Instead, you can use &lt;code&gt;widget.datasource.relations.Emp.create()&lt;/code&gt;, which will create a new employee which has a relation to the current item in widget.datasource. If this button is placed in your department form widget, then that means it will create an employee related to whatever department is shown in the form.&lt;/p&gt;
&lt;p&gt;Note that none of this stops users from changing the department of an employee, it just changes the UI. In lots of cases that is enough, but you may also want to add some server-side security controls if it's important to limit which users can create employees, change departments, etc: See &lt;a href="https://developers.google.com/appmaker/security/secure-app-data" rel="nofollow noreferrer"&gt;https://developers.google.com/appmaker/security/secure-app-data&lt;/a&gt;&lt;/p&gt;
</t>
  </si>
  <si>
    <t xml:space="preserve">&lt;p&gt;I'm sure everyone already knows this, but it took me a while to figure out so I thought I would share. &lt;/p&gt;
&lt;p&gt;Basically I was trying tell a widget to change color based on the current status of an entry in my model.&lt;/p&gt;
&lt;p&gt;But I needed Widget 1 to change for Room 201, Widget 2 to change for Room 202, etc.&lt;/p&gt;
&lt;p&gt;Ex: &lt;/p&gt;
&lt;p&gt;Room: 201, Status: Available = Widget 1: Green
Room: 202, Status: Booked = Widget 2: Red&lt;/p&gt;
&lt;p&gt;I could get the widgets to change color (thanks to borrowing from the code in the &lt;a href="https://developers.google.com/appmaker/samples/project-list/" rel="nofollow noreferrer"&gt;Project List Sample&lt;/a&gt;), but I was confused how to change their individual datasources to a query. They would basically only show the color corresponding to the currently selected item in the database/table.&lt;/p&gt;
&lt;p&gt;So, here is what I did:&lt;/p&gt;
&lt;p&gt;Went into my Model, went under Datasources and added a new Datasource.&lt;/p&gt;
&lt;p&gt;Ex name: Room201&lt;/p&gt;
&lt;p&gt;Then in the Query builder I put in the Field I was trying to narrow by. &lt;/p&gt;
&lt;p&gt;ex: Room = :Query&lt;/p&gt;
&lt;p&gt;(Room = my field, and I believe the ":Query" is the just name of the query, someone can correct me if I'm wrong)&lt;/p&gt;
&lt;p&gt;Then you'll see a box below that window where you can add a binding. So THAT is where I put in my query. &lt;/p&gt;
&lt;p&gt;ex: @datasources.Facilities.query.filters.Room._equals = 201&lt;/p&gt;
&lt;p&gt;(Note: I had to create a separate Datasource for each room)&lt;/p&gt;
&lt;p&gt;Then I went to my widget and chose the queried datasource (Room201) for the datasource.&lt;/p&gt;
&lt;p&gt;So Widget 1 = the datasource Room201, Widget 2 = the datasource Room202, etc. &lt;/p&gt;
&lt;p&gt;Done. &lt;/p&gt;
&lt;p&gt;Hopefully that helps someone! &lt;/p&gt;
</t>
  </si>
  <si>
    <t xml:space="preserve">&lt;p&gt;For PowerApps, what data source, other than SharePoint lists are accessible via Powershell?&lt;/p&gt;
&lt;p&gt;There are actually two issues that I am dealing with.  The first is dynamic updating and the second is the 500 item limit that SharePoint lists are subject to.&lt;/p&gt;
&lt;p&gt;I need to dynamically update my data source, which I am currently doing with PowerShell. My data source is not static and updating records by hand is time-consuming and error prone. The driving force behind my question is that the SharePoint list view threshold is 5,000 records &lt;strong&gt;however&lt;/strong&gt; you are limited to 500 visible and searchable records when using SharePoint lists in the Gallery View and my data source contains greater than 500 &lt;strong&gt;but&lt;/strong&gt; &lt;em&gt;less than 1000 records&lt;/em&gt;.  If you have any items beyond the 500th record that &lt;strong&gt;&lt;em&gt;should&lt;/em&gt;&lt;/strong&gt; match the filter criteria, they will &lt;strong&gt;not&lt;/strong&gt; be found. So SharePoint lists are not optional for me until that limitation is remediated&lt;/p&gt;
&lt;p&gt;Reference: &lt;a href="https://powerapps.microsoft.com/en-us/tutorials/function-filter-lookup/" rel="nofollow noreferrer"&gt;https://powerapps.microsoft.com/en-us/tutorials/function-filter-lookup/&lt;/a&gt;&lt;/p&gt;
</t>
  </si>
  <si>
    <t xml:space="preserve">&lt;p&gt;I'm following the steps in &lt;a href="https://www.youtube.com/watch?v=tgYYTD20mTE&amp;amp;feature=player_embedded" rel="nofollow noreferrer"&gt;this video&lt;/a&gt; to create a Comments Section.&lt;/p&gt;
&lt;p&gt;James (the author) created two models, then creates a relation between the two, then creates a table to add/edit comments/notes.&lt;/p&gt;
&lt;p&gt;He uses the following Event in one model: &lt;/p&gt;
&lt;pre&gt;&lt;code&gt;onCreate    
record.reported_by = Session.getActiveUser().getEmail();    
record.Date = new Date();
&lt;/code&gt;&lt;/pre&gt;
&lt;p&gt;and the following Event in the second. &lt;/p&gt;
&lt;pre&gt;&lt;code&gt;onCreate
record.Tech = Session.getActiveUser().getEmail();
record.Date = new Date();
&lt;/code&gt;&lt;/pre&gt;
&lt;p&gt;Now if you have a label that is bound to the relationship, it will show the email address of the user who created the new item. &lt;/p&gt;
&lt;p&gt;All that is working perfectly. I was just trying to figure out a way to have the label display the Full Name instead of the Email Address. &lt;/p&gt;
&lt;p&gt;I was hoping it would be something simple like switching getEmail with something like getFullName, but no such luck. &lt;/p&gt;
</t>
  </si>
  <si>
    <t xml:space="preserve">&lt;p&gt;I'd like to be able to switch between 2 different apps (app1 and app2) using and transition animation. Ideally with the following capabilities
1) App2 is able to recognize that was invoked by App1
2) App1 able to received a callback parameter from App2&lt;/p&gt;
</t>
  </si>
  <si>
    <t xml:space="preserve">&lt;p&gt;Unfortunately, no magic for this case. To implement this scenario you need to:&lt;/p&gt;
&lt;p&gt;1 Create separate model (AppSettings for example) in both apps and store there App1Url and App2Url correspondingly for each app.&lt;/p&gt;
&lt;p&gt;2 To navigate user from App1 to App2 you can use this binding for Link widgets:&lt;/p&gt;
&lt;pre&gt;&lt;code&gt;@datasources.AppSettings.item.App2Url + '?paramName=paramValue' + '#PageName'
&lt;/code&gt;&lt;/pre&gt;
&lt;p&gt;3 In the onAttach event of the 'PageName' page invoke function like this&lt;/p&gt;
&lt;pre&gt;&lt;code&gt;function loadPageName() {
  google.script.url.getLocation(function(location) {
     var paramName = location.parameter.paramName;
     var datasource = app.datasources.SomeDatasource;
     datasource.filters.SomeField._equals = paramName;
     datasource.load();
  });
}
&lt;/code&gt;&lt;/pre&gt;
&lt;p&gt;Please, keep in mind, that to avoid double datasource loading you need to switch it to &lt;a href="https://developers.google.com/appmaker/models/datasources#automatically_load_data" rel="nofollow noreferrer"&gt;manual loading mode&lt;/a&gt;.&lt;/p&gt;
&lt;p&gt;This scenario will cause full page reload.&lt;/p&gt;
</t>
  </si>
  <si>
    <t xml:space="preserve">&lt;p&gt;After creating a directory datasource the Google Admin Directory API is automatically added to app settings. However the AdminDirectory object is not usable in server side appscript. Documentation for adding the AdminDirectory object to appscript in other apps suggests the api needs to be activated via the api console. There are unfortunately no links to the project at the console from the advanced section of the app settings. The user I am using developing this app with has MANY projects in the console any of which could be one created by appmaker. Is there a way to determine which project is the one the appmaker app is associated with? Is this even what I need to do to make the AdminDirectory object available in server side scripts?&lt;/p&gt;
</t>
  </si>
  <si>
    <t xml:space="preserve">&lt;p&gt;Microsoft just release on-premise SQL support for PowerApps. How do I connect my local Firebird SQL to PowerApps?&lt;/p&gt;
</t>
  </si>
  <si>
    <t xml:space="preserve">&lt;p&gt;In Powerapps how can you filter on a gallery from a radiobutton&lt;/p&gt;
&lt;p&gt;The Gallery pulls data from a datasource called 'Category'&lt;/p&gt;
&lt;p&gt;The radiobutton is called 'MyRadioBtn'
The gallery is called 'Productcat'
The Subtitle with the gender is called 'Subtitle1'&lt;/p&gt;
&lt;p&gt;I am trying to get the gallery to filter between male and female items when user selects either "male" or "female" from the radio button but I cannot seem to get the syntax right and all the examples I have found so far seem to be different to what I am trying to do.&lt;/p&gt;
&lt;p&gt;&lt;a href="https://i.stack.imgur.com/i0Xnl.png" rel="nofollow noreferrer"&gt;&lt;img src="https://i.stack.imgur.com/i0Xnl.png" alt="Powerapp form"&gt;&lt;/a&gt;&lt;/p&gt;
</t>
  </si>
  <si>
    <t xml:space="preserve">&lt;p&gt;Please try
ProductCat.Items =
Filter(Category, MyRadioButton.Selected.Value = GenderFieldTitle)&lt;/p&gt;
&lt;p&gt;GenderFieldTitle is the Title of Gender in datasource.
(that's is your Subtitle1).&lt;/p&gt;
&lt;p&gt;Hope this helps.&lt;/p&gt;
</t>
  </si>
  <si>
    <t xml:space="preserve">&lt;p&gt;So I would like to be able to have a print button for entries in our database so users can print an entry via a print friendly "form". &lt;/p&gt;
&lt;p&gt;My thought was to create a separate page, add labels and have those labels pull the relevant information.&lt;/p&gt;
&lt;p&gt;I know I can add the open widget information via this code: &lt;/p&gt;
&lt;pre&gt;&lt;code&gt;app.datasources.ModelName.selectKey(widget.datasource.item._key);
app.showPage(app.pages.TestPrint);
&lt;/code&gt;&lt;/pre&gt;
&lt;p&gt;But I'm running into a few problems: &lt;/p&gt;
&lt;ol&gt;
&lt;li&gt;&lt;p&gt;I can't get the page to open in a new window. Is this possible? &lt;/p&gt;
&lt;p&gt;window.open(app.pages.TestPrint); &lt;/p&gt;&lt;/li&gt;
&lt;/ol&gt;
&lt;p&gt;Just gives me a blank page. Does the browser lose the widget source once the new window opens? &lt;/p&gt;
&lt;ol start="2"&gt;
&lt;li&gt;&lt;p&gt;I can't get the print option (either onClick or onDataLoad) to print JUST the image (or widget). I run&lt;/p&gt;
&lt;p&gt;window.print();&lt;/p&gt;&lt;/li&gt;
&lt;/ol&gt;
&lt;p&gt;And it includes headers + scroll bars. Do I need to be running a client side script instead?&lt;/p&gt;
&lt;p&gt;Any help would be appreciated. Thank you! &lt;/p&gt;
</t>
  </si>
  <si>
    <t xml:space="preserve">&lt;p&gt;I would like to change the items in a Google App Maker RadioGroup from black to white.  I tried the following but it does not work:&lt;/p&gt;
&lt;pre&gt;&lt;code&gt;.app-RadioGroup-Item {
  color: white;
}
&lt;/code&gt;&lt;/pre&gt;
&lt;p&gt;I also tried .app-RadioGroup-Input, no luck.&lt;/p&gt;
&lt;p&gt;Any ideas?&lt;/p&gt;
&lt;p&gt;Thanks&lt;/p&gt;
</t>
  </si>
  <si>
    <t xml:space="preserve">&lt;p&gt;To change labels and input colors you can try these snippets:&lt;/p&gt;
&lt;pre class="lang-css prettyprint-override"&gt;&lt;code&gt;/* This style will affect only MyRadioGroup widget on the MyPage  */
.app-MyPage-MyRadioGroup-Item&amp;gt;label {
  color: green;
}
.app-MyPage-MyRadioGroup-Item&amp;gt;input {
  border-color: red;
}
.app-MyPage-MyRadioGroup-Item&amp;gt;input:checked {
  border-color: red;
}
.app-MyPage-MyRadioGroup-Item&amp;gt;input:checked:after {
  background-color: red;
}
 /* This style will affect all RadioGroup widgets in the app  */
.app-RadioGroup-Item&amp;gt;label {
  color: green;
}
.app-RadioGroup-Item&amp;gt;input {
  border-color: red;
}
.app-RadioGroup-Item&amp;gt;input:checked {
  border-color: red;
}
.app-RadioGroup-Item&amp;gt;input:checked:after {
  background-color: red;
}
&lt;/code&gt;&lt;/pre&gt;
&lt;p&gt;&lt;strong&gt;Note:&lt;/strong&gt; these styles will override styles for disabled state.&lt;/p&gt;
</t>
  </si>
  <si>
    <t xml:space="preserve">&lt;p&gt;I've tried to use the AdminDirectory API in a Server Script of App Maker, but this API isn't available.&lt;/p&gt;
&lt;p&gt;The next alternative I've tried is create my own Apps Script Library that use the AdminDirectory API. I've could execute tests witout problems.&lt;/p&gt;
&lt;p&gt;Then I've included these library in the my App Maker Project. But when it used it throws an error that says: "AdminDirectory" is not defined.&lt;/p&gt;
&lt;p&gt;I believe my last chance is use the UrlFetchApp API for compose the request I need (&lt;a href="https://developers.google.com/admin-sdk/directory/v1/guides/manage-users" rel="nofollow noreferrer"&gt;https://developers.google.com/admin-sdk/directory/v1/guides/manage-users&lt;/a&gt;), but I could be hard dealing with composing the request, parsing the response and manage OAuth.&lt;/p&gt;
&lt;p&gt;Are there any other alternative?&lt;/p&gt;
&lt;p&gt;In &lt;a href="https://developers.google.com/appmaker/scripting/server" rel="nofollow noreferrer"&gt;https://developers.google.com/appmaker/scripting/server&lt;/a&gt; they said "(support for Advanced Google Services is coming in future version)". AdminDirectory is an Advanced Google Service. Anyone known when these will be released?&lt;/p&gt;
&lt;p&gt;Thanks in advance,&lt;/p&gt;
&lt;p&gt;Ernesto.&lt;/p&gt;
</t>
  </si>
  <si>
    <t xml:space="preserve">&lt;p&gt;In AppMaker I want to show products in tables and separate the products with the accordion widget based on the assigned product category. So the different accordion details have only a product table of the specific category.&lt;/p&gt;
&lt;p&gt;I have two data models with the following field:&lt;/p&gt;
&lt;ul&gt;
&lt;li&gt;&lt;p&gt;Table 1: Categories&lt;/p&gt;
&lt;ul&gt;
&lt;li&gt;Field 1: Id *&lt;/li&gt;
&lt;li&gt;Field 2: Name&lt;/li&gt;
&lt;/ul&gt;&lt;/li&gt;
&lt;li&gt;&lt;p&gt;Table 2: Products&lt;/p&gt;
&lt;ul&gt;
&lt;li&gt;Field 1: Id&lt;/li&gt;
&lt;li&gt;Field 2: Name&lt;/li&gt;
&lt;li&gt;Field 3: CategoryId *&lt;/li&gt;
&lt;/ul&gt;&lt;/li&gt;
&lt;/ul&gt;
&lt;p&gt;The Accordion widget is bind to Categories (Names). In the Accordion detail, I add Table widget bounded to Products. How can I 'filter' the data, so only the products of the specific category is showed in the Category detail.&lt;/p&gt;
</t>
  </si>
  <si>
    <t xml:space="preserve">&lt;p&gt;I'm struggling a bit to overcome this obstacle that is to create a table with a foreign key to another table. It looks simple right? It is, but unfortunately i'm not being successfull. The error thrown is the one in the title. Has anyone else had this error before? How did you resolved it? I'm using SQL Server 2014 but the error is thrown through Outsystems IDE.&lt;/p&gt;
&lt;p&gt;Best regards,
Rafael Valente&lt;/p&gt;
</t>
  </si>
  <si>
    <t xml:space="preserve">&lt;p&gt;It would help if you could post a picture of your datamodel for us to take a look.&lt;/p&gt;
&lt;p&gt;One way of dealing with this kind of errors in OutSystems is inspecting the database itself. There's a system table called ossys_espace. Get your espace id from there. Then query ossys_entity to see which is the physical table name for that entity and check if there's something wrong with it.&lt;/p&gt;
&lt;p&gt;There's also the possibility that you've created a table in the past that is causing the error. Check for the entities with the flag deleted set to true in that table. If it helps, there's &lt;a href="http://www.outsystems.com/forge/component/423/dbcleaner/" rel="nofollow noreferrer"&gt;this&lt;/a&gt; Forge component that you can you to clean those deleted entities. &lt;/p&gt;
&lt;p&gt;If you have access to the server you can also look at the generated SQL and understand if there's a problem with it. &lt;/p&gt;
&lt;p&gt;I find that error weird, but you might be bumping into a bug, and for sure we want to know that :)&lt;/p&gt;
</t>
  </si>
  <si>
    <t xml:space="preserve">&lt;p&gt;Is there a way to see and (hopefully) display user activity on an App? &lt;/p&gt;
&lt;p&gt;Ex: &lt;/p&gt;
&lt;p&gt;User 1: Changed Status to In Progress&lt;/p&gt;
&lt;p&gt;User 2: Deleted Job #4&lt;/p&gt;
</t>
  </si>
  <si>
    <t xml:space="preserve">&lt;p&gt;I have a simple form with one text field and a submit button in ZOHO. &lt;/p&gt;
&lt;pre&gt;&lt;code&gt;&amp;lt;input type="text" name="Name" value="Albie"&amp;gt;
&amp;lt;input type="submit" value="Submit"&amp;gt;
&lt;/code&gt;&lt;/pre&gt;
&lt;p&gt;I am trying to enter a value using the Advanced Rest Application (Google Apps). 
&lt;a href="https://i.stack.imgur.com/JEVvk.png" rel="nofollow noreferrer"&gt;&lt;img src="https://i.stack.imgur.com/JEVvk.png" alt="Image:"&gt;&lt;/a&gt;&lt;/p&gt;
&lt;p&gt;Here's the same code written in the app:&lt;/p&gt;
&lt;pre&gt;&lt;code&gt;&amp;lt;form method="POST" action="https://creator.zoho.com/api/anansrivastava/xml/rest/form/FormA/record/add/"&amp;gt;
&amp;lt;input type="hidden" name ="authtoken" value="92f51989c8fcb3988a9734d11f056dc2"&amp;gt;
&amp;lt;input type="hidden" name ="Scope" id="scope" value="creatorapi"&amp;gt;
&amp;lt;input type="text" name="Name" value="Gary"&amp;gt;
&amp;lt;input type="submit" value="Submit"&amp;gt;
&amp;lt;/form&amp;gt;
&lt;/code&gt;&lt;/pre&gt;
&lt;p&gt;My URL:&lt;/p&gt;
&lt;pre&gt;&lt;code&gt;https://creator.zoho.com/api/anansrivastava/xml/rest/form/FormA/record/add/
&lt;/code&gt;&lt;/pre&gt;
&lt;p&gt;The URL I have provided is written in their documentation. It's a POST only URL.  The code that I have written is also from their documentation, word to word. Obviously, I have used my own authentication token. When I click &lt;code&gt;SEND&lt;/code&gt;, this is the response I get:&lt;/p&gt;
&lt;pre&gt;&lt;code&gt;    &amp;lt;?xml version="1.0" encoding="UTF-8" standalone="no" ?&amp;gt;
    400: BAD REQUEST 
    &amp;lt;response&amp;gt;
    &amp;lt;code&amp;gt;2945&amp;lt;/code&amp;gt;
    &amp;lt;message&amp;gt;XSS_DETECTED&amp;lt;/message&amp;gt;
    &amp;lt;/response&amp;gt;
&lt;/code&gt;&lt;/pre&gt;
&lt;p&gt;The code &lt;code&gt;2945&lt;/code&gt; is the code for an &lt;code&gt;Invalid Ticket&lt;/code&gt; error. I tried generating a new AuthToken but the the error did not go away. I simply cannot understand what is wrong here. Any help is much appreciated. Thanks.&lt;/p&gt;
&lt;p&gt;Links to ZOHO documentation:&lt;/p&gt;
&lt;ol&gt;
&lt;li&gt;&lt;a href="https://www.zoho.com/creator/help/api/prerequisites/generate-auth-token.html" rel="nofollow noreferrer"&gt;https://www.zoho.com/creator/help/api/prerequisites/generate-auth-token.html&lt;/a&gt;&lt;/li&gt;
&lt;li&gt;&lt;a href="https://www.zoho.com/creator/help/api/rest-api/rest-api-add-records.html" rel="nofollow noreferrer"&gt;https://www.zoho.com/creator/help/api/rest-api/rest-api-add-records.html&lt;/a&gt;&lt;/li&gt;
&lt;/ol&gt;
</t>
  </si>
  <si>
    <t xml:space="preserve">&lt;p&gt;I have a Drive Picker widget in Google App Maker that pops up and lets me select a folder.  However, the Select button is greyed out.&lt;/p&gt;
&lt;p&gt;I have entries for selectedDocUrl, selectedDocName, and onDocumentSelect, but I cannot get the button to be clickable.  My views is set to FOLDERS and my security is set to run as the user's account.  I see &lt;a href="https://stackoverflow.com/questions/35436836/google-drive-picker-select-folders-to-upload"&gt;this&lt;/a&gt; but since I am using App Maker I don't see how to apply it. &lt;/p&gt;
&lt;p&gt;Any idea how to enable this button?&lt;/p&gt;
&lt;p&gt;Thanks&lt;/p&gt;
</t>
  </si>
  <si>
    <t xml:space="preserve">&lt;p&gt;Google has confirmed they have fixed the problem and it now works fine.&lt;/p&gt;
</t>
  </si>
  <si>
    <t xml:space="preserve">&lt;p&gt;(Deleted my old question to simplify it. )&lt;/p&gt;
&lt;p&gt;I enter data in a table, I then want to make an exact duplicate of that data in a new item/record/row*.&lt;/p&gt;
&lt;p&gt;*not sure the proper term.&lt;/p&gt;
&lt;p&gt;Is there any way to accomplish this? &lt;/p&gt;
</t>
  </si>
  <si>
    <t xml:space="preserve">&lt;p&gt;Sorry for the slow response. Here is what you should do:&lt;/p&gt;
&lt;p&gt;Add a "copy" button in the row. In the onClick on that button, add this code:&lt;/p&gt;
&lt;pre&gt;&lt;code&gt;var createDataSource = widget.datasource.modes.create;
var rowDataSource = widget.datasource;
createDataSource.item.foo = rowDataSource.item.foo;
createDataSource.item.bar = rowDataSource.item.bar;
// And so on for each field
createDataSource.createItem();
&lt;/code&gt;&lt;/pre&gt;
&lt;p&gt;You could probably make sure of javascript for-in to loop through all the properties of the item in so you don't have to manually specify each record, but I didn't have time to experiment with this.&lt;/p&gt;
&lt;p&gt;Edit:&lt;/p&gt;
&lt;p&gt;The above code won't show the copied record in the list immediately, because I used row's create data source, instead of the &lt;em&gt;lists&lt;/em&gt; create data source. Try this instead:&lt;/p&gt;
&lt;pre&gt;&lt;code&gt;var rowDataSource = widget.datasource;
// Instead of using the row  datasource for create, explicitly use the data source of your list.
var listDatasource = app.datasources.NameOfYourListsDataSource;
var createDataSource = listDatasource.modes.create; 
createDataSource.item.foo = rowDataSource.item.foo;
createDataSource.item.bar = rowDataSource.item.bar;
// And so on for each field
createDataSource.createItem();
&lt;/code&gt;&lt;/pre&gt;
</t>
  </si>
  <si>
    <t xml:space="preserve">&lt;p&gt;I have added a column in to my existing table. But, it is giving me an error.&lt;/p&gt;
&lt;p&gt;I don't know what is going on.&lt;/p&gt;
&lt;p&gt;I have a very simple table&lt;/p&gt;
&lt;pre&gt;&lt;code&gt;    Invalid column name 'COMPANYDESIGNATION'.
   at System.Data.SqlClient.SqlConnection.OnError(SqlException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Boolean&amp;amp; dataReady)
   at System.Data.SqlClient.SqlDataReader.TryConsumeMetaData()
   at System.Data.SqlClient.SqlDataReader.get_MetaData()
   at System.Data.SqlClient.SqlCommand.FinishExecuteReader(SqlDataReader ds, RunBehavior runBehavior, String resetOptionsString)
   at System.Data.SqlClient.SqlCommand.RunExecuteReaderTds(CommandBehavior cmdBehavior, RunBehavior runBehavior, Boolean returnStream, Boolean async, Int32 timeout, Task&amp;amp; task, Boolean asyncWrite, SqlDataReader ds, Boolean describeParameterEncryptionRequest)
   at System.Data.SqlClient.SqlCommand.RunExecuteReader(CommandBehavior cmdBehavior, RunBehavior runBehavior, Boolean returnStream, String method, TaskCompletionSource`1 completion, Int32 timeout, Task&amp;amp; task, Boolean asyncWrite)
   at System.Data.SqlClient.SqlCommand.RunExecuteReader(CommandBehavior cmdBehavior, RunBehavior runBehavior, Boolean returnStream, String method)
   at System.Data.SqlClient.SqlCommand.ExecuteReader(CommandBehavior behavior, String method)
   at OutSystems.HubEdition.DatabaseProvider.SqlServer.ExecutionService.ExecutionService.ExecuteReader(IDbCommand cmd)
   at #gCb.#BCb.ExecuteReader(String description, Boolean isApplication, Boolean transformParameters, Boolean skipLog)
   at OutSystems.Internal.Db.DatabaseAccessProvider`1.ExecuteQuery[T](Command cmd, GenericRecordList`1 rl, String description, Boolean transformParameters, Boolean skipLog)
   at OutSystems.Internal.Db.DatabaseAccessProvider`1.ExecuteQuery[T](Command cmd, GenericRecordList`1 rl, String description)
&lt;/code&gt;&lt;/pre&gt;
&lt;p&gt;Why is it giving me an error.&lt;/p&gt;
&lt;p&gt;Thanks in advance.&lt;/p&gt;
</t>
  </si>
  <si>
    <t xml:space="preserve">&lt;p&gt;The issue has been fixed.&lt;/p&gt;
&lt;p&gt;The problem was I disregarded the error of my 'Address' table. &lt;/p&gt;
&lt;p&gt;It has a problem with its foreign key. &lt;/p&gt;
&lt;p&gt;Every time there's an error in the compilation, I just republish.&lt;/p&gt;
&lt;p&gt;And the application gets publish successfully.&lt;/p&gt;
&lt;p&gt;But, this isn't true. I believe the cycle of the entire compilation is interrupted with this error.&lt;/p&gt;
&lt;p&gt;So, now every time I will see an error in the compilation -- I should fix (lesson learned)..&lt;/p&gt;
&lt;p&gt;I updated my 'Address' table which has the error. Now, I can successfully add attributes to my 'Contact' table.&lt;/p&gt;
&lt;p&gt;I hope this will shed some light to someone who's having the same problem as I had.&lt;/p&gt;
&lt;p&gt;&lt;em&gt;Happy coding everyone!&lt;/em&gt;&lt;/p&gt;
&lt;p&gt;:)&lt;/p&gt;
</t>
  </si>
  <si>
    <t xml:space="preserve">&lt;p&gt;I have a requirement where I need to display the dynamic table in lightning based on the Object, fields passed from the Components and display it in vf page.&lt;/p&gt;
&lt;p&gt;I tried the following code:&lt;/p&gt;
&lt;p&gt;&lt;strong&gt;Application&lt;/strong&gt;&lt;/p&gt;
&lt;pre&gt;&lt;code&gt;&amp;lt;aura:application access="GLOBAL" extends="ltng:outApp"    &amp;gt;
    &amp;lt;c:PMD_LightningHomepage object="Opportunity" fields="Id" limit="5" tableId="table1"/&amp;gt;
    &amp;lt;aura:dependency resource="c:PMD_LightningHomepage "  /&amp;gt; 
&amp;lt;/aura:application&amp;gt;
&lt;/code&gt;&lt;/pre&gt;
&lt;p&gt;&lt;strong&gt;Component&lt;/strong&gt;&lt;/p&gt;
&lt;pre&gt;&lt;code&gt;&amp;lt;aura:component controller="controller" implements="force:appHostable,flexipage:availableForAllPageTypes"&amp;gt;
    &amp;lt;ltng:require styles="/resource/SDLC212/assets/styles/salesforce-lightning-design-system-vf.min.css" /&amp;gt;
    &amp;lt;aura:attribute name="object" type="String" /&amp;gt;
    &amp;lt;aura:attribute name="limit" type="String" default="5" /&amp;gt;
    &amp;lt;aura:attribute type="sObject[]" name="latestRecords" /&amp;gt;
    &amp;lt;aura:attribute name="fields" type="String[]" default="Id,Name" /&amp;gt;
    &amp;lt;aura:attribute name="tableId" type="String"/&amp;gt;
    &amp;lt;aura:handler name="init" value="{!this}" action="{!c.doInit}"/&amp;gt;
    &amp;lt;html xmlns="http://www.w3.org/2000/svg" xmlns:xlink="http://www.w3.org/1999/xlink"&amp;gt;    
        &amp;lt;head&amp;gt;
        &amp;lt;/head&amp;gt;    
        &amp;lt;body&amp;gt; 
            &amp;lt;div class="wrapperscoop"&amp;gt;                
                &amp;lt;div class="slds-card__header slds-grid"&amp;gt;
                    &amp;lt;div class="slds-media slds-mcate"&amp;gt;
                        &amp;lt;div class="slds-media__figure"&amp;gt;                           
                        &amp;lt;/div&amp;gt;
                        &amp;lt;div class="slds-media__body"&amp;gt;
                            &amp;lt;h2 class="slds-text-heading--small slds-truncate"&amp;gt;Recently Viewed&amp;lt;/h2&amp;gt;
                        &amp;lt;/div&amp;gt;
                    &amp;lt;/div&amp;gt;                   
                &amp;lt;/div&amp;gt;
                &amp;lt;div class="slds-card__body"&amp;gt;                    
                    &amp;lt;section class="slds-card__body"&amp;gt;
                        &amp;lt;div class="slds-scrollable--x"&amp;gt;
                            &amp;lt;table class="slds-table slds-table--bordered slds-max-medium-table--stacked-horizontal"&amp;gt;
                                &amp;lt;thead&amp;gt;
                                    &amp;lt;tr class="slds-no-hover"&amp;gt;
                                        &amp;lt;aura:iteration items="{!v.fields}" var="field" &amp;gt;
                                            &amp;lt;th class="slds-text-heading--label slds-size--1-of-6" scope="col"&amp;gt;{!field}&amp;lt;/th&amp;gt;
                                        &amp;lt;/aura:iteration&amp;gt;
                                    &amp;lt;/tr&amp;gt;
                                &amp;lt;/thead&amp;gt;
                                &amp;lt;tbody id="{!v.tableId}"&amp;gt;
                              &amp;lt;/tbody&amp;gt;
                            &amp;lt;/table&amp;gt;
                        &amp;lt;/div&amp;gt;
                    &amp;lt;/section&amp;gt;
                &amp;lt;/div&amp;gt;
            &amp;lt;/div&amp;gt;            
        &amp;lt;/body&amp;gt;
    &amp;lt;/html&amp;gt;
&amp;lt;/aura:component&amp;gt;
&lt;/code&gt;&lt;/pre&gt;
&lt;p&gt;&lt;strong&gt;Js-controller&lt;/strong&gt;&lt;/p&gt;
&lt;pre&gt;&lt;code&gt;({
    doInit  : function(component, event, helper) {
        var action = component.get("c.getRecords");
        var fields = component.get("v.fields");  
        var tableId = component.get("v.tableId"); 
        action.setParams({
            ObjectName : component.get("v.object"),
            limits : component.get("v.limit"),
            //alert('Check1' + fields);
            fieldstoget : fields.join()
        });
        action.setCallback(this,function(response){
            var delayMillis = 1000;
            var state = response.getState();
            if(state === 'SUCCESS'){
                component.set("v.latestRecords",response.getReturnValue());
                var retRecords = response.getReturnValue();
                retRecords.forEach(function(s) {
                    var tableRow = document.createElement('tr');
                    fields.forEach(function(field){ 
                        var tableData = document.createElement('td');
                        var tableDataNode = document.createTextNode(s[field]);
                        tableData.appendChild(tableDataNode);
                        tableRow.appendChild(tableData);
                    });
                    // alert(tableId);
                    //alert('tableval' + document.getElementById(tableId) );
                    setTimeout(function() {
                        alert(document.getElementById(component.get("    {!v.tableId}")));
                   document.getElementById(component.get("{!v.tableId}")).appendChild(tableRow);
                 }, delayMillis);
                });
            }else if (state === "ERROR") {
                console.log('Error');
            }          
        });
       $A.enqueueAction(action);
    }
})
&lt;/code&gt;&lt;/pre&gt;
&lt;p&gt;But when I try calling it from the Vf page, it's not able to take the div id and reads it null and hence shows below error:&lt;/p&gt;
&lt;p&gt;Error:&lt;/p&gt;
&lt;blockquote&gt;
  &lt;p&gt;This page has an error. You might just need to refresh it. Error in
  $A.getCallback() [Cannot read property 'appendChild' of null] Callback
  failed: apex://PMD_DispRecordsController/ACTION$getRecords Failing
  descriptor: {markup://c:PMD_LightningHomepage}&lt;/p&gt;
&lt;/blockquote&gt;
&lt;p&gt;What am I doing wrong?&lt;/p&gt;
&lt;p&gt;Note: This component works fine when I do not call it from Vf page i.e preview it directly.&lt;/p&gt;
</t>
  </si>
  <si>
    <t xml:space="preserve">&lt;p&gt;We have some buttons on our contact page that via javascript update a handful of hidden fields on the object.  We are moving to the lightning UI and I understand these are not supported, but am struggling to decipher the documentation on the best replacement.   Can someone help point me in the right direction.&lt;/p&gt;
&lt;p&gt;Requirement is to update several fields on the contact that is currently on the screen...  nothing more, other than we don't use chatter so nothing with the feed please.&lt;/p&gt;
</t>
  </si>
  <si>
    <t xml:space="preserve">&lt;p&gt;The Winter 17 release included the ability to create Actions based on Lightning Components. This is most likely the way you will want to go to convert your existing JavaScript buttons. I would suggest you check out this new Trailhead that was just released which is specifically about &lt;a href="https://trailhead.salesforce.com/modules/lex_javascript_button_migration" rel="nofollow noreferrer"&gt;Lightning Alternatives to JavaScript buttons&lt;/a&gt;. &lt;/p&gt;
&lt;p&gt;I am also working on a course for Pluralsight about Lightning development and this is one of the areas I plan on covering since it is so applicable to a lot of people right now. I am not sure if you realize this but by next year, any JavaScript buttons you have will no longer work (even in classic). It is part of a &lt;a href="https://help.salesforce.com/articleView?id=Hyperlink-Formula-Fields-for-JavaScript-Disablement&amp;amp;language=en_US&amp;amp;type=1" rel="nofollow noreferrer"&gt;3 phased approach&lt;/a&gt; that Salesforce is implementing to phase them out for security reasons.&lt;/p&gt;
&lt;p&gt;Good luck in your conversion. I wish I could say it will be easy, but at least now it is possible.&lt;/p&gt;
&lt;p&gt;Best.
Sara&lt;/p&gt;
</t>
  </si>
  <si>
    <t xml:space="preserve">&lt;p&gt;Im building a small powerapps app but has some issues finding a couple of styling properties.&lt;/p&gt;
&lt;ol&gt;
&lt;li&gt;&lt;p&gt;&lt;strong&gt;&lt;em&gt;Hint text color&lt;/em&gt;&lt;/strong&gt;: where is this property located. I can easily change entered text color but the hinttext seems to be harder to find. Anyone that knows where this is located?&lt;/p&gt;&lt;/li&gt;
&lt;li&gt;&lt;p&gt;&lt;strong&gt;&lt;em&gt;Browsegallery individual item styling&lt;/em&gt;&lt;/strong&gt;: Im trying to acheive the feeling of cards for the browsegallery items / list. And to remove the default border / outline of each data item. But all styling applied after selecting an item (like border and fill) is applied to the whole control, not each item. For example, if applying fill to black on an item, the whole gallery gets a black fill.&lt;/p&gt;&lt;/li&gt;
&lt;/ol&gt;
&lt;p&gt;Probably just a matter of locating the right parameter, perhaps someone could give me a hint as where to edit these?&lt;/p&gt;
</t>
  </si>
  <si>
    <t xml:space="preserve">&lt;p&gt;I need to click on the arrow &lt;a href="https://i.stack.imgur.com/tKGiY.png" rel="nofollow noreferrer"&gt;Button&lt;/a&gt; in service cloud console to get the different option using selenium with java.&lt;/p&gt;
&lt;p&gt;I have been trying to do it by using&lt;/p&gt;
&lt;pre&gt;&lt;code&gt;build.moveToElement(casebutton, -buttonWidth - 2, -1).click().build().perform();
&lt;/code&gt;&lt;/pre&gt;
&lt;p&gt;But its not working. Please help.&lt;/p&gt;
</t>
  </si>
  <si>
    <t xml:space="preserve">&lt;p&gt;My users are wanting to be able to see the status of various rooms (Y axis) across dates (X axis) in a project timeline format. &lt;/p&gt;
&lt;p&gt;Some examples: &lt;/p&gt;
&lt;p&gt;&lt;a href="https://i.stack.imgur.com/FuCoX.png" rel="nofollow noreferrer"&gt;&lt;img src="https://i.stack.imgur.com/FuCoX.png" alt="enter image description here"&gt;&lt;/a&gt; &lt;/p&gt;
&lt;p&gt;&lt;a href="https://i.stack.imgur.com/WnbmV.png" rel="nofollow noreferrer"&gt;&lt;img src="https://i.stack.imgur.com/WnbmV.png" alt="enter image description here"&gt;&lt;/a&gt;&lt;/p&gt;
&lt;p&gt;I was hoping to maybe utilize the bar chart widget, but it looks like that requires the fields to be numerical (dates won't work).&lt;/p&gt;
&lt;p&gt;Like I said, I realize it is a long shot, but I figured I would try.  &lt;/p&gt;
</t>
  </si>
  <si>
    <t xml:space="preserve">&lt;p&gt;brand new to App Maker (loving it). I need help to create a auto-number field, so my App can be referenced by a uniqueID. My previous app used Sheets and I was able to compile a script that got the lastvalue and added 1 for each new record. Here was my old code:  &lt;/p&gt;
&lt;pre&gt;&lt;code&gt;var SS = SpreadsheetApp.openById(Key).getSheetByName('Data');
var LR = SS.getLastRow();
var SC = SS.getRange('A1').getValue();
if(! SC){SS.getRange('A1').setValue(1);return}; 
var colValues = SS.getRange('A1:A').getValues();
var CNT=0;
for(var r in colValues){ 
if(Number(colValues[r][0]&amp;gt;CNT)){CNT=colValues[r][0]}; 
} CNT++ ;
var setCID = SS.getRange('a1').offset(LR, 0);
&lt;/code&gt;&lt;/pre&gt;
&lt;p&gt;So if the Previous Clinic ID was 27, setCID would be 28&lt;/p&gt;
&lt;p&gt;Cant seem to find anything about this. Can anyone guide me using AppMaker as this obviously wont work. 
Thanks. Deryk&lt;/p&gt;
</t>
  </si>
  <si>
    <t xml:space="preserve">&lt;p&gt;I have my lightning component set up like this:&lt;/p&gt;
&lt;pre&gt;&lt;code&gt;&amp;lt;aura:component &amp;gt;
&amp;lt;aura:attribute name="opts" type="List" default="['Tyler Dahle','Molly Demouser','Penny Demouser', 'Ted Demouser']"/&amp;gt;
&amp;lt;lightning:tabset aura:id="tabBar" variant="scoped" selectedTabId="none"&amp;gt;
    &amp;lt;lightning:tab aura:id="ownerTab"&amp;gt;
        &amp;lt;aura:set attribute="label"&amp;gt;
            &amp;lt;lightning:icon iconName="utility:groups"/&amp;gt;
        &amp;lt;/aura:set&amp;gt;
        &amp;lt;lightning:select name="users" label="Select Users/Groups/Resources:"&amp;gt;
            &amp;lt;aura:iteration items="{!v.opts}" var="option"&amp;gt;
                &amp;lt;option&amp;gt;{!option}&amp;lt;/option&amp;gt;
            &amp;lt;/aura:iteration&amp;gt;
        &amp;lt;/lightning:select&amp;gt;
        &amp;lt;lightning:input type="checkbox" label="Enable" name="Enable User Filter" checked="true"/&amp;gt;
        &amp;lt;lightning:button class="closeUser" variant="base" iconName="utility:close" onclick="{!c.closeTabContent}"/&amp;gt;
    &amp;lt;/lightning:tab&amp;gt;
  &amp;lt;/lightning:tabset&amp;gt;
&amp;lt;/aura:component&amp;gt;
&lt;/code&gt;&lt;/pre&gt;
&lt;p&gt;Then I initialize in a visualforce page like:&lt;/p&gt;
&lt;pre&gt;&lt;code&gt;$Lightning.use("c:filterBar", function(){
                    $Lightning.createComponent("c:userTab", {label: ""}, "filterTabStrip");    
                });
&lt;/code&gt;&lt;/pre&gt;
&lt;p&gt;And it displays, and I can click through my tabs and everything. However, I have the button with the 'x' displayed in it in my tab content. When the user clicks this I want the tab content to close again, because right now, once you open a tab, a tab is always open.&lt;/p&gt;
&lt;p&gt;I tried using component.find('ownerTab') in a the controller, but that returns undefined. component.find('tabBar') returns a tab bar, then I can do .get('selectedTabId') on my tab bar and it returns the correct Id, but I can't figure out what to do to find the tab, then set its class to 'slds-tabs--scoped__content slds-hide' when the 'x' is clicked (that class I just listed is the class given to content in the html page, where 'hide' changes to 'show' when content is displayed).&lt;/p&gt;
&lt;p&gt;So I am largely wondering how I go about accessing the tab from the controller (not the tabset, but the tab), and how I might close the content. I will attempt to change it's class once I figure out how to access the tab, but I have a feeling that won't work.....&lt;/p&gt;
&lt;p&gt;thank you for any help!&lt;/p&gt;
</t>
  </si>
  <si>
    <t xml:space="preserve">&lt;p&gt;I am wondering if it is possible to add an HTML template to a lightning component that I am calling in a visual force page. I have this template in my Vf page:&lt;/p&gt;
&lt;pre&gt;&lt;code&gt;&amp;lt;script id="user_filter_template" type="text/x-kendo-template"&amp;gt;
            &amp;lt;input type="text" id="comboBox" name="comboBox"/&amp;gt;
            &amp;lt;div class="container" id="checkboxWrapper" style="margin-top: 10px;"&amp;gt;
                &amp;lt;p style="display: inline; margin-top: 10px;"&amp;gt;Enable: &amp;lt;/p&amp;gt;
                &amp;lt;input type="checkbox" id="ownerFilterCheckbox" style="margin-top: 2px;"/&amp;gt;    
            &amp;lt;/div&amp;gt;
        &amp;lt;/script&amp;gt;
&lt;/code&gt;&lt;/pre&gt;
&lt;p&gt;Then calling the component:&lt;/p&gt;
&lt;pre&gt;&lt;code&gt;$Lightning.use("c:filterBar", function(){
                    $Lightning.createComponent("c:userTab", {label: ""}, "filterTabStrip", function(comp, status, errorMessage){
                        userTemplate = $('#user_filter_template').html();
                        $A.createComponent("aura:html", {tag: "div", body: userTemplate}, function(cmp, success, errorMessage){
                            console.log(cmp);
                            var ownerTab = comp.find('ownerTabContent');
                            ownerTab.set('v.body', userTemplate);
                        });
                    });    
                });
&lt;/code&gt;&lt;/pre&gt;
&lt;p&gt;The first $Lightning.createComponent creates the tab bar that is my component, but I tried setting the body of an aura:html element to my template, then setting the body of my tab content to that new component, but I get "This page has an error. You might just need to refresh it. rerender threw an error in 'markup://aura:html' [w.o.u is not a function] Failing descriptor: {markup://aura:html" error. &lt;/p&gt;
&lt;p&gt;My component currently looks like this:&lt;/p&gt;
&lt;pre&gt;&lt;code&gt;&amp;lt;aura:component &amp;gt;
&amp;lt;aura:attribute name="opts" type="List" default="['Tyler Dahle','Molly Demouser','Penny Demouser', 'Ted Demouser']"/&amp;gt;
&amp;lt;div class="slds-tabs--scoped"&amp;gt;
    &amp;lt;ul aura:id="tabBar" class="slds-tabs--scoped__nav" role="tablist"&amp;gt;
        &amp;lt;li aura:id="ownerTab_item" class="slds-tabs--scoped__item" title="ownerTab" role="presentation" onclick="{!c.ownerTabSelect}"&amp;gt;&amp;lt;a class="slds-tabs--scoped__link" href="javascript:void(0);" role="tab" tabindex="-1" aria-selected="true" aria-controls="ownerTabContent" id="ownerTab"&amp;gt;&amp;lt;lightning:icon iconName="utility:groups"/&amp;gt;&amp;lt;/a&amp;gt;&amp;lt;/li&amp;gt;
        &amp;lt;li aura:id="locationTab_item" class="slds-tabs--scoped__item" title="locationTab" role="presentation" onclick="{!c.locationTabSelect}"&amp;gt;&amp;lt;a class="slds-tabs--scoped__link" href="javascript:void(0);" role="tab" tabindex="-1" aria-selected="true" aria-controls="locationTabContent" id="locationTab"&amp;gt;&amp;lt;lightning:icon iconName="utility:location"/&amp;gt;&amp;lt;/a&amp;gt;&amp;lt;/li&amp;gt;
        &amp;lt;li aura:id="descriptionTab_item" class="slds-tabs--scoped__item" title="descriptionTab" role="presentation" onclick="{!c.descriptionTabSelect}"&amp;gt;&amp;lt;a class="slds-tabs--scoped__link" href="javascript:void(0);" role="tab" tabindex="-1" aria-selected="true" aria-controls="descriptionTabContent" id="descriptionTab"&amp;gt;&amp;lt;lightning:icon iconName="utility:description"/&amp;gt;&amp;lt;/a&amp;gt;&amp;lt;/li&amp;gt;
        &amp;lt;li aura:id="typeTab_item" class="slds-tabs--scoped__item" title="typeTab" role="presentation" onclick="{!c.typeTabSelect}"&amp;gt;&amp;lt;a class="slds-tabs--scoped__link" href="javascript:void(0);" role="tab" tabindex="-1" aria-selected="true" aria-controls="typeTabContent" id="typeTab"&amp;gt;&amp;lt;lightning:icon iconName="utility:picklist"/&amp;gt;&amp;lt;/a&amp;gt;&amp;lt;/li&amp;gt;
        &amp;lt;li aura:id="customTab_item" class="slds-tabs--scoped__item" title="customTab" role="presentation" onclick="{!c.customTabSelect}"&amp;gt;&amp;lt;a class="slds-tabs--scoped__link" href="javascript:void(0);" role="tab" tabindex="-1" aria-selected="true" aria-controls="customTabContent" id="customTab"&amp;gt;&amp;lt;lightning:icon iconName="utility:apps"/&amp;gt;&amp;lt;/a&amp;gt;&amp;lt;/li&amp;gt;
        &amp;lt;li aura:id="settingsTab_item" class="slds-tabs--scoped__item" title="settingsTab" role="presentation" onclick="{!c.settingsTabSelect}"&amp;gt;&amp;lt;a class="slds-tabs--scoped__link" href="javascript:void(0);" role="tab" tabindex="-1" aria-selected="true" aria-controls="settingsTabContent" id="settingsTab"&amp;gt;&amp;lt;lightning:icon iconName="utility:settings"/&amp;gt;&amp;lt;/a&amp;gt;&amp;lt;/li&amp;gt;
    &amp;lt;/ul&amp;gt;
    &amp;lt;div aura:id="ownerTabContent" class="slds-tabs--scoped__content slds-hide" role="tabpanel" aria-labelledby="ownerTab"&amp;gt;
        {!v.body}
    &amp;lt;/div&amp;gt;
&lt;/code&gt;&lt;/pre&gt;
&lt;p&gt;
&lt;/p&gt;
&lt;p&gt;I am using Kendo UI, so not sure at all how to use that inside a lightning component... which is why I would love a way to just set these templates into the lighting component from my visual force page, because then the kendo elements will be all set up and ready to go and just plopped into the component.&lt;/p&gt;
&lt;p&gt;Thanks in advance for any help on this!&lt;/p&gt;
</t>
  </si>
  <si>
    <t xml:space="preserve">&lt;p&gt;This is a follow up to my previous question. I apologize if this is too complex to answer here. &lt;/p&gt;
&lt;p&gt;I am trying to be able to show my data in a timeline view. I found a timeline script from Google here: &lt;a href="https://developers.google.com/chart/interactive/docs/gallery/timeline" rel="nofollow noreferrer"&gt;https://developers.google.com/chart/interactive/docs/gallery/timeline&lt;/a&gt;&lt;/p&gt;
&lt;p&gt;But I'm not sure I am doing this correctly. I'm assuming I am supposed to: &lt;/p&gt;
&lt;p&gt;Add &lt;a href="https://www.gstatic.com/charts/loader.js" rel="nofollow noreferrer"&gt;https://www.gstatic.com/charts/loader.js&lt;/a&gt; under the Settings section of my app. &lt;/p&gt;
&lt;p&gt;Then am I inserting this code as a client script? &lt;/p&gt;
&lt;pre&gt;&lt;code&gt;google.charts.load('current', {'packages':['timeline']});
      google.charts.setOnLoadCallback(drawChart);
      function drawChart() {
        var container = document.getElementById('timeline');
        var chart = new google.visualization.Timeline(container);
        var dataTable = new google.visualization.DataTable();
        dataTable.addColumn({ type: 'string', id: 'President' });
        dataTable.addColumn({ type: 'date', id: 'Start' });
        dataTable.addColumn({ type: 'date', id: 'End' });
        dataTable.addRows([
          [ 'Washington', new Date(1789, 3, 30), new Date(1797, 2, 4) ],
          [ 'Adams',      new Date(1797, 2, 4),  new Date(1801, 2, 4) ],
          [ 'Jefferson',  new Date(1801, 2, 4),  new Date(1809, 2, 4) ]]);
        chart.draw(dataTable);
      }
&lt;/code&gt;&lt;/pre&gt;
&lt;p&gt;If so, I'm confused as I am getting an error: drawChart was used before it was defined.&lt;/p&gt;
&lt;p&gt;I was then HOPING I would swap out 'Washington' for @datasources.item.FieldName and the dates for @datasources.item.StartDate and @datasources.item.EndDate. &lt;/p&gt;
&lt;p&gt;But maybe I am totally misunderstanding how this could actually work. &lt;/p&gt;
&lt;p&gt;Also to actually show the table would I be using an HTML widget? &lt;/p&gt;
&lt;p&gt;Thank you for any help anyone could offer. &lt;/p&gt;
</t>
  </si>
  <si>
    <t xml:space="preserve">&lt;p&gt;So the short version of the question, is there a way to display only a certain portion of a Date field entry in a model? &lt;/p&gt;
&lt;p&gt;ex: I enter 02/13/2017 as an entry, but on a separate page I only want to see the day, or month or year? Not the whole thing.&lt;/p&gt;
&lt;p&gt;Longer explanation.&lt;/p&gt;
&lt;p&gt;I am using the following code in conjuncture with a &lt;a href="https://www.gstatic.com/charts/loader.js" rel="nofollow noreferrer"&gt;Google charts script&lt;/a&gt; (&lt;a href="https://stackoverflow.com/questions/42170805/applying-script-library-for-timeline"&gt;see previous question&lt;/a&gt;) to make a Timeline: &lt;/p&gt;
&lt;pre&gt;&lt;code&gt;function showChart(widget){
    google.charts.load('current', {'packages':['timeline']});
    function drawChart() {
       var container = widget.getElement();
       var chart = new google.visualization.Timeline(container);
       var dataTable = new google.visualization.DataTable();
       dataTable.addColumn({ type: 'string', id: 'President' });
       dataTable.addColumn({ type: 'date', id: 'Start' });
       dataTable.addColumn({ type: 'date', id: 'End' });
       dataTable.addRows([
          [ 'Washington', new Date(1789, 3, 30), new Date(1797, 2, 4) ],
          [ 'Adams',      new Date(1797, 2, 4),  new Date(1801, 2, 4) ],
          [ 'Jefferson',  new Date(1801, 2, 4),  new Date(1809, 2, 4) ]]);
      chart.draw(dataTable);
    }
    google.charts.setOnLoadCallback(drawChart);
}
&lt;/code&gt;&lt;/pre&gt;
&lt;p&gt;If I add/define a variable I can replace the labels for the rows with data from my model. Example: RoomName&lt;/p&gt;
&lt;pre&gt;&lt;code&gt;function showChart(widget){
        google.charts.load('current', {'packages':['timeline']});
        function drawChart() {
           var container = widget.getElement();
           var chart = new google.visualization.Timeline(container);
           var dataTable = new google.visualization.DataTable();
           var RoomName = app.datasources.TestModel.item.RoomName;
           dataTable.addColumn({ type: 'string', id: 'President' });
           dataTable.addColumn({ type: 'date', id: 'Start' });
           dataTable.addColumn({ type: 'date', id: 'End' });
           dataTable.addRows([
              [ 'RoomName', new Date(1789, 3, 30), new Date(1797, 2, 4) ],
              [ 'Adams',      new Date(1797, 2, 4),  new Date(1801, 2, 4) ],
              [ 'Jefferson',  new Date(1801, 2, 4),  new Date(1809, 2, 4) ]]);
          chart.draw(dataTable);
        }
        google.charts.setOnLoadCallback(drawChart);
    }
&lt;/code&gt;&lt;/pre&gt;
&lt;p&gt;I would like to do the same with the Check In and Check Out dates, however the new Date option has the Year, Month and Day separated into 3 variables (example above: &lt;strong&gt;new Date(1789, 3, 30)&lt;/strong&gt;. So I can't just use app.datasources.TestModel.item.CheckIn. &lt;/p&gt;
&lt;p&gt;Is there a way I can tell App make to app.datasources.TestModel.item.CheckIn (year), app.datasources.TestModel.item.CheckIn (month), app.datasources.TestModel.item.CheckIn (day)?&lt;/p&gt;
&lt;p&gt;Thank you for the help! &lt;/p&gt;
</t>
  </si>
  <si>
    <t xml:space="preserve">&lt;p&gt;I'm having a strange behaviour after the last update with the createItem function of a datasource in create mode. My datasource is a mysql table.&lt;/p&gt;
&lt;p&gt;I get it from my custom create functions as well as from the auto generated forms:&lt;/p&gt;
&lt;pre&gt;&lt;code&gt;Exception caught: Exception caught: 8 exceptions caught: (TypeError) : Cannot read property 'sb' of null; (TypeError) : Cannot read property 'sb' of null; (TypeError) : Cannot read property 'sb' of null; (TypeError) : Cannot read property 'sb' of null; (TypeError) : Cannot read property 'sb' of null; (TypeError) : Cannot read property 'sb' of null; (TypeError) : Cannot read property 'sb' of null; (TypeError) : Cannot read property 'sb' of null
at NewPage.Form1.Form1Footer.Form1SubmitButton.onClick:1:19
&lt;/code&gt;&lt;/pre&gt;
&lt;p&gt;None of the fields are mandatory, ID is AI and no formats or regex are in place&lt;/p&gt;
&lt;p&gt;Any ideas? &lt;/p&gt;
</t>
  </si>
  <si>
    <t xml:space="preserve">&lt;p&gt;I think I found the issue.&lt;/p&gt;
&lt;p&gt;I have a few query builder rules in place for many of my datasources, they respond to a widget that has a create mode datasource. &lt;/p&gt;
&lt;p&gt;&lt;strong&gt;When the createItem() event is called, all the elements of the datasoure in create mode are removed before being saved.&lt;/strong&gt; =&gt; is this the expected behavior?&lt;/p&gt;
&lt;p&gt;Therefore the values of my widgets are null, since their datasources have been refreshed and filtered with the value in the query builder.&lt;/p&gt;
&lt;p&gt;Long story short: don't bind query builder variables to values of widgets in create mode.  &lt;/p&gt;
</t>
  </si>
  <si>
    <t xml:space="preserve">&lt;p&gt;I have an element that is in a Sales-Force Lightening Application that is an HTML application. The element is a text field.&lt;/p&gt;
&lt;p&gt;I need to get data into the test field. This is the id of the text field (as follows):&lt;/p&gt;
&lt;pre&gt;&lt;code&gt;inputText115:3551;a
&lt;/code&gt;&lt;/pre&gt;
&lt;p&gt;The issue I am having is this: "3551" might as well be "WXYZ" or "ABCD" because this value is a dynamic value that is generated by the application (and Sales-Force Lightening is full of this everywhere in their applications). It makes it difficult to test it with selenium because depending on the browser and the session ID, this value changes.&lt;/p&gt;
&lt;p&gt;SO far I have not been able to do it.
I have tried:&lt;/p&gt;
&lt;pre&gt;&lt;code&gt;.click('[href="#/sObject/0012C000004TMmQQAW/view"]') &amp;lt;-- by href
.click('/html/body/div[5]/div[1]/section/div[1]/div[1]/div[2]/div/div/div[2]/div[1]/div/div[2]/div/div[4]/div/div/div[1]/table/tbody/tr[1]/th/span/a')  &amp;lt;-- by xpath
&lt;/code&gt;&lt;/pre&gt;
&lt;p&gt;So far, nothing has worked for me. &lt;/p&gt;
&lt;p&gt;How can I interact/select an element in selenium using NodeJS with a dynamic ID??&lt;/p&gt;
</t>
  </si>
  <si>
    <t xml:space="preserve">&lt;p&gt;If u have a Label before to the input field, u can find using label text. Usually the first input tag following a label is its text box&lt;/p&gt;
&lt;pre&gt;&lt;code&gt;&amp;lt;div id="myDiv"&amp;gt;
    &amp;lt;label class="label" id="usernamelabel"&amp;gt;Username&amp;lt;/label&amp;gt;
    &amp;lt;input type="text" id="inputText115:3551;a"&amp;gt;
&amp;lt;/div&amp;gt;
&lt;/code&gt;&lt;/pre&gt;
&lt;p&gt;You can find it using&lt;/p&gt;
&lt;p&gt;&lt;code&gt;driver.findElement(By.xpath("//*[text() = 'Username']/following::input[1]"));&lt;/code&gt;&lt;/p&gt;
</t>
  </si>
  <si>
    <t xml:space="preserve">&lt;p&gt;Is there any way to change the font size in the Table-Chart Widget? &lt;/p&gt;
&lt;p&gt;I tried this but it didn't work: &lt;/p&gt;
&lt;pre&gt;&lt;code&gt;.app-TableChart.Size12 .app-TableChart{
  font-size: 12px;
}
&lt;/code&gt;&lt;/pre&gt;
</t>
  </si>
  <si>
    <t xml:space="preserve">&lt;p&gt;Good try. Unfortunately there are styles that apply directly to the cells so the font size does not inherit from the container. Try this:&lt;/p&gt;
&lt;pre&gt;&lt;code&gt;.app-TableChart .google-visualization-table th,
.app-TableChart .google-visualization-table td {
  font-size: 12px;
}
&lt;/code&gt;&lt;/pre&gt;
</t>
  </si>
  <si>
    <t xml:space="preserve">&lt;p&gt;I am trying to get the current URL in an AppMaker app.  However, the standard JavaScript ways do not work, ScriptApp is not available in AppMaker, and the objects that &lt;em&gt;are&lt;/em&gt; in AppMaker do not return the correct URL (that starts with &lt;a href="https://script.google.com" rel="nofollow noreferrer"&gt;https://script.google.com&lt;/a&gt;).&lt;/p&gt;
&lt;p&gt;Thanks for any suggestions.&lt;/p&gt;
</t>
  </si>
  <si>
    <t xml:space="preserve">&lt;p&gt;You can run a backend/serverside script and use Apps Script&lt;/p&gt;
&lt;pre&gt;&lt;code&gt;ScriptApp.getService().getUrl()
&lt;/code&gt;&lt;/pre&gt;
&lt;p&gt;See the doc &lt;a href="https://developers.google.com/apps-script/reference/script/service" rel="noreferrer"&gt;ScriptApp Documentation&lt;/a&gt; &lt;/p&gt;
</t>
  </si>
  <si>
    <t xml:space="preserve">&lt;p&gt;I have this cURL request that I want to convert into a Python Request code.&lt;/p&gt;
&lt;p&gt;The cURL content is&lt;/p&gt;
&lt;pre&gt;&lt;code&gt;curl -H "X-PrettyPrint: 1" 
     -F 'json={"title":"PandaTest"};type=application/json' 
     -F "fileData=@rename.py;type=application/octet-stream" 
     -X POST https://cs31.salesforce.com/services/data/v39.0/connect/files/users/me 
     -H 'Authorization: 00Dp000000.....CqqU0.S_5r' --insecure
&lt;/code&gt;&lt;/pre&gt;
&lt;p&gt;For more details of the request check the SalesForce docs it contains the HTTP request message - &lt;a href="https://developer.salesforce.com/docs/atlas.en-us.chatterapi.meta/chatterapi/intro_input.htm#feedElementBatch" rel="nofollow noreferrer"&gt;here&lt;/a&gt;. Search for the section &lt;code&gt;Upload a file to the Files home&lt;/code&gt;. &lt;/p&gt;
&lt;p&gt;The Python counter part of it what I've written is&lt;/p&gt;
&lt;pre&gt;&lt;code&gt;import requests
files = {
            "fileData" : open("rename.py", "rb"),
            "json" : '{"title":"PandaTest"}'
        }
headers = {
              'Authorization': 'OAuth 00Dp00000000u....n3ZGuoZK2wYJRCqqU0.S_5r',
              "Content-Disposition": "form-data 'fileData'"
          }
r = requests.post('https://cs31.salesforce.com/services/data/v39.0/connect/files/users/me/',
                  data=files, headers=headers)
data = json.loads(r.text)
print data
&lt;/code&gt;&lt;/pre&gt;
&lt;p&gt;My request is sent successfully but I get an error &lt;code&gt;Missing expected "fileData" binary parameter&lt;/code&gt;.I have a feeling the request which I'm trying to send is not formed correctly. Where exactly did I go wrong?&lt;/p&gt;
&lt;p&gt;I have a feeling I'm not handling the 2 &lt;code&gt;-F&lt;/code&gt; in the cURL request correctly.&lt;/p&gt;
</t>
  </si>
  <si>
    <t xml:space="preserve">&lt;p&gt;I have 2 tables&lt;/p&gt;
&lt;p&gt;&lt;strong&gt;First Table&lt;/strong&gt;: Contact Columns: &lt;/p&gt;
&lt;pre&gt;&lt;code&gt;Customer ID,Project ID1,Project ID2,Project ID3
&lt;/code&gt;&lt;/pre&gt;
&lt;p&gt;so one contact will have one row.&lt;/p&gt;
&lt;p&gt;&lt;strong&gt;Second Table:&lt;/strong&gt; Timesheet Columns &lt;/p&gt;
&lt;pre&gt;&lt;code&gt;Project ID, Name, Owner, Hours
&lt;/code&gt;&lt;/pre&gt;
&lt;p&gt;One contact can have multiple entries.&lt;/p&gt;
&lt;p&gt;I want to match project id from time sheet table to 3 columns of contact table.&lt;/p&gt;
&lt;p&gt;I am using following query.&lt;/p&gt;
&lt;pre&gt;&lt;code&gt;SELECT "Customer ID","Project ID","Project Name","Owner",
        "Hours","Approval Status","Status","Project Manager",
        "Sales Person","Account Manager","Discount %","Hourly Rate",
        "Monthly Budget","Total Budget" 
FROM  "Timesheets" 
    LEFT JOIN "Contacts (Boost Media Group)" 
        ON "Timesheets"."Project ID" = "Contacts (Boost Media Group)"."Zoho Projects ID 1";
&lt;/code&gt;&lt;/pre&gt;
&lt;p&gt;But it is not returning desired result because I could not check it with Project ID2,Project ID3 of contact table.&lt;/p&gt;
&lt;p&gt;Any suggestions how I can solve this?&lt;/p&gt;
</t>
  </si>
  <si>
    <t xml:space="preserve">&lt;p&gt;Correct me if I am wrong. I guess you want them when any of the condition (Zoho Projects ID 3 or Zoho Projects ID 2 or Zoho Projects ID 1) maches with "Timesheets"."Project ID"&lt;/p&gt;
&lt;pre&gt;&lt;code&gt;SELECT "Customer ID","Project ID","Project Name","Owner",
        "Hours","Approval Status","Status","Project Manager",
        "Sales Person","Account Manager","Discount %","Hourly Rate",
        "Monthly Budget","Total Budget" 
FROM  "Timesheets" 
    LEFT JOIN "Contacts (Boost Media Group)" 
        ON "Timesheets"."Project ID" = "Contacts (Boost Media Group)"."Zoho Projects ID 1"
or "Timesheets"."Project ID" = "Contacts (Boost Media Group)"."Zoho Projects ID 2"
or "Timesheets"."Project ID" = "Contacts (Boost Media Group)"."Zoho Projects ID 3"
&lt;/code&gt;&lt;/pre&gt;
</t>
  </si>
  <si>
    <t xml:space="preserve">&lt;p&gt;I am trying to use suggest box for a model that is setup with drive tables.&lt;/p&gt;
&lt;p&gt;I found this similar question, however this model is using sql
&lt;a href="https://stackoverflow.com/questions/41045890/suggest-box-not-working-for-sql"&gt;Suggest Box not working for SQL&lt;/a&gt;&lt;/p&gt;
&lt;p&gt;When I enter a character into the suggest box - the debug logger displays:&lt;/p&gt;
&lt;p&gt;Drive Tables models do not support distinct sorted field values. Error: Drive Tables models do not support distinct sorted field values.&lt;/p&gt;
&lt;p&gt;Query for field suggest oracle.: (Error) : Drive Tables models do not support distinct sorted field values.&lt;/p&gt;
&lt;p&gt;Query for field suggest oracle. failed.&lt;/p&gt;
&lt;hr&gt;
&lt;p&gt;I am able to get it working using a text box, however this does not have the addition functionality that the suggest box has.&lt;/p&gt;
</t>
  </si>
  <si>
    <t xml:space="preserve">&lt;p&gt;I have a WordPress  site and I have an app of  &lt;a href="https://support.zoho.com/portal/dataopsinc/signin#home" rel="nofollow noreferrer"&gt;zoho &lt;/a&gt;  , I want to create a new user remotely and login remotely if possible. So that user automatically gets login when i redirect user to zoho.&lt;br&gt;&lt;br&gt; I have tried ( one login , mini-orange and others ) but nothing working. &lt;/p&gt;
</t>
  </si>
  <si>
    <t xml:space="preserve">&lt;p&gt;I have a pushTopic in Salesforce, and that listens to some fields&lt;/p&gt;
&lt;p&gt;&lt;code&gt;SELECT Id, f1, f2 FROM InvoiceStatement__c&lt;/code&gt;&lt;/p&gt;
&lt;p&gt;And what I'd really like is a way to say something like:&lt;/p&gt;
&lt;p&gt;&lt;code&gt;SELECT Id, f1, f2 FROM InvoiceStatement__c WHERE f2 changed&lt;/code&gt;&lt;/p&gt;
&lt;p&gt;This way I'd only be sent a notification when the field f2 changed, which is the only field I really care about, I just need the others for some bookkeeping. &lt;/p&gt;
</t>
  </si>
  <si>
    <t xml:space="preserve">&lt;p&gt;So I have setup a model/table that users will use as a project task list. I would like it so that when they change the Status (a field in the model) of an item to either Completed or Cancelled it is hidden. &lt;/p&gt;
&lt;p&gt;That way they are only dealing with active entries. But I would also like them to be able to view these hidden (archived) items if needed. &lt;/p&gt;
&lt;p&gt;I added the following code to the onAttach option of the table&lt;/p&gt;
&lt;pre&gt;&lt;code&gt;var datasource = app.datasources.Projects;
 datasource.query.filters.Status._notContains = 'Completed';
 datasource.load();
&lt;/code&gt;&lt;/pre&gt;
&lt;p&gt;And then I have a button with the following code so they can see hidden/archived items: &lt;/p&gt;
&lt;pre&gt;&lt;code&gt;widget.datasource.query.clearFilters();
widget.datasource.load();
app.closeDialog();
var datasource = app.datasources.Projects;
 datasource.query.filters.Status._contains = 'Completed';
 datasource.load();
&lt;/code&gt;&lt;/pre&gt;
&lt;p&gt;It works, but I feel like there might be a better/more elegant way to accomplish this. Especially since it looks like the app has to load then data, THEN filter it (which results in a slower load). (I think I might have some redundant code in there as well)&lt;/p&gt;
&lt;p&gt;Also I feel like I am missing something with my syntax, because I can't get it to filter out Completed AND Cancelled.&lt;/p&gt;
&lt;p&gt;Thank you for your help! &lt;/p&gt;
</t>
  </si>
  <si>
    <t xml:space="preserve">&lt;p&gt;I have a PowerApp that is supposed to add data to a SharePoint list. The SharePoint list has an ID column that should not be filled out by the user but should increase automatically with each new row of data. &lt;/p&gt;
&lt;p&gt;Right now the ID field in the App has to filled out by the user, but this leads to duplicates in the SharePoint list.&lt;/p&gt;
&lt;p&gt;How can i make the ID value to increase by 1 after each data input from a PowerApp to a SharePoint List, without any user input?&lt;/p&gt;
</t>
  </si>
  <si>
    <t xml:space="preserve">&lt;p&gt;How can I use the query/filter function to filter out two categories of the same field. &lt;/p&gt;
&lt;p&gt;Example which currently works to filter "Completed" task: &lt;/p&gt;
&lt;pre&gt;&lt;code&gt;var datasource = app.datasources.Project;
 datasource.query.filters.Status._notContains = 'Completed';
 datasource.load();
&lt;/code&gt;&lt;/pre&gt;
&lt;p&gt;But I would like to have it filter both "Completed" AND "Canceled" tasks. &lt;/p&gt;
&lt;p&gt;I tried these, but they didn't seem to work: &lt;/p&gt;
&lt;p&gt;Example 1&lt;/p&gt;
&lt;pre&gt;&lt;code&gt; var datasource = app.datasources.Project;
     datasource.query.filters.Status._notContains = 'Completed';
     datasource.query.filters.Status._notContains = 'Canceled';
     datasource.load();
&lt;/code&gt;&lt;/pre&gt;
&lt;p&gt;Example 2&lt;/p&gt;
&lt;pre&gt;&lt;code&gt;var datasource = app.datasources.Project;
     datasource.query.filters.Status._notContains = 'Completed', 'Canceled';
     datasource.load();
&lt;/code&gt;&lt;/pre&gt;
&lt;p&gt;Any help would be appreciated. Thanks! &lt;/p&gt;
</t>
  </si>
  <si>
    <t xml:space="preserve">&lt;p&gt;I want my login URL to be appended with some params. In the community login controller class I want to retrieve this URL value and create a record based on that. I tried to set those params as an attribute and on the init method I tried to fetch those attributes but it does not work. Can somebody post me some sample code to get the values of params in the URL.&lt;/p&gt;
</t>
  </si>
  <si>
    <t xml:space="preserve">&lt;p&gt;I'm trying to integrate a progress bar to my app. I use a &lt;strong&gt;table&lt;/strong&gt; to display the &lt;em&gt;assignments items&lt;/em&gt;. Inside the &lt;strong&gt;table row&lt;/strong&gt;, I have a &lt;strong&gt;label&lt;/strong&gt; inside a &lt;strong&gt;horizontal panel&lt;/strong&gt;. The label width is set to 0 inside the &lt;strong&gt;layout&lt;/strong&gt; options. I'm getting the desired label width percent from another widget and the label &lt;strong&gt;onAttach&lt;/strong&gt; event has the following code:&lt;/p&gt;
&lt;pre&gt;&lt;code&gt;function setProgress(){  
  var percent = widget.parent.parent.descendants.Label8.text;      
  widget.getElement().setAttribute("width", percent);
  //widget.getElement().width = percent;
  //this.widget.getElement().setAttribute("width", percent);    
}
setProgress();
&lt;/code&gt;&lt;/pre&gt;
&lt;p&gt;The above is not working at all. If I use JQuery, it works by doing the following:&lt;/p&gt;
&lt;pre&gt;&lt;code&gt;function setProgress(){  
  var percent = widget.parent.parent.descendants.Label8.text;          
  $(".app-DashboardAdmin-Label9").css("width", percent);
}
setProgress();
&lt;/code&gt;&lt;/pre&gt;
&lt;p&gt;The problem is that by using JQuery, the width of the progress bar for all the items in the table is the same. I assume the only possible way would be to create styles that would match all the possible percent outcomes and match them accordingly. That would require me to create around 50 styles and then do following:&lt;/p&gt;
&lt;pre&gt;&lt;code&gt;function setProgress(){  
  var percent = widget.parent.parent.descendants.Label8.text;          
  if(percent === "0%") {
    widget.styles = ["zeropercent"];
  } else if (percent === "10%"){
      widget.styles = ["tenpercent"];
  } else if (percent === "12.5%"){
      widget.styles = ["12pointfivepercent"];
  } else if (percent === "15%"){
      widget.styles = ["fifteenpercent"];
  } etc, etc, etc.
}
setProgress();
&lt;/code&gt;&lt;/pre&gt;
&lt;p&gt;Now, that is a lot of hassle to achieve a very simple thing. Is there any suggestion that you can give or should I just give up on this?&lt;/p&gt;
</t>
  </si>
  <si>
    <t xml:space="preserve">&lt;p&gt;To achieve this:&lt;/p&gt;
&lt;p&gt;&lt;a href="https://i.stack.imgur.com/ApMgB.png" rel="nofollow noreferrer"&gt;&lt;img src="https://i.stack.imgur.com/ApMgB.png" alt="enter image description here"&gt;&lt;/a&gt;&lt;/p&gt;
&lt;ul&gt;
&lt;li&gt;&lt;p&gt;Add an onDataLoad handler for the label&lt;/p&gt;
&lt;pre&gt;&lt;code&gt;drawProgress(widget);
&lt;/code&gt;&lt;/pre&gt;&lt;/li&gt;
&lt;li&gt;&lt;p&gt;Add style &lt;code&gt;progress&lt;/code&gt; to the label and set its width to 100.&lt;/p&gt;&lt;/li&gt;
&lt;li&gt;&lt;p&gt;In a client script (modify the first line to capture your data):&lt;/p&gt;
&lt;pre&gt;&lt;code&gt;function drawProgress(widget){
  var progress=widget.datasource.item.progress;
  var div=widget.getElement();
  div.innerText='';
  var innerDiv=document.createElement('div');
  innerDiv.setAttribute('class','progress-bar');
  innerDiv.setAttribute('style','width:'+progress+'px');
  div.appendChild(innerDiv);
}
&lt;/code&gt;&lt;/pre&gt;&lt;/li&gt;
&lt;li&gt;&lt;p&gt;Add to styles:&lt;/p&gt;
&lt;pre&gt;&lt;code&gt;.progress-bar{
  background-color: navy;
  height: 10px;
}
.app-Label.progress{
   border: 1px solid silver;
}
&lt;/code&gt;&lt;/pre&gt;&lt;/li&gt;
&lt;/ul&gt;
</t>
  </si>
  <si>
    <t xml:space="preserve">&lt;p&gt;I have created a Custom API in Microsoft's Power Apps. For creating this API, i have uploaded swagger.json file for the API's.The API's support Basic Authentication.
After creating API, a connection has been established for the same.
While using the created API in Microsoft Flow I am getting Invalid Connection error. Any ideas how to debug this or how to create a valid connection ?&lt;/p&gt;
</t>
  </si>
  <si>
    <t xml:space="preserve">&lt;p&gt;Can we make client HTTP requests in lightning now for the Spring 17 release?&lt;/p&gt;
&lt;p&gt;What does "cps trusted sites" mean?&lt;/p&gt;
</t>
  </si>
  <si>
    <t xml:space="preserve">&lt;p&gt;I configured the Billing Country and Billing State/province as picklist in salesfoce. The problem of this picklist; it contains just some of countr's state like Canada, US. When I choose US as country automatically the billing state/province displays list of state of US. But when I choode Belguim as Country I get None in billing state/province picklist. My question is How to import the Country's states/provinces list like Belguim.
Best regards&lt;/p&gt;
</t>
  </si>
  <si>
    <t xml:space="preserve">&lt;p&gt;I got an assignment to see if I can make power app that will generate some PDF file for end user to see. 
After through research on this topic I found out that this is not an easy to achieve :)
In order to make power app generate and download/show generated pdf I made these steps:&lt;/p&gt;
&lt;ol&gt;
&lt;li&gt;Created power app with just one button :) to call Azure function from step 2&lt;/li&gt;
&lt;li&gt;Created Azure function that will generate and return pdf as StreamContent&lt;/li&gt;
&lt;/ol&gt;
&lt;p&gt;Due to power app limitations (or I just could not find the way) there was no way for me to get pdf from response inside power app.
After this, I changed my Azure function to create new blob entry but know I have problem to get URL for that new entry inside Azure function in order to return this to power app and then use inside power app Download function&lt;/p&gt;
&lt;p&gt;My Azure function code is below&lt;/p&gt;
&lt;pre&gt;&lt;code&gt;using System;
using System.Net;
using System.Net.Http.Headers;
using System.Runtime.InteropServices;
using Aspose.Words;
public static async Task&amp;lt;HttpResponseMessage&amp;gt; Run(HttpRequestMessage req, TraceWriter log, Stream outputBlob)
{
    log.Info($"C# HTTP trigger function processed a request. RequestUri={req.RequestUri}");
    var dataDir = @"D:/home";
    var docFile = $"{dataDir}/word-templates/WordAutomationTest.docx";
    var uid = Guid.NewGuid().ToString().Replace("-", "");
    var pdfFile = $"{dataDir}/pdf-export/WordAutomationTest_{uid}.pdf";
    var doc = new Document(docFile);
    doc.Save(pdfFile);
    var result = new HttpResponseMessage(HttpStatusCode.OK);
    var stream = new FileStream(pdfFile, FileMode.Open);
    stream.CopyTo(outputBlob);
    // result.Content = new StreamContent(stream);
    // result.Content.Headers.ContentDisposition = new ContentDispositionHeaderValue("attachment");
    // result.Content.Headers.ContentDisposition.FileName = Path.GetFileName(pdfFile);
    // result.Content.Headers.ContentType = new MediaTypeHeaderValue("application/octet-stream");
    // result.Content.Headers.ContentLength = stream.Length;
    return result;
}
&lt;/code&gt;&lt;/pre&gt;
&lt;p&gt;I left old code (the one that streams pdf back under comments just as reference of what I tried)&lt;/p&gt;
&lt;p&gt;Is there any way to get download URL for newly generated blob entry inside Azure function?
Is there any better way to make power app generate and download/show generated PDF?&lt;/p&gt;
&lt;p&gt;P.S. I tried to use PDFViewer control inside power app, but this control is completely useless cause U can not set Document value via function&lt;/p&gt;
&lt;p&gt;&lt;strong&gt;EDIT&lt;/strong&gt;: Response from @mathewc helped me a lot to finally wrap this up. All details are below.
New Azure function that works as expected&lt;/p&gt;
&lt;pre&gt;&lt;code&gt;#r "Microsoft.WindowsAzure.Storage"
using System;
using System.Net;
using System.Net.Http.Headers;
using System.Runtime.InteropServices;
using Aspose.Words;
using Microsoft.WindowsAzure.Storage.Blob;
public static async Task&amp;lt;HttpResponseMessage&amp;gt; Run(HttpRequestMessage req, TraceWriter log, CloudBlockBlob outputBlob)
{
    log.Info($"C# HTTP trigger function processed a request. RequestUri={req.RequestUri}");
    var dataDir = @"D:/home";
    var docFile = $"{dataDir}/word-templates/WordAutomationTest.docx";
    var uid = Guid.NewGuid().ToString().Replace("-", "");
    var pdfFile = $"{dataDir}/pdf-export/WordAutomationTest_{uid}.pdf";
    var doc = new Document(docFile);
    doc.Save(pdfFile);
    var result = new HttpResponseMessage(HttpStatusCode.OK);
    var stream = new FileStream(pdfFile, FileMode.Open);
    outputBlob.UploadFromStream(stream);
    return req.CreateResponse(HttpStatusCode.OK, outputBlob.Uri);
}
&lt;/code&gt;&lt;/pre&gt;
&lt;p&gt;&lt;strong&gt;REMARKS&lt;/strong&gt;: &lt;/p&gt;
&lt;ol&gt;
&lt;li&gt;Wee need to add "WindowsAzure.Storage" : "7.2.1" inside project.json. This package &lt;strong&gt;MUST&lt;/strong&gt; be the same version as one with same name that is in %USERPROFILE%\AppData\Local\Azure.Functions.Cli&lt;/li&gt;
&lt;/ol&gt;
</t>
  </si>
  <si>
    <t xml:space="preserve">&lt;p&gt;I am new to Jhipster and trying to configure zoho and I am getting errors. &lt;/p&gt;
&lt;p&gt;My setting in /myjhipsterapplicationname/src/main/resources/config/application-dev.yml&lt;/p&gt;
&lt;pre&gt;&lt;code&gt;mail:
host: smtp.zoho.com
port: 587
username: ****@myCustomDomainOnZoho.com
password: ******   // My password for the above email  
protocol: smtp
tls: true
properties.mail.smtp:
auth: true
starttls.enable: true
ssl.trust: smtp.zoho.com
&lt;/code&gt;&lt;/pre&gt;
&lt;p&gt;Errors, I am receiving&lt;/p&gt;
&lt;pre&gt;&lt;code&gt;2017-03-02 21:15:13.421  WARN 6192 --- [ints-Executor-2] com.nectotech.com.service.MailService    : E-mail could not be sent to user 'asif@nectotech.com'
org.springframework.mail.MailSendException: Failed to close server connection after message failures; nested exception is javax.mail.MessagingException: Can't send command to SMTP host;
  nested exception is:
        java.net.SocketException: Connection closed by remote host. Failed messages: com.sun.mail.smtp.SMTPSendFailedException: 553 Relaying disallowed as breakpoints@localhost
&lt;/code&gt;&lt;/pre&gt;
</t>
  </si>
  <si>
    <t xml:space="preserve">&lt;p&gt;I tried the following and it worked. &lt;/p&gt;
&lt;ol&gt;
&lt;li&gt;Go to /myjhipsterapplicationname/src/main/resources/config/application-dev.yml&lt;/li&gt;
&lt;li&gt;&lt;p&gt;Search for&lt;/p&gt;
&lt;p&gt;mail: # specific JHipster mail property, for standard properties see MailProperties&lt;/p&gt;
&lt;p&gt;from:&lt;/p&gt;&lt;/li&gt;
&lt;li&gt;&lt;p&gt;Replace the value of property from: with your SMTP outgoing email address &lt;/p&gt;&lt;/li&gt;
&lt;/ol&gt;
</t>
  </si>
  <si>
    <t xml:space="preserve">&lt;p&gt;In OutSystems service studio (version 10.0.450.0), when I right click an Entity and Select "View Data", some of the columns are not displayed in the output.&lt;/p&gt;
&lt;p&gt;Is this expected behavior or perhaps a bug?&lt;/p&gt;
</t>
  </si>
  <si>
    <t xml:space="preserve">&lt;p&gt;I posted on the &lt;a href="http://www.outsystems.com/forums/discussion/22034/entity-view-data-does-not-show-all-columns/?%28Not.Licensed.For.Production%29=#Post86382" rel="nofollow noreferrer"&gt;OutSystems forum&lt;/a&gt; and they responded that it is indeed a &lt;a href="http://www.outsystems.com/forums/discussion/22034/entity-view-data-does-not-show-all-columns/?%28Not.Licensed.For.Production%29=#Post86585" rel="nofollow noreferrer"&gt;bug&lt;/a&gt;.&lt;/p&gt;
</t>
  </si>
  <si>
    <t xml:space="preserve">&lt;p&gt;I have a simple service (C# web service) that accepts an integer and returns an integer, i have tested it using Storm it is working properly. &lt;/p&gt;
&lt;p&gt;Now i am calling this service in a for loop in a file with around 2000 records approx, this service is failing giving the above error with some records. If i run the error file it goes through as if nothing was wrong, what might be the problem please help.&lt;/p&gt;
</t>
  </si>
  <si>
    <t xml:space="preserve">&lt;p&gt;Is there a way to open a second Fragment Page? (ie. open multiple fragment pages at the same time)&lt;/p&gt;
&lt;p&gt;I have a database setup and when users click a button a Fragment Page pops up so they can edit the fields. I would like to try and have a sub-menu appear for comments (so they don't have to scroll all the way to the bottom of the screen). &lt;/p&gt;
&lt;p&gt;Something like the Menu in the Material Gallery Sample would be great.&lt;/p&gt;
&lt;p&gt;Note: &lt;/p&gt;
&lt;p&gt;I am currently using &lt;strong&gt;app.showDialog(app.pageFragments.Menu);&lt;/strong&gt; to open the Page Fragments. &lt;/p&gt;
&lt;p&gt;Having both Fragments open side by side would be a usable options as well. &lt;/p&gt;
&lt;p&gt;Thanks! &lt;/p&gt;
&lt;p&gt;Here is an example diagram. &lt;/p&gt;
&lt;p&gt;&lt;a href="https://i.stack.imgur.com/uExU9.png" rel="nofollow noreferrer"&gt;&lt;img src="https://i.stack.imgur.com/uExU9.png" alt="enter image description here"&gt;&lt;/a&gt;&lt;/p&gt;
</t>
  </si>
  <si>
    <t xml:space="preserve">&lt;p&gt;I have a trigger on a master-detail object where &lt;code&gt;Doctor&lt;/code&gt; is master and &lt;code&gt;Patient&lt;/code&gt; is child. &lt;code&gt;Doctor&lt;/code&gt; has a field called &lt;code&gt;TotalAmount&lt;/code&gt; and &lt;code&gt;Patient&lt;/code&gt; has a field called &lt;code&gt;Amount&lt;/code&gt;. Now, when a patient is filling in the amount field, the &lt;code&gt;TotalAmount&lt;/code&gt; field in &lt;code&gt;Doctor&lt;/code&gt; should give the sum of &lt;code&gt;Amount&lt;/code&gt; in all the patient records.&lt;/p&gt;
&lt;p&gt;I have written the code below, but it shows an error:&lt;/p&gt;
&lt;blockquote&gt;
  &lt;p&gt;Invalid identifier: Amount__c&lt;/p&gt;
&lt;/blockquote&gt;
&lt;p&gt;How can I fix this?&lt;/p&gt;
&lt;pre&gt;&lt;code&gt;trigger tgPatient on Patient__c (after insert,after update) {
    Set&amp;lt;Id&amp;gt;SetDoctor = new Set&amp;lt;Id&amp;gt;(); 
    for (Patient__c p : trigger.new) {
        if( p.Amount__c != Null ) {
            SetDoctor.add(p.Doctor__c);
        }
    }
    List&amp;lt;Doctor&amp;gt; lstDoctor = new List&amp;lt;Doctor&amp;gt;();
    for( Doctor__c d : [SELECT Id, (SELECT Id,Amount__c FROM Patients__r) FROM Doctor__c WHERE Id IN:SetDoctor]){
        Integer Amount__c = 0; 
        for (Patient__c p : d.Patient__r) {
            int Amount__c += p.Amount__c;
        }
        d.Total_Amount__c = int Amount__c;
        lstDoctor.add(d);
    }
    update lstDoctor;
}
&lt;/code&gt;&lt;/pre&gt;
</t>
  </si>
  <si>
    <t xml:space="preserve">&lt;p&gt;How do you publish a post to a contact using the Salesforce REST API? I cannot find any useful resources to complete this task. I have the Contact ID. I noticed a call sobjects/Note however its not working as I thought.&lt;/p&gt;
</t>
  </si>
  <si>
    <t xml:space="preserve">&lt;p&gt;I have a datasource "Stock" with a one to one relationship with "Location".&lt;/p&gt;
&lt;p&gt;When I drag a form to the canvas for the Stock datasource, it creates a dropdown for the Location. That's fine but there are a lot of Locations, so I want to change the dropdown to a Suggest Box. So, I have added the search box to the form and am trying to use the same options and value parameters that App Maker generated for the dropdown, but App Maker won't let me.&lt;/p&gt;
&lt;p&gt;These are the values:&lt;/p&gt;
&lt;pre&gt;&lt;code&gt;options: datasources.Locations.items
value: datasource.item.Locations
&lt;/code&gt;&lt;/pre&gt;
&lt;p&gt;In both cases, the Save button in the editor dialog is disabled.&lt;/p&gt;
&lt;p&gt;What am I doing wrong?&lt;/p&gt;
</t>
  </si>
  <si>
    <t xml:space="preserve">&lt;p&gt;I think by "Search Box", you mean the suggest text field widget. Since you want the value of the suggest text field to be a record, look in the proeprty editor for the section called "Suggest Box Query Options". In that section, select the model and field you want to use. Since you want to set the value of a relation make sure the "valueIsRecord" property is set to true. Don't bind options, just bind the value.&lt;/p&gt;
</t>
  </si>
  <si>
    <t xml:space="preserve">&lt;p&gt;I'm trying to center a 940px widget in my page.
In the layout panel it's not possible to set &lt;code&gt;Left&lt;/code&gt; and &lt;code&gt;Right&lt;/code&gt; to &lt;code&gt;auto&lt;/code&gt; at the same time.&lt;/p&gt;
&lt;p&gt;So far I can only attach a block to left or right. Is it possible to center it to have all the element to stay in the center on large display like stackoverflow.com  ?&lt;/p&gt;
&lt;p&gt;&lt;a href="https://i.stack.imgur.com/ZbSqG.png" rel="nofollow noreferrer"&gt;&lt;img src="https://i.stack.imgur.com/ZbSqG.png" alt="enter image description here"&gt;&lt;/a&gt;&lt;/p&gt;
</t>
  </si>
  <si>
    <t xml:space="preserve">&lt;p&gt;It is possible to do that. An approach that you can take is to change the page layout to vertical.&lt;/p&gt;
&lt;p&gt;&lt;a href="https://i.stack.imgur.com/mUbAe.png" rel="nofollow noreferrer"&gt;&lt;img src="https://i.stack.imgur.com/mUbAe.png" alt="enter image description here"&gt;&lt;/a&gt;&lt;/p&gt;
&lt;p&gt;Then change the widget's Layout align attribute value to center.&lt;/p&gt;
&lt;p&gt;&lt;a href="https://i.stack.imgur.com/ecgu4.png" rel="nofollow noreferrer"&gt;&lt;img src="https://i.stack.imgur.com/ecgu4.png" alt="enter image description here"&gt;&lt;/a&gt;&lt;/p&gt;
&lt;p&gt;I hope this information helps!&lt;/p&gt;
</t>
  </si>
  <si>
    <t xml:space="preserve">&lt;p&gt;I have loaded data from a Google Sheet into an App Maker datasource. Now I have made a change to the original sheet and want to import the new data and overwrite the old or alternatively just clear the existing data and import the new data from the sheet. I don't see a way to do either in &lt;a href="https://developers.google.com/appmaker/models/import-export#import_your_data_from_a_google_spreadsheet" rel="nofollow noreferrer"&gt;the docs&lt;/a&gt;. &lt;/p&gt;
</t>
  </si>
  <si>
    <t xml:space="preserve">&lt;p&gt;I use the following command to clear a drivetable when needed:&lt;/p&gt;
&lt;pre class="lang-js prettyprint-override"&gt;&lt;code&gt;app.datasources.DatasourceName.unload();
&lt;/code&gt;&lt;/pre&gt;
&lt;p&gt;&lt;strong&gt;Edit:&lt;/strong&gt;&lt;/p&gt;
&lt;p&gt;This will clear the table on the client. To delete all Records in a drive table use the following &lt;strong&gt;server script&lt;/strong&gt;:&lt;/p&gt;
&lt;pre class="lang-js prettyprint-override"&gt;&lt;code&gt;var records = app.models.ModelName.newQuery().run();
app.deleteRecords(records);
&lt;/code&gt;&lt;/pre&gt;
</t>
  </si>
  <si>
    <t xml:space="preserve">&lt;p&gt;I seem to be struggling with this. I am working on a project management app in Google App Maker. I am using SQL data models. The portion of the app I am having trouble with is several project detail pages linked with a project list page. I have no trouble going from the project list page to the first project detail page.&lt;/p&gt;
&lt;p&gt;I have a table widget in the project list page, and the onClick code for a table row is:&lt;/p&gt;
&lt;pre&gt;&lt;code&gt;    app.datasources.Projects.selectKey(widget.datasource.item._key);
    app.showPage(app.pages.ProjectPage);
&lt;/code&gt;&lt;/pre&gt;
&lt;p&gt;This filters the first detail page with the primary key of the record in focus. No problem here. When I want to navigate the next detail page that has a different datasource (but I still need to filter using the same primary key) I am struggling.&lt;/p&gt;
&lt;p&gt;If someone can guide me in making a button in the first detail page that when clicked gets the _key of the project loaded in that current page and filters another detail page for the same project in focus, (using another data model, let's call it ProjectBudgetPage for example) I would really appreciate the help.&lt;/p&gt;
&lt;p&gt;This was one my latest attempts at navigation to other detail pages within a project, this was for an onClick event:&lt;/p&gt;
&lt;pre&gt;&lt;code&gt;     var widgets = widget.parent.descendants;
     var projectID = widgets.HiddenProjectID.text;
     var projectDataSource = app.datasources.ProjectBudgetView.item;
     projectDataSource = projectID;
     app.showPage(app.pages.ProjectInfoPage);
&lt;/code&gt;&lt;/pre&gt;
&lt;p&gt;which results in: &lt;code&gt;(TypeError) : Cannot read property '__gwt_instance' of undefined
at HeaderProjectTabs.HeaderContainer.InfoTabButton.onClick:5:5&lt;/code&gt;&lt;/p&gt;
</t>
  </si>
  <si>
    <t xml:space="preserve">&lt;p&gt;I am working with the Zoho CRM api and I was able to extract the product ID when only inserting one product, but can't figure out how to do it with multiple products. &lt;a href="https://www.zoho.com/crm/help/api/insertrecords.html#Insert_Multiple_records" rel="nofollow noreferrer"&gt;https://www.zoho.com/crm/help/api/insertrecords.html#Insert_Multiple_records&lt;/a&gt;&lt;/p&gt;
&lt;p&gt;I convert the response to simpleXMLElement and I can get the first product ID easily with:&lt;/p&gt;
&lt;pre&gt;&lt;code&gt;...curl stuff
$data = curl_exec($ch);
$xml = new SimpleXMLElement($data);
$product_id = $xml-&amp;gt;result-&amp;gt;recorddetail-&amp;gt;FL[0];
&lt;/code&gt;&lt;/pre&gt;
&lt;p&gt;The question is if I have multiple product ID's sent back how would I get each one in a loop as my code will only return the first product ID successfully.  This is an example of the response from 2 products inserted in the api and the returned response:&lt;/p&gt;
&lt;pre&gt;&lt;code&gt;SimpleXMLElement Object ( [@attributes] =&amp;gt; Array ( [uri] =&amp;gt;    
/crm/private/xml/Products/insertRecords ) [result] =&amp;gt; SimpleXMLElement 
Object ( [message] =&amp;gt; Record(s) added successfully [recorddetail] =&amp;gt; Array ( 
[0] =&amp;gt; SimpleXMLElement Object ( [FL] =&amp;gt; Array ( [0] =&amp;gt; **2389399000000122065** 
[1] =&amp;gt; 2017-03-12 21:33:50 [2] =&amp;gt; 2017-03-12 21:33:50 [3] =&amp;gt; 
SimpleXMLElement Object ( [@attributes] =&amp;gt; Array ( [val] =&amp;gt; Created By ) ) 
[4] =&amp;gt; SimpleXMLElement Object ( [@attributes] =&amp;gt; Array ( [val] =&amp;gt; Modified 
By ) ) ) ) [1] =&amp;gt; SimpleXMLElement Object ( [FL] =&amp;gt; Array ( [0] =&amp;gt;   
**2389399000000122066** [1] =&amp;gt; 2017-03-12 21:33:50 [2] =&amp;gt; 2017-03-12 21:33:50   
[3] =&amp;gt; SimpleXMLElement Object ( [@attributes] =&amp;gt; Array ( [val] =&amp;gt; Created 
By ) ) [4] =&amp;gt; SimpleXMLElement Object ( [@attributes] =&amp;gt; Array ( [val] =&amp;gt; 
Modified By ) ) ) ) ) ) )
&lt;/code&gt;&lt;/pre&gt;
&lt;p&gt;Not sure if it shows up in bold but the two values enclosed in ** ** is what I am looking to extract.&lt;/p&gt;
</t>
  </si>
  <si>
    <t xml:space="preserve">&lt;p&gt;The key to this is to understand that this:&lt;/p&gt;
&lt;pre&gt;&lt;code&gt;$xml-&amp;gt;result-&amp;gt;recorddetail-&amp;gt;FL[0];
&lt;/code&gt;&lt;/pre&gt;
&lt;p&gt;Is just shorthand for this:&lt;/p&gt;
&lt;pre&gt;&lt;code&gt;$xml-&amp;gt;result[0]-&amp;gt;recorddetail[0]-&amp;gt;FL[0];
&lt;/code&gt;&lt;/pre&gt;
&lt;p&gt;That should make it obvious that to access the 2nd &lt;code&gt;recorddetail&lt;/code&gt; (with index &lt;code&gt;1&lt;/code&gt;), you could write this:&lt;/p&gt;
&lt;pre&gt;&lt;code&gt;$xml-&amp;gt;result-&amp;gt;recorddetail[1]-&amp;gt;FL[0];
&lt;/code&gt;&lt;/pre&gt;
&lt;p&gt;Because of the magic SimpleXML provides you can also find out how many there are:&lt;/p&gt;
&lt;pre&gt;&lt;code&gt;count($xml-&amp;gt;result-&amp;gt;recorddetail);
&lt;/code&gt;&lt;/pre&gt;
&lt;p&gt;And most relevantly for your case, loop over them:&lt;/p&gt;
&lt;pre&gt;&lt;code&gt;foreach ( $xml-&amp;gt;result-&amp;gt;recorddetail as $recorddetail ) {
    $product_id = $recorddetail-&amp;gt;FL[0];
}
&lt;/code&gt;&lt;/pre&gt;
&lt;p&gt;As a final tip, you probably want the &lt;code&gt;$product_id&lt;/code&gt; variable to hold an ordinary string, not a SimpleXML object; you get that with a "string cast", like this:&lt;/p&gt;
&lt;pre&gt;&lt;code&gt;$product_id = (string)$recorddetail-&amp;gt;FL[0];
&lt;/code&gt;&lt;/pre&gt;
</t>
  </si>
  <si>
    <t xml:space="preserve">&lt;p&gt;Here is screendshot of what i got when I run &lt;code&gt;forcedroid create&lt;/code&gt;:
Please i saw many discussion on stackoverflow like &lt;a href="https://stackoverflow.com/questions/31316531/failed-to-install-cordova-plugin-whitelist-using-forcedroid-for-creating-android"&gt;failed to install cordova-plugin&lt;/a&gt; but there is no answer.
&lt;a href="https://stackoverflow.com/questions/31316531/failed-to-install-cordova-plugin-whitelist-using-forcedroid-for-creating-android"&gt;&lt;img src="https://i.stack.imgur.com/SM8Fd.png" alt="enter image description here"&gt;&lt;/a&gt;&lt;/p&gt;
</t>
  </si>
  <si>
    <t xml:space="preserve">&lt;blockquote&gt;
  &lt;p&gt;sorry for my English&lt;/p&gt;
&lt;/blockquote&gt;
&lt;p&gt;I have the contents of a word document in a byte array and I want to know how many pages it has.&lt;/p&gt;
&lt;p&gt;I already did this with a pdf file using this code:&lt;/p&gt;
&lt;pre&gt;&lt;code&gt;public void MssGetNumberOfPages(byte[] ssFileBinaryData, out int ssNumberOfPages) {
        int pageCount;
        MemoryStream stream = new MemoryStream(ssFileBinaryData);
        using (var r = new StreamReader(stream))
        {
            string pdfText = r.ReadToEnd();
            System.Text.RegularExpressions.Regex regx = new Regex(@"/Type\s*/Page[^s]");
            System.Text.RegularExpressions.MatchCollection matches = regx.Matches(pdfText);
            pageCount = matches.Count;
            ssNumberOfPages = pageCount;
        }
        // TODO: Write implementation for action
    }
&lt;/code&gt;&lt;/pre&gt;
&lt;p&gt;How do I do something similar, with a word document?&lt;/p&gt;
&lt;p&gt;In the pdf I simply have to search through the regex the text that matches this:&lt;/p&gt;
&lt;pre&gt;&lt;code&gt;Regex(@"/Type\s*/Page[^s]")
&lt;/code&gt;&lt;/pre&gt;
&lt;p&gt;What do I have to put in the regex to match the pages of the word document?&lt;/p&gt;
</t>
  </si>
  <si>
    <t xml:space="preserve">&lt;p&gt;Well, I solved this myself by converting the word document into pdf with Aspose.dll&lt;/p&gt;
&lt;pre&gt;&lt;code&gt;public void MssGet_Word_NumberOfPages(byte[] ssFileBinaryData, out int ssNumberOfPages) {
        // Load Word Document from this byte array
        Document loadedFromBytes = new Document(new MemoryStream(ssFileBinaryData));
        // Save Word to PDF byte array
        MemoryStream pdfStream = new MemoryStream();
        loadedFromBytes.Save(pdfStream, SaveFormat.Pdf);
        byte[] pdfBytes = pdfStream.ToArray();
        int pageCount;
        MemoryStream stream = new MemoryStream(pdfBytes);
        using (var r = new StreamReader(stream))
        {
            string pdfText = r.ReadToEnd();
            System.Text.RegularExpressions.Regex regx = new Regex(@"/Type\s*/Page[^s]");
            System.Text.RegularExpressions.MatchCollection matches = regx.Matches(pdfText);
            pageCount = matches.Count;
            ssNumberOfPages = pageCount;
        }
    }
&lt;/code&gt;&lt;/pre&gt;
</t>
  </si>
  <si>
    <t xml:space="preserve">&lt;p&gt;I need to create BulkConnection for bulk API into salesforce.&lt;/p&gt;
&lt;p&gt;We can able to create BulkConnection using ConnectorConfig with basic SOAP authentication.&lt;/p&gt;
&lt;p&gt;Code is below,&lt;/p&gt;
&lt;pre&gt;&lt;code&gt;        ConnectorConfig config = new ConnectorConfig();
        config.setUsername("USERNAME");
        config.setPassword("PASSWORD+TOKEN");
        config.setCompression(true);
        config.setTraceFile("traceLogs.txt");
        config.setTraceMessage(true);
        config.setPrettyPrintXml(true);
        config.setAuthEndpoint("https://login.salesforce.com/services/Soap/u/39.0");
        PartnerConnection connection = new PartnerConnection(config);
        String soapEndpoint = config.getServiceEndpoint();
        String apiVersion = "39.0";
        String restEndpoint = soapEndpoint.substring(0, soapEndpoint.indexOf("Soap/")) + "async/" + apiVersion;
        config.setRestEndpoint(restEndpoint);
        bulkConnection = new BulkConnection(config);
&lt;/code&gt;&lt;/pre&gt;
&lt;p&gt;Above code is working fine.&lt;/p&gt;
&lt;p&gt;But in my case, I can't able to collect username &amp;amp; password for each of the customer's salesforce account.&lt;/p&gt;
&lt;p&gt;Is this possible to create BulkConnection using accestoken?.. &lt;/p&gt;
&lt;p&gt;Please give me your suggestion.&lt;/p&gt;
&lt;p&gt;Thanks,
Harish&lt;/p&gt;
</t>
  </si>
  <si>
    <t xml:space="preserve">&lt;p&gt;When starting up after a forceful termination or exception, the IDE asks to recover your work. In some cases when the recovery is complete, some of the aggregates with filters containing a LIKE condition will show up as errors in TrueChange.&lt;/p&gt;
&lt;p&gt;Why does this happen?&lt;/p&gt;
</t>
  </si>
  <si>
    <t xml:space="preserve">&lt;p&gt;I have reported the bug to OutSystems and they have acknowledged.&lt;/p&gt;
</t>
  </si>
  <si>
    <t xml:space="preserve">&lt;p&gt;I created a RadioGroup and it turned out 79 pixels tall, even though I tried setting the height to "fit to content" or "fill parent".  There is lots of space between the two options, so I would like it to be shorter but it is ignoring the height option.  Any ideas?&lt;/p&gt;
&lt;p&gt;Thanks for any pointers or suggestions.&lt;/p&gt;
</t>
  </si>
  <si>
    <t xml:space="preserve">&lt;p&gt;You can reduce the padding between the items with:&lt;/p&gt;
&lt;pre&gt;&lt;code&gt;.app-RadioGroup-Item {
  padding: 0px;
}
&lt;/code&gt;&lt;/pre&gt;
&lt;p&gt;Although I suggest 2 or 4px (it's currently 8px).&lt;/p&gt;
&lt;p&gt;If you want to mess with the actual size of the items, you can style the input element, something like:&lt;/p&gt;
&lt;pre&gt;&lt;code&gt;.app-RadioGroup-Item input {
  height: 12px;
  width: 12px;
}
&lt;/code&gt;&lt;/pre&gt;
&lt;p&gt;Note you'd probably want to tweak more than just the height and width, and this doesn't look very good. I'd suggest sticking to only styling the padding if that's enough for you.&lt;/p&gt;
</t>
  </si>
  <si>
    <t xml:space="preserve">&lt;p&gt;I have a BrowserGallery that looks like this:
&lt;a href="https://i.stack.imgur.com/9v29z.jpg" rel="nofollow noreferrer"&gt;&lt;img src="https://i.stack.imgur.com/9v29z.jpg" alt="enter image description here"&gt;&lt;/a&gt;&lt;/p&gt;
&lt;p&gt;I can't figure out how to create a collection with all the values from all the TextInput and all the relatives Titles from the button click (the bold writings in the screenshots) I need a collection like this:
&lt;a href="https://i.stack.imgur.com/N8wpS.jpg" rel="nofollow noreferrer"&gt;&lt;img src="https://i.stack.imgur.com/N8wpS.jpg" alt="enter image description here"&gt;&lt;/a&gt;&lt;/p&gt;
&lt;p&gt;and so on..&lt;/p&gt;
&lt;p&gt;What I have now is this:&lt;/p&gt;
&lt;pre&gt;&lt;code&gt;ClearCollect(ThisBudget; {item: BrowseGallery1.AllItems.item; budget: BrowseGallery1.AllItems.TextInput1})
&lt;/code&gt;&lt;/pre&gt;
&lt;p&gt;but is not giving me the result I want..&lt;/p&gt;
</t>
  </si>
  <si>
    <t xml:space="preserve">&lt;p&gt;Try this one:&lt;/p&gt;
&lt;pre&gt;&lt;code&gt;ClearCollect(mycollection,ForAll(Gallery1.AllItems,{item:Heading,budget:Body}))
&lt;/code&gt;&lt;/pre&gt;
&lt;p&gt;Replace Heading and Body with your Gallery controls. &lt;/p&gt;
</t>
  </si>
  <si>
    <t xml:space="preserve">&lt;p&gt;I'm struggling to update a db from a powerapp collection, the Db is structured int this way:
&lt;a href="https://i.stack.imgur.com/T0C4d.jpg" rel="nofollow noreferrer"&gt;&lt;img src="https://i.stack.imgur.com/T0C4d.jpg" alt="enter image description here"&gt;&lt;/a&gt;&lt;/p&gt;
&lt;p&gt;And my collection is structured in this way:&lt;/p&gt;
&lt;p&gt;&lt;a href="https://i.stack.imgur.com/BdoLP.jpg" rel="nofollow noreferrer"&gt;&lt;img src="https://i.stack.imgur.com/BdoLP.jpg" alt="enter image description here"&gt;&lt;/a&gt;&lt;/p&gt;
&lt;p&gt;So far I'm able to create the collection in this way:&lt;/p&gt;
&lt;pre&gt;&lt;code&gt;ClearCollect(ThisBudget;ForAll(BrowseGallery1.AllItems;{item:Heading1.Text;newValue:TextInput1.Text}))
&lt;/code&gt;&lt;/pre&gt;
&lt;p&gt;but I'm totally unable to find the right way to patch this collection to the db, basically i need to patch the newValue field of the reletives items, what's the correct way?&lt;/p&gt;
&lt;p&gt;I tried many things like this:&lt;/p&gt;
&lt;pre&gt;&lt;code&gt;ForAll(ThisBudget;Patch('[dbo].[Budget]';
First(Filter('[dbo].[Budget]';Item=item));{newValue:ThisBudget.newValue}))
&lt;/code&gt;&lt;/pre&gt;
&lt;p&gt;but with no luck&lt;/p&gt;
</t>
  </si>
  <si>
    <t xml:space="preserve">&lt;p&gt;I have list of sObject that can be Task or Event: &lt;/p&gt;
&lt;pre&gt;&lt;code&gt;List&amp;lt;sObject&amp;gt; lst=new List&amp;lt;sObject&amp;gt;();
&lt;/code&gt;&lt;/pre&gt;
&lt;p&gt;I want to diplay this list in visualforce in ascending orderof activityDate (it's already done).But I want to distinguish between these two sObjects ( Event and Task) using ligntning design component. Is there any attribute like isTask or isEvent on these sobject? &lt;/p&gt;
&lt;p&gt;Best Regards.&lt;/p&gt;
</t>
  </si>
  <si>
    <t xml:space="preserve">&lt;p&gt;I am attempting to build an app with Microsoft powerapps that will be writing/reading data to/from an excel sheet.&lt;/p&gt;
&lt;p&gt;I have created a form in powerapps from a table in the excel sheet. I am curious to know if anyone knows how to fill the data in a field based on a button selection on a previous screen. &lt;/p&gt;
&lt;p&gt;As an example let's say the following fields are in the form; Location, Action, Item, Username. &lt;/p&gt;
&lt;p&gt;This is what I am imaging and would like to do;&lt;/p&gt;
&lt;p&gt;I would like the first two fields to be filled by selecting buttons on a previous screens instead of a drop down menu in the edit form view. the last two field can be filled by inputting text on a thirds screen. &lt;/p&gt;
&lt;p&gt;The flow: &lt;/p&gt;
&lt;p&gt;&lt;strong&gt;Screen1&lt;/strong&gt;; presents two 4 locations in the form of buttons*doesn't necessarily have to be a button but function like one.&lt;/p&gt;
&lt;p&gt;4 locations: NY, LA, AZ, LN&lt;/p&gt;
&lt;p&gt;when users selects "NY" button, "NY" is filled/stored in to the "location" field in the form and the screen navigates to the next page where the user will select the actions. &lt;/p&gt;
&lt;p&gt;&lt;strong&gt;Screen2&lt;/strong&gt;; presents two 2 actions in the form of button. &lt;/p&gt;
&lt;p&gt;2 Actions: remove, add&lt;/p&gt;
&lt;p&gt;when users selects "remove" button, "remove" is filled/stored in to the "action" field in the form and the screen navigates to the next page where the user will fill the other two fields in a text field. &lt;/p&gt;
&lt;p&gt;&lt;strong&gt;Screen3&lt;/strong&gt;; has two text fields where user can fill in the rest of the information for item and user name. Location and Action should be prefilled at this point. When the user submits the form all data is submitted and a row is created in the excel table with all the information captured. &lt;/p&gt;
&lt;p&gt;any information how to make a button selection on a previous screen prefill a field in a form that would be awesome! thank you for reading. &lt;/p&gt;
</t>
  </si>
  <si>
    <t xml:space="preserve">&lt;p&gt;I migrated from Drive tables to a 2nd gen MySQL Google Cloud SQL data model.  I was able to insert 19 rows into the following Question table in AppMaker:&lt;/p&gt;
&lt;pre&gt;&lt;code&gt;+-------------------+--------------+------+-----+---------+-------+
| Field             | Type         | Null | Key | Default | Extra |
+-------------------+--------------+------+-----+---------+-------+
| SurveyType        | varchar(64)  | NO   | PRI | NULL    |       |
| QuestionNumber    | int(11)      | NO   | PRI | NULL    |       |
| QuestionType      | varchar(64)  | NO   |     | NULL    |       |
| Question          | varchar(512) | NO   |     | NULL    |       |
| SecondaryQuestion | varchar(512) | YES  |     | NULL    |       |
+-------------------+--------------+------+-----+---------+-------+
&lt;/code&gt;&lt;/pre&gt;
&lt;p&gt;I queried the data from the command line and know it is good.  However, when I query the data in AppMaker like this:&lt;/p&gt;
&lt;pre&gt;&lt;code&gt;var newQuery = app.models.Question.newQuery();
newQuery.filters.SurveyType._equals = surveyType;
newQuery.sorting.QuestionNumber._ascending();  
var allRecs = newQuery.run();
&lt;/code&gt;&lt;/pre&gt;
&lt;p&gt;I get 19 rows with the same data (the first row) instead of the 19 different rows.  Any idea what is wrong?  Additionally (and possibly related) my list rows in AppMaker are not showing any data.  I did notice that _key is not being set correctly in the records.&lt;/p&gt;
&lt;p&gt;(Edit: I thought maybe having two columns as the primary key was the problem, but I tried having the PK be a single identity column, same result.)&lt;/p&gt;
&lt;p&gt;Thanks for any tips or pointers.&lt;/p&gt;
</t>
  </si>
  <si>
    <t xml:space="preserve">&lt;p&gt;I was able to get this to work by creating the table inside AppMaker rather than using a table created directly in the Cloud Shell.  Not sure if existing tables are not supported or if there is a bug in AppMaker, but since it is working I am closing this.&lt;/p&gt;
</t>
  </si>
  <si>
    <t xml:space="preserve">&lt;p&gt;We're trying to upload playable audio files from PowerApps mic to SharePoint Online list.  &lt;/p&gt;
&lt;p&gt;I have used the following line:&lt;/p&gt;
&lt;pre&gt;&lt;code&gt;Patch(sharepointlistname, ForAll(Gallery1.AllItems,{Title:Title, VoiceMessage:Audio}); 
&lt;/code&gt;&lt;/pre&gt;
&lt;p&gt;The above returns the following results:
 (from Android and iPhone, .aac and .caf links (respectively) to SharePoint List):&lt;/p&gt;
&lt;pre&gt;&lt;code&gt;data/bb788abd-7848-449f-810b-2bd6368dcb19.aac
&lt;/code&gt;&lt;/pre&gt;
&lt;p&gt;or&lt;/p&gt;
&lt;pre&gt;&lt;code&gt;temp/recording_8BA1187E-158A-469E-9994-F644C6F619D8-1610-000001A0FBF5F1F0.caf
&lt;/code&gt;&lt;/pre&gt;
&lt;p&gt;It seems impossible to convert these .aac and .caf to .wav or any playable file. &lt;/p&gt;
&lt;p&gt;Can someone guide me on this, or maybe let me know where the actual audio files are being saved to from powerapps? The .aac or .caf links are most likely references to a specific location on a local database that is created by PowerApps. Unfortunately, I have not found any information.&lt;/p&gt;
</t>
  </si>
  <si>
    <t xml:space="preserve">&lt;p&gt;I've followed the example in the "Starter App".  The menu shows all my pages. However, I only want certain pages to show.  The example uses @pages._values as the data source, but I don't want all pages to show in the menu (some pages are only available under certain circumstances or are called from other pages).&lt;/p&gt;
&lt;p&gt;How do I limit the menu datasource to the pages I want?&lt;/p&gt;
</t>
  </si>
  <si>
    <t xml:space="preserve">&lt;p&gt;Following the "Starter App" template, first select the "Menu" &lt;em&gt;PageFragment&lt;/em&gt; and then select the &lt;em&gt;MenuListRow&lt;/em&gt; widget: &lt;/p&gt;
&lt;p&gt;&lt;a href="https://i.stack.imgur.com/Vq1Ve.png" rel="nofollow noreferrer"&gt;&lt;img src="https://i.stack.imgur.com/Vq1Ve.png" alt="enter image description here"&gt;&lt;/a&gt;&lt;/p&gt;
&lt;p&gt;Then expand the &lt;em&gt;Display&lt;/em&gt; properties and click on "visible". Next, click on "binding".&lt;/p&gt;
&lt;p&gt;&lt;a href="https://i.stack.imgur.com/xeqgr.png" rel="nofollow noreferrer"&gt;&lt;img src="https://i.stack.imgur.com/xeqgr.png" alt="enter image description here"&gt;&lt;/a&gt;&lt;/p&gt;
&lt;p&gt;Now, we will use an array to determine what are the pages we want to limit. In this example, the array I'm using is &lt;code&gt;["Admin", "TestOne"]&lt;/code&gt; and we will use the &lt;strong&gt;indexOf&lt;/strong&gt; method to match the page name that the label inside the list row widget contains. The value looks like this &lt;code&gt;["Admin", "TestOne"].indexOf(@widget.descendants.MenuItem.text) !== -1&lt;/code&gt;&lt;/p&gt;
&lt;p&gt;&lt;a href="https://i.stack.imgur.com/mW912.png" rel="nofollow noreferrer"&gt;&lt;img src="https://i.stack.imgur.com/mW912.png" alt="enter image description here"&gt;&lt;/a&gt;&lt;/p&gt;
&lt;p&gt;Now just click "Ok" and then preview the app. The result is the following: &lt;/p&gt;
&lt;p&gt;&lt;a href="https://i.stack.imgur.com/xb4Hx.png" rel="nofollow noreferrer"&gt;&lt;img src="https://i.stack.imgur.com/xb4Hx.png" alt="enter image description here"&gt;&lt;/a&gt;&lt;/p&gt;
&lt;p&gt;Please note that in the example I have 6 pages but only the two that are in the array are displayed. I hope this is helpful. If you need further clarification, please let me know.&lt;/p&gt;
</t>
  </si>
  <si>
    <t xml:space="preserve">&lt;p&gt;I'm having an issue getting SVG icons from the SLDS node module (Salesforce Lightning Design System) to render.  The example I have below works fine with in a webpack 1.x project.&lt;/p&gt;
&lt;p&gt;In the dev console, I can see 404's when the svg used by the &lt;code&gt;use&lt;/code&gt; tag is rendered.  I've tried different loader types and mimicking what is done with fonts (since those work fine), but I can't seem to get Webpack to recognize the SVG files in the SLDS node module and bundle/emit them.  I've tried copying the source code for the component below into a Webpack 1.x project, and it works fine.  Any suggestions would be much appreciated.&lt;/p&gt;
&lt;p&gt;Component, Webpack, and output below.  Let me know if there's more I need to provide.&lt;/p&gt;
&lt;p&gt;&lt;strong&gt;App Component:&lt;/strong&gt;&lt;/p&gt;
&lt;pre&gt;&lt;code&gt;import React, { PropTypes } from 'react';
import './styles.scss'
export default React.createClass({
    displayName: 'App',
    render() {
        return (
            &amp;lt;div className="slds-page-header"&amp;gt;
                &amp;lt;div className="slds-grid"&amp;gt;
                    &amp;lt;div className="slds-col slds-has-flexi-truncate"&amp;gt;
                        &amp;lt;div className="slds-media slds-no-space slds-grow"&amp;gt;
                            &amp;lt;div className="slds-media__figure"&amp;gt;
                                &amp;lt;svg className="slds-icon slds-icon-standard-user" aria-hidden="true"&amp;gt;
                                    &amp;lt;use xlinkHref="/assets/icons/standard-sprite/svg/symbols.svg#user"&amp;gt;&amp;lt;/use&amp;gt;
                                &amp;lt;/svg&amp;gt;
                            &amp;lt;/div&amp;gt;
                            &amp;lt;div className="slds-media__body"&amp;gt;
                                &amp;lt;p className="slds-text-title--caps slds-line-height--reset"&amp;gt;Icons&amp;lt;/p&amp;gt;
                                &amp;lt;h1 className="slds-page-header__title slds-m-right--small slds-align-middle slds-truncate" title="this should match the Record Title"&amp;gt;Won't Load&amp;lt;/h1&amp;gt;
                            &amp;lt;/div&amp;gt;
                        &amp;lt;/div&amp;gt;
                    &amp;lt;/div&amp;gt;
                &amp;lt;/div&amp;gt;
            &amp;lt;/div&amp;gt;
        );
    }
});
&lt;/code&gt;&lt;/pre&gt;
&lt;p&gt;&lt;strong&gt;Webpack Config:&lt;/strong&gt;&lt;/p&gt;
&lt;pre&gt;&lt;code&gt;var webpack = require('webpack');
var path = require('path');
var ExtractTextPlugin = require('extract-text-webpack-plugin');
var RESOURCES = path.resolve(__dirname, 'src/main/resources');
var ASSETS = path.resolve(RESOURCES, 'assets');
var APP = path.resolve(RESOURCES, 'app');
var DIST = path.resolve(ASSETS, 'dist');
var extractCSS = new ExtractTextPlugin('[name].css');
var extractSCSS = new ExtractTextPlugin('[name].scss');
module.exports = {
    devtool: 'source-map',
    devServer: {
        contentBase: ASSETS,
        compress: true,
        port: 8080
    },
    entry: {
        app: APP + '/index.js'
    },
    resolve: {
        extensions: [ '.js', '.jsx', '.json']
    },
    output: {
        path: DIST,
        filename: 'bundle.js',
        publicPath: '/dist/'
    },
    module: {
        rules: [
            {
                test: /\.jsx?/,
                use: 'babel-loader',
                include: [
                    APP
                ]
            },
            { test: /\.json/, loader: ['json-loader'] },
            {
                test: /\.(gif|jpe?g|png)/,
                use: [
                    { loader: 'url-loader' }
                ]
            },
            {
                test: /\.svg/,
                use: { loader: 'url-loader' }
            },
            {
                test: /\.(eot|woff|woff2|ttf)$/,
                use: {
                    loader: 'url-loader',
                    options: {
                        limit: 30,
                        name: 'assets/fonts/webfonts/[name].[ext]'
                    }
                }
            },
            {
                test: /\.css$/,
                use: extractCSS.extract({
                    fallback: 'style-loader',
                    use: {
                        loader: 'css-loader',
                        options: { sourceMap: true }
                    }
                })
            },
            {
                test: /\.scss$/,
                use: extractSCSS.extract({
                    fallback: 'style-loader',
                    use: [
                        {
                            loader: 'css-loader',
                            options: { sourceMap: true }
                        },
                        {
                            loader: 'resolve-url-loader'
                        },
                        {
                            loader: 'sass-loader',
                            options: {
                                outputStyle:'expanded',
                                sourceMap: true,
                                sourceMapContents: true
                            }
                        }
                    ]
                })
            }
        ]
    },
    plugins: [ extractCSS ]
};
&lt;/code&gt;&lt;/pre&gt;
&lt;p&gt;&lt;strong&gt;Build Output&lt;/strong&gt;&lt;/p&gt;
&lt;pre&gt;&lt;code&gt;&amp;gt; webpack
Hash: 413338d67a2515c58948
Version: webpack 2.2.1
Time: 10382ms
                                                 Asset     Size  Chunks                    Chunk Names
      assets/fonts/webfonts/SalesforceSans-Light.woff2  27.7 kB          [emitted]         
        assets/fonts/webfonts/SalesforceSans-Bold.woff    35 kB          [emitted]         
  assets/fonts/webfonts/SalesforceSans-BoldItalic.woff    36 kB          [emitted]         
 assets/fonts/webfonts/SalesforceSans-BoldItalic.woff2  28.5 kB          [emitted]         
      assets/fonts/webfonts/SalesforceSans-Italic.woff    36 kB          [emitted]         
     assets/fonts/webfonts/SalesforceSans-Italic.woff2  28.3 kB          [emitted]         
       assets/fonts/webfonts/SalesforceSans-Light.woff    35 kB          [emitted]         
       assets/fonts/webfonts/SalesforceSans-Bold.woff2  27.6 kB          [emitted]         
 assets/fonts/webfonts/SalesforceSans-LightItalic.woff  36.2 kB          [emitted]         
assets/fonts/webfonts/SalesforceSans-LightItalic.woff2  28.5 kB          [emitted]         
     assets/fonts/webfonts/SalesforceSans-Regular.woff  34.9 kB          [emitted]         
    assets/fonts/webfonts/SalesforceSans-Regular.woff2  27.7 kB          [emitted]         
                                             bundle.js  1.74 MB       0  [emitted]  [big]  app
                                         bundle.js.map   2.1 MB       0  [emitted]         app
&lt;/code&gt;&lt;/pre&gt;
&lt;p&gt;&lt;strong&gt;Rendered Output&lt;/strong&gt;&lt;/p&gt;
&lt;p&gt;&lt;a href="https://i.stack.imgur.com/5nRcS.png" rel="nofollow noreferrer"&gt;&lt;img src="https://i.stack.imgur.com/5nRcS.png" alt="Without icon"&gt;&lt;/a&gt;&lt;/p&gt;
&lt;p&gt;&lt;strong&gt;Expected Output&lt;/strong&gt;&lt;/p&gt;
&lt;p&gt;&lt;a href="https://i.stack.imgur.com/cjKvy.png" rel="nofollow noreferrer"&gt;&lt;img src="https://i.stack.imgur.com/cjKvy.png" alt="enter image description here"&gt;&lt;/a&gt;&lt;/p&gt;
</t>
  </si>
  <si>
    <t xml:space="preserve">&lt;p&gt;Has anybody had any experience with using BigQuery with Google App Maker? Specifically, creating a data source for a Google Drive Table through Apps Script.&lt;/p&gt;
&lt;p&gt;I use a script in google sheets to use BigQuery API, run a job and return the output to a sheet, but i'm unsure how to modify this to work in App Maker - any advice?&lt;/p&gt;
&lt;p&gt;best wishes&lt;/p&gt;
&lt;p&gt;Dave&lt;/p&gt;
</t>
  </si>
  <si>
    <t xml:space="preserve">&lt;p&gt;Sorry for the vague answer, maybe someone else can provide a better one with a concrete example.&lt;/p&gt;
&lt;p&gt;If you've already got an Apps Script script, then this should be easy. What you probably want to do is implement a Calculated Model in order to get the results from BigQuery to your application. In short, a Calculated model will let you define a custom schema, and then write Apps Script code to query BigQuery and then create, fill, and return records (which will be very similar to the code you wrote to fill sheets). Once you've done this you can use the calculated model like you would a normal SQL or Drive Tables model.&lt;/p&gt;
&lt;p&gt;You can read more here: &lt;a href="https://developers.google.com/appmaker/models/calculated" rel="nofollow noreferrer"&gt;https://developers.google.com/appmaker/models/calculated&lt;/a&gt;&lt;/p&gt;
&lt;p&gt;and using this sample (although the use case for calculated models in this sample is quite different than what you're doing): &lt;a href="https://developers.google.com/appmaker/samples/calculated-model/" rel="nofollow noreferrer"&gt;https://developers.google.com/appmaker/samples/calculated-model/&lt;/a&gt;&lt;/p&gt;
&lt;p&gt;Just like Apps Script you'll also need to enable the Big Query Advanced Service, you can find that in the application settings screen, all the way at the bottom, ("Advanced Services") &lt;/p&gt;
</t>
  </si>
  <si>
    <t xml:space="preserve">&lt;p&gt;new to app maker (and ready to fall in love)&lt;/p&gt;
&lt;p&gt;I want every new row to have a field with the date+time that the row was created at. How can I do that?&lt;/p&gt;
&lt;p&gt;If you'd like to base your answer on existing code, please base it on the &lt;a href="https://developers.google.com/appmaker/samples/project-list/" rel="nofollow noreferrer"&gt;project-list example&lt;/a&gt;&lt;/p&gt;
&lt;p&gt;Thanks!&lt;/p&gt;
</t>
  </si>
  <si>
    <t xml:space="preserve">&lt;p&gt;I am trying to query items on a model in my app, and I am currently able to do that in the Server Script. However, I don't know how to return the items that I queried back to the Client Script side.&lt;/p&gt;
&lt;p&gt;This is the function that I am using on the Server script:&lt;/p&gt;
&lt;pre&gt;&lt;code&gt;function spouseRecord(){
  var query = app.models.Dependent.newQuery();
  query.filters.Relationship._equals = "Spouse";
  var spouse = query.run();
  var payload = {
    SpouseName: spouse[0].LastName + " " + spouse[0].FirstName + " " + spouse[0].MidName,
    SpouseSSN: spouse[0].SSN,
    SpouseDateofBirth: spouse[0].BirthDate.toLocaleDateString(),
    SpouseSex: spouse[0].Sex,
  };
  return payload;
}
&lt;/code&gt;&lt;/pre&gt;
&lt;p&gt;I think that this function is OK as is. My problem is on the client side. I want to obtain the object &lt;em&gt;payload&lt;/em&gt;. I am using this function.&lt;/p&gt;
&lt;pre&gt;&lt;code&gt;  var payload = google.script.run.withSuccessHandler().spouseRecord();
&lt;/code&gt;&lt;/pre&gt;
&lt;p&gt;I don't know what I need to place between the parenthesis of withSuccessHandler. Can anyone help me?&lt;/p&gt;
&lt;p&gt;Thank you.&lt;/p&gt;
</t>
  </si>
  <si>
    <t xml:space="preserve">&lt;p&gt;I have a Datasheet model with ~ 4000 records. Occasionally, I'll need to delete all the data and reload from a Google sheet. I'm able to delete a page of data, one row at a time with this code:&lt;/p&gt;
&lt;pre&gt;&lt;code&gt;var set = widget.datasource.items;
set.forEach(function f(i){i._delete();});
widget.datasource.load();
&lt;/code&gt;&lt;/pre&gt;
&lt;p&gt;The problem is that this is slow and problematic with pages of more than around 20 records. Is there a way to bulk delete records? Thanks for any advice!&lt;/p&gt;
</t>
  </si>
  <si>
    <t xml:space="preserve">&lt;p&gt;You can use the app.deleteRecrods() method in a server script:&lt;/p&gt;
&lt;pre&gt;&lt;code&gt;function clearData() {
  var query = app.models.Student.newQuery();  
  var records = query.run();
  app.deleteRecords(records);
}
&lt;/code&gt;&lt;/pre&gt;
&lt;p&gt;Call it from a client script:&lt;/p&gt;
&lt;pre&gt;&lt;code&gt;function clearData() {
  google.script.run.withSuccessHandler(function() {
    console.log('Clear all Student data.');
  }).clearData();
&lt;/code&gt;&lt;/pre&gt;
&lt;p&gt;}&lt;/p&gt;
</t>
  </si>
  <si>
    <t xml:space="preserve">&lt;p&gt;I'm trying to receive fields from an Integration of LeadsBridge platform linked with Facebook, so I made a RestService on apex in Salesforce to get the information, but It seems that LeadsBridge send the information in a different way that a Post json used to do. &lt;/p&gt;
&lt;p&gt;This is what I'm trying to do:&lt;/p&gt;
&lt;pre&gt;&lt;code&gt;@RestResource(urlMapping='/CarsyncLeadsBridge/*')
global class CarsyncLeadsBridge{
   @HttpPost
    global static Map&amp;lt;String,String&amp;gt; doPost(
            String id, String created_time, String campaign_id, String adset_id, 
            String ad_id, String email, String full_name, String phone_number, String mensaje){
        try {
            MSystem.debug(id+' - '+full_name+' - '+created_time+' - '+campaign_id+' - '+adset_id+' - '+adset_id+' - '+ad_id+' - '+email+' - '+phone_number);
&lt;/code&gt;&lt;/pre&gt;
&lt;p&gt;But is not working, LeadsBridge can't consume it and it throw error before consume , so I try:&lt;/p&gt;
&lt;pre&gt;&lt;code&gt;@RestResource(urlMapping='/CarsyncLeadsBridge/*')
global class CarsyncLeadsBridge{
   @HttpPost
    global static Map&amp;lt;String,String&amp;gt; doPost(){
        try {
 String id = apexpages.currentpage().getparameters().get('id');
            String created_time = apexpages.currentpage().getparameters().get('created_time');
            String campaign_id = apexpages.currentpage().getparameters().get('campaign_id');
            String adset_id = apexpages.currentpage().getparameters().get('adset_id');
            String ad_id = apexpages.currentpage().getparameters().get('ad_id');
            String email = apexpages.currentpage().getparameters().get('email');
            String full_name = apexpages.currentpage().getparameters().get('full_name');
            String phone_number = apexpages.currentpage().getparameters().get('phone_number');
            String mensaje = apexpages.currentpage().getparameters().get('mensaje');
            System.debug(id+' - '+full_name+' - '+created_time+' - '+campaign_id+' - '+adset_id+' - '+adset_id+' - '+ad_id+' - '+email+' - '+phone_number);
&lt;/code&gt;&lt;/pre&gt;
&lt;p&gt;This one is succesful on LeadsBridge but when I try to get the parameters they doesn't exist and produce a Nullpointer Exception.
Anybody know truly how do I should get the fields when I being receiving information from a post method from this platform (LeadsBridge).&lt;/p&gt;
&lt;p&gt;Thanks for your help.&lt;/p&gt;
&lt;p&gt;PD: I did try the both ways with ARC tester from Google Chrome and they worked fine.&lt;/p&gt;
</t>
  </si>
  <si>
    <t xml:space="preserve">&lt;p&gt;I have a list widget with five rows per page.  When the user goes to the next page I reload the page (by doing an unload/load on the data source with the new page number) and that works fine.  However, the list stays scrolled to the bottom.  How can I scroll the list to the top so the user does not have to?&lt;/p&gt;
&lt;p&gt;I tried the ways that work in standard HTML but they do not work in AppMaker, and I cannot find any documentation on how to do this.&lt;/p&gt;
&lt;p&gt;Thanks for any tips or pointers.&lt;/p&gt;
</t>
  </si>
  <si>
    <t xml:space="preserve">&lt;p&gt;You can achieve the desired behavior by doing the following:&lt;/p&gt;
&lt;ol&gt;
&lt;li&gt;In the outline, locate the &lt;strong&gt;TablePanel&lt;/strong&gt; widget and select the &lt;strong&gt;List:TableBody&lt;/strong&gt; widget
&lt;a href="https://i.stack.imgur.com/9ZkVb.png" rel="nofollow noreferrer"&gt;&lt;img src="https://i.stack.imgur.com/9ZkVb.png" alt="enter image description here"&gt;&lt;/a&gt;&lt;/li&gt;
&lt;/ol&gt;
&lt;p&gt;2.In the property editor, scroll to the &lt;strong&gt;Events&lt;/strong&gt; section and click on the &lt;strong&gt;onDataLoad&lt;/strong&gt; event value. Then click on &lt;em&gt;Custom Action&lt;/em&gt;.
&lt;a href="https://i.stack.imgur.com/DWwxj.png" rel="nofollow noreferrer"&gt;&lt;img src="https://i.stack.imgur.com/DWwxj.png" alt="enter image description here"&gt;&lt;/a&gt;&lt;/p&gt;
&lt;ol start="3"&gt;
&lt;li&gt;&lt;p&gt;Type in this code &lt;code&gt;var elem = widget.getElement(); elem.scrollTop = 0;&lt;/code&gt; so that it looks like this
&lt;a href="https://i.stack.imgur.com/mzDzC.png" rel="nofollow noreferrer"&gt;&lt;img src="https://i.stack.imgur.com/mzDzC.png" alt="enter image description here"&gt;&lt;/a&gt;&lt;/p&gt;&lt;/li&gt;
&lt;li&gt;&lt;p&gt;Make sure the change is saved and then preview your app and it should work. Let me know if you need something else or if it don't work.&lt;/p&gt;&lt;/li&gt;
&lt;/ol&gt;
</t>
  </si>
  <si>
    <t xml:space="preserve">&lt;p&gt;I am stuck with one issue regarding lightning components, I am using &lt;/p&gt;
&lt;p&gt;&lt;code&gt;&amp;lt;input type="date" aura.id="Wellness Visit" class="inpText" format="MM/dd/yyyy" value="{!v.visitDate}" /&amp;gt;&lt;/code&gt; element&lt;/p&gt;
&lt;p&gt;Calendar is appearing but not able to get the value in controller.&lt;/p&gt;
&lt;pre&gt;&lt;code&gt;var inputDate = component.find("Wellness Visit").get("v.value"); 
console.log('*****inputDate****'+inputDate); 
&lt;/code&gt;&lt;/pre&gt;
&lt;p&gt;Getting undefined in the log&lt;/p&gt;
&lt;p&gt;Please suggest any other way i can get the html elament value.&lt;/p&gt;
&lt;p&gt;Thanks in advance!&lt;/p&gt;
</t>
  </si>
  <si>
    <t xml:space="preserve">&lt;p&gt;Background:&lt;/p&gt;
&lt;p&gt;I am creating an app that stores record of trainings that employees in a company took in table. I want to filter the rows of the table based on training name and/or employee name. I was able to figure out this first part, and I was able to create a button that clears all the filters and reloads the entire table using the clearFilters() function.&lt;/p&gt;
&lt;p&gt;Problem:&lt;/p&gt;
&lt;p&gt;I want to create two buttons that clear the filter selections one ("All Trainings") for the training name and one ("All Employees") for the employee name. To be more clear, when I click on the "All Trainings" button, I want to clear the filters on the training name, but not on the Employee name. This will become useful once I have a table with multiple fields that I want to filter, and I want to navigate the table without having to reset all fields every time.&lt;/p&gt;
&lt;p&gt;I tried searching the functions available on Google App Maker, but there was nothing that seemed to be able to solve my problem. Any suggestions?&lt;/p&gt;
</t>
  </si>
  <si>
    <t xml:space="preserve">&lt;p&gt;From the Reference about datasources:&lt;/p&gt;
&lt;p&gt;&lt;a href="https://developers.google.com/appmaker/models/datasources#query_datasources" rel="nofollow noreferrer"&gt;https://developers.google.com/appmaker/models/datasources#query_datasources&lt;/a&gt;&lt;/p&gt;
&lt;blockquote&gt;
  &lt;p&gt;Like field filters, assigning null to a relation filter property clears that restriction.&lt;/p&gt;
&lt;/blockquote&gt;
&lt;p&gt;So, something like:&lt;/p&gt;
&lt;pre&gt;&lt;code&gt;datasource.query.filters.Employee._contains = null;
datasource.load();
&lt;/code&gt;&lt;/pre&gt;
&lt;p&gt;should work for you.&lt;/p&gt;
</t>
  </si>
  <si>
    <t xml:space="preserve">&lt;p&gt;I was able to create and publish knowledge article via salesforce API.
After published, the default channel is set to &lt;strong&gt;Internal App&lt;/strong&gt;&lt;/p&gt;
&lt;p&gt;My problem is 
I am trying to set or add new channel &lt;strong&gt;Customer&lt;/strong&gt; via api using this field &lt;strong&gt;IsVisibleInCsp&lt;/strong&gt; = true so that the customer is able to view the published article. but it throws and error&lt;/p&gt;
&lt;blockquote&gt;
  &lt;p&gt;[      {&lt;br&gt;
        "message":"Unable to create/update fields: IsVisibleInCsp. Please 
     check the security settings of this field and verify that it is
  read/write for your profile or permission set.",
        "errorCode":"INVALID_FIELD_FOR_INSERT_UPDATE",
        "fields":[&lt;br&gt;
           "IsVisibleInCsp"
        ]    } ]&lt;/p&gt;
&lt;/blockquote&gt;
&lt;p&gt;This is my current script&lt;/p&gt;
&lt;pre&gt;&lt;code&gt;JSON_OBJECT=$(jq -n "{\"Summary\" : \"$ARTICLE_SUMMARY\",\"title\" : \"$ARTICLE_TITLE\",\"IsVisibleInCsp\" : \"true\",\"UrlName\" : \"$ARTICLE_URL_NAME\",ArticleBody__c:\"$result\"}")
#echo $JSON_OBJECT
json=`curl -s -X POST $INSTANCE_URL/services/data/v20.0/sobjects/Knowledge__kav/ -H 'Authorization: Bearer '$ACCESS_TOKEN -H "Content-Type: application/json" -d "$JSON_OBJECT"`
&lt;/code&gt;&lt;/pre&gt;
&lt;p&gt;please help me.&lt;/p&gt;
&lt;p&gt;thank you!&lt;/p&gt;
</t>
  </si>
  <si>
    <t xml:space="preserve">&lt;p&gt;&lt;strong&gt;Zoho Creator's Question&lt;/strong&gt;&lt;/p&gt;
&lt;p&gt;How to read Whole url or Read URL parameters using form script ?&lt;/p&gt;
&lt;p&gt;We need url's parameter for parameter value in form.&lt;/p&gt;
</t>
  </si>
  <si>
    <t xml:space="preserve">&lt;p&gt;My error bar list in Mendix seems missing because I clicked the wrong thing (which I had no clue). How do I fix this since I need to find the errors before my program starts working?&lt;/p&gt;
</t>
  </si>
  <si>
    <t xml:space="preserve">&lt;p&gt;I can reference my models like this in client scripts:&lt;/p&gt;
&lt;pre&gt;&lt;code&gt;var myModels = app.models._values;
console.log(myModels[0].name);
&lt;/code&gt;&lt;/pre&gt;
&lt;p&gt;The console shows:&lt;/p&gt;
&lt;pre&gt;&lt;code&gt;Tue Apr 04 11:56:21 GMT-400 2017 Employees
&lt;/code&gt;&lt;/pre&gt;
&lt;p&gt;But when I try this in a server script, I get an error when I log to the console (I don't get an error on assignment) (also _values does not come up as an option in code completion, but my models are all listed):&lt;/p&gt;
&lt;pre&gt;&lt;code&gt;TypeError: Cannot read property "0" from undefined
&lt;/code&gt;&lt;/pre&gt;
&lt;p&gt;So, it looks like _values is not implemented in server scripts.&lt;/p&gt;
&lt;p&gt;How do I access my list of models in server-side scripting?&lt;/p&gt;
</t>
  </si>
  <si>
    <t xml:space="preserve">&lt;p&gt;Here is an example:&lt;/p&gt;
&lt;pre&gt;&lt;code&gt;/**
 * Prints names of all models.
 */
function printModels() {
  var modelNames = Object.getOwnPropertyNames(app.models);
  console.log(modelNames);
  for (var i = 0; i &amp;lt; modelNames.length; i++) {
    modelName = modelNames[i];
    console.log(app.models[modelName].newQuery().run().length);
  }
}
&lt;/code&gt;&lt;/pre&gt;
</t>
  </si>
  <si>
    <t xml:space="preserve">&lt;p&gt;I have a kiosk app running to check visitors in &amp;amp; out of specific offices. The checkedIn time is generated as an event tied to the model. In the events, I have an &lt;code&gt;onCreate&lt;/code&gt; setup to &lt;code&gt;record.checkedIn = new Date ();&lt;/code&gt;&lt;/p&gt;
&lt;p&gt;The problem I have run into is on the Desk Clerks side of things. They have access to a table listing who is checked in. I want a button in each row that they can click to check out that individual. I setup the button under its &lt;code&gt;onClick&lt;/code&gt; property to &lt;/p&gt;
&lt;pre&gt;&lt;code&gt;record.checkedOut = new Date();
&lt;/code&gt;&lt;/pre&gt;
&lt;p&gt;They both use the same datasource. However, whenever I click the button in preview the debug reports:&lt;/p&gt;
&lt;pre&gt;&lt;code&gt;E
Tue Apr 04 10:14:24 GMT-700 2017
record is not defined
at signInAdmin.Panel1.Table1Panel.Table1.Table1Body.Table1Row.Button1.onClick:1:1
&lt;/code&gt;&lt;/pre&gt;
</t>
  </si>
  <si>
    <t xml:space="preserve">&lt;p&gt;That's probably because 'record' is not defined in the context of onClick.
You should be able to get the record by accessing the data source property of the widget.&lt;/p&gt;
&lt;p&gt;Try something like:&lt;/p&gt;
&lt;p&gt;widget.datasource.item.checkedOut = new Date();&lt;/p&gt;
</t>
  </si>
  <si>
    <t xml:space="preserve">&lt;p&gt;I am trying to dynamically change the nullItemName property of a Dropdown in Google AppMaker.  However, it seems to be ignoring it.  Here is my code and log results:&lt;/p&gt;
&lt;pre&gt;&lt;code&gt;console.log('DEBUG before nullItemName ' + widget.nullItemName);            
widget.nullItemName = 'test';
console.log('DEBUG after nullItemName ' + widget.nullItemName);
DEBUG before nullItemName No selection
DEBUG before nullItemName test
&lt;/code&gt;&lt;/pre&gt;
&lt;p&gt;So it appears to work, but the widget still shows "No selection".&lt;/p&gt;
&lt;p&gt;Is there something else I have to do?  Or could this be a bug?&lt;/p&gt;
&lt;p&gt;Thanks for any tips or pointers.&lt;/p&gt;
</t>
  </si>
  <si>
    <t xml:space="preserve">&lt;p&gt;I'm trying to password protect a page that contains confidential information.&lt;/p&gt;
&lt;p&gt;Upon clicking a link, user will be shown a pop-up dialog to enter password.
If successful, redirect user to page. Otherwise, display "Wrong password".&lt;/p&gt;
&lt;p&gt;The thing is, this can be easily overcome if user just copies the URL and add "/exec#ConfidentialPage" to the end of the URL.&lt;/p&gt;
&lt;p&gt;Any suggestions?&lt;/p&gt;
</t>
  </si>
  <si>
    <t xml:space="preserve">&lt;p&gt;If at all possible I would highly discourage implementing your own authentication system and instead rely on Google login to secure your data. See &lt;a href="https://developers.google.com/appmaker/security/secure-your-app" rel="nofollow noreferrer"&gt;https://developers.google.com/appmaker/security/secure-your-app&lt;/a&gt;. My short recommendation is to:&lt;/p&gt;
&lt;ul&gt;
&lt;li&gt;Create a google group which contains the users you want to access the
data.&lt;/li&gt;
&lt;li&gt;Create a role in App Maker which contains that group&lt;/li&gt;
&lt;li&gt;Restrict access to both your data and your view to members of that role.&lt;/li&gt;
&lt;/ul&gt;
&lt;p&gt;This is much more secure than a password based approach as #1 It's implemented by Google (implementing your own auth correctly is &lt;em&gt;hard&lt;/em&gt;) and #2 You have a list of everyone who has access to your data in the form of the Google group.&lt;/p&gt;
</t>
  </si>
  <si>
    <t xml:space="preserve">&lt;p&gt;My app contains a list of products carried by a chain of retail stores. I want the manager of each store to be able to select their store number on the home page and then see the gallery list of only the products in their store.&lt;/p&gt;
&lt;p&gt;On Screen1 I have dropdown1, which lists the store numbers and then there is Button1 which should be pressed to navigate to BrowseGallery1, filtered by the store number selected in the dropdown.&lt;/p&gt;
&lt;p&gt;My data source is a CDS called Products. There is a text field called StoreNum which has the store numbers, such as "111", "115", etc.&lt;/p&gt;
&lt;p&gt;I tried putting the following in the OnSelect of Button1: &lt;/p&gt;
&lt;pre&gt;&lt;code&gt;Navigate(BrowseScreen1,ScreenTransition.Fade,{StoreNum: 
Dropdown1.Selected.Value}), but that didn't work. It navigates to the 
page, but doesn't filter by StoreNum.
&lt;/code&gt;&lt;/pre&gt;
&lt;p&gt;After I figure out the filter situation, I want the search box on BrowseScreen1 to search a few fields in the gallery, but only for that particular store. I currently have this in the "Items" section of BrowseGallery1: &lt;/p&gt;
&lt;pre&gt;&lt;code&gt;Sort(If(IsBlank(TextSearchBox1.Text), Products, Filter(Products, TextSearchBox1.Text in Text(ItemNameWeight))), ItemNameWeight, Ascending)
&lt;/code&gt;&lt;/pre&gt;
&lt;p&gt;That seems to search my ItemNameWeight field ok, but with no regard to store number.&lt;/p&gt;
&lt;p&gt;I'd appreciate some help!&lt;/p&gt;
&lt;p&gt;Thanks,
 Tony&lt;/p&gt;
</t>
  </si>
  <si>
    <t xml:space="preserve">&lt;p&gt;I'm trying to include Zoho Books API within my swift app. 
I would like to create an item using the POST method, but I keep having an error message saying my JSONString is wrong.&lt;/p&gt;
&lt;p&gt;Here is what zoho documentation request to send, using POST method, in order to create and item :&lt;/p&gt;
&lt;pre&gt;&lt;code&gt; https://books.zoho.com/api/v3/items
  ?authtoken=e07119171812c29b3a0dacdb79a57e3f
  &amp;amp;organization_id=10234695
  &amp;amp;JSONString={
      "name": "Hard Drive",
      "description": "500GB, USB 2.0 interface 1400 rpm, protective hard case.",
      "rate": 120.00,
      "account_id": "460000000000388",
      "tax_id": "460000000027005"
}
&lt;/code&gt;&lt;/pre&gt;
&lt;p&gt;Here is what I make. I sense somehow my JSONString doesnt meet the expected format...&lt;/p&gt;
&lt;pre&gt;&lt;code&gt;let postData = [ 
            "authtoken" : "ZZZZZZZZZZZZZZZZZZZZZZ",
            "organization_id" : "XXXXXXXXXXX",
            "JSONString" :
                [
                "name": "Hard Drive",
                "description": "500GB, USB 2.0 interface 1400 rpm, protective hard case.",
                "rate": 120.00,
                "account_id": "460000000000388",
                "tax_id": "460000000027005"
                ]
            ] as [String : Any]
        var request = URLRequest(url: NSURL(string:"https://books.zoho.eu/api/v3/items")! as URL)
        request.httpMethod = "POST"
        request.httpBody = try! JSONSerialization.data(withJSONObject: postData, options: [])
        request.addValue("application/json", forHTTPHeaderField: "Content-Type")
        Alamofire.request(request).responseJSON
            { response in
                if let JSON = response.result.value {
                    let zohoResponse: [String: AnyObject] = JSON as! [String : AnyObject]
                    print(zohoResponse)
                }
        }
&lt;/code&gt;&lt;/pre&gt;
&lt;p&gt;And the answer : &lt;/p&gt;
&lt;pre&gt;&lt;code&gt;["code": 4, "message": Invalid value passed for JSONString]
&lt;/code&gt;&lt;/pre&gt;
&lt;p&gt;I manage well to make GET request so I believe it should be manageable to use POST method within my swift app as well.&lt;/p&gt;
&lt;p&gt;Many thanks for your help&lt;/p&gt;
&lt;p&gt;Regards&lt;/p&gt;
</t>
  </si>
  <si>
    <t xml:space="preserve">&lt;p&gt;I'm currently testing out Live Agent in development. If I understand correctly I should be able to test out the rest API by executing Postman commands while passing the correct information.&lt;/p&gt;
&lt;p&gt;I'm able to execute the &lt;code&gt;System/SessionId&lt;/code&gt; request and get back the response with the key, id, and affinity token. However when I try to execute the &lt;code&gt;Chasitor/ChasitorInit&lt;/code&gt;, I am getting &lt;code&gt;"Status 200, OK"&lt;/code&gt;  but in the &lt;a href="https://eu11.salesforce.com/console" rel="nofollow noreferrer"&gt;https://eu11.salesforce.com/console&lt;/a&gt; , agent that is online, is not getting a request. 
This is what I am sending over the Postman - for &lt;code&gt;Chasitor/ChasitorInit&lt;/code&gt;:&lt;/p&gt;
&lt;pre&gt;&lt;code&gt;POST /chat/rest/Chasitor/ChasitorInit HTTP/1.1
Host: d.la1-c2-par.salesforceliveagent.com
X-LIVEAGENT-API-VERSION: 39
X-LIVEAGENT-AFFINITY: c01b1fa0
X-LIVEAGENT-SESSION-KEY: e29ca4be-0580-4769-85fd-0a2ae29efef1!1491574157856!+mmC0MgxsyXGOC5v3M4uKpCQHTg=
X-LIVEAGENT-SEQUENCE: 1
Content-Type: application/json
Cache-Control: no-cache
Postman-Token: 3e421cb9-e777-4a6c-9ead-8e14f1f8ff60
&lt;/code&gt;&lt;/pre&gt;
&lt;p&gt;Payload:&lt;/p&gt;
&lt;pre&gt;&lt;code&gt;{
"organizationId": "00D0Y0000xxxxx", 
"deploymentId": "5720Y0000xxxxx", 
"buttonId": "liveagent_button_online_5730Y0000xxxxxx", 
"sessionId": "e29ca4be-0580-4769-85fd-0a2ae29efef1", 
"userAgent": "", 
"language": "en-US", 
"screenResolution": "1900x1080", 
"visitorName": "Frank Underwood", 
"prechatDetails": [],  
"prechatEntities": [], 
"receiveQueueUpdates": true, 
"isPost": true 
}
&lt;/code&gt;&lt;/pre&gt;
&lt;p&gt;What am I doing wrong? Why is there no chat request for the agent? &lt;/p&gt;
&lt;p&gt;When I am using .html page to start a chat with Live agent - it works. Agent receives invite, can accept, and chat works. I tried to see what requests are sent when using .html javascript, but it appears it is using sockets - and that is beyond my debugging capabilities. &lt;/p&gt;
&lt;p&gt;ALSO - if I then hijack the session key/affinity token from existing web chat with agent over to Postman - I am able to hijack session and continue sending/receiving messages from Postman. But I am not able to start a chat from Postman.&lt;/p&gt;
</t>
  </si>
  <si>
    <t xml:space="preserve">&lt;p&gt;I figured it out. For this call:   &lt;code&gt;/chat/rest/Chasitor/ChasitorInit&lt;/code&gt;&lt;/p&gt;
&lt;p&gt;I needed to provide buttonId - it should have been only   
&lt;code&gt;"buttonId": "5730Y000000L2ak".&lt;/code&gt;&lt;/p&gt;
&lt;p&gt;Apparently when using html JS, it gets this value out of "liveagent_button_online_5730Y000000L2ak".&lt;/p&gt;
</t>
  </si>
  <si>
    <t xml:space="preserve">&lt;p&gt;Okay, so the setup here might be a little bit long, but I'll try and get to the punch line.&lt;/p&gt;
&lt;p&gt;Essentially, I'm trying to enhance QuickBase in order to accommodate tracking of compensation history for employees. Approval for comp changes is done on a quarterly basis, for employees with an anniversary date that falls in that quarter. The idea is that managers would pull up a report with all relevant reviewees for that quarter, enter in their proposed comp changes, and then that would go on to the approvers for confirmation. &lt;/p&gt;
&lt;p&gt;To accomplish this, we have an "Employees" table related to a "Comp Records" table, one to many. An example of a Comp Record would be Bob's Q1/2015 review, his Q1/2016 review, his Q3/2016 merit increase, and his Q1/2017 review, etc.&lt;/p&gt;
&lt;p&gt;My hope is that the act of filling in proposed compensation changes is a matter of doing a grid-edit of comp records, fill in the proposed "new salary", and hit save. Sounds easy enough.&lt;/p&gt;
&lt;p&gt;It's easy enough to create a report around "Employees" that shows all employees with an anniversary date in the coming quarter.
It's easy enough to create a report of all "Comp Records" for a given time period, for a given location, or for a given approver.&lt;/p&gt;
&lt;p&gt;However, the problem is that if there are (for example) 20 people up for review in Q2, we'd need to generate 20 blank "Comp Records" for the appropriate dates, for those specific Employees. In other words, I don't necessarily want people to have to go in and hit "New Comp Record", pick an employee name, fill in the information, and hit save, 20 times.&lt;/p&gt;
&lt;p&gt;I know the HTTP API has an Add Record function which I've seen other people drive via a button within QuickBase. That doesn't seem to handle it for more than one Employee at a time.&lt;/p&gt;
&lt;p&gt;I've also seen that it's possible to host pages within QB and embed javascript on those pages in order to do the dirty work. That seems more likely a solution, but I'm not entirely sure how to go about using this.&lt;/p&gt;
&lt;p&gt;Is there a way to use JS to query from QB "all Employee IDs for Employees that have an anniversary date in the coming quarter" and then loop through that list using Add Record to add Comp Records for each employee? I think an example of this is really the core of what I'm looking for.&lt;/p&gt;
&lt;p&gt;In that case, I would end up with a button something to the effect of "Start Q2 Comp Reviews", click it one time to add the appropriate blank records, then let managers start filling in their proposed changes. That seems like a pretty reasonable experience.&lt;/p&gt;
&lt;p&gt;If there's a more graceful overall solution, I'm also open to that.
Any help is much appreciated :)&lt;/p&gt;
</t>
  </si>
  <si>
    <t xml:space="preserve">&lt;p&gt;I would like to define a field, where there is a list of allowed values as well as give user the option to type it in. For example, I list a bunch of previous jobs that the applicant can have, plus have them pick other and fill it in as well. &lt;/p&gt;
&lt;p&gt;Is it possible to do this with one field or do I need two fields where the user has to type it in? Is there a doc. or sample or tutorial I can look up? Thanks.&lt;/p&gt;
</t>
  </si>
  <si>
    <t xml:space="preserve">&lt;p&gt;I'm trying to login to my Salesforce Account and retrieve some data. So far i have been able to login to Salesforce by providing the username and the password on the Salesforce login page and then redirecting to the data page which i have some &lt;code&gt;echo&lt;/code&gt; statements. I want to know how to set the username and password in PHP itself, and make a successful Salesforce login.I used this documentation provided by Salesforce, &lt;a href="http://developer.force.com/cookbook/recipe/interact-with-the-forcecom-rest-api-from-php" rel="nofollow noreferrer"&gt;Interact with the Force.com REST API from PHP&lt;/a&gt;&lt;/p&gt;
&lt;p&gt;Please help. &lt;/p&gt;
&lt;p&gt;Following is my &lt;code&gt;config.php&lt;/code&gt;&lt;/p&gt;
&lt;pre&gt;&lt;code&gt;&amp;lt;?php
    ini_set('display_errors',1);
    error_reporting(E_ALL ^ E_WARNING); 
    define("CLIENT_ID", "xxx");
    define("CLIENT_SECRET", "xxx");
    define("REDIRECT_URI", "https://xxxx/oauth_callback.php");
    define("LOGIN_URI", "https://login.salesforce.com");
    define("USERNAME","xxxx@xxx.com");
    define("PASSWORD","*******");
    define("SECURITY_TOKEN","xxxx");
?&amp;gt;
&lt;/code&gt;&lt;/pre&gt;
&lt;p&gt;Following is my &lt;code&gt;oauth.php&lt;/code&gt;&lt;/p&gt;
&lt;pre&gt;&lt;code&gt;&amp;lt;?php
require_once 'config.php';
$auth_url = LOGIN_URI
        . "/services/oauth2/authorize?response_type=code&amp;amp;client_id="
        . CLIENT_ID . "&amp;amp;redirect_uri=" . urlencode(REDIRECT_URI);
header('Location: ' . $auth_url);
?&amp;gt;
&lt;/code&gt;&lt;/pre&gt;
&lt;p&gt;Following is my &lt;code&gt;oauth_callback.php&lt;/code&gt;&lt;/p&gt;
&lt;pre&gt;&lt;code&gt;&amp;lt;?php
require_once 'config.php';
session_start();
$token_url = LOGIN_URI . "/services/oauth2/token";
$code = $_GET['code'];
if (!isset($code) || $code == "") {
    die("Error - code parameter missing from request!");
}
$params = "code=" . $code
    . "&amp;amp;grant_type=authorization_code"
    . "&amp;amp;client_id=" . CLIENT_ID
    . "&amp;amp;client_secret=" . CLIENT_SECRET
    . "&amp;amp;username=" . USERNAME
    . "&amp;amp;password=" . PASSWORD
    . "&amp;amp;redirect_uri=" . urlencode(REDIRECT_URI);
$curl = curl_init($token_url);
curl_setopt($curl, CURLOPT_HEADER, false);
curl_setopt($curl, CURLOPT_RETURNTRANSFER, true);
curl_setopt($curl, CURLOPT_POST, true);
curl_setopt($curl, CURLOPT_POSTFIELDS, $params);
curl_setopt($curl, CURLOPT_CAINFO, dirname(__FILE__) . '/cacert.pem');
curl_setopt($curl, CURLOPT_SSL_VERIFYPEER, true);
$json_response = curl_exec($curl);
$status = curl_getinfo($curl, CURLINFO_HTTP_CODE);
if ( $status != 200 ) {
    die("Error: call to token URL $token_url failed with status $status, response $json_response curl_error " . curl_error($curl) . " curl_errno " . curl_errno($curl));
}
curl_close($curl);
$response = json_decode($json_response, true);
$access_token = $response['access_token'];
$instance_url = $response['instance_url'];
if (!isset($access_token) || $access_token == "") {
    die("Error - access token missing from response!");
}
if (!isset($instance_url) || $instance_url == "") {
    die("Error - instance URL missing from response!");
}
$_SESSION['access_token'] = $access_token;
$_SESSION['instance_url'] = $instance_url;
header( 'Location: demo_rest.php' ) ;
?&amp;gt;
&lt;/code&gt;&lt;/pre&gt;
&lt;p&gt;Following is my &lt;code&gt;demo_rest.php&lt;/code&gt; (shows the output)&lt;/p&gt;
&lt;pre&gt;&lt;code&gt;$query = "SELECT Id FROM test__c limit 3";
$url = "$instance_url/services/data/v20.0/query?q=" . urlencode($query);
$curl = curl_init($url);
curl_setopt($curl, CURLOPT_HEADER, false);
curl_setopt($curl, CURLOPT_RETURNTRANSFER, true);
curl_setopt($curl, CURLOPT_HTTPHEADER,
        array("Authorization: OAuth $access_token"));
curl_setopt($curl, CURLOPT_CAINFO, dirname(__FILE__) . '/cacert.pem');
curl_setopt($curl, CURLOPT_SSL_VERIFYPEER, true);
$json_response = curl_exec($curl);
curl_close($curl);
$response = json_decode($json_response, true);
$total_size = $response['totalSize'];
echo "$total_size record(s) returned&amp;lt;br/&amp;gt;&amp;lt;br/&amp;gt;";
echo "&amp;lt;br/&amp;gt;";
print_r($json_response);
&lt;/code&gt;&lt;/pre&gt;
</t>
  </si>
  <si>
    <t xml:space="preserve">&lt;p&gt;The problem is simple if done in a html page using javascript/jquery. But not working in a Salesforce Lightning Page.
I want to disable a &lt;code&gt;ui:inputText&lt;/code&gt; but not able to do it since it doesn't support &lt;code&gt;contextmenu&lt;/code&gt; event.
I am able to detect the right click correctly but failing to disable it using &lt;code&gt;mousedown&lt;/code&gt; event and &lt;code&gt;return false&lt;/code&gt;.&lt;/p&gt;
&lt;p&gt;Here is my code below&lt;/p&gt;
&lt;p&gt;Page&lt;/p&gt;
&lt;pre&gt;&lt;code&gt;&amp;lt;ui:inputText aura:id="phid" class="input-data phoneTxt" value="{!v.phno}" keydown="{!c.checkKey}" maxlength="10"
                      cut="{!c.showresult}" mousedown="{!c.showresult}" updateOn="cut keydown keyup keypress mousedown"  /&amp;gt;
&lt;/code&gt;&lt;/pre&gt;
&lt;p&gt;Controller&lt;/p&gt;
&lt;pre&gt;&lt;code&gt;preventAction : function(component, event, helper) {
    //console.log(event.getParams('button'));
    console.log(event.getParams());
    if (event.getParams().domEvent.button==2){
        //alert("Right Click is not Allowed");
        //event.getParams().domEvent.preventDefault();
        //event.getParams().domEvent.stopPropagation();
        event.getParams().domEvent.returnValue = false;
    }
}
&lt;/code&gt;&lt;/pre&gt;
&lt;p&gt;Note: I was previously trying to disable the right-click cut, copy &amp;amp; paste but thought of disabling only the right-click should solve the problem.&lt;/p&gt;
&lt;p&gt;Please suggest some solution to this problem.&lt;/p&gt;
&lt;p&gt;Thanks in advance.&lt;/p&gt;
</t>
  </si>
  <si>
    <t xml:space="preserve">&lt;p&gt;Hi this one worked for me. In component add this,&lt;/p&gt;
&lt;pre&gt;&lt;code&gt;  &amp;lt;aura:handler name="init" value="{!this}" action="{!c.doInit}"/&amp;gt;
&lt;/code&gt;&lt;/pre&gt;
&lt;p&gt;In controller.js add this&lt;/p&gt;
&lt;pre&gt;&lt;code&gt;  doInit : function(component, event, helper) {
       document.addEventListener('contextmenu', event =&amp;gt; event.preventDefault());
  },
&lt;/code&gt;&lt;/pre&gt;
</t>
  </si>
  <si>
    <t xml:space="preserve">&lt;p&gt;When creating a PowerApp using a SharePoint list as the data source, any new columns/fields created in the SP list are not retroactively refreshed in the PowerApp. &lt;/p&gt;
&lt;p&gt;The data (SP list items) refreshes, but the new columns/fields are not available.&lt;/p&gt;
&lt;p&gt;In other words, if I...&lt;/p&gt;
&lt;ol&gt;
&lt;li&gt;Create a SP list named "foo" with 2 columns (first name, last name)&lt;/li&gt;
&lt;li&gt;Create a PowerApp using the SP list "foo" as the data source&lt;/li&gt;
&lt;li&gt;Update SP list "foo" to have 3 columns (first name, last name, e-mail)&lt;/li&gt;
&lt;li&gt;When I reload the PowerApp, it will not show a field for "e-mail".&lt;/li&gt;
&lt;/ol&gt;
&lt;p&gt;Am I doing it wrong?&lt;/p&gt;
</t>
  </si>
  <si>
    <t xml:space="preserve">&lt;p&gt;When PowerApps generates an app from a SharePoint list or other data source, it generates the app based on the current state of the data source. If the data source changes, the app will not automatically edit itself to account for this.&lt;/p&gt;
&lt;p&gt;Because of this, to update an app based on a changed data source, you will need to manually adjust it. Fortunately, this isn't difficult.&lt;/p&gt;
&lt;p&gt;Below, I have an app I generated from a list called "PowerAppList", which had a Title column and a Column1 column. I then added Column2. As you can see, it still hasn't been adjusted.&lt;/p&gt;
&lt;p&gt;&lt;a href="https://i.stack.imgur.com/qCre7.png" rel="nofollow noreferrer"&gt;&lt;img src="https://i.stack.imgur.com/qCre7.png" alt="App from SharePoint"&gt;&lt;/a&gt;&lt;/p&gt;
&lt;p&gt;First, we need to refresh the data source in the app. This allows the app to refetch the schema of the list, which is important since it changed.&lt;/p&gt;
&lt;p&gt;&lt;a href="https://i.stack.imgur.com/cpNCH.png" rel="nofollow noreferrer"&gt;&lt;img src="https://i.stack.imgur.com/cpNCH.png" alt="Refresh"&gt;&lt;/a&gt;&lt;/p&gt;
&lt;p&gt;After refreshing, we need to change the forms in the app. Here I have selected the Edit form on the third screen. Notice that we now have a hidden card for Column2, since we refreshed the data source.&lt;/p&gt;
&lt;p&gt;&lt;a href="https://i.stack.imgur.com/Au3CL.png" rel="nofollow noreferrer"&gt;&lt;img src="https://i.stack.imgur.com/Au3CL.png" alt="Edit Screen"&gt;&lt;/a&gt;&lt;/p&gt;
&lt;p&gt;When we click the eye icon, a data card will be added to the form for Column 2.&lt;/p&gt;
&lt;p&gt;&lt;a href="https://i.stack.imgur.com/6GL0Q.png" rel="nofollow noreferrer"&gt;&lt;img src="https://i.stack.imgur.com/6GL0Q.png" alt="Edit Screen With Added Data Card"&gt;&lt;/a&gt;&lt;/p&gt;
&lt;p&gt;Note that you will need to do this for each form in your app. Here we add the card to the Detail Screen.&lt;/p&gt;
&lt;p&gt;&lt;a href="https://i.stack.imgur.com/YUuPg.png" rel="nofollow noreferrer"&gt;&lt;img src="https://i.stack.imgur.com/YUuPg.png" alt="Detail Screen With Added Data Card"&gt;&lt;/a&gt;&lt;/p&gt;
</t>
  </si>
  <si>
    <t xml:space="preserve">&lt;p&gt;I'm trying to create a re-usable script for capturing record changes onSave with Server-side scripting.  To do that, I need the model information for a given table, including what type each field is.&lt;/p&gt;
&lt;p&gt;I have figured out how to get the model for my table and details for the fields:&lt;/p&gt;
&lt;pre&gt;&lt;code&gt;var table = "Clients";
var myObject = app.models[table];
// Dump the properties of the 2nd field in the model
console.log("Field 2 properties: " + JSON.stringify(myObject["L"]["fields"]["1"]));
&lt;/code&gt;&lt;/pre&gt;
&lt;p&gt;I see this:&lt;/p&gt;
&lt;pre&gt;&lt;code&gt;{"name":"Client",
"key":"zzzkS1spSPKkRXMn",
"displayName":null,
"description":"Short name for client (must be unique)",
"type":{},
"required":false,
"uid":false,
"defaultValue":null,
"minLength":0,
"maxLength":null,
"integer":false,
"sortable":true,
"minValue":null,
"maxValue":null,
"regexp":null,
"regexpError":null,
"possibleValues":null,
"aggregationType":null
}
&lt;/code&gt;&lt;/pre&gt;
&lt;p&gt;"type" looks like an empty property here and I can't seem to figure out how to get any reference to it to tell me what I need.&lt;/p&gt;
&lt;p&gt;How do I get usable type information for a given field in a model?&lt;/p&gt;
</t>
  </si>
  <si>
    <t xml:space="preserve">&lt;p&gt;Right now, App Maker doesn't expose an API to access the model metadata.
You snippet is actually accessing App Maker's internal state and might break in future releases (the "L" property is actually obfuscated by a JS compiler and not designed to be accessed from user land).&lt;/p&gt;
&lt;p&gt;We know this kind of meta-programming is handy and this is something we might add in the future based on user feedback. Please feel free to submit a request feature in our issue tracker (&lt;a href="https://developers.google.com/appmaker/support" rel="nofollow noreferrer"&gt;https://developers.google.com/appmaker/support&lt;/a&gt;).&lt;/p&gt;
</t>
  </si>
  <si>
    <t xml:space="preserve">&lt;p&gt;I'm new to Powerapps, and am trying to solve this problem:&lt;/p&gt;
&lt;p&gt;The app will rely on a locally stored data file. Either based on an Excel file, or a Sharepoint list. That is, the app needs to be able to query this data while offline. But a second requirement is that this data source should be able to update from within the app. Either by polling the master data (in an online Sharepoint solution), or by the remote server pushing data to the clients when it is updated.&lt;/p&gt;
&lt;p&gt;What is a good approach to solve this problem?&lt;/p&gt;
</t>
  </si>
  <si>
    <t xml:space="preserve">&lt;p&gt;Do anyone know "how to call a lightning controller function from another function within the same lightning component?" 
Thanks
Aruna      &lt;/p&gt;
&lt;pre&gt;&lt;code&gt;    ({ 
    doInit: function(component, event, helper){
   var action = component.get("c.gettemps");
    action.setParams({ recordId : component.get("v.recordId") });
           action.setCallback(this, function(response){
       var parsedJSON= JSON.parse(response.getReturnValue());
       var size=component.get("v.limit");
       var counter = component.get("v.counter");
        component.set("{!v.myObject}",parsedJSON);
   var list=[];
        for(var i=0; i&amp;lt;size;i++)
        {
             list.push(parsedJSON[i]);
            counter++;
        }
               component.set("v.end",counter);
               component.set("{!v.counter}",counter);
               component.set("{!v.paginationList}",list);
        });
 $A.enqueueAction(action);
},
 next:function(component,event,helper)
{
    var myObject = component.get("v.myObject");
    var size=component.get("v.limit");
   var end = component.get("v.end");
    var counter = component.get("v.counter");
    var list=[];
    for(var i=end; i&amp;lt;end+size; i++)
    {
        if(i&amp;lt;myObject.length)
        {
            if(i&amp;gt;-1)
            {
        list.push(myObject[i]);
        counter++;
            }
        }
    } 
     component.set("v.end",counter);
     component.set("{!v.counter}",counter);
     component.set("{!v.paginationList}",list);  
},
previous:function(component,event,helper)
{
     var myObject = component.get("v.myObject");
    var size=component.get("v.limit");
    var end = component.get("v.end");
    var counter = component.get("v.counter");
           var list=[];
     for(var i=end-1; i&amp;gt;end-size-1; i--)
    {
        if(i&amp;gt;=-1)
        {
      list.push(myObject[i-1]);
        counter--;
         }
    }
     component.set("v.end",counter);
     component.set("{!v.counter}",counter);
     component.set("{!v.paginationList}",list);  
}   
 })
&lt;/code&gt;&lt;/pre&gt;
&lt;p&gt;Actually I have problem with my previous function. When I stay in my first page and selects previous button my page should not be changed but my code is behaving abnormally. So I thought of reusing my doInit function to stay in the current page when I am already in the first page. Please help
Thanks
Aruna &lt;/p&gt;
</t>
  </si>
  <si>
    <t xml:space="preserve">&lt;p&gt;I am doing Salesforce trailhead from the link : &lt;a href="https://trailhead.salesforce.com/modules/apex_integration_services/units/apex_integration_webservices" rel="nofollow noreferrer"&gt;https://trailhead.salesforce.com/modules/apex_integration_services/units/apex_integration_webservices&lt;/a&gt;. &lt;/p&gt;
&lt;p&gt;In this tutorial they've use &lt;code&gt;access_token&lt;/code&gt; to call the &lt;code&gt;GET&lt;/code&gt; request. &lt;strong&gt;But they have not guided us how to get the&lt;/strong&gt; &lt;code&gt;access_token&lt;/code&gt;, which is an important steps to call the APEX Rest from outside.&lt;/p&gt;
&lt;p&gt;&lt;a href="https://i.stack.imgur.com/ZtvxV.png" rel="nofollow noreferrer"&gt;&lt;img src="https://i.stack.imgur.com/ZtvxV.png" alt="enter image description here"&gt;&lt;/a&gt;&lt;/p&gt;
&lt;p&gt;I tied to do something like below its saying me the error:&lt;/p&gt;
&lt;pre&gt;&lt;code&gt;https://ap5.salesforce.com/services/oauth2/token?client_id="3MVG9d8..z.hDcPJZPIzGJ5UZDuKCOqbH8CCGCPnmwQuRbwLZ_2f.thbqWMX82H7JRGx4
6VYyEkuwzQ9._ww5"&amp;amp;client_secret="1180508865211885204"&amp;amp;username="pXXXXXXXXXXXXXXX.com"&amp;amp;password="AgXXXXXXXX"&amp;amp;grant_type=password
&lt;/code&gt;&lt;/pre&gt;
&lt;p&gt;&lt;a href="https://i.stack.imgur.com/219lz.png" rel="nofollow noreferrer"&gt;&lt;img src="https://i.stack.imgur.com/219lz.png" alt="enter image description here"&gt;&lt;/a&gt;&lt;/p&gt;
</t>
  </si>
  <si>
    <t xml:space="preserve">&lt;p&gt;I understood the concept now and thanks for sharing other links.&lt;/p&gt;
&lt;p&gt;&lt;code&gt;client_id, client_secret, username, password and grant_type&lt;/code&gt; should be sent in a &lt;code&gt;HTTP POST&lt;/code&gt; body not in header.&lt;/p&gt;
&lt;pre&gt;&lt;code&gt;HttpRequest req = new HttpRequest();
req.setMethod('POST');
req.setHeader('Content-Type','application/x-www-form-urlencoded');
req.setEndpoint('https://ap5.salesforce.com/services/oauth2/token');
String CLIENT_ID = 'XXXXXXXXXXXXXXXXXXXXXXXXX';
String CLIENT_SECRET = 'XXXXXXXXXXXXXXXXXXXXXXX';
String USERNAME = 'XXXXXXXXXXXXXX';
String PASSWORD = 'XXXXXXXXXXXXXX';
req.setBody('grant_type=password' + '&amp;amp;client_id='+CLIENT_ID + 
            '&amp;amp;client_secret='+CLIENT_SECRET + '&amp;amp;username='+USERNAME + '&amp;amp;password='+PASSWORD);
Http http = new Http();
HTTPResponse response = http.send(req);
System.debug('Body ' + response.getBody());
System.debug('Status ' + response.getStatus());
System.debug('Status code ' + response.getStatusCode());
&lt;/code&gt;&lt;/pre&gt;
</t>
  </si>
  <si>
    <t xml:space="preserve">&lt;p&gt;So I have a Status Dropdown on a fragment page (used to edit database entries) that I want to send an email notification when the entry changes from "Pending" to "Ready to Build". &lt;/p&gt;
&lt;p&gt;I am using the following code: &lt;/p&gt;
&lt;pre&gt;&lt;code&gt;var widgets = widget.parent.descendants;
    var to = 'notifications@xxx.com';
    var subject = 'New System Order: ' + widgets.ProjectName.value;
    var msg = "A new order for [ " + widgets.ProjectName.value + " ] has been created for [ " + widgets.UsersPosition.value + " ]";
    sendMessage(to, subject, msg);
&lt;/code&gt;&lt;/pre&gt;
&lt;p&gt;You can see that I also have it pulling the Project Name/User Position in the subject/body of the email. These are Text Boxes on that Fragment page displaying the information from the entry. &lt;/p&gt;
&lt;p&gt;All of these works great and exactly as desired when the Dropdown and the Text Boxes are all in the same panel. However, when I separate them into separate panels (for aesthetics) the system cannot find &lt;strong&gt;widgets.ProjectName.value&lt;/strong&gt; or &lt;strong&gt;widgets.UsersPosition.value&lt;/strong&gt;. &lt;/p&gt;
&lt;p&gt;I'm assuming I just need to adjust the &lt;strong&gt;var widgets = widget.parent.descendants;&lt;/strong&gt; line, but I don't know to what. &lt;/p&gt;
&lt;p&gt;Any help would be greatly appreciated. Thank you. &lt;/p&gt;
</t>
  </si>
  <si>
    <t xml:space="preserve">&lt;p&gt;In our company we receive files from the banks in .txt format, where information about each payment from a customer is stored as numbers. I want to upload this file to Salesforce, but it seems like it's not possible to upload .txt files to Salesforce, only .csv. What I am trying to do is to parse them based on a set of rules and put each one of these payments in their own record in a "Payments" object.&lt;/p&gt;
&lt;p&gt;Is there any way to do this using Apex or Visualforce? Or both?&lt;/p&gt;
</t>
  </si>
  <si>
    <t xml:space="preserve">&lt;p&gt;I am working on web app in OutSystems 10.0. In the application, if I log out, it logs off. But when I click the browser back Button, it redirects to the Previous page (which should be displayed only after login). Any suggestions?&lt;/p&gt;
</t>
  </si>
  <si>
    <t xml:space="preserve">&lt;p&gt;I am creating an application using google app maker. Is it possible for me to access the data saved by the application in the google drive using tableau?&lt;/p&gt;
</t>
  </si>
  <si>
    <t xml:space="preserve">&lt;p&gt;Yes, if you are saving you data to google sheets.&lt;a href="https://www.tableau.com/about/blog/2016/5/connect-directly-your-google-sheets-tableau-10-53954" rel="nofollow noreferrer"&gt;Info Here&lt;/a&gt;&lt;/p&gt;
</t>
  </si>
  <si>
    <t xml:space="preserve">&lt;p&gt;I have a simple relationship&lt;/p&gt;
&lt;pre&gt;&lt;code&gt;companies - contacts
            addresses
            locations 
&lt;/code&gt;&lt;/pre&gt;
&lt;p&gt;The details (contacts, addresses, locations) are on a separate page. Each of these details is a specific table. For locations, I have added a little google icon that opens up a map widget in a separate dialog/window. The separate dialog where google map widget is tied to locations datasource. It should be tied to the specific location row the user clicked on.&lt;/p&gt;
&lt;p&gt;The details page is based on companies and each of these details is a table based on contacts/addresses/locations. &lt;/p&gt;
&lt;p&gt;Is there a way for me to tell appmaker to use that specific location when the icon is clicked on? I am not sure how it manages to tie the location from a specific company to the dialog. I am guessing it does not.&lt;/p&gt;
</t>
  </si>
  <si>
    <t xml:space="preserve">&lt;p&gt;What configuration do I need to send email from a rails application with Zoho?&lt;/p&gt;
&lt;p&gt;With this configuration:&lt;/p&gt;
&lt;pre&gt;&lt;code&gt;ActionMailer::Base.delivery_method = :smtp
ActionMailer::Base.smtp_settings = {
  :address              =&amp;gt; 'smtp.zoho.com',
  :port                 =&amp;gt; 465,
  :user_name            =&amp;gt; ENV['NOREPLY_USERNAME'],
  :password             =&amp;gt; ENV['NOREPLY_PASSWORD'],
  :authentication       =&amp;gt; :login,
  :ssl                  =&amp;gt; true,
  :tls                  =&amp;gt; true,
  :enable_starttls_auto =&amp;gt; true
}
&lt;/code&gt;&lt;/pre&gt;
&lt;p&gt;I get this error:
Net::SMTPAuthenticationError (535 Authentication Failed):&lt;/p&gt;
&lt;p&gt;With the same configuration but port 587 instead I get this error:
OpenSSL::SSL::SSLError (SSL_connect returned=1 errno=0 state=unknown state: unknown protocol):&lt;/p&gt;
&lt;p&gt;I have made sure that NOREPLY_USERNAME and NOREPLY_PASSWORD are the correct values.&lt;/p&gt;
&lt;p&gt;Any help would be appreciated.&lt;/p&gt;
</t>
  </si>
  <si>
    <t xml:space="preserve">&lt;p&gt;Emailed Zoho about this and they told me they checked and my email was hosted in Europe, so they told me to change to smtp.zoho.eu and use 465 SSL or 587 TLS. smtp.zoho.eu worked with 465 SSL and there are no errors and the emails are sent successfully.&lt;/p&gt;
</t>
  </si>
  <si>
    <t xml:space="preserve">&lt;p&gt;So I have two databases (Database A and Database B), with a ONE to MANY relationship.  &lt;/p&gt;
&lt;p&gt;I have a page (that used to work) where I had an Accordion Widget for Database A and one for Database B on the same page. &lt;/p&gt;
&lt;p&gt;So if I highlighted an entry in Accordion A (Database A), then I would see all the associated entries for Database B displayed in Accordion B. &lt;/p&gt;
&lt;p&gt;When I clicked the next entry in Accordion A, Accordion B would update appropriately. I was able to achieve this by setting the Datasource for Accordion B as &lt;strong&gt;Database B (relation)&lt;/strong&gt;. &lt;/p&gt;
&lt;p&gt;This doesn't seem to be an option any more. &lt;/p&gt;
&lt;p&gt;Is there a way to achieve the same thing via a different method? &lt;/p&gt;
</t>
  </si>
  <si>
    <t xml:space="preserve">&lt;p&gt;I am developing an Lightning application where i am creating components dynamically. As of now code is working fine and gives no error. But my question is how we get values from it.&lt;/p&gt;
&lt;p&gt;Let's say this is parent controller class ,&lt;/p&gt;
&lt;pre&gt;&lt;code&gt;clickMoreFilter: function(cmp, event, helper) {
       $A.createComponent(
        "c:AccountDynamicForm",
        {
            "aura:id": "findableAuraId",
            "label": "Press Me",
            "press": cmp.getReference("c.clickCreateExpense")
        },
        function(newButton, status, errorMessage){
            //Add the new button to the body array
            if (status === "SUCCESS") {
                var body = cmp.get("v.body");
                var newb = newButton.getElement('levels3');
                console.log('checkCmp'+newb);
                body.push(newButton);
                cmp.set("v.body", body);
            }
            else if (status === "INCOMPLETE") {
                alert("No response from server or client is offline.")
                // Show offline error
            }
                else if (status === "ERROR") {
                    alert("Error: " + errorMessage);
                    // Show error message
                }
        }
    );
},
&lt;/code&gt;&lt;/pre&gt;
&lt;p&gt;and this is the dynamic component which i am creating : 
    &lt;/p&gt;
&lt;pre&gt;&lt;code&gt;&amp;lt;div aria-labelledby="newexpenseform"&amp;gt;
    &amp;lt;!-- CREATE NEW EXPENSE FORM --&amp;gt;
    &amp;lt;br&amp;gt;&amp;lt;/br&amp;gt;
    &amp;lt;form class="slds-form--inline"&amp;gt;
        &amp;lt;div class="slds-form-element slds-is-required"&amp;gt;
            &amp;lt;div class="slds-form-element__control"&amp;gt;
                &amp;lt;ui:inputSelect aura:id="accIndustry" class="slds-select"/&amp;gt;
            &amp;lt;/div&amp;gt;
        &amp;lt;/div&amp;gt;
        &amp;lt;div class="slds-form-element slds-is-required"&amp;gt;
            &amp;lt;div class="slds-form-element__control"&amp;gt;
                &amp;lt;ui:inputSelect aura:id="levels3"  class="slds-input"&amp;gt;
                    &amp;lt;aura:iteration items="{!v.contactLevel1}" var="level"&amp;gt;
                        &amp;lt;ui:inputSelectOption text="{!level}" label="{!level}"/&amp;gt;
                    &amp;lt;/aura:iteration&amp;gt;
                &amp;lt;/ui:inputSelect&amp;gt;
            &amp;lt;/div&amp;gt;
        &amp;lt;/div&amp;gt;
        &amp;lt;div class="slds-form-element"&amp;gt;
            &amp;lt;div class="slds-form-element__control" onfocusout="{!c.clickCreateExpense}"&amp;gt;
                &amp;lt;ui:inputText aura:id="inputValue" 
                              class="slds-input"
                              labelClass="slds-form-element__label"
                              /&amp;gt;
            &amp;lt;/div&amp;gt;
        &amp;lt;/div&amp;gt;
    &amp;lt;/form&amp;gt;
    &amp;lt;!-- / CREATE NEW EXPENSE FORM --&amp;gt;
&amp;lt;/div&amp;gt;
&lt;/code&gt;&lt;/pre&gt;
&lt;p&gt;&lt;/p&gt;
&lt;p&gt;Now how to get the values from dynamic component to parent component?
Please help me out in this. Thanks in advance.&lt;/p&gt;
</t>
  </si>
  <si>
    <t xml:space="preserve">&lt;p&gt;I have two Datasource tables  Projects and tt_records with a hours number field. There is a one to many relation between the Project and tt_records. I would like to display the total number of hours per project in a table. I am able to compute the total hours in server side function, how do I bind the total with a label on the UI. I am attempting to use the following in the binding on the field. I see the function is called through info statements in the console logs, however the value does not display on the UI clientgetProjHours(@datasource.item._key); following is the Client Script&lt;/p&gt;
&lt;pre&gt;&lt;code&gt;function clientgetProjHours(key){  
  return (google.script.run.withSuccessHandler(function (key) {
      console.info("received result");
    }).getProjHours(key));
}
&lt;/code&gt;&lt;/pre&gt;
&lt;p&gt;Following is the server side script&lt;/p&gt;
&lt;pre&gt;&lt;code&gt;function getProjHours(key){
  console.log ("In the function getProjHours (" + key +")");
  var pRecords = app.models.Projects.getRecord(key);
  console.log("Contents of " + pRecords); 
  var tRecords =pRecords.tt_record;
  console.log("Contents of t Records" + tRecords); 
  var total = 0;
  tRecords.forEach (function (item){
      total += item.actuals;                    
      });
  console.log ("The result is: " + total);
  return total;   
 } 
&lt;/code&gt;&lt;/pre&gt;
&lt;p&gt;Could you please suggest the best way to achieve this fuction. 
Thank you very much for your help&lt;/p&gt;
</t>
  </si>
  <si>
    <t xml:space="preserve">&lt;p&gt;&lt;code&gt;key&lt;/code&gt; parameter in &lt;code&gt;function (key) {&lt;/code&gt; is the result of the Server Script. &lt;/p&gt;
&lt;p&gt;So you just need to replace:  &lt;/p&gt;
&lt;pre&gt;&lt;code&gt;function (key) {
&lt;/code&gt;&lt;/pre&gt;
&lt;p&gt;With:  &lt;/p&gt;
&lt;pre&gt;&lt;code&gt;function (result)
&lt;/code&gt;&lt;/pre&gt;
&lt;p&gt;Also replace:  &lt;/p&gt;
&lt;pre&gt;&lt;code&gt;console.info("received result");
&lt;/code&gt;&lt;/pre&gt;
&lt;p&gt;With:  &lt;/p&gt;
&lt;pre&gt;&lt;code&gt;app.pages.[PageName].descendants.[LabelName].text = result;
&lt;/code&gt;&lt;/pre&gt;
&lt;p&gt;But as it mentioned already &lt;a href="https://developers.google.com/appmaker/models/calculated" rel="nofollow noreferrer"&gt;Calculated Model&lt;/a&gt; should fit such use case better.&lt;/p&gt;
</t>
  </si>
  <si>
    <t xml:space="preserve">&lt;p&gt;I need to filter a dropdown list from the results of another dropdown list above it.  I'm filtering personnel based on their respective agency, so when the user selects their Agency from the first dropdown list, the second dropdown list is only populated with Personnel from that Agency.&lt;/p&gt;
&lt;p&gt;Agency and Personnel are two separate entities (tables) in the common data service (CDS).&lt;/p&gt;
&lt;p&gt;So far I can get the list of Agencies from the CDS with&lt;/p&gt;
&lt;p&gt;&lt;code&gt;Filter(Agency, AgencyType = 9)&lt;/code&gt;&lt;/p&gt;
&lt;p&gt;where [9] = the type of agency I'm filtering for.&lt;/p&gt;
&lt;p&gt;I just can't get the list of people assigned to that agency to populate.  I have tried:&lt;/p&gt;
&lt;p&gt;&lt;code&gt;ITEM: Filter(Personnel, ddAgency.Selected.Value in Personnel.AgencyID)&lt;/code&gt;
where ddAgency is the name of the referenced dropdown.&lt;/p&gt;
&lt;p&gt;I am getting a single table error from PowerApps, so I guess it's my syntax.  I'm trying to filter data and draw results based on values in 2 entities (tables).&lt;/p&gt;
&lt;p&gt;Any suggestions?&lt;/p&gt;
</t>
  </si>
  <si>
    <t xml:space="preserve">&lt;p&gt;You probably want something along the lines of&lt;/p&gt;
&lt;pre&gt;&lt;code&gt;ddPersonnel.Items: Filter(Personnel, AgencyID = ddAgency.Selected.Value)
&lt;/code&gt;&lt;/pre&gt;
&lt;p&gt;The expression used to filter the data source already assumes that you are in the context of the data source being filtered, so you don't need to specify &lt;code&gt;Personnel.AgencyID&lt;/code&gt; - &lt;code&gt;AgencyID&lt;/code&gt; is enough.&lt;/p&gt;
&lt;p&gt;The expression on the right of the equality sign (&lt;code&gt;ddAgency.Selected.Value&lt;/code&gt;) may need to be updated, if the column that has the agency id is not called &lt;code&gt;Value&lt;/code&gt;. For example, if it's called &lt;code&gt;Id&lt;/code&gt;, the expression would be the one below.&lt;/p&gt;
&lt;pre&gt;&lt;code&gt;ddPersonnel.Items: Filter(Personnel, AgencyID = ddAgency.Selected.Id)
&lt;/code&gt;&lt;/pre&gt;
&lt;p&gt;You can read this as "Filter the data source &lt;code&gt;Personnel&lt;/code&gt; where the value of the &lt;code&gt;AgencyID&lt;/code&gt; field is the same as the value of the &lt;code&gt;Id&lt;/code&gt; of the &lt;code&gt;Agency&lt;/code&gt; element selected in the dropdown &lt;code&gt;ddAgency&lt;/code&gt;.&lt;/p&gt;
</t>
  </si>
  <si>
    <t xml:space="preserve">&lt;p&gt;FullCalender functionality is not working if we activate locker service.&lt;/p&gt;
&lt;p&gt;I tried different versions of fullcalender 3.1.0 and jquery 2.2.4 but still fullcalender functionality not working and no error in the back end. I can see only blank screen.
PFB versions which I have used in my code.&lt;/p&gt;
&lt;pre&gt;&lt;code&gt;| FullCalendar |---------| 3.1.0 |
| jQuery |-----| 2.2.2 and 2.2.4 |
| jQuery UI |-----------| 1.11.4 |
code
&amp;lt;ltng:require styles="/resource/FullCalender/fullcalendar-3.1.0/fullcalendar.min.css,
                  /resource/SLDS0122/assets/styles/salesforce-lightning-design-system-ltng.css" 
              scripts="/resource/jqueryJSmin2_2_4,
                   /resource/jqueryUIto/jquery-ui-1.11.4.custom/jquery-ui.min.js,
                   /resource/FullCalender/fullcalendar-3.1.0/fullcalendar.min.js" 
                   afterScriptsLoaded="{!c.scriptsLoaded}"/&amp;gt;
&lt;/code&gt;&lt;/pre&gt;
&lt;p&gt;Could you please help me to resolve this issue.&lt;/p&gt;
</t>
  </si>
  <si>
    <t xml:space="preserve">&lt;p&gt;I have in my Salesforce"Account" object a rich text field to save images. When I tried to set its size I'm not able to do that. But if I add text content within it the styling is working perfectly with my text content. Only my image is not responding to the style given for it. I have given my code below.Can anyone figure out what's wrong with the code?&lt;/p&gt;
&lt;pre&gt;&lt;code&gt; &amp;lt;html&amp;gt; 
 &amp;lt;head&amp;gt; 
 &amp;lt;style type="text/css"&amp;gt; 
 myDiv 
 { 
  border:0px; 
  height:50px; 
  width:10px; 
 } 
 &amp;lt;/style&amp;gt; 
 &amp;lt;/head&amp;gt; 
 &amp;lt;body&amp;gt; 
 &amp;lt;div id="myDiv"&amp;gt;Picture {!Picture__c}&amp;lt;/div&amp;gt; 
 &amp;lt;/body&amp;gt;
 &amp;lt;/html&amp;gt;
&lt;/code&gt;&lt;/pre&gt;
&lt;p&gt;Thanks
Aruna V&lt;/p&gt;
</t>
  </si>
  <si>
    <t xml:space="preserve">&lt;p&gt;It's not possible to resize an image with CSS so go for alternate methods.
For an working method refer &lt;a href="http://vikhyat.net/code/resize_large_images_js/" rel="nofollow noreferrer"&gt;here&lt;/a&gt;.&lt;/p&gt;
</t>
  </si>
  <si>
    <t xml:space="preserve">&lt;p&gt;I try to implement fullcalendar scheduler in a salesforce lightning component.&lt;/p&gt;
&lt;p&gt;Here the version and files of fullcalendar and scheduler I use:&lt;/p&gt;
&lt;pre&gt;&lt;code&gt;&amp;lt;aura:component controller="SchedulerEvents" implements="force:appHostable" access="public"&amp;gt;
&amp;lt;ltng:require scripts="{!join(',',
        $Resource.fullcalendar310 +'/fullcalendar-3.1.0/lib/jquery.min.js' ,
        $Resource.fullcalendar310 + '/fullcalendar-3.1.0/lib/moment.min.js',
        $Resource.fullcalendar310 + '/fullcalendar-3.1.0/fullcalendar.js',
        $Resource.fullcalendar310 + '/fullcalendar-3.1.0/fullcalendar.min.js',
        $Resource.fullcalendarScheduler161 + '/fullcalendar-scheduler-1.6.1/lib/jquery.min.js',
        $Resource.fullcalendarScheduler161 + '/fullcalendar-scheduler-1.6.1/lib/fullcalendar.min.js' ,
        $Resource.fullcalendarScheduler161 + '/fullcalendar-scheduler-1.6.1/lib/gcal.min.js' ,
        $Resource.fullcalendarScheduler161 + '/fullcalendar-scheduler-1.6.1/lib/moment.min.js',
        $Resource.fullcalendarScheduler161 + '/fullcalendar-scheduler-1.6.1/scheduler.js',
        $Resource.fullcalendarScheduler161 + '/fullcalendar-scheduler-1.6.1/scheduler.min.js'
        )}" afterScriptsLoaded="{!c.afterScriptsAreLoaded}"/&amp;gt;
&amp;lt;ltng:require styles="{!$Resource.fullcalendar310 + '/fullcalendar-3.1.0/fullcalendar.css'}"/&amp;gt;
&amp;lt;ltng:require styles="{!$Resource.fullcalendarScheduler161 + '/fullcalendar-scheduler-1.6.1/scheduler.css'}"/&amp;gt;
&amp;lt;ltng:require styles="{!$Resource.fullcalendarScheduler161 + '/fullcalendar-scheduler-1.6.1/scheduler.min.css'}"/&amp;gt;
&amp;lt;aura:attribute name="events" type="Object[]" /&amp;gt;
&amp;lt;div aura:id="scheduler"&amp;gt;&amp;lt;/div&amp;gt;
&lt;/code&gt;&lt;/pre&gt;
&lt;p&gt;&lt;/p&gt;
&lt;p&gt;My javascript function setting up the calendar:&lt;/p&gt;
&lt;pre&gt;&lt;code&gt;loadDataToCalendar :function(component,data){
    var ele = component.find('scheduler').getElement();
    $(ele).fullCalendar({
        defaultView:'timelineDay',
        header: {
            left: 'prev,next today',
            center: 'title',
            right: 'month,basicWeek,basicDay'
        },
        navLinks: true,
        editable: true,
        eventLimit: true,
        resources: [
            { id: 'a', title: 'Auditorium A' },
            { id: 'b', title: 'Auditorium B', eventColor: 'green' },
            { id: 'c', title: 'Auditorium C', eventColor: 'orange' },
            { id: 'd', title: 'Auditorium D', children: [
                { id: 'd1', title: 'Room D1' },
                { id: 'd2', title: 'Room D2' }
            ] },
            { id: 'e', title: 'Auditorium E' },
            { id: 'f', title: 'Auditorium F', eventColor: 'red' },
            { id: 'g', title: 'Auditorium G' },
            { id: 'h', title: 'Auditorium H' },
            { id: 'i', title: 'Auditorium I' },
            { id: 'j', title: 'Auditorium J' },
            { id: 'k', title: 'Auditorium K' }
        ],
        events: [
            { id: '1', resourceId: 'b', start: '2017-05-02T02:00:00', end: '2017-05-04T05:00:00', title: 'timed' },
            { id: '3', resourceId: 'd', start: '2017-05-03', end: '2015-08-05', title: 'allday' }
        ],
       //groupByDateAndResource :true,
        groupbyresource:true,
        defaultDate: '2017-05-01',
        schedulerLicenseKey: 'GPL-My-Project-Is-Open-Source'
    });
},
&lt;/code&gt;&lt;/pre&gt;
&lt;p&gt;The standar day/week/month buttons work as expected and the events are shown correctly. My issue is when I set &lt;code&gt;defaultview&lt;/code&gt; to &lt;code&gt;timelineDay&lt;/code&gt; I get the following result:
&lt;a href="https://i.stack.imgur.com/gMsvd.jpg" rel="nofollow noreferrer"&gt;enter image description here&lt;/a&gt;&lt;/p&gt;
&lt;p&gt;Day info and events per resource are missing. I tried different versions of libraries and js/css files but cannot make it work correctly. Any clue anyone?&lt;/p&gt;
</t>
  </si>
  <si>
    <t xml:space="preserve">&lt;p&gt;Below is my Node app.js code. With these settings, I am receiving a connection timeout error. Any idea what I am missing here?&lt;/p&gt;
&lt;pre&gt;&lt;code&gt;var nodemailer = require("nodemailer");
var transporter = nodemailer.createTransport({
  host: 'smtp.zoho.com',
    port: 465,
    secure: true, // use SSL
    auth: {
        user: '&amp;lt;myemail@example.com&amp;gt;',
        pass: '&amp;lt;myemailpassword&amp;gt;'
    }
});
var mailOptions = {
  from: "&amp;lt;fromemail@example.com&amp;gt;",
  to: "&amp;lt;toemail@example.com&amp;gt;",
  subject: "Hello",
  generateTextFromHTML: true,
  html: { path: './tmpl.html' }
};
transporter.sendMail(mailOptions, function(error, response) {
  if (error) {
    console.log(error);
  } else {
    console.log(response);
  }
  transporter.close();
});
&lt;/code&gt;&lt;/pre&gt;
&lt;p&gt;Error shown&lt;/p&gt;
&lt;pre&gt;&lt;code&gt;{ Error: Connection timeout
    at SMTPConnection._formatError (/home/ubuntu/workspace/mailapp/node_modules/nodemailer/lib/smtp-connection/index.js:557:19)
    at SMTPConnection._onError (/home/ubuntu/workspace/mailapp/node_modules/nodemailer/lib/smtp-connection/index.js:530:20)
    at Timeout._connectionTimeout.setTimeout (/home/ubuntu/workspace/mailapp/node_modules/nodemailer/lib/smtp-connection/index.js:248:18)
    at ontimeout (timers.js:380:14)
    at tryOnTimeout (timers.js:244:5)
    at Timer.listOnTimeout (timers.js:214:5) code: 'ETIMEDOUT', command: 'CONN' }
&lt;/code&gt;&lt;/pre&gt;
&lt;p&gt;Can anyone please help me?&lt;/p&gt;
</t>
  </si>
  <si>
    <t xml:space="preserve">&lt;p&gt;Some cloud providers disable ports like 465 and 587, try using port 2525 instead of 465.&lt;/p&gt;
&lt;p&gt;&lt;strong&gt;Update&lt;/strong&gt;&lt;/p&gt;
&lt;p&gt;Since you're using Cloud9 for this I found out they have blocked all outbound smtp calls from their servers. If you need to send anyways you need to choose another cloud provider or use one of their recommended services.&lt;/p&gt;
&lt;p&gt;&lt;a href="https://community.c9.io/t/how-can-i-send-email-from-my-app/1262" rel="noreferrer"&gt;https://community.c9.io/t/how-can-i-send-email-from-my-app/1262&lt;/a&gt; &lt;/p&gt;
</t>
  </si>
  <si>
    <t xml:space="preserve">&lt;p&gt;When trying to perform a query on a SQL calculated (Cloud SQL) model from server script, I get "Error: Unsupported datasource type: SQL" and it points to the line where I call &lt;code&gt;run()&lt;/code&gt; on the query object.&lt;br&gt;
I don't see anything in the documentation saying it's not possible to perform that kind of query (I'm not using the keywords property in the SQL query, it's only pure SQL with GROUP BY, LEFT JOIN, SORT BY...).&lt;/p&gt;
&lt;pre&gt;&lt;code&gt;var moreRecentDocsQ = app.models.more_recent_docs.newQuery(); // `more_recent_docs` is a SQL calculated model
var moreRecentDocs = moreRecentDocsQ.run(); // this throws the error
&lt;/code&gt;&lt;/pre&gt;
&lt;p&gt;From front-side, I'm able to retrieve the items of this calculated model without problems (using &lt;code&gt;app.datasources.more_recent_docs.load()&lt;/code&gt;).&lt;/p&gt;
&lt;p&gt;Anyone facing this issue ?&lt;/p&gt;
&lt;p&gt;Thanks for your help&lt;/p&gt;
</t>
  </si>
  <si>
    <t xml:space="preserve">&lt;p&gt;Currently calculated SQL datasource can't be called from Server Script due to a bug. We'll work on the fix. &lt;/p&gt;
&lt;p&gt;The only workaround to run arbitrary SQL I can think of is to use &lt;a href="https://developers.google.com/apps-script/guides/jdbc" rel="nofollow noreferrer"&gt;Apps Script Jdbc service&lt;/a&gt;.&lt;/p&gt;
&lt;p&gt;Sorry for the inconvenience.&lt;/p&gt;
</t>
  </si>
  <si>
    <t xml:space="preserve">&lt;p&gt;I am trying to access zoho subscriptions through a wordpress api but I am getting the error above.&lt;/p&gt;
&lt;p&gt;I have generated the Zoho-authtoken token but it seems like it wrong.&lt;/p&gt;
&lt;p&gt;I am not sure what I am doing wrong.&lt;/p&gt;
&lt;pre&gt;&lt;code&gt;$zoho_url = 'https://subscriptions.zoho.com/api/v1/subscriptions';
$organizationid = '644******';
$zohoauthtoken = 'c7e24e4efb1ffa******************';
$headers = array('Content-Type' =&amp;gt; 'application/json;charset=UTF-8', 'X-com-zoho-subscriptions-organizationid' =&amp;gt; $organizationid , 'Authorization' =&amp;gt; 'Zoho-authtoken '.$zohoauthtoken);
$response = wp_remote_post($zoho_url, array('headers' =&amp;gt; $headers) );
print_r($response['body']);
&lt;/code&gt;&lt;/pre&gt;
&lt;p&gt;Your help would be highly appreciated.&lt;/p&gt;
</t>
  </si>
  <si>
    <t xml:space="preserve">&lt;p&gt;I'm new with JavaScript and Google App Maker and I have a doubt with a little Workflow to Approve Expense.&lt;/p&gt;
&lt;p&gt;I have two models:&lt;/p&gt;
&lt;ol&gt;
&lt;li&gt;Requests (Details of Request input by Widget)  &lt;/li&gt;
&lt;/ol&gt;
&lt;pre&gt;&lt;code&gt;| RequestedBy | TypeOfExpense | WhoApprove | WhoResponsableToExecute | Approved | Executed |
&lt;/code&gt;&lt;/pre&gt;
&lt;ol start="2"&gt;
&lt;li&gt;TypeOfExpense (Inputed by Admin via Widget)  &lt;/li&gt;
&lt;/ol&gt;
&lt;pre&gt;&lt;code&gt;| Type | ApproverOfExpense | RensableToExecute |
&lt;/code&gt;&lt;/pre&gt;
&lt;p&gt;&lt;strong&gt;&lt;em&gt;Scenario&lt;/em&gt;&lt;/strong&gt;: A user creates a request choosing  type of expense &gt;&gt; According Type &gt;&gt; Approver are notified - After approved &gt;&gt; RespnsableToExeute are notified - Affter Execution &gt;&gt; User is notified. &lt;/p&gt;
&lt;p&gt;What feature I can use to associate (or trigger) in &lt;em&gt;Request&lt;/em&gt; with &lt;code&gt;ApproverOfExpense&lt;/code&gt; (from &lt;code&gt;TypeOfExpense&lt;/code&gt;) and &lt;code&gt;RensableToExecute&lt;/code&gt; (from &lt;code&gt;TypeOfExpense&lt;/code&gt;) when an user input the Requisition of expense.  &lt;/p&gt;
&lt;p&gt;I'm think using &lt;code&gt;onCreate&lt;/code&gt; events in Data Source but the app can are very slow.&lt;/p&gt;
</t>
  </si>
  <si>
    <t xml:space="preserve">&lt;p&gt;I'm using a table to display assignments. The table row has an initial height value of 300px. When the table is loaded, the table row height is reduced to 50px so that some of the details are hidden and this is done by adding a style.&lt;/p&gt;
&lt;pre&gt;&lt;code&gt;.hidedetails {
 max-height: 50px; 
}
&lt;/code&gt;&lt;/pre&gt;
&lt;p&gt;To show the hidden details, the user needs to click on the &lt;em&gt;down-arrow&lt;/em&gt;. By doing that, the .hidedetails style is removed and the following is added, at the same time the &lt;em&gt;down-arrow&lt;/em&gt; changes to an &lt;em&gt;up-arrow&lt;/em&gt;.&lt;/p&gt;
&lt;pre&gt;&lt;code&gt;.showdetails {
 min-height: 300px; 
}
&lt;/code&gt;&lt;/pre&gt;
&lt;p&gt;To hide the details again, the user simply clicks on the up-arrow, which then changes again to the down-arrow. The result is the following: &lt;/p&gt;
&lt;p&gt;&lt;a href="https://i.stack.imgur.com/9MLDm.gif" rel="nofollow noreferrer"&gt;&lt;img src="https://i.stack.imgur.com/9MLDm.gif" alt="enter image description here"&gt;&lt;/a&gt;&lt;/p&gt;
&lt;p&gt;I would like to know how can I hide the details of the table row that is showing them if I click on the down-arrow of the table row that is not selected. I have tried with JQuery but it won't work.&lt;/p&gt;
</t>
  </si>
  <si>
    <t xml:space="preserve">&lt;p&gt;In case anyone is interested, I was able to achieve what I wanted by adding this to the &lt;em&gt;onClick&lt;/em&gt; event of the arrow icon which is a &lt;em&gt;button widget&lt;/em&gt;.&lt;/p&gt;
&lt;pre&gt;&lt;code&gt;var tableRow = widget.parent.parent;
var rows = tableRow.parent.children._values;
if (widget.text === ("keyboard_arrow_down") ) { 
  for (var i = 0; i &amp;lt; rows.length; i++) {
    if (rows[i].name.indexOf('Table2Row') &amp;gt; -1) {
      rows[i].styles = ['hidedetails'];
      rows[i].descendants.Button3.text = "keyboard_arrow_down";
    }  
  }
  tableRow.styles = ['showdetails'];
  widget.text = "keyboard_arrow_right";
} else if (widget.text === ("keyboard_arrow_right")){
    tableRow.styles = ["hidedetails"];
    widget.text = "keyboard_arrow_down";
}
&lt;/code&gt;&lt;/pre&gt;
</t>
  </si>
  <si>
    <t xml:space="preserve">&lt;p&gt;I am developing an app using PowerApps Web. Tried to integrate excel file which has tables in it. There is table called "employee" which has few details about employee. In first screen i just show employee listing with names in it. But when user clicks on any of the listing item, i would want to show the details about the employee in the next screen.&lt;/p&gt;
&lt;p&gt;Note: I am able to connect to the excel file which is in dropbox. Excel file has employee table information. But only the problem is passing reference of selected employee to the next screen in powerapps.&lt;/p&gt;
&lt;p&gt;Thanks! 
Bhat&lt;/p&gt;
</t>
  </si>
  <si>
    <t xml:space="preserve">&lt;p&gt;On the &lt;a href="https://powerapps.microsoft.com/en-us/tutorials/function-navigate/" rel="nofollow noreferrer"&gt;&lt;code&gt;Navigate&lt;/code&gt; call&lt;/a&gt; that you use to move from a screen to the next you can pass an optional third parameter (context) that is passed to the next screen.&lt;/p&gt;
&lt;p&gt;So for example, if you display your employee names in a gallery in the first screen, and within one of the controls of the gallery you handle the OnSelect action to navigate to the next screen, you can pass the ThisItem value that represents the value that is being used in the gallery:&lt;/p&gt;
&lt;pre&gt;&lt;code&gt;Navigate(ScreenDetails, ScreenTransition.Fade, { employee: ThisItem })
&lt;/code&gt;&lt;/pre&gt;
&lt;p&gt;In the second screen (ScreenDetails), you can access the properties of the selected employee by using the &lt;code&gt;employee&lt;/code&gt; context variable. For example, if you have a text box (label) in that screen, you can set its Text property to&lt;/p&gt;
&lt;pre&gt;&lt;code&gt;employee.FullName
&lt;/code&gt;&lt;/pre&gt;
&lt;p&gt;And that will show the name of the employee that you selected in the previous screen.&lt;/p&gt;
</t>
  </si>
  <si>
    <t xml:space="preserve">&lt;p&gt;I'm trying to build a login form that performs a simple check against the user's PIN.  The pin in stored in the database as a field in the Person entity (table).&lt;/p&gt;
&lt;p&gt;I have a Team entity that allows the Person to select the Team they are on from a dropdown list of all Teams.  The Person entity dropdown then populates based on the Person's TeamID.  The User selects their Name and enters a PIN number in the &lt;code&gt;txtPinNumber&lt;/code&gt; textbox.&lt;/p&gt;
&lt;p&gt;The &lt;code&gt;Login&lt;/code&gt; button is hidden by default and should only have &lt;code&gt;visible = true&lt;/code&gt; when the pin entered into &lt;code&gt;txtPinNumber&lt;/code&gt; is the same as the PIN field in the database.&lt;/p&gt;
&lt;p&gt;I have the &lt;code&gt;visible&lt;/code&gt; property of the &lt;code&gt;btnLogin&lt;/code&gt; button set to&lt;/p&gt;
&lt;p&gt;&lt;code&gt;If(txtPinNumber.Text=Filter(Personnel,ddResponder.Selected.PIN),true,false)&lt;/code&gt;&lt;/p&gt;
&lt;p&gt;However, I'm getting an error of unspecified type.  Is it because I'm trying to check the entered PIN against a filtered datatype?&lt;/p&gt;
&lt;p&gt;Any ideas on how to fix this error?&lt;/p&gt;
</t>
  </si>
  <si>
    <t xml:space="preserve">&lt;p&gt;It looks like you're having difficulty because of your usage of the &lt;code&gt;Filter()&lt;/code&gt; function. &lt;code&gt;Filter()&lt;/code&gt; returns a table with all of the rows that meet a given criteria. However, it seems that &lt;code&gt;ddResponder.Selected.Pin&lt;/code&gt; is the PIN you are seeking to match. If this is the case, you can simply have the visible property set to:&lt;/p&gt;
&lt;p&gt;&lt;code&gt;txtPinNumber.Text = ddResponder.Selected.Pin&lt;/code&gt;&lt;/p&gt;
&lt;p&gt;If, however you need to do a search in your table to find the relevant PIN, you will instead want to use the &lt;code&gt;Lookup()&lt;/code&gt; function.&lt;/p&gt;
&lt;p&gt;You can see the documentation for these functions here:
&lt;a href="https://powerapps.microsoft.com/en-us/tutorials/function-filter-lookup/" rel="nofollow noreferrer"&gt;https://powerapps.microsoft.com/en-us/tutorials/function-filter-lookup/&lt;/a&gt;&lt;/p&gt;
&lt;p&gt;The &lt;code&gt;Lookup()&lt;/code&gt; function will return the first matching row based on the criteria you provide, otherwise it will return a blank. You can use this with the &lt;code&gt;IsBlank()&lt;/code&gt; function to determine whether or not to display the button.&lt;/p&gt;
</t>
  </si>
  <si>
    <t xml:space="preserve">&lt;p&gt;We need to get Bing Maps to one of our apps in Power Apps.  Whenever we enter a URL of the format on Power Apps &lt;a href="http://mapLayer=mapLayer&amp;amp;format=format&amp;amp;mapMetadata=mapMetadata&amp;amp;key=BingMapsKey" rel="nofollow noreferrer"&gt;http://dev.virtualearth.net/REST/v1/Imagery/Map/imagerySet/centerPoint/zoomLevel?mapSize=mapSize&amp;amp;pushpin=pushpin&amp;amp;mapLayer=mapLayer&amp;amp;format=format&amp;amp;mapMetadata=mapMetadata&amp;amp;key=BingMapsKey&lt;/a&gt;, we get an error stating that the Swagger file cannot be found. We tried enter the URL by going to &lt;strong&gt;Connections-&gt;Manage Custom Connector-&gt; Create Custom Connector-&gt;Use an OpenAPI Url&lt;/strong&gt;
&lt;a href="https://i.stack.imgur.com/vcKaj.png" rel="nofollow noreferrer"&gt;&lt;img src="https://i.stack.imgur.com/vcKaj.png" alt="enter image description here"&gt;&lt;/a&gt;
So far we've tried connecting several Bing Map API endpoints, we've read through the docs and are unable to find a Swagger definition file on Bing's API. Do we have to create our own Swagger for this API and is there a template we can follow?&lt;/p&gt;
</t>
  </si>
  <si>
    <t xml:space="preserve">&lt;p&gt;I am using Zoho docs API and got a auth-token
&lt;a href="https://www.zoho.com/docs/zoho-docs-api.html" rel="nofollow noreferrer"&gt;https://www.zoho.com/docs/zoho-docs-api.html&lt;/a&gt;
The problem is that ,the response from Zoho is in text/plain format .
How can i get it in json format.&lt;/p&gt;
</t>
  </si>
  <si>
    <t xml:space="preserve">&lt;p&gt;I got this xml from calling Zoho Crm api: &lt;a href="https://ix-infiniti-preview.azurewebsites.net/Manage/zohotest.xml" rel="nofollow noreferrer"&gt;https://ix-infiniti-preview.azurewebsites.net/Manage/zohotest.xml&lt;/a&gt;&lt;/p&gt;
&lt;p&gt;I wanted to loop through each row of this xml and create a DataTable row data with each row. This is what I came up with:&lt;/p&gt;
&lt;pre&gt;&lt;code&gt;            //Get List of fields
            List&amp;lt;string&amp;gt; fields = data.Columns.Cast&amp;lt;DataColumn&amp;gt;()
                                 .Select(x =&amp;gt; x.ColumnName)
                                 .ToList();
            List&amp;lt;MalformedLineException&amp;gt; exceptions = new List&amp;lt;MalformedLineException&amp;gt;();
            List&amp;lt;string&amp;gt; values = new List&amp;lt;string&amp;gt;();
            XmlDocument xmlDoc = new XmlDocument();
            xmlDoc.LoadXml(xmlData);
            // Count number of row returned
            XmlNodeList xmlNL = xmlDoc.GetElementsByTagName("row");
            int rowCount = xmlNL.Count;
            for (int row = 1; row &amp;lt;= rowCount; row++)
            {
                DataRow currentRow = data.NewRow();
                XmlNodeList xnList = xmlDoc.SelectNodes("/response/result/" + moduleName +"/row[@no='" + row + "']");
                foreach (XmlNode xn in xnList)
                {
                    foreach (string field in fields)
                    {
                        XmlNode objNode = xn.SelectSingleNode("//FL[@val='" + field + "']");
                        if (objNode != null)
                        {
                            string value = objNode.InnerText;
                            currentRow[field] = value;
                        }                       
                    }                   
                }
                data.Rows.Add(currentRow);
            }
            data.EndLoadData();
&lt;/code&gt;&lt;/pre&gt;
&lt;p&gt;This piece of code works fine for row 1 and map all the values to DataColums perfectly. But when it comes to row 2 (and 18 other rows in the actual xml) all the values of these rows will be exactly the same with row 1. So basically I got 20 of row 1 displayed as a result. Not sure what is going on here please help me out with this. Thanks&lt;/p&gt;
</t>
  </si>
  <si>
    <t xml:space="preserve">&lt;p&gt;I cant fully test this until I have your definition of fields.&lt;/p&gt;
&lt;pre&gt;&lt;code&gt;        // You will need to ensure these are right
        DataTable data = new DataTable();
        List&amp;lt;string&amp;gt; fields = new List&amp;lt;string&amp;gt;()
        {
            "LEADID", "SMOWNERID", "Lead Owner", "Company", "First Name", "Last Name", "Email", "Phone", "Lead Source", "Created By", "SMCREATORID", "MODIFIEDBY", "Modified By", "Created Time", "Modified Time", "Street", "City", "State", "Zip Code", "Last Activity Time", "Lead Type", "Practice name", "SMS Opt Out", "Send SMS"
        };
        foreach (var field in fields)
        {
            DataColumn column = new DataColumn(field, typeof(String));
            data.Columns.Add(column);
        }
        string xmlText;
        using (var client = new WebClient())
        {
            IWebProxy defaultWebProxy = WebRequest.DefaultWebProxy;
            defaultWebProxy.Credentials = CredentialCache.DefaultCredentials;
            client.Proxy = defaultWebProxy;
            xmlText = client.DownloadString(@"https://ix-infiniti-preview.azurewebsites.net/Manage/zohotest.xml");
        }
        XmlDocument xmlDoc = new XmlDocument();
        xmlDoc.LoadXml(xmlText);
        XmlNodeList xnList = xmlDoc.SelectNodes("/response/result/Leads/row");
        foreach (var row in xnList)
        {
            XmlElement item = row as XmlElement;
            Debug.WriteLine(item.Attributes["no"].Value);
            DataRow currentRow = data.NewRow();
            List&amp;lt;string&amp;gt; rowData = new List&amp;lt;string&amp;gt;();
            foreach (XmlElement node in item.ChildNodes)
            {
                if (fields.Contains(node.Attributes["val"].Value))
                {
                    Console.WriteLine(node.Attributes["val"].Value + ":" + node.InnerText);
                    currentRow[fields.IndexOf(node.Attributes["val"].Value)] = node.InnerText;
                }
            }
            data.Rows.Add(currentRow);
        }
        data.AcceptChanges();
&lt;/code&gt;&lt;/pre&gt;
</t>
  </si>
  <si>
    <t xml:space="preserve">&lt;p&gt;I am new to PowerApps. I am trying to connect PowerApps to my custom APIs (Azure app api) and getting this error :&lt;/p&gt;
&lt;blockquote&gt;
  &lt;p&gt;An error occured while converting swagger file to WADL file. Error:
  'Unknown swagger type "array" at JSON path paths.&lt;/p&gt;
&lt;/blockquote&gt;
&lt;p&gt;Thanks.&lt;/p&gt;
</t>
  </si>
  <si>
    <t xml:space="preserve">&lt;p&gt;In one application, I have a table with three fields, being Id, Name and count.&lt;/p&gt;
&lt;pre&gt;&lt;code&gt;Id  |  Name  |  Value
1   |    A   |     5
2   |    B   |     9       
3   |    C   |     9
4   |    D   |     5
5   |    E   |     6
6   |    F   |     6
&lt;/code&gt;&lt;/pre&gt;
&lt;p&gt;now, how can I obtain a cross table from the above? I mean, as follows:&lt;/p&gt;
&lt;pre&gt;&lt;code&gt;Value | Count
----  | ----
5     |    2
6     |    2
7     |    0
8     |    0
9     |    2
&lt;/code&gt;&lt;/pre&gt;
&lt;p&gt;can you help, please?&lt;/p&gt;
</t>
  </si>
  <si>
    <t xml:space="preserve">&lt;p&gt;Please what the best way to solve this problem
I have a form to insert data on model_request. 
&lt;em&gt;(I have other model: model_approver with Type Of Expense, Approver)&lt;/em&gt;&lt;/p&gt;
&lt;p&gt;I need that when onCreate event from model_request one other field  receive information from model_approver. &lt;/p&gt;
&lt;p&gt;Example:
An user will be create a request and choose a type of expense (Field from model_approver) via dropdown after this when submit , the field ResponsabileApprover [from model_request]   receive Approver [from model_approver].&lt;/p&gt;
&lt;p&gt;Dropdowns was working fine
Thanks for clarifications&lt;/p&gt;
</t>
  </si>
  <si>
    <t xml:space="preserve">&lt;p&gt;I have created a powerapps app, and inserted data from a SharePoint list. I can get all the text data I require, but I can't get the profile picture from a user. I have a user field, and if I try to insert ThisItem.User.Picture into a text field, a valid URL shows up, linking to the correct image. The image control still remains white.&lt;/p&gt;
&lt;p&gt;I have also tried getting the user image, using User().Image. This only shows the placeholder image, not my actual profile picture. Inserting this into a text field yields a base64 string, and decoding this again gives me the placeholder image.&lt;/p&gt;
&lt;p&gt;Is there anything I'm missing?&lt;/p&gt;
</t>
  </si>
  <si>
    <t xml:space="preserve">&lt;p&gt;I am building an application using google app maker with google sheets as the back end. How can I access the google sheet that saves the data I intake using the application?&lt;/p&gt;
</t>
  </si>
  <si>
    <t xml:space="preserve">&lt;p&gt;App Maker doesn't actually store the data in sheets, it stores it in a custom database associated with your app. The best way to view the contents of that database right now is to create a new page in your application and drag out a table widget to it. You can set the fields to editable as well if you want to allow editing.&lt;/p&gt;
</t>
  </si>
  <si>
    <t xml:space="preserve">&lt;p&gt;I am trying to change the color of the arrow in the dropdown boxes. Is that possible? I can change the background color, but not the arrow itself. &lt;/p&gt;
&lt;pre&gt;&lt;code&gt;.app-Dropdown.ArrowColor .app-Dropdown-Arrow{
  ????: #29B6F6;
}
&lt;/code&gt;&lt;/pre&gt;
</t>
  </si>
  <si>
    <t xml:space="preserve">&lt;p&gt;You can customize particular instance of dropdown:&lt;/p&gt;
&lt;pre&gt;&lt;code&gt;.app-YourPage-YourDropdown-Arrow:after {
  color: green;
  opacity: 1;
}
&lt;/code&gt;&lt;/pre&gt;
&lt;p&gt;or you can create variant and apply it for all dropdowns you need:&lt;/p&gt;
&lt;pre&gt;&lt;code&gt;.app-Dropdown--Custom .app-Dropdown-Arrow:after {
  color: green;
  opacity: 1;
}
&lt;/code&gt;&lt;/pre&gt;
&lt;p&gt;&lt;a href="https://i.stack.imgur.com/ptODb.png" rel="nofollow noreferrer"&gt;&lt;img src="https://i.stack.imgur.com/ptODb.png" alt="Custom widget variant"&gt;&lt;/a&gt;&lt;/p&gt;
&lt;p&gt;&lt;strong&gt;NOTE:&lt;/strong&gt; Please, keep in mind that you'll need additional styles for :active, :focus, and :disabled states...&lt;/p&gt;
</t>
  </si>
  <si>
    <t xml:space="preserve">&lt;p&gt;I need some help in understanding, how to decrypt SalesforceMarketingCloud encrypted String into java.
I should admit that I have few things missing in my questions but this is what ever I have been provided so far&lt;/p&gt;
&lt;p&gt;Algorithm – AES256, 256 Bit
Initilization vector – 16 bytes
Salt – 8 Bytes
Passphrase – “presharedpassphrase123” &lt;/p&gt;
&lt;p&gt;As per my understanding the Input String has been encrypted using 
EncryptSymmetric(@Clear, "AES", @null, @Passphrase, @null, @Salt, @null, @IV)&lt;/p&gt;
&lt;p&gt;But when I try to decrypt it at Java side, it fails for various reason.&lt;/p&gt;
&lt;p&gt;My best shot has been getting a garbage String as output so far when I used combination like below&lt;/p&gt;
&lt;p&gt;NoPadding, CBS, and hashing my passphrase(which is 22 char long) to 32 bit using SHA-256&lt;/p&gt;
&lt;p&gt;Can anyone please help, any Java code sample which you successfully used in past.&lt;/p&gt;
&lt;pre&gt;&lt;code&gt;private String decryptWithKey(String myKey, byte[] strToDecrypt) throws Exception
{
    MessageDigest sha = null;
    try {
        key = myKey.getBytes(CHAR_SCHEME);
        sha = MessageDigest.getInstance("SHA-256");
        key = sha.digest(key);
        key = Arrays.copyOf(key, 32); 
        secretKey = new SecretKeySpec(key, ALGO);
        Cipher cipher = Cipher.getInstance("AES/CBC/NoPadding");
        byte[] ivByte = new byte[cipher.getBlockSize()];
        ivByte = hexStringToByteArray("0716A494177F29F102AF33AFD0253BA1");;
        System.out.println(new String(ivByte));
&lt;/code&gt;&lt;/pre&gt;
&lt;p&gt;//          IvParameterSpec ivParamsSpec = new IvParameterSpec(IV);
          IvParameterSpec ivParamsSpec = new IvParameterSpec(ivByte);&lt;/p&gt;
&lt;pre&gt;&lt;code&gt;        cipher.init(Cipher.DECRYPT_MODE, secretKey, ivParamsSpec);
          setDecryptedString(new String(cipher.doFinal(strToDecrypt)));
      }
      catch (Exception e)
      {
          System.out.println("Error while decrypting: "+e.toString());
          throw e;
      }
      return decryptedString;
}
&lt;/code&gt;&lt;/pre&gt;
</t>
  </si>
  <si>
    <t xml:space="preserve">&lt;p&gt;I have an image (binary data from some REST API) and I need to show it to my user. Is there another way than inserting it into a (temporary) database table?&lt;/p&gt;
</t>
  </si>
  <si>
    <t xml:space="preserve">&lt;p&gt;I have monthly data been imported and I need to show only the latest available data (only that month). If I use for ex. Getdata()-1, this does not really work as the data comes in between 1st and 15th of next month (May data is submitted between 1st and 15th of June). &lt;/p&gt;
&lt;p&gt;Is there a way to get the data from the last month that is populated (if null, it would go one month back and so on)?&lt;/p&gt;
&lt;p&gt;What I am using right now:&lt;/p&gt;
&lt;pre&gt;&lt;code&gt;    case
             when "source indicator"  = 'Total Revenues'
             OR "source indicator"  = 'Total Opex'
             OR "source indicator"  = 'Month end cash balance'
             AND    month("date")  = (month(getdate())-1) then "EUR Amount"
             else "Amount"
         end as "YTD EUR Amount",
&lt;/code&gt;&lt;/pre&gt;
&lt;p&gt;Table structure:
&lt;a href="https://i.stack.imgur.com/m7gZu.jpg" rel="nofollow noreferrer"&gt;https://i.stack.imgur.com/m7gZu.jpg&lt;/a&gt;&lt;/p&gt;
</t>
  </si>
  <si>
    <t xml:space="preserve">&lt;p&gt;In AppMaker I have a calculated datasource and I've set its page size to 10.&lt;/p&gt;
&lt;p&gt;In the function I call to return the records (&lt;code&gt;queryRecords&lt;/code&gt;), the &lt;code&gt;limit&lt;/code&gt; parameter is set to 11 (I don't change it on front side).&lt;/p&gt;
&lt;p&gt;Why ?&lt;/p&gt;
</t>
  </si>
  <si>
    <t xml:space="preserve">&lt;p&gt;I don't know why, but when I try to do a search with a cdm dataset it returns all of my data, but not for an excel file. Any idea why?&lt;/p&gt;
&lt;p&gt;Thanks!&lt;/p&gt;
</t>
  </si>
  <si>
    <t xml:space="preserve">&lt;p&gt;It is important in PowerApps to understand that it cannot return more than 500 results at a time from a query. After that you can check if the data you are pulling from allows delegation.&lt;/p&gt;
&lt;p&gt;link to delegation info:
&lt;a href="https://powerapps.microsoft.com/en-us/tutorials/delegation-overview/" rel="nofollow noreferrer"&gt;https://powerapps.microsoft.com/en-us/tutorials/delegation-overview/&lt;/a&gt;&lt;/p&gt;
</t>
  </si>
  <si>
    <t xml:space="preserve">&lt;p&gt;I have two DATASOURCES in Google App Maker (both Google Drive Table's).&lt;/p&gt;
&lt;p&gt;One is: Employee
The other is: Department&lt;/p&gt;
&lt;p&gt;I have created a relation between the two DATASOURCES (one to one) and can't figure out how to create a PAGE with a combination of fields from both DATASOURCES.&lt;/p&gt;
&lt;p&gt;Any help is appreciated.&lt;/p&gt;
</t>
  </si>
  <si>
    <t xml:space="preserve">&lt;ol&gt;
&lt;li&gt;You need to add prefetch for your relation (in datasource settings)&lt;/li&gt;
&lt;li&gt;&lt;p&gt;If your main datasource is Employee, then in widget bindings you can access department with code similar to this:&lt;/p&gt;
&lt;p&gt;@datasource.item.Department.Name&lt;/p&gt;&lt;/li&gt;
&lt;/ol&gt;
</t>
  </si>
  <si>
    <t xml:space="preserve">&lt;p&gt;I want to make a purchase order manager, where a queue is created from a database and then assembled into an accordion. Then, the user can look at requests, and then check the request when it is done. The task will then move to a "completed purchases" list.&lt;/p&gt;
&lt;p&gt;I've been using a "notPurchased" datastore with the following server script:&lt;/p&gt;
&lt;pre&gt;&lt;code&gt;query.filters.purchased._equals = false;
return query.run();
&lt;/code&gt;&lt;/pre&gt;
&lt;p&gt;And then when the "submit" button is pressed, I call &lt;code&gt;datastore.load();&lt;/code&gt;. However, this doesn't seem to refresh the purchase queue immediately. I have to completely refresh the page in order to see purchase request moved to 'completed'. How do I make this change instantaneous?&lt;/p&gt;
</t>
  </si>
  <si>
    <t xml:space="preserve">&lt;p&gt;So I know how to change the color of a button using&lt;/p&gt;
&lt;pre&gt;&lt;code&gt;.app-Button--Blue {
  color: #0277BD;
}
&lt;/code&gt;&lt;/pre&gt;
&lt;p&gt;However this only lets me change the color of the button when it's in text mode. Is there a way I can have it change the color of the button?&lt;/p&gt;
&lt;p&gt;Current using this for dropdowns and it works perfectly. Just want to do the same thing with the buttons in "icon mode".&lt;/p&gt;
&lt;pre&gt;&lt;code&gt;.app-Dropdown--Custom .app-Dropdown-Arrow:after {
  color: green;
  opacity: 1;
}
&lt;/code&gt;&lt;/pre&gt;
</t>
  </si>
  <si>
    <t xml:space="preserve">&lt;p&gt;There is no way to compose variants, so your options are:&lt;/p&gt;
&lt;ol&gt;
&lt;li&gt;Add styles to each specific button, e.g.&lt;/li&gt;
&lt;/ol&gt;
&lt;pre class="lang-css prettyprint-override"&gt;&lt;code&gt;.app-NewPage1-Button1,
.app-NewPage1-Button2 {
  color: green;
}
&lt;/code&gt;&lt;/pre&gt;
&lt;ol start="2"&gt;
&lt;li&gt;Define a class and assign it to each icon button you want to style&lt;/li&gt;
&lt;/ol&gt;
&lt;pre class="lang-css prettyprint-override"&gt;&lt;code&gt;.greenButton {
  color: green;
}
&lt;/code&gt;&lt;/pre&gt;
&lt;ol start="3"&gt;
&lt;li&gt;Define a new variant that makes the button use the icon font and
sets the color:&lt;/li&gt;
&lt;/ol&gt;
&lt;pre class="lang-css prettyprint-override"&gt;&lt;code&gt;.app-Button--GreenIcon {
  color: green;
  font-family: "Material Icons Extended";
  font-feature-settings: 'liga';
  font-size: 1.5rem;
  -webkit-font-smoothing: antialiased;
  text-rendering: optimizeLegibility;
  -moz-osx-font-smoothing: grayscale;
  text-transform: lowercase;
  -webkit-touch-callout: none;
  -webkit-user-drag: none;
  user-select: none;
  white-space: nowrap;
}
&lt;/code&gt;&lt;/pre&gt;
</t>
  </si>
  <si>
    <t xml:space="preserve">&lt;p&gt;I'm just learning Google App Maker. I'm making a garment tracking app for our fashion business.&lt;/p&gt;
&lt;p&gt;Say we have multiple garments and each garment can have multiple images, how could I store the URLs for these images and then display them on the garment record? I've already got the image upload working using DriveApp.&lt;/p&gt;
&lt;p&gt;I was thinking of using an image widget, then create next/previous buttons. Or create a HTML widget and code up some sort of slider.&lt;/p&gt;
&lt;p&gt;Both seem quite heavy. What would be the lightest way to do this, code-wise?&lt;/p&gt;
&lt;p&gt;Thanks&lt;/p&gt;
</t>
  </si>
  <si>
    <t xml:space="preserve">&lt;p&gt;I would suggest:&lt;/p&gt;
&lt;ol&gt;
&lt;li&gt;Create Image model (with at least one field - ImageURL)&lt;/li&gt;
&lt;li&gt;Create one to many relation between Garment and Image models&lt;/li&gt;
&lt;li&gt;&lt;p&gt;Bind Image widget to current item of the Image relation&lt;/p&gt;
&lt;p&gt;@datasource.item.Images.item&lt;/p&gt;&lt;/li&gt;
&lt;li&gt;&lt;p&gt;Add prev/next buttons to change selected image&lt;/p&gt;
&lt;p&gt;@datasource.item.Images.nextItem()&lt;/p&gt;
&lt;p&gt;@datasource.item.Images.prevItem()&lt;/p&gt;&lt;/li&gt;
&lt;/ol&gt;
&lt;p&gt;In theory, you'll be able to upload/select images using Drive Picker widget (but be sure, that you share your images with all app users).&lt;/p&gt;
</t>
  </si>
  <si>
    <t xml:space="preserve">&lt;p&gt;I was attempting to register PowerApps Runtime Service during 'New App. Registration" within Azure AD. &lt;/p&gt;
&lt;p&gt;It was not provided as a option on "Select an API" blade so I added to the manifest file as indicated within the &lt;a href="https://docs.microsoft.com/en-us/common-data-service/entity-reference/cds-sdk-azure-functions-get-started" rel="nofollow noreferrer"&gt;Trouble Shooting section&lt;/a&gt; "Required permissions service isn't found" above. &lt;/p&gt;
&lt;p&gt;Saved manifest, now when I navigate to "&lt;em&gt;Required permissions&lt;/em&gt;" blade,  I'm presented with the GUID "82f77645-8a66-4745-bcdf-9706824f9ad0" and when selected -  I get the following message : "&lt;strong&gt;The service principal for this application object has been removed from the directory or is not available."&lt;/strong&gt; &lt;/p&gt;
&lt;p&gt;I'm a little unsure how to resolve this error ? Any pointers would be appreciated.
Thanks &lt;/p&gt;
</t>
  </si>
  <si>
    <t xml:space="preserve">&lt;p&gt;Is it possible to utilise CSS variables within Google App Maker?&lt;/p&gt;
&lt;pre&gt;&lt;code&gt;:root {
  --pale-grfn-grey: #e0dcd5;
}
.app-header-header {
  border-bottom: 1px solid red;
  border-bottom-color: var(--pale-grfn-grey);
} 
&lt;/code&gt;&lt;/pre&gt;
&lt;p&gt;The deployed or previewed app doesn't include either the definition or the &lt;code&gt;border-bottom-color&lt;/code&gt; call.&lt;/p&gt;
&lt;p&gt;I maintain an external CSS which we use for other websites and apps, is the best recourse to use that?&lt;/p&gt;
</t>
  </si>
  <si>
    <t xml:space="preserve">&lt;p&gt;Actually App Maker doesn't strip CSS variables. The cause of the problem is that App Maker prefixes &lt;a href="https://developers.google.com/appmaker/ui/styles" rel="nofollow noreferrer"&gt;Global Styles&lt;/a&gt; with &lt;code&gt;#app&lt;/code&gt;, what breaks your initial variables setup.&lt;/p&gt;
&lt;pre class="lang-css prettyprint-override"&gt;&lt;code&gt;/* Design time Global CSS */
:root {
  --customColor: red;
}
.app-MyPage-MyPage {
  background-color: var(--customColor);
}
/* Runtime time Global CSS */
#app :root {
  --customColor: red;
}
#app .app-MyPage-MyPage {
  background-color: var(--customColor);
}
&lt;/code&gt;&lt;/pre&gt;
&lt;p&gt;There is an easy way to cheat App Maker to make variables work:&lt;/p&gt;
&lt;pre class="lang-css prettyprint-override"&gt;&lt;code&gt;/* Design time Global CSS
   NOTE: there is no :root in the beginning BUT
   there is a whitespace OR new line */
 {
  --customColor: red;
}
.app-MyPage-MyPage {
  background-color: var(--customColor);
}
/* Runtime time Global CSS */
#app {
  --customColor: red;
}
#app .app-MyPage-MyPage {
  background-color: var(--customColor);
}
&lt;/code&gt;&lt;/pre&gt;
&lt;p&gt;It will work but there is no guarantee that App Maker will close this door in the future (or fix the original issue).&lt;/p&gt;
&lt;p&gt;I would also consider moving all variables into CSS file and adding it as external CSS resource (I'm not sure if editor will pick up it in design time).&lt;/p&gt;
&lt;p&gt;And for sure feel free to file a bug to App Maker team: &lt;a href="https://issuetracker.google.com/issues/new?component=192783&amp;amp;template=833410" rel="nofollow noreferrer"&gt;https://issuetracker.google.com/issues/new?component=192783&amp;amp;template=833410&lt;/a&gt;&lt;/p&gt;
</t>
  </si>
  <si>
    <t xml:space="preserve">&lt;p&gt;I am trying to consume a publicly exposed URL and I need to pass auth headers to it. The format of the HTTP header is :&lt;/p&gt;
&lt;pre&gt;&lt;code&gt;auth:{"Username": "p09jh789-f098-h6fv-b386-008cd88bd4fe","Password": "xxxxxxxx","authKey": "62b6380d-9e06-6age-cf09-134614b77d5e"}
&lt;/code&gt;&lt;/pre&gt;
&lt;p&gt;I tried to set auth header for the REST API and I am not able to pass this JSON string since text headers throw up datatype issue. This happens even if I try to escape the JSON string. Please help me with doing it.&lt;/p&gt;
</t>
  </si>
  <si>
    <t xml:space="preserve">&lt;p&gt;I used a Lightning Component and I wanted to know how can I set the width of lightning action modal popup?&lt;/p&gt;
&lt;p&gt;Below my code : &lt;/p&gt;
&lt;p&gt;Markup component : 
&lt;div class="snippet" data-lang="js" data-hide="false" data-console="true" data-babel="false"&gt;
&lt;div class="snippet-code"&gt;
&lt;pre class="snippet-code-html lang-html prettyprint-override"&gt;&lt;code&gt;&amp;lt;aura:component implements="force:lightningQuickActionWithoutHeader,force:hasRecordId" controller="Lead_Coface_Controller"&amp;gt;
    &amp;lt;div aura:id="messages"&amp;gt;
    {!v.message}
    &amp;lt;/div&amp;gt;
&amp;lt;/aura:component&amp;gt;&lt;/code&gt;&lt;/pre&gt;
&lt;/div&gt;
&lt;/div&gt;
&lt;/p&gt;
&lt;p&gt;css :&lt;/p&gt;
&lt;p&gt;&lt;div class="snippet" data-lang="js" data-hide="false" data-console="true" data-babel="false"&gt;
&lt;div class="snippet-code"&gt;
&lt;pre class="snippet-code-css lang-css prettyprint-override"&gt;&lt;code&gt;.THIS{
}&lt;/code&gt;&lt;/pre&gt;
&lt;/div&gt;
&lt;/div&gt;
&lt;/p&gt;
</t>
  </si>
  <si>
    <t xml:space="preserve">&lt;p&gt;We are developing an application using google app maker. A colleague and i want to work on different module of the same google app maker project. How is it possible to merge changes she makes with the my copy?&lt;/p&gt;
&lt;p&gt;Thanks,
Maria. &lt;/p&gt;
</t>
  </si>
  <si>
    <t xml:space="preserve">&lt;p&gt;App Maker support collaborative editing. So just share the application with the colleague and work on it together.&lt;/p&gt;
</t>
  </si>
  <si>
    <t xml:space="preserve">&lt;p&gt;I am attempting to create an apartment complex app for my company.&lt;/p&gt;
&lt;p&gt;I want to add an image of the overall floorplan for the apartment complex (I added the image to my app).&lt;/p&gt;
&lt;p&gt;Now I'd like to add one of the following:&lt;br&gt;
• custom shaped buttons that line up with each Unit in the complex&lt;br&gt;
or&lt;br&gt;
• Setup a clickable image map on the layout image&lt;/p&gt;
&lt;p&gt;I humbly thank you in advance for helping me figure this out!&lt;/p&gt;
</t>
  </si>
  <si>
    <t xml:space="preserve">&lt;p&gt;I have created a collections with array data. I am not able to fetch all data at once and not able to show in listbox. Please provide me suggestion. Please find the screenshot
&lt;a href="https://i.stack.imgur.com/DpQpc.png" rel="nofollow noreferrer"&gt;&lt;img src="https://i.stack.imgur.com/DpQpc.png" alt="enter image description here"&gt;&lt;/a&gt;&lt;/p&gt;
</t>
  </si>
  <si>
    <t xml:space="preserve">&lt;p&gt;Im just learning AppMaker and I have followed along the tutorial on sending email &lt;a href="https://developers.google.com/appmaker/tutorials/call-scripts/" rel="nofollow noreferrer"&gt;https://developers.google.com/appmaker/tutorials/call-scripts/&lt;/a&gt;&lt;/p&gt;
&lt;p&gt;It works as expected so I decided to bring it to another level by integrating it into my sign up form.&lt;/p&gt;
&lt;p&gt;&lt;strong&gt;-- ISSUE OUTLINE --&lt;/strong&gt;&lt;/p&gt;
&lt;ul&gt;
&lt;li&gt;A user enters their name and email in a standard signup form. &lt;/li&gt;
&lt;li&gt;This is saved as expected this data is presented on the follow up page I created (see screenshot below)&lt;/li&gt;
&lt;li&gt;When the admin clicks on the blue email button it opens up the email box (see attached image) and the users email is pulled into the To: box as expected (I have pulled the email by binding it to the text field).&lt;/li&gt;
&lt;li&gt;The admin then sends the email which is sent as expected but then the form clears the To: field deleting it from the users entry.&lt;/li&gt;
&lt;/ul&gt;
&lt;p&gt;&lt;strong&gt;-- QUESTION --&lt;/strong&gt;&lt;/p&gt;
&lt;ul&gt;
&lt;li&gt;Can anyone advise on a solution it would be greatly appreciated :-)&lt;/li&gt;
&lt;/ul&gt;
&lt;p&gt;&lt;strong&gt;Screenshot:&lt;/strong&gt;&lt;br&gt;
&lt;a href="https://i.stack.imgur.com/KbUgZ.png" rel="nofollow noreferrer"&gt;&lt;img src="https://i.stack.imgur.com/KbUgZ.png" alt=""&gt;&lt;/a&gt;&lt;/p&gt;
</t>
  </si>
  <si>
    <t xml:space="preserve">&lt;p&gt;In the tutorial you mentioned, there is 'clearEmailForm' function that is called in case of successful sending email. I think you can delete code, that clears 'to' field:&lt;/p&gt;
&lt;pre&gt;&lt;code&gt;/**
* Clears the entire email form
*/
function  clearEmailForm(){
  var formWidgets = app.pages.Email.descendants;
  ...
  formWidgets.To.value = ""; // Delete this line
  ...
}
&lt;/code&gt;&lt;/pre&gt;
</t>
  </si>
  <si>
    <t xml:space="preserve">&lt;p&gt;I saw this document about &lt;a href="https://lightningdesignsystem.com/components/modals/?variant=base#react-target" rel="nofollow noreferrer"&gt;modals&lt;/a&gt;.&lt;/p&gt;
&lt;p&gt;But there is no guild-line for waking up a modal from button or anything like bootstrap. &lt;/p&gt;
&lt;p&gt;Do you guys know how could I do it?&lt;/p&gt;
</t>
  </si>
  <si>
    <t xml:space="preserve">&lt;p&gt;In Salesforce lightning we don't have any built in function to open/close Modals, This one is working for me.&lt;/p&gt;
&lt;p&gt;Component,&lt;/p&gt;
&lt;p&gt;&lt;div class="snippet" data-lang="js" data-hide="false" data-console="true" data-babel="false"&gt;
&lt;div class="snippet-code"&gt;
&lt;pre class="snippet-code-html lang-html prettyprint-override"&gt;&lt;code&gt;&amp;lt;div aura:id="exampleModal"  class="slds-modal slds-fade-in-open hideDiv" aria-hidden="false" role="dialog"&amp;gt;
        &amp;lt;div class="slds-modal__container" style="max-width:50rem;"&amp;gt;
            &amp;lt;div class="slds-modal__header"&amp;gt;
                &amp;lt;button class="slds-button slds-button--icon-inverse slds-modal__close" onclick="{!c.hideExampleModal}"&amp;gt;
                    &amp;lt;lightning:icon iconName="utility:close" size="medium" variant="bare"/&amp;gt;
                    &amp;lt;span class="slds-assistive-text"&amp;gt;Close&amp;lt;/span&amp;gt;
                &amp;lt;/button&amp;gt;
                &amp;lt;h2 class="slds-text-heading--medium"&amp;gt;Example Modal&amp;lt;/h2&amp;gt;
            &amp;lt;/div&amp;gt;
            &amp;lt;div class="slds-modal__content slds-p-around--medium"&amp;gt;
                &amp;lt;div class="modalContent"&amp;gt;
                   &amp;lt;p&amp;gt;Content goes here&amp;lt;/p&amp;gt; 
                &amp;lt;/div&amp;gt;
            &amp;lt;/div&amp;gt;
            &amp;lt;div class="slds-modal__footer"&amp;gt;
                &amp;lt;button class="slds-button slds-button--neutral slds-button--brand" onclick="{!c.hideExampleModal}"&amp;gt;Close&amp;lt;/button&amp;gt;
            &amp;lt;/div&amp;gt;
        &amp;lt;/div&amp;gt;
 &amp;lt;/div&amp;gt;&lt;/code&gt;&lt;/pre&gt;
&lt;/div&gt;
&lt;/div&gt;
&lt;/p&gt;
&lt;p&gt;Controller.js&lt;/p&gt;
&lt;p&gt;&lt;div class="snippet" data-lang="js" data-hide="false" data-console="true" data-babel="false"&gt;
&lt;div class="snippet-code"&gt;
&lt;pre class="snippet-code-js lang-js prettyprint-override"&gt;&lt;code&gt;    hideExampleModal : function(component, event, helper) {
     helper.hideExampleModal(component);
    },
 showExampleModal : function(component, event, helper) {
     helper.showExampleModal(component);
    },&lt;/code&gt;&lt;/pre&gt;
&lt;/div&gt;
&lt;/div&gt;
&lt;/p&gt;
&lt;p&gt;Helper.js&lt;/p&gt;
&lt;p&gt;&lt;div class="snippet" data-lang="js" data-hide="false" data-console="true" data-babel="false"&gt;
&lt;div class="snippet-code"&gt;
&lt;pre class="snippet-code-js lang-js prettyprint-override"&gt;&lt;code&gt;    showExampleModal : function(component) {      
        var modal = component.find("exampleModal");
        $A.util.removeClass(modal, 'hideDiv');        
    },
    hideExampleModal : function(component) {
        var modal = component.find("exampleModal");
        $A.util.addClass(modal, 'hideDiv');
    },&lt;/code&gt;&lt;/pre&gt;
&lt;/div&gt;
&lt;/div&gt;
&lt;/p&gt;
&lt;p&gt;In Style,&lt;/p&gt;
&lt;p&gt;&lt;div class="snippet" data-lang="js" data-hide="false" data-console="true" data-babel="false"&gt;
&lt;div class="snippet-code"&gt;
&lt;pre class="snippet-code-css lang-css prettyprint-override"&gt;&lt;code&gt;.THIS.hideDiv {
    display: none;
}&lt;/code&gt;&lt;/pre&gt;
&lt;/div&gt;
&lt;/div&gt;
&lt;/p&gt;
</t>
  </si>
  <si>
    <t xml:space="preserve">&lt;p&gt;I'm very new to powerapps and now struggling with creating first useful app.
I'm stuck at point where I'm trying to filter one list with items from another list. &lt;/p&gt;
&lt;p&gt;For example:&lt;/p&gt;
&lt;p&gt;Table1:&lt;/p&gt;
&lt;pre&gt;&lt;code&gt;categoryName | categoryCode
---------------------------
category1    | 1
category2    | 2
category3    | 3
&lt;/code&gt;&lt;/pre&gt;
&lt;p&gt;Table2:&lt;/p&gt;
&lt;pre&gt;&lt;code&gt;itemName     | itemCategory
---------------------------
item1        | 1
item2        | 1
item3        | 3
&lt;/code&gt;&lt;/pre&gt;
&lt;p&gt;What I'm trying to do is to show list of &lt;strong&gt;category names&lt;/strong&gt; from &lt;code&gt;Table1&lt;/code&gt;, but I want to show only those rows which contains categoryCode that is present in &lt;code&gt;Table2&lt;/code&gt; in &lt;code&gt;itemCategory&lt;/code&gt; column.&lt;/p&gt;
&lt;p&gt;Both tables are loaded  from excel file located on my onedrive.&lt;/p&gt;
</t>
  </si>
  <si>
    <t xml:space="preserve">&lt;p&gt;You can use filter function to filter the categories that are present in table2. Use the filter function as below&lt;/p&gt;
&lt;pre&gt;&lt;code&gt;Filter(Table1,categoryCode in Table2.itemCategory) 
&lt;/code&gt;&lt;/pre&gt;
&lt;p&gt;If you want to display this filtered list in a Gallery, use the above formula in &lt;code&gt;Items&lt;/code&gt; property of the Gallery &lt;/p&gt;
</t>
  </si>
  <si>
    <t xml:space="preserve">&lt;p&gt;Created a simple app to keep track of the company fax numbers. In my header I have a search box where I want user's to search either by First Name, Last Name or both First and Last Name. I added the below to Query Builder&lt;/p&gt;
&lt;p&gt;firstName contains? :SearchText or
lastName contains? :SearchText &lt;/p&gt;
&lt;p&gt;Searching by first name or last name works just fine. How can I search by both first and last name? Right now when I search by both I get no results. Thanks.&lt;/p&gt;
</t>
  </si>
  <si>
    <t xml:space="preserve">&lt;p&gt;is it possible to add new action along with edit/delete values in drop down near every object(image below)
&lt;a href="https://i.stack.imgur.com/uQp8i.png" rel="nofollow noreferrer"&gt;&lt;img src="https://i.stack.imgur.com/uQp8i.png" alt="enter image description here"&gt;&lt;/a&gt;&lt;/p&gt;
&lt;p&gt;I followed this topic &lt;a href="https://developer.salesforce.com/forums/?id=9060G000000I5vQQAS" rel="nofollow noreferrer"&gt;topick&lt;/a&gt;&lt;/p&gt;
&lt;p&gt;the only decision I have come up with is like in this article &lt;a href="https://developer.salesforce.com/blogs/developer-relations/2016/09/take-the-first-steps-ways-you-can-replace-javascript-buttons.html" rel="nofollow noreferrer"&gt;click here&lt;/a&gt;
since winter 17 relese we can add button with vf page action only in lightning  on the header of list view.
 1. Create your Visualforce page.
 2. Create a custom button that references your Visualforce page.
 3. Add the action to your list view.&lt;/p&gt;
&lt;p&gt;its looks like this:&lt;/p&gt;
&lt;p&gt;&lt;a href="https://i.stack.imgur.com/nqvHj.png" rel="nofollow noreferrer"&gt;&lt;img src="https://i.stack.imgur.com/nqvHj.png" alt="enter image description here"&gt;&lt;/a&gt;&lt;/p&gt;
&lt;p&gt;So, is it possible to add action to the dropdown like in first picture?&lt;/p&gt;
</t>
  </si>
  <si>
    <t xml:space="preserve">&lt;p&gt;I was trying to create and insert a ContentVersion object in Salesforce lightning(for file upload) using the following code:&lt;/p&gt;
&lt;pre&gt;&lt;code&gt;        ContentVersion v = new ContentVersion();
        v.versionData = EncodingUtil.base64Decode(content);
        v.title = fileName;
        v.pathOnClient = fileName;
        insert v;
&lt;/code&gt;&lt;/pre&gt;
&lt;p&gt;This works fine for smaller files. But when i try loading a file which is just 750KB the above operation fails(actual allowed size could be still less).
Is there any limit on the size if the files that could be uploaded using the above code?&lt;/p&gt;
</t>
  </si>
  <si>
    <t xml:space="preserve">&lt;p&gt;I have searched a solution to my problem extensively, and while I found answers that seemed to have worked for others, I am just having a real hard time figuring this out. But I feel I am very close.&lt;/p&gt;
&lt;p&gt;I am trying to make an Rest API call to an online application called &lt;a href="https://www.zoho.com/creator/help/api/rest-api/rest-api-add-records.html" rel="nofollow noreferrer"&gt;Zoho Creator&lt;/a&gt;. I am trying to implement the Add Record call. The example they give is using an HTML form with a submit button. But I need to Add Records from a VB .NET desktop application. I have tried both WebClient and WebRequest, but I am unsuccessful in those attempts. But I have been successful using these methods with other API calls and other APIs, it's just this Add Records one that is giving me trouble. &lt;/p&gt;
&lt;p&gt;One of the required parameters is an authtoken, which for security reasons I replaced with "xxxxxxxxxx". Here is an html form that I created and when I use it, it created the record successfully thru the API, it's just adding a single record with the single field value for "TicketID".&lt;/p&gt;
&lt;pre&gt;&lt;code&gt;&amp;lt;!DOCTYPE html&amp;gt;
&amp;lt;html&amp;gt;
  &amp;lt;body&amp;gt;
   &amp;lt;form method="POST" action="https://creator.zoho.com/api/max1stdirectcom/xml/service-orders/form/Ticket_form/record/add"&amp;gt;
   &amp;lt;input type="hidden" name="authtoken" value="xxxxxxxxxx"/&amp;gt;
   &amp;lt;input type="hidden" name="scope" id="scope" value="creatorapi"/&amp;gt;
   &amp;lt;input type="text" name="TicketID" value="123"/&amp;gt;
   &amp;lt;input type="submit" value="Add Record"/&amp;gt;
&amp;lt;/form&amp;gt;
&amp;lt;body&amp;gt;
&lt;/code&gt;&lt;/pre&gt;
&lt;p&gt;So, the above works perfectly fine. now, here is my VB .NET code trying to replicate the same result using WebRequest:&lt;/p&gt;
&lt;pre&gt;&lt;code&gt;Protected Sub PostTo(sTicketID As String)
    Dim url As String = "https://creator.zoho.com/api/max1stdirectcom/xml/service-orders/form/Ticket_form/record/add"
    Dim request As WebRequest = WebRequest.Create(url)
    request.Method = "POST"
    ' Create POST data and convert it to a byte array.  
    Dim postData As String = "?authtoken=" &amp;amp; "xxxxxxxxxx" &amp;amp; "?scope=creatorapi" &amp;amp; "?TicketID=" &amp;amp; sTicketID
    Dim byteArray As Byte() = Encoding.UTF8.GetBytes(postData)
    ' Set the ContentType property of the WebRequest.  
    request.ContentType = "application/x-www-form-urlencoded"
    ' Set the ContentLength property of the WebRequest.  
    request.ContentLength = byteArray.Length
    ' Get the request stream.  
    Dim dataStream As Stream = request.GetRequestStream()
    ' Write the data to the request stream.  
    dataStream.Write(byteArray, 0, byteArray.Length)
    ' Close the Stream object.  
    dataStream.Close()
    ' Get the response.  
    Dim response As WebResponse = request.GetResponse()
    ' Display the status.  
    Debug.WriteLine(CType(response, HttpWebResponse).StatusDescription)
    ' Get the stream containing content returned by the server.  
    dataStream = response.GetResponseStream()
    ' Open the stream using a StreamReader for easy access.  
    Dim reader As New StreamReader(dataStream)
    ' Read the content.  
    Dim responseFromServer As String = reader.ReadToEnd()
    ' Display the content.  
    Debug.WriteLine(responseFromServer)
    ' Clean up the streams.  
    reader.Close()
    dataStream.Close()
    response.Close()
End Sub
&lt;/code&gt;&lt;/pre&gt;
&lt;p&gt;The response I get from the call using the above VB .Net code is:&lt;/p&gt;
&lt;pre&gt;&lt;code&gt;&amp;lt;response&amp;gt;
  &amp;lt;errorlist&amp;gt;
    &amp;lt;error&amp;gt;
      &amp;lt;code&amp;gt;2899&amp;lt;/code&amp;gt;
      &amp;lt;message&amp;gt;&amp;lt;![CDATA[Permission Denied To Add Record(s).]]&amp;gt;&amp;lt;/message&amp;gt;
    &amp;lt;/error&amp;gt;
  &amp;lt;/errorlist&amp;gt;
&amp;lt;/response&amp;gt;
&lt;/code&gt;&lt;/pre&gt;
&lt;p&gt;So it is obviously making good communication with the API on some level. I am using the correct AuthToken, so not sure why it is rejecting the adding of the record. I am passing the same exact "credentials" as the basic form POST, but getting different result.&lt;/p&gt;
&lt;p&gt;Any recommendations for me to try?&lt;/p&gt;
</t>
  </si>
  <si>
    <t xml:space="preserve">&lt;p&gt;this seems simple, but just can't see it. My dropdown has a list of surnames.The dropdown is populated by a table called Surnames. When I select 'Jones', I want to show all tasks assigned to Jones in the browse gallery data.(table call Tasks) is this possible? thanks&lt;/p&gt;
</t>
  </si>
  <si>
    <t xml:space="preserve">&lt;p&gt;I'd like to output some data to the console or any other visible place to help with debugging. Apparently &lt;code&gt;Logger.log()&lt;/code&gt; doesn't do that, or if it does, I have no idea where to see the results (at least in the preview mode).&lt;/p&gt;
&lt;p&gt;Is there any functionality for debug output in the server scripts?&lt;/p&gt;
</t>
  </si>
  <si>
    <t xml:space="preserve">&lt;p&gt;I strongly encourage you to check the &lt;a href="https://developers.google.com/appmaker/scripting/server#troubleshooting" rel="nofollow noreferrer"&gt;official documentation&lt;/a&gt; to get to know the basics. Using &lt;code&gt;console.log("test")&lt;/code&gt; will log anything to the server side logs, which you can access from the preview mode.&lt;/p&gt;
</t>
  </si>
  <si>
    <t xml:space="preserve">&lt;p&gt;I am using  in one of the lightning components and I am using it to filter a table. But when I'm trying to get its value in JS controller with the &lt;code&gt;keyup&lt;/code&gt; function, it's giving one less value than actual.&lt;/p&gt;
&lt;p&gt;This question has been already asked for HTML &lt;a href="https://stackoverflow.com/questions/19314495/input-value-onkeydown-returns-incorrect-value-one-less"&gt;here&lt;/a&gt; , But for HTML, we have a solution that we can use &lt;code&gt;onkeyup&lt;/code&gt; instead of &lt;code&gt;keyup&lt;/code&gt;. 
But in salesforce lightning, we don't have any &lt;code&gt;onkeyup&lt;/code&gt; function for ui:inputText  &lt;a href="https://developer.salesforce.com/docs/atlas.en-us.lightning.meta/lightning/aura_compref_ui_inputText.htm" rel="nofollow noreferrer"&gt;Source &lt;/a&gt; , 
So how to solve this issue?&lt;/p&gt;
&lt;p&gt;I have already tried keypress, keyup, keydown.
All are giving one less value than actual one&lt;/p&gt;
&lt;p&gt;Component : &lt;/p&gt;
&lt;pre&gt;&lt;code&gt;&amp;lt;ui:inputText aura:id="search-phrase" class="slds-input"    keyup="{!c.filterTable}"  placeholder="Search Table"  /&amp;gt;
&lt;/code&gt;&lt;/pre&gt;
&lt;p&gt;JS Controller : &lt;/p&gt;
&lt;pre&gt;&lt;code&gt;   , filterTable :function(component, event, helper) { 
        var dynamicVal = component.find("search-phrase");
        var week = dynamicVal.get("v.value") ;
        alert((week+'').toLowerCase());
             var searchTerm = (week+'').toLowerCase() ;
                $('#userTbl tbody tr').each(function(){
                    var lineStr = $(this).text().toLowerCase();
                    if(lineStr.indexOf(searchTerm) === -1){
                        $(this).hide();
                    }else{
                        $(this).show();
                    }
                });
        } 
&lt;/code&gt;&lt;/pre&gt;
</t>
  </si>
  <si>
    <t xml:space="preserve">&lt;p&gt;I'm currently developing a web application in Outsystems in which I have the need to customize the CSS, in which I'm using variables. I need to guarantee the app works cross-browser, including in Internet Explorer. IE doesn't support CSS variables, as you can see in the picture below from &lt;a href="https://caniuse.com/#feat=css-variables" rel="noreferrer"&gt;this source&lt;/a&gt;.&lt;/p&gt;
&lt;p&gt;&lt;a href="https://i.stack.imgur.com/Cz3ea.png" rel="noreferrer"&gt;&lt;img src="https://i.stack.imgur.com/Cz3ea.png" alt=""&gt;&lt;/a&gt;&lt;/p&gt;
&lt;p&gt;Since I have to use CSS variables, is there any workaround for the usage of variables in IE?&lt;/p&gt;
</t>
  </si>
  <si>
    <t xml:space="preserve">&lt;p&gt;In App maker we enabled the manual save mode. On button click a new form will open and we will create an empty record, when user fills the fields and clicks the save button saveChanges function will save all the values.&lt;/p&gt;
&lt;p&gt;In documentation and sample projects I can see after a record creation _key value is updated in the data source and we can use that key value to query record from its child model.&lt;/p&gt;
&lt;p&gt;But in our case key value is not returned. But after save changes function when we  open that record key value is coming, what could be the issue.&lt;/p&gt;
</t>
  </si>
  <si>
    <t xml:space="preserve">&lt;p&gt;You don't have record key on the client, until you save it, since record key is generated by the server. This applies both to Auto and Manual save modes.&lt;/p&gt;
&lt;p&gt;Here is code &lt;a href="https://developers.google.com/appmaker/scripting/api/client#CreateDataSource" rel="nofollow noreferrer"&gt;snippet from App Maker documentation&lt;/a&gt;:&lt;/p&gt;
&lt;pre class="lang-js prettyprint-override"&gt;&lt;code&gt; var myCreateDatasource = app.datasources.MyDatasource.modes.create;
 var draft = myCreateDatasource.item;
 draft.Name = "Name";
 draft.Age = 21;
 // Create the new item
 myCreateDatasource.createItem(function(newRecord) {
   // Callback is called after the record is saved, so it now has a key.
   var key = newRecord._key;
   // Do something with the key here.
 }
&lt;/code&gt;&lt;/pre&gt;
</t>
  </si>
  <si>
    <t xml:space="preserve">&lt;p&gt;I am trying to automate Salesforce lightning using Selenium, but getting issues with identifying elements. Reason, its having dynamic IDs , and other attributes are either very long , or they are not unique.&lt;/p&gt;
&lt;p&gt;For eg ,&lt;/p&gt;
&lt;pre&gt;&lt;code&gt;&amp;lt;a id="170:1968;a" class="textUnderline outputLookupLink slds-truncate forceOutputLookup" 
data-refid="recordId" 
data-recordid="0059E000001aOCSQA2" 
data-special-link="true" 
href="#/sObject/0059E000001aOCSQA2/view" 
target="_blank" rel="noreferrer" 
title="" data-aura-rendered-by="170:1968;a" data-aura-class="forceOutputLookup"/&amp;gt;
&lt;/code&gt;&lt;/pre&gt;
&lt;p&gt;In above code , ID is dynamic , Class is not unique, and all the Lookup elements are associated with it. Also the absolute path is not much trusted , and hence I am trying to find any concrete option to handle these elements. Any help will be highly appreciated.&lt;/p&gt;
</t>
  </si>
  <si>
    <t xml:space="preserve">&lt;p&gt;In App maker we can give model data sources to drop down. We have to apply mutiple filters in that binding but it is not working.&lt;/p&gt;
&lt;p&gt;Format date is also not working can anyone suggest how to use transformers in that binding.&lt;/p&gt;
</t>
  </si>
  <si>
    <t xml:space="preserve">&lt;p&gt;I have an AppMaker app that has a from based off of one address table/datasource.  I can get a form with next/prev buttons, but replaced the key field (name) with a dropdown list of all names &lt;em&gt;(a user can start typing names to jump there, with the dropdown showing)&lt;/em&gt;. &lt;/p&gt;
&lt;p&gt;My hope is that when a user selects from the dropdown, the entire form updates and the next/prev buttons work properly as well &lt;em&gt;(there too many records to page thru with next/prev only)&lt;/em&gt;.  I don't have to have next/prev functionality if it complicates things too much.&lt;/p&gt;
&lt;p&gt;Currently the dropdown is working, but I cannot get the index for the next/prev buttons set or the rest of the form to reflect the selected dropdown record.&lt;/p&gt;
&lt;p&gt;I've tried to set the "onValueEdit" event to something like this...&lt;/p&gt;
&lt;pre&gt;&lt;code&gt;var selected = widget.value;
var idx      = widget.options.indexOf(selected);
console.log("Selected: "+selected+", index = "+idx+"\n");
if(idx &amp;lt; 0) {                      //...this error is never hit
  console.log("Index error - setting to zero!\n");
  idx = 0;
}
widget.datasource.loadPage(idx);   //...update form?
&lt;/code&gt;&lt;/pre&gt;
&lt;p&gt;Two observations via console logging:&lt;/p&gt;
&lt;ol&gt;
&lt;li&gt;&lt;p&gt;The "idx" var is never set to the selected dropdown index reliably, and is
often "0" &lt;em&gt;(tho no error msg ever shows)&lt;/em&gt;, so the "indexOf()" function 
isn't working as expected. &lt;/p&gt;&lt;/li&gt;
&lt;li&gt;&lt;p&gt;The "selected" var (name) is always correct.&lt;/p&gt;&lt;/li&gt;
&lt;/ol&gt;
&lt;p&gt;If I call widget.datasource.loadPage(...) with a fixed value (say 5) it has no effect on what is shows in the form either &lt;em&gt;(previous loaded data remains)&lt;/em&gt; - obviously not the way to do it :v/&lt;/p&gt;
&lt;p&gt;Can you steer a &lt;em&gt;noob&lt;/em&gt; in the right direction?&lt;/p&gt;
</t>
  </si>
  <si>
    <t xml:space="preserve">&lt;p&gt;&lt;strong&gt;UPDATE:&lt;/strong&gt; 
It's important that &lt;em&gt;Options&lt;/em&gt; and &lt;em&gt;Value&lt;/em&gt; are set as shown in the image below!&lt;/p&gt;
&lt;p&gt;&lt;a href="https://i.stack.imgur.com/ZinSG.png" rel="nofollow noreferrer"&gt;&lt;img src="https://i.stack.imgur.com/ZinSG.png" alt="AppMaker Dropdown Settings"&gt;&lt;/a&gt;&lt;/p&gt;
&lt;p&gt;However, &lt;strong&gt;I had trouble setting them that way&lt;/strong&gt; &lt;em&gt;(read: wasted hours!)&lt;/em&gt; until I wiped them both completely using &lt;em&gt;More options&lt;/em&gt; in the binding picklist, and tried again (I had even tried on a brand new app!). I was being forced to choose &lt;em&gt;..projections..&lt;/em&gt; and then a final field before the &lt;strong&gt;OK&lt;/strong&gt; button would be available. &lt;/p&gt;
&lt;p&gt;Not sure if AppMaker is buggy here or there is something simple I'm not understanding! &lt;/p&gt;
&lt;p&gt;None of the coding in my original question is required.
Once set this way, binding just works as you would expect it!!
All other fields are set as &lt;em&gt;@datasource.item.&lt;/em&gt; and are bound to whatever item is chosen.  No &lt;em&gt;Events&lt;/em&gt; settings are necessary for the dropdown either, as I thought they might be.&lt;/p&gt;
</t>
  </si>
  <si>
    <t xml:space="preserve">&lt;p&gt;I have an exposed REST API and an UI component (Label) in outsystems.&lt;/p&gt;
&lt;p&gt;The REST API insert some data on database.&lt;/p&gt;
&lt;p&gt;So, my requirement is, when my external application insert a data using REST API in outsystems the UI component update its value automatically (real-time). &lt;/p&gt;
&lt;p&gt;How it is possible in outsystems?&lt;/p&gt;
</t>
  </si>
  <si>
    <t xml:space="preserve">&lt;p&gt;You can start a process on an insert on an entity. But this will not refresh the UI. &lt;/p&gt;
&lt;p&gt;To refresh the UI, you can use Javascript to refresh the page periodically.&lt;/p&gt;
&lt;p&gt;You need to add two expressions to the page. The first one at the top of the page (i.e. first element in &lt;strong&gt;MainContent&lt;/strong&gt; section), and the second one in the &lt;strong&gt;Footer&lt;/strong&gt; section.&lt;/p&gt;
&lt;p&gt;Add some Javascript to the expressions as the &lt;em&gt;Value&lt;/em&gt;.&lt;/p&gt;
&lt;ul&gt;
&lt;li&gt;First expression: &lt;code&gt;"&amp;lt;script&amp;gt;function refresh(){setTimeout(function(){ $('#"+RefreshButton.Id+"').click();refresh(); }, 5000);};&amp;lt;/script&amp;gt;"&lt;/code&gt;&lt;/li&gt;
&lt;li&gt;Second expression: &lt;code&gt;"&amp;lt;script&amp;gt;refresh();&amp;lt;/script&amp;gt;"&lt;/code&gt;&lt;/li&gt;
&lt;/ul&gt;
&lt;p&gt;NOTE: Remember to set &lt;em&gt;Escape Content&lt;/em&gt; to &lt;strong&gt;No&lt;/strong&gt; on both expressions!&lt;/p&gt;
</t>
  </si>
  <si>
    <t xml:space="preserve">&lt;p&gt;I have been working w/ App Maker's Vendor Rating template, and I noticed that every time I attempt to import a non-negligible amount of data into a deployment (like say 1,000 records), I get this error: "Drive Table internal error. Request is too large" I was wondering what this may be due to.&lt;/p&gt;
&lt;p&gt;Thanks!&lt;/p&gt;
</t>
  </si>
  <si>
    <t xml:space="preserve">&lt;p&gt;In App maker table view i have a date field called "topic" , we want this column to be filtered using a drop down. The drop down options consists of already entered topic values. We populated the values in drop down, on value edit event we filtered the data source to the selected value, but the filter is not working. Can anyone suggest how to filter date values from a datasource.&lt;/p&gt;
</t>
  </si>
  <si>
    <t xml:space="preserve">&lt;p&gt;In App maker for drop downs there is a option to set nullItemName, default one is No selection. In my scenario we are taking values from models which has empty values I want to show empty values as blanks but if we change the nullItemName property. &lt;/p&gt;
&lt;p&gt;It is changing for the default app maker one and the empty values from the models. Image is attached for the reference.&lt;/p&gt;
&lt;p&gt;Here you can see two same values one is app maker default No selection and the other in from the datasource empty item.&lt;/p&gt;
&lt;p&gt;&lt;a href="https://i.stack.imgur.com/mvBBh.png" rel="nofollow noreferrer"&gt;&lt;img src="https://i.stack.imgur.com/mvBBh.png" alt="Dropdown image"&gt;&lt;/a&gt;&lt;/p&gt;
</t>
  </si>
  <si>
    <t xml:space="preserve">&lt;p&gt;I am using the latest version of nodemailer version 4.1.0. I tried using the sample code available here
    &lt;a href="https://nodemailer.com/smtp/" rel="nofollow noreferrer"&gt;https://nodemailer.com/smtp/&lt;/a&gt;&lt;/p&gt;
&lt;p&gt;Here is my code&lt;/p&gt;
&lt;pre&gt;&lt;code&gt; let transporter = nodemailer.createTransport({
        host: 'smtp.zoho.com',
        port:587,
        secure: false,           
        auth: {
            user: this.user,
            pass: this.password
        }
    });
     var mailOptions: nodemailer.SendMailOptions = {
        from: ****@***.com,
        to: test@abc.com,
        subject: 'Hello ✔',
        text: 'Hello world ✔', 
        html: '&amp;lt;b&amp;gt;Hello world ✔&amp;lt;/b&amp;gt;'
    };
   transporter
            .sendMail(mailOptions)
            .then(
                (info) =&amp;gt; {
                  //  console.log(info);
                    resolve({status: info.messageId})
                }
            )
            .catch(err =&amp;gt; {
             //   console.log(err);
                reject({status: err.toString()})
            })
&lt;/code&gt;&lt;/pre&gt;
&lt;p&gt;I get the following error. I have set the secure flag as false, and have also used ignodeTLS. The previous version of nodemailer 0.7.1 did not have any issues. Am I missing out on any specific configuration?&lt;/p&gt;
&lt;pre&gt;&lt;code&gt;   { Error: Invalid login: 530 Must issue a STARTTLS command first.
at SMTPConnection._formatError 
(C:\Project\NotificationService\node_modules\nodemailer\lib\smtp-connection\index.js:577:19)
at SMTPConnection._actionAUTHComplete (C:\Project\NotificationService\node_modules\nodemailer\lib\smtp-connection\index.js:1306:34)
at SMTPConnection._responseActions.push.str (C:\Project\NotificationService\node_modules\nodemailer\lib\smtp-connection\index.js:349:26)
at SMTPConnection._processResponse (C:\Project\NotificationService\node_modules\nodemailer\lib\smtp-connection\index.js:733:20)
at SMTPConnection._onData (C:\Project\NotificationService\node_modules\nodemailer\lib\smtp-connection\index.js:529:14)
at Socket._socket.on.chunk (C:\Project\NotificationService\node_modules\nodemailer\lib\smtp-connection\index.js:481:47)
at emitOne (events.js:96:13)
at Socket.emit (events.js:188:7)
at readableAddChunk (_stream_readable.js:176:18)
at Socket.Readable.push (_stream_readable.js:134:10)
at TCP.onread (net.js:548:20)
  code: 'EAUTH',
  response: '530 Must issue a STARTTLS command first.',
  responseCode: 530,
  command: 'AUTH PLAIN' }
&lt;/code&gt;&lt;/pre&gt;
</t>
  </si>
  <si>
    <t xml:space="preserve">&lt;p&gt;you can also use this without these tls parameter default value is false.
you got the error because of you don't pass service:'zoho' in nodemailer&lt;/p&gt;
&lt;pre&gt;&lt;code&gt;let transporter = nodemailer.createTransport({
        service:'Zoho',
        host: this.service,
        port:587,
        secure: false,
        auth: {
            user: this.user,
            pass: this.password
        }
    });
&lt;/code&gt;&lt;/pre&gt;
</t>
  </si>
  <si>
    <t xml:space="preserve">&lt;p&gt;I'm working on an Outsystems project, which is using a plugin built on JSignature. I was wondering if it was possible to use JSignature to return the strokes on the canvas, i.e. the x and y co-ordinates of the strokes made by the user. If not, is there a way to convert an image in order to obtain the co-ordinates as they would be on a canvas?&lt;/p&gt;
</t>
  </si>
  <si>
    <t xml:space="preserve">&lt;p&gt;I have two data models, one called &lt;code&gt;Requested_Allocations&lt;/code&gt; and another called &lt;code&gt;Approved_Allocations&lt;/code&gt;. &lt;/p&gt;
&lt;p&gt;I want to add an &lt;code&gt;Approve&lt;/code&gt; button to each row of the table displaying the &lt;code&gt;Requested_Allocations&lt;/code&gt; records. When the user clicks this button, that record is then added to &lt;code&gt;Approved_Allocations&lt;/code&gt; and removed from &lt;code&gt;Requested_Allocations&lt;/code&gt;. &lt;/p&gt;
&lt;p&gt;I have set up both my data models and have added the &lt;code&gt;Approve&lt;/code&gt; button to the &lt;code&gt;Requested_Allocations&lt;/code&gt; table. I imagine that I need to add an &lt;code&gt;OnClick Event&lt;/code&gt; to the button, but I'm not sure what exactly to do. Any guidance would be great!&lt;/p&gt;
</t>
  </si>
  <si>
    <t xml:space="preserve">&lt;p&gt;[appmaker] I am trying to setup people viewer and it doesn't load any job title, location, or manager data. How can I go about getting this data inputted for each employee?&lt;/p&gt;
</t>
  </si>
  <si>
    <t xml:space="preserve">&lt;p&gt;Data cannot come from outer space, you need to put it in first. &lt;a href="https://developers.google.com/appmaker/templates/people-viewer/" rel="nofollow noreferrer"&gt;People Viewer template&lt;/a&gt; relies on Directory Model that reads data from &lt;a href="https://support.google.com/a/answer/1628009" rel="nofollow noreferrer"&gt;Admin Directory&lt;/a&gt;. So, you need to navigate there and add information you need.&lt;/p&gt;
</t>
  </si>
  <si>
    <t xml:space="preserve">&lt;p&gt;I'm using an open source plugin named Tesseract (&lt;a href="https://github.com/gustavomazzoni/cordova-plugin-tesseract" rel="nofollow noreferrer"&gt;Link&lt;/a&gt;) in my Outsystems project. I'm making the required changes, and I made 2 client actions as follows:&lt;/p&gt;
&lt;p&gt;LoadLanguage:&lt;/p&gt;
&lt;pre&gt;&lt;code&gt;TesseractPlugin.loadLanguage($parameters.language, 
function(response) {
  $resolve(response);
  $parameters.response = response;
}, 
function(reason) {
  $reject('Error on loading OCR file for your language. ' + reason);
  $parameters.reason = reason;
}
&lt;/code&gt;&lt;/pre&gt;
&lt;p&gt;);&lt;/p&gt;
&lt;p&gt;RecognizeText:&lt;/p&gt;
&lt;pre&gt;&lt;code&gt;TesseractText.recognizeText($parameters.imageData, $parameters.language, 
function(recognizedText) {
  $parameters.text = recognizedText;
}, 
function(reason) {
  $reject('Error on recognizing text from image. ' + reason);
  $parameters.reason = reason;
}
&lt;/code&gt;&lt;/pre&gt;
&lt;p&gt;);&lt;/p&gt;
&lt;p&gt;I have added the URL to the Extensibility Configurations, but I keep getting the error: &lt;code&gt;TesseractPlugin is not defined.&lt;/code&gt;&lt;/p&gt;
&lt;p&gt;How do I fix it?&lt;/p&gt;
</t>
  </si>
  <si>
    <t xml:space="preserve">&lt;p&gt;I am trying to setup a send to email on click with app maker, one of my objects that sends is the date. I have this code for pulling that data:&lt;/p&gt;
&lt;pre&gt;&lt;code&gt;var todayDate = widget.parent.parent.descendants.Field.value
&lt;/code&gt;&lt;/pre&gt;
&lt;p&gt;I then get this error when testing the date data entries:&lt;/p&gt;
&lt;blockquote&gt;
  &lt;p&gt;Failed due to illegal value in property: 4&lt;br&gt;
  at (unknown)&lt;br&gt;
  at (unknown)&lt;br&gt;
  at Inbound_Call.Container.Form1.Form1Header.Form1Spinner.visible:-1:132&lt;br&gt;
  at (unknown)&lt;br&gt;
  at (unknown)&lt;br&gt;
  at (unknown)&lt;br&gt;
  at Inbound_Call.Container.Form1.Form1Footer.Form1SubmitButton.onClick:7:40&lt;/p&gt;
&lt;/blockquote&gt;
</t>
  </si>
  <si>
    <t xml:space="preserve">&lt;p&gt;I'm testing a project with two databases joined by a MANY-ONE relation (&lt;code&gt;Devices&lt;/code&gt; -&gt; &lt;code&gt;Employees&lt;/code&gt;). Both datasources are Google Drive Tables. How can I delete all of the data in both of these tables, without deleting the tables themselves? I'd like to keep their metadata and relations intact but start with fresh data. Based on &lt;a href="https://stackoverflow.com/questions/42705379/how-to-overwrite-or-clear-data-in-a-drive-table-in-google-app-maker"&gt;another answer&lt;/a&gt;, I've tried to run the following commands on button press:&lt;/p&gt;
&lt;pre&gt;&lt;code&gt;var records = app.models.Device.newQuery().run(); 
app.deleteRecords(records);
var records = app.models.Employee.newQuery().run(); 
app.deleteRecords(records);
&lt;/code&gt;&lt;/pre&gt;
&lt;p&gt;But I receive the error:&lt;/p&gt;
&lt;blockquote&gt;
  &lt;p&gt;app.models.Device.newQuery is not a function
  at AddDevice.Button1.onClick:1:33&lt;/p&gt;
&lt;/blockquote&gt;
&lt;p&gt;And I wasn't sure where to go from there. Thanks in advance.&lt;/p&gt;
</t>
  </si>
  <si>
    <t xml:space="preserve">&lt;p&gt;First of all, you should run this code on &lt;strong&gt;server side&lt;/strong&gt;:&lt;/p&gt;
&lt;pre class="lang-js prettyprint-override"&gt;&lt;code&gt;// server script
function deleteAll() {
  var records = app.models.Employee.newQuery().run(); 
  app.deleteRecords(records);
  ...
}
// Client script, for instance button's onClick event handler
google.script.run.deleteAll();
&lt;/code&gt;&lt;/pre&gt;
&lt;p&gt;Then you can simplify your life, by specifying &lt;a href="https://developers.google.com/appmaker/models/relations#ownership" rel="nofollow noreferrer"&gt;relation &lt;strong&gt;Owner&lt;/strong&gt;&lt;/a&gt;. If you have it configured, then when you delete master record all related records will be deleted(cascade deletion). If you properly setup relations for all your models, then you'll need to delete records only from one model/table and all other records will be delete as well:
&lt;a href="https://i.stack.imgur.com/Uit0i.png" rel="nofollow noreferrer"&gt;&lt;img src="https://i.stack.imgur.com/Uit0i.png" alt="Relation owner"&gt;&lt;/a&gt;&lt;/p&gt;
&lt;p&gt;&lt;strong&gt;PS&lt;/strong&gt;&lt;/p&gt;
&lt;p&gt;As a quick and simple workaround, you can simply create a brand-new deployment(out of the box all models/tables will be empty).&lt;/p&gt;
</t>
  </si>
  <si>
    <t xml:space="preserve">&lt;p&gt;I have table with multiple customerKey values assigned to a numeric value; I wrote a script where foreach row of data I scan whole table to find all values assigned to the current customerKey and return a highest one;&lt;/p&gt;
&lt;p&gt;I have a problem with performance - script processes around 10 records per second - any ideas how to improve this or maybe propose an alternative solution plesae?&lt;/p&gt;
&lt;pre&gt;&lt;code&gt;function getLastest() {
    var date = app.models.magicMain.newQuery();
    var date_all = date.run();
    date_all.forEach(function(e) { // for every row of date_all
        var temp = date_all.filter(function(x) {
            return x.SubscriberKey === e.SubscriberKey; // find matching records for the current x.SubscriberKey
        });
        var dates = [];
        temp.forEach(function(z) { // get all matching "dates"
            dates.push(z.Date);
        });
        var finalValue = dates.reduce(function(a, b) { // get highest dates value (integer)
            return Math.max(a, b);
        });
        var record = app.models.TempOperatoins.newRecord(); // save results to DB
        record.email = e.SubscriberKey.toString() + " " + finalValue.toString();
        app.saveRecords([record]);
    });
}
&lt;/code&gt;&lt;/pre&gt;
</t>
  </si>
  <si>
    <t xml:space="preserve">&lt;p&gt;The only suggestion I have would be to add:&lt;/p&gt;
&lt;p&gt;var recordstosave = [];&lt;/p&gt;
&lt;p&gt;At the top of your function.
Then replace app.saveRecords([record]) with recordstosave.push(record).&lt;/p&gt;
&lt;p&gt;Finally outside of your foreach function do app.saveRecords(recordstosave).&lt;/p&gt;
&lt;p&gt;I saw major processing time improvements doing this rather than saving each record individually inside a loop.&lt;/p&gt;
</t>
  </si>
  <si>
    <t xml:space="preserve">&lt;p&gt;I'm currently making use of an API from &lt;a href="https://ocr.space/ocrapi" rel="nofollow noreferrer"&gt;Free OCR API&lt;/a&gt; (using the POST call). I've tried it using Postman, and it seems to work fine. But when I use it through Outsystems, I get an Internal server error. The requests created by both services are pretty much the same, but it doesn't work through anything other than Postman. &lt;/p&gt;
&lt;p&gt;Here are the Request call made:&lt;/p&gt;
&lt;p&gt;Postman call:&lt;/p&gt;
&lt;pre&gt;&lt;code&gt;POST /parse/image HTTP/1.1
Host: api.ocr.space
Cache-Control: no-cache
Postman-Token: 3e58eea7-4108-dd26-e79b-1183ee6e5908
Content-Type: multipart/form-data; boundary=----WebKitFormBoundary7MA4YWxkTrZu0gW
------WebKitFormBoundary7MA4YWxkTrZu0gW
Content-Disposition: form-data; name="apikey"
404f8bdbfe88957
------WebKitFormBoundary7MA4YWxkTrZu0gW
Content-Disposition: form-data; name="language"
eng
------WebKitFormBoundary7MA4YWxkTrZu0gW
Content-Disposition: form-data; name="base64image"
data:image/bmp;base64,&amp;lt;base64 text&amp;gt;
------WebKitFormBoundary7MA4YWxkTrZu0gW--
&lt;/code&gt;&lt;/pre&gt;
&lt;p&gt;Outsystems call:&lt;/p&gt;
&lt;pre&gt;&lt;code&gt;POST /parse/image HTTP/1.1
Content-Type: multipart/form-data; boundary=----WebKitFormBoundary7MA4YWxkTrZu088
Cache-Control: no-cache
Host: api.ocr.space
User-Agent: OutSystemsPlatform
------WebKitFormBoundary7MA4YWxkTrZu088
Content-Disposition: form-data; name="apikey"
404f8bdbfe88957
------WebKitFormBoundary7MA4YWxkTrZu088
Content-Disposition: form-data; name="language"
eng
------WebKitFormBoundary7MA4YWxkTrZu088
Content-Disposition: form-data; name="base64image"
data:image/bmp;base64,&amp;lt;base64 text&amp;gt;
------WebKitFormBoundary7MA4YWxkTrZu088--
&lt;/code&gt;&lt;/pre&gt;
&lt;p&gt;Does Postman do anything additional that I'm missing?&lt;/p&gt;
</t>
  </si>
  <si>
    <t xml:space="preserve">&lt;p&gt;I was looking at Zoho CRM API (&lt;a href="https://www.zoho.com/crm/help/api/insertrecords.html#Insert_records_into_Zoho_CRM_from_third-party_applications" rel="nofollow noreferrer"&gt;https://www.zoho.com/crm/help/api/insertrecords.html#Insert_records_into_Zoho_CRM_from_third-party_applications&lt;/a&gt;) and there is a method called insertRecords. But I have no idea how should I use to really create a method. Even though there is an example there, I just cant seem to understand it. Should I create a script (with php or python) to handle it? How do I run their example code??&lt;/p&gt;
&lt;p&gt;Example of insertRecords usage that they show on their API:&lt;/p&gt;
&lt;pre&gt;&lt;code&gt;https://crm.zoho.com/crm/private/xml/Leads/insertRecords?
newFormat=1
&amp;amp;authtoken=Auth Token
&amp;amp;scope=crmapi
&amp;amp;xmlData=
&amp;lt;Leads&amp;gt;
&amp;lt;row no="1"&amp;gt;
&amp;lt;FL val="Lead Source"&amp;gt;Web Download&amp;lt;/FL&amp;gt;
&amp;lt;FL val="Company"&amp;gt;Your Company&amp;lt;/FL&amp;gt;
&amp;lt;FL val="First Name"&amp;gt;Hannah&amp;lt;/FL&amp;gt;
&amp;lt;FL val="Last Name"&amp;gt;Smith&amp;lt;/FL&amp;gt;
&amp;lt;FL val="Email"&amp;gt;testing@testing.com&amp;lt;/FL&amp;gt;
&amp;lt;FL val="Title"&amp;gt;Manager&amp;lt;/FL&amp;gt;
&amp;lt;FL val="Phone"&amp;gt;1234567890&amp;lt;/FL&amp;gt;
&amp;lt;FL val="Home Phone"&amp;gt;0987654321&amp;lt;/FL&amp;gt;
&amp;lt;FL val="Other Phone"&amp;gt;1212211212&amp;lt;/FL&amp;gt;
&amp;lt;FL val="Fax"&amp;gt;02927272626&amp;lt;/FL&amp;gt;
&amp;lt;FL val="Mobile"&amp;gt;292827622&amp;lt;/FL&amp;gt;
&amp;lt;/row&amp;gt;
&amp;lt;/Leads&amp;gt;
&lt;/code&gt;&lt;/pre&gt;
&lt;p&gt;I do know how to fill this fields like Authtoken and others, but I do not know how can I use this piece of code to generate a new record.&lt;/p&gt;
</t>
  </si>
  <si>
    <t xml:space="preserve">&lt;p&gt;I have created a PowerApps and now I want to login using SharePoint credentials.&lt;/p&gt;
&lt;p&gt;I used this formula on onSelect of login button
&lt;code&gt;If(LookUp('Account Name', Title = Username.Text, Password ) = Password, Navigate([@Screen1], ScreenTransition.Fade))&lt;/code&gt; &lt;/p&gt;
&lt;p&gt;Here &lt;strong&gt;Account Name&lt;/strong&gt; is my DataSource , &lt;strong&gt;Title&lt;/strong&gt; and &lt;strong&gt;Password&lt;/strong&gt; are columns in DataSource.&lt;/p&gt;
&lt;p&gt;So how can i achieve this?&lt;/p&gt;
</t>
  </si>
  <si>
    <t xml:space="preserve">&lt;p&gt;I am trying to do a simple thing, but not sure how to do it in Google App Maker&lt;/p&gt;
&lt;p&gt;All I want to do is:  &lt;/p&gt;
&lt;ol&gt;
&lt;li&gt;&lt;p&gt;Create a radio button 3 values (&lt;code&gt;Employee&lt;/code&gt;, &lt;code&gt;Contractor&lt;/code&gt;, &lt;code&gt;Vendor&lt;/code&gt;) where &lt;code&gt;Employee&lt;/code&gt; should be selected by default.&lt;/p&gt;&lt;/li&gt;
&lt;li&gt;&lt;p&gt;Based on what is selected, I want to put some logic such as if the &lt;code&gt;Employee&lt;/code&gt; is selected, then the discount will be 15% etc.&lt;/p&gt;&lt;/li&gt;
&lt;/ol&gt;
&lt;p&gt;So I can display the result at the end of the quiz showing how much discount you would get based on your answers.&lt;/p&gt;
&lt;p&gt;How can i achieve this?&lt;/p&gt;
</t>
  </si>
  <si>
    <t xml:space="preserve">&lt;p&gt;I am totally new to Appmaker. I just tried to import data from a sheet, however, I get the error in the picture and struggling to solve it for hours.
Any help or ideas appreciated.&lt;/p&gt;
&lt;p&gt;&lt;a href="https://i.stack.imgur.com/zowP5.png" rel="nofollow noreferrer"&gt;error that ocurred&lt;/a&gt;&lt;/p&gt;
</t>
  </si>
  <si>
    <t xml:space="preserve">&lt;p&gt;I have to edit two objects of the same datasource. I'm using UserPicker widget to change the person attached to the objects (picking up just the email).&lt;/p&gt;
&lt;p&gt;In the beginning I have:&lt;/p&gt;
&lt;ul&gt;
&lt;li&gt;ObjectA { owner: owner1@sample.com }&lt;/li&gt;
&lt;li&gt;ObjectB { owner: owner1@sample.com }&lt;/li&gt;
&lt;/ul&gt;
&lt;p&gt;After this, I want to change the owner of ObjectA to Owner2. This works out fine.&lt;/p&gt;
&lt;p&gt;Then, using the same edit widget (with a different datasource item), I want to change the owner of ObjectB to Owner2, also. However, this does not work out, since the UserPicker widget does not register the change from Owner1 -&gt; Owner2. This happens because the UserPicker has stored the value Owner2 from the first change I made (so to the app it seems that I'm making a change Owner2 -&gt; Owner2 .. onChange not triggered, datasource not saved).&lt;/p&gt;
&lt;p&gt;I've tried altering the widget value on attach, but I've yet to get it to work. Is this something that should be fixed on the AppMaker side, too?&lt;/p&gt;
&lt;p&gt;Thanks for your help, please ask clarifying questions if you don't understand.&lt;/p&gt;
</t>
  </si>
  <si>
    <t xml:space="preserve">&lt;p&gt;Ok, just in case anyone else is having this problem while the fixing of the bug is still under work (I reported the bug though). This is how I dealt with it:&lt;/p&gt;
&lt;p&gt;UserPicker widget onDetach:&lt;/p&gt;
&lt;pre&gt;&lt;code&gt;if(widget.datasource.item.OwnerEmail !== widget.value) {
  widget.datasource.item.OwnerEmail = widget.value;
}
&lt;/code&gt;&lt;/pre&gt;
&lt;p&gt;This makes sure that the value change is saved into the record anyway, when the widget is being detached.&lt;/p&gt;
&lt;p&gt;However, this solution is missing the automatic validation (which is done in UserPicker widget by default). So you might need to make sure that the entered value is actually an email, in this solution there is no guarantee of that.&lt;/p&gt;
&lt;p&gt;There are probably better ways to do this, but this is just a quick fix I came up with.&lt;/p&gt;
</t>
  </si>
  <si>
    <t xml:space="preserve">&lt;p&gt;I have a site I sent my clients to who want to move forward with our order process and I want the information they submit to automatically fill in the form under the opportunity. I was wondering how this was possible. I know you can set up a web to lead form but I dont see this option for what I want to do.&lt;/p&gt;
</t>
  </si>
  <si>
    <t xml:space="preserve">&lt;p&gt;I am trying to create my first power apps application with sql server connected tables I have most of it finished and doing what I want it to do. Just need to finish the last part. so the first screen shows all of the customers in a browser gallery. they click on the customer then that take them to a details page that shows customer information like customer ID  I then have a button for them to click that will take them to the Quote form and populate that form with the customerID as a global variable. On this form page I have the customer ID field pre populated with the global variable. I have begin date End Date, and filter. When they click search button I am taking them to another page like quotedetails passing in all of that information as  global variables &lt;/p&gt;
&lt;pre&gt;&lt;code&gt;Navigate(
    QuoteResult,
    ScreenTransition.Cover,
    {
        BeginDate: BeginDate.SelectedDate,
        EndDate: EndDate.SelectedDate,
        filtertext: FilterDropDown.Selected.Value,
        CustIdText: CustText.Text
    })
&lt;/code&gt;&lt;/pre&gt;
&lt;p&gt;on this last page I want to show only certain columns but filter it like a where statement &lt;/p&gt;
&lt;p&gt;I have something like this &lt;/p&gt;
&lt;pre&gt;&lt;code&gt;LookUp(
    '[dbo].[SOHeader]',
    CpnyID = "AOS" &amp;amp;&amp;amp;
        LUpd_DateTime &amp;gt;= BeginDate &amp;amp;&amp;amp;
        LUpd_DateTime &amp;lt;= EndDate &amp;amp;&amp;amp;
        SOTypeID = filtertext &amp;amp;&amp;amp;
        CustID = CustIdText)
&lt;/code&gt;&lt;/pre&gt;
&lt;p&gt;then how would I tell it what particular columns I want from this table also&lt;/p&gt;
&lt;p&gt;of course it is not working any help would be appreciated&lt;/p&gt;
&lt;p&gt;the sql query to accomplish this would look something like this &lt;/p&gt;
&lt;pre&gt;&lt;code&gt;SELECT   distinct SOHeader.OrdNbr, soheader.sotypeid, soheader.user6, SOheader.LUpd_DateTime, SOHeader.User3, soheader.crtd_user, SOHeader.S4Future01, SOHeader.SlsperID, SOHeader.TotMerch, SOHeader.CustOrdNbr 
FROM SOHeader 
WHERE (SOHeader.SOtypeID = 'SO'  AND SOHeader.Lupd_DateTime &amp;gt;= '5/16/2017'  AND SOHeader.lupd_DateTime &amp;lt;= '8/14/2017'  AND soheader.CpnyID = 'AOS'   and soheader.custid = 'LOCKT001')
&lt;/code&gt;&lt;/pre&gt;
</t>
  </si>
  <si>
    <t xml:space="preserve">&lt;p&gt;In app maker driver picker is there a option to add files in folders and from app maker we are creating documents that should be added in the specified folder.&lt;/p&gt;
&lt;p&gt;Files uploaded will be accessed by all the users in the application so is there an option to upload files in centralized drive location, or do we need to maintain a folder in some one's drive and all the users will upload files in that drive folder.&lt;/p&gt;
&lt;p&gt;Can anyone suggest the possibilities to implement in app maker.&lt;/p&gt;
</t>
  </si>
  <si>
    <t xml:space="preserve">&lt;p&gt;I am building a powerapp where I have a radiobutton list , if any item of the radiobuttonlist is selected then dropdown will populate accordingly else it should show a default value such as Select a Product. I want to use if conditon for Items Property of dropdowncontrol this e.g.&lt;/p&gt;
&lt;p&gt;Items = 
if(IsBlank(Radio.Selected.Value),DropDown.Selected.Value = "Select Product", Filter(ProductDemands, ProductValue = Radio.Selected.Value))&lt;/p&gt;
&lt;hr&gt;
&lt;p&gt;where ProductDemands is name of entity
       ProducValue is column name&lt;/p&gt;
&lt;p&gt;I am unable to acheive the same. I am getting syntax errors and warnings for the same.&lt;/p&gt;
</t>
  </si>
  <si>
    <t xml:space="preserve">&lt;p&gt;App maker user picker field takes only one value. We want to add multiple names in the picker field. Do we need to configure in the picker field itself or do we need to write custom JavaScript code to achieve the functionality.&lt;/p&gt;
</t>
  </si>
  <si>
    <t xml:space="preserve">&lt;p&gt;When using the User Picker widget in App Maker, you can only select one user at a time. You will need to use custom JavaScript in order to do multiple selections. You can find a great integration on how to easily select multiple users in the Training Hub template available here &lt;a href="https://developers.google.com/appmaker/templates/training-hub/" rel="nofollow noreferrer"&gt;https://developers.google.com/appmaker/templates/training-hub/&lt;/a&gt;&lt;/p&gt;
&lt;p&gt;If you open the above template and if you go to the "AssignCourses" page you will see a possible integration on how you can make multiple user selections. Note that you still need to add user by user to a Grid which will contain all the users that you selected.&lt;/p&gt;
&lt;p&gt;Hope this helps!&lt;/p&gt;
</t>
  </si>
  <si>
    <t xml:space="preserve">&lt;p&gt;I just began to learn the Google App Maker and had tons of the questions. Now i just used the template of Document Approval. &lt;/p&gt;
&lt;p&gt;I have the following questions:&lt;/p&gt;
&lt;ol&gt;
&lt;li&gt;Could you recommend some learning materials for App Maker?&lt;/li&gt;
&lt;li&gt;It seems that the there was no separated physical database for the app. How could I extra the data from the database? &lt;/li&gt;
&lt;li&gt;How could I monitor the requests going somewhere? &lt;/li&gt;
&lt;/ol&gt;
&lt;p&gt;Your guidance is greatly appreciated. &lt;/p&gt;
</t>
  </si>
  <si>
    <t xml:space="preserve">&lt;ol&gt;
&lt;li&gt;&lt;p&gt;Could you recommend some learning materials for appmaker? You can find official documentation and resources available below so that you can start learning more about App Maker and the features available: &lt;/p&gt;
&lt;ul&gt;
&lt;li&gt;&lt;p&gt;Official App Maker developer documentation &lt;a href="https://developers.google.com/appmaker/" rel="nofollow noreferrer"&gt;https://developers.google.com/appmaker/&lt;/a&gt;&lt;/p&gt;&lt;/li&gt;
&lt;li&gt;&lt;p&gt;Official App Maker Templates which can give you a head start on different UI designs and useful application features &lt;a href="https://developers.google.com/appmaker/templates/" rel="nofollow noreferrer"&gt;https://developers.google.com/appmaker/templates/&lt;/a&gt;&lt;/p&gt;&lt;/li&gt;
&lt;li&gt;&lt;p&gt;Official App Maker Public Google Group &lt;a href="https://groups.google.com/forum/#!forum/appmaker-users" rel="nofollow noreferrer"&gt;https://groups.google.com/forum/#!forum/appmaker-users&lt;/a&gt; &lt;/p&gt;&lt;/li&gt;
&lt;li&gt;&lt;p&gt;App Maker office Hours YouTube Channel &lt;a href="https://www.youtube.com/channel/UCnC9dI1zA-jkrPwOfeWmSJw/videos" rel="nofollow noreferrer"&gt;https://www.youtube.com/channel/UCnC9dI1zA-jkrPwOfeWmSJw/videos&lt;/a&gt;&lt;/p&gt;&lt;/li&gt;
&lt;li&gt;&lt;p&gt;Training resources and video tutorials created by one of Google Partners &lt;a href="https://appmakeruniversity.com" rel="nofollow noreferrer"&gt;https://appmakeruniversity.com&lt;/a&gt;&lt;/p&gt;&lt;/li&gt;
&lt;li&gt;&lt;p&gt;App Maker video from Google Cloud Next '17 &lt;a href="https://youtu.be/Br6aNwDXDgQ" rel="nofollow noreferrer"&gt;https://youtu.be/Br6aNwDXDgQ&lt;/a&gt;&lt;/p&gt;&lt;/li&gt;
&lt;li&gt;&lt;p&gt;App Maker video from Google I/O '17 &lt;a href="https://youtu.be/Q84HQgI3Dd8" rel="nofollow noreferrer"&gt;https://youtu.be/Q84HQgI3Dd8&lt;/a&gt;&lt;/p&gt;&lt;/li&gt;
&lt;/ul&gt;&lt;/li&gt;
&lt;li&gt;&lt;p&gt;It seems that the there was no separated physical database for the app. How could I extra the data from the database? You can find information about importing and exporting data from App Maker here &lt;a href="https://developers.google.com/appmaker/models/import-export" rel="nofollow noreferrer"&gt;https://developers.google.com/appmaker/models/import-export&lt;/a&gt;&lt;/p&gt;&lt;/li&gt;
&lt;li&gt;&lt;p&gt;How could I monitor the requests going somewhere? I am not sure if I understood this last question. The best place to get support for App Maker is via this Stackoverflow tag or via the official App Maker Google Group provided above. You can also contact G Suite Support for any issues with the App Maker service.&lt;/p&gt;&lt;/li&gt;
&lt;/ol&gt;
&lt;p&gt;Hope this helps!&lt;/p&gt;
</t>
  </si>
  <si>
    <t xml:space="preserve">&lt;p&gt;I added a Trello (&lt;em&gt;for example&lt;/em&gt;) connector and built a PowerApp on top of it. The problem is, we need to share/publish the app to multiple clients now, and obviously, they do not want to share their Trello (&lt;em&gt;for example&lt;/em&gt;) login credentials. &lt;/p&gt;
&lt;p&gt;I tried to do a research on this, but, didn't find a good solution. Only possibility which I could think about is adding Trello (&lt;em&gt;for example&lt;/em&gt;) as a Custom Connector. But, then, why would I use PowerApps? I could have achieved it in my ASP.Net-MVC website itself.&lt;/p&gt;
&lt;p&gt;How can I add a Trello (&lt;em&gt;for example&lt;/em&gt;) authentication or a login screen in PowerApps? Is it possible to do this in first place? Am I missing something in PowerApps where I could achieve it easily?&lt;/p&gt;
&lt;p&gt;Thanks in advance!&lt;/p&gt;
</t>
  </si>
  <si>
    <t xml:space="preserve">&lt;p&gt;While updating the connector in powerapps, I am getting this error : "The custom connector property 'capabilities' cannot be updated".&lt;/p&gt;
&lt;p&gt;please find the screenshot.
&lt;a href="https://i.stack.imgur.com/o9vIp.png" rel="nofollow noreferrer"&gt;&lt;img src="https://i.stack.imgur.com/o9vIp.png" alt="enter image description here"&gt;&lt;/a&gt;&lt;/p&gt;
</t>
  </si>
  <si>
    <t xml:space="preserve">&lt;p&gt;I am working in Zoho CRM. I am not able to understand how to deal with special characters when I have to search records.&lt;/p&gt;
&lt;p&gt;Here is the code that i am trying.&lt;/p&gt;
&lt;pre&gt;&lt;code&gt;&amp;lt;?php
    $product_name  = "99X210MM DL - SINGLE SUPPLY &amp;amp; ATTACHMENT"; // not working with this
    $product_name1 = "99X210MM DL SINGLE SUPPLY TTACHMENT"; // working with this
    $auth   = "------------------------"; //can't share 
    $url    ="https://crm.zoho.com/crm/private/json/Products/searchRecords";
    $query  ="authtoken=".$auth."&amp;amp;scope=crmapi&amp;amp;criteria=(Product Name:".$product_name.")"; 
    $ch = curl_init();
    curl_setopt($ch, CURLOPT_URL, $url);
    curl_setopt($ch, CURLOPT_FOLLOWLOCATION, 1);
    curl_setopt($ch, CURLOPT_RETURNTRANSFER, 1);
    curl_setopt($ch, CURLOPT_TIMEOUT, 30);
    curl_setopt($ch, CURLOPT_POST, 1);
    curl_setopt($ch, CURLOPT_POSTFIELDS, $query);
    $response = curl_exec($ch);
    curl_close($ch);
    $rslt = json_decode($response); 
    echo "&amp;lt;pre&amp;gt;"; print_r($rslt);
?&amp;gt;
&lt;/code&gt;&lt;/pre&gt;
&lt;p&gt;Result :&lt;/p&gt;
&lt;pre&gt;&lt;code&gt;stdClass Object
(
    [response] =&amp;gt; stdClass Object
        (
            [uri] =&amp;gt; /crm/private/json/Products/searchRecords
            [error] =&amp;gt; stdClass Object
                (
                    [code] =&amp;gt; 4832
                    [message] =&amp;gt; API call cannot be completed as the Criteria parameter value is invalid
                )
        )
)
&lt;/code&gt;&lt;/pre&gt;
</t>
  </si>
  <si>
    <t xml:space="preserve">&lt;p&gt;Consider using urlencode to encode your special characters.&lt;/p&gt;
&lt;p&gt;&lt;code&gt;urlencode($product_name)&lt;/code&gt;&lt;/p&gt;
</t>
  </si>
  <si>
    <t xml:space="preserve">&lt;p&gt;I have a server code to connect to a page that staff use for entering new customers details. The page also inherited from Google Drive Tables with same fields as a page and sheet. Unfortunately, I don't know how to connect my server code to my page so when new data entered and submit button pushed the NewCustomer() function gets called and insert that data into a new row at the end of my spreadsheet. 
I just start using appmaker last week and I am sorry if my question is very babyish.
Any help really appreciated.&lt;/p&gt;
&lt;p&gt;server code:&lt;/p&gt;
&lt;pre&gt;&lt;code&gt;function NewCustomer() {
    var spreadSheet = SpreadsheetApp.openById("***").getActiveSheet()[0],
        dataToBackUp = [],
        globalKeys = {
          model: ["Channel", "Owner", "INQDate","CustomerName", "CNT", "Contact", "Email",
                  "Amount", "Status", "TargetDate", "Type", "Transaction", "NoteUpdate"],
          label: ["Channel", "Owner", "INQ Date","Customer Name", "CNT", "Contact", "Email",
                  "Amount", "Status", "Target Date", "Type", "Transaction", "Note Update"],
        };
    var records = app.models.requests.newQuery().run();
    if(records.length &amp;gt;= 1) {
      for (var i = 0; i &amp;lt; records.length; i++) {
        var newLine = [];
        for (var x = 0; x &amp;lt; globalKeys.model.length; x++) {
          newLine.push(records[i][globalKeys.model[x]]);
        }
        dataToBackUp.push(newLine);
        if(i === records.length - 1) {
          if(dataToBackUp.length &amp;gt;= 1) {  
               spreadSheet.appendRow(dataToBackUp);
          }
        }
      }
    }
  }
&lt;/code&gt;&lt;/pre&gt;
</t>
  </si>
  <si>
    <t xml:space="preserve">&lt;p&gt;So, if your only problem is communication between client and server, then you can do it using this snippet:&lt;/p&gt;
&lt;pre class="lang-js prettyprint-override"&gt;&lt;code&gt;// onClick button event handler
google.script.run
   .withFailureHandler(function(error) {
      // TODO: An error occurred, so display an error message.
    })
  .withSuccessHandler(function(result) {
     // TODO: Handle success
   })
 .myPublicServerSideFunction(param1, param2);
&lt;/code&gt;&lt;/pre&gt;
&lt;p&gt;You can read more about client-sever communication by following the links bellow:&lt;/p&gt;
&lt;p&gt;&lt;a href="https://developers.google.com/apps-script/guides/html/reference/run" rel="nofollow noreferrer"&gt;https://developers.google.com/apps-script/guides/html/reference/run&lt;/a&gt;
&lt;a href="https://developers.google.com/appmaker/scripting/client#call_a_server_script" rel="nofollow noreferrer"&gt;https://developers.google.com/appmaker/scripting/client#call_a_server_script&lt;/a&gt;&lt;/p&gt;
&lt;p&gt;If you want to make your data backup, then you can just go to &lt;code&gt;Settings -&amp;gt; Deployments&lt;/code&gt;, select your deployment and &lt;code&gt;Export Data&lt;/code&gt;. If you want to automate the process then just switch to Cloud SQL and it will take care about backups for you.&lt;/p&gt;
</t>
  </si>
  <si>
    <t xml:space="preserve">&lt;p&gt;I have an application that I developed in AppMaker. I call the link of this app from a native android app . I am trying to make a button in the appmaker environment, in order to be able to close the browser when that button is clicked. &lt;/p&gt;
&lt;p&gt;Thank you for your help!&lt;/p&gt;
</t>
  </si>
  <si>
    <t xml:space="preserve">&lt;p&gt;I am Building an AppMaker App. I have a &lt;code&gt;ChainStores&lt;/code&gt; &lt;strong&gt;Data model&lt;/strong&gt; which&lt;br&gt;
has a &lt;strong&gt;One to Many&lt;/strong&gt; relation with a &lt;code&gt;Locations&lt;/code&gt; &lt;strong&gt;Data Model&lt;/strong&gt;  &lt;/p&gt;
&lt;p&gt;I have one page with a list of &lt;code&gt;ChainStores&lt;/code&gt; and another page with a list of &lt;code&gt;Locations&lt;/code&gt; which should be based on the &lt;code&gt;ChainStore&lt;/code&gt; selected.  &lt;/p&gt;
&lt;p&gt;I would like to have my second page &lt;code&gt;Location&lt;/code&gt; to show the data based on what&lt;br&gt;
is clicked on the first page &lt;code&gt;ChainStores&lt;/code&gt;. &lt;/p&gt;
&lt;p&gt;Thanks!!&lt;/p&gt;
</t>
  </si>
  <si>
    <t xml:space="preserve">&lt;p&gt;I want to upload file to zoho using uploadFile method, but unfortunately i got this :  &lt;/p&gt;
&lt;p&gt;"Unable to process your request. Please verify whether you have entered proper method name,parameter and parameter values."&lt;/p&gt;
&lt;pre&gt;&lt;code&gt;$fields = array();
$fields['content'] = '@' . $content;
&lt;/code&gt;&lt;/pre&gt;
</t>
  </si>
  <si>
    <t xml:space="preserve">&lt;p&gt;I'm building an app for TravelInfo. Here are the fields: From, To, City, Country.&lt;/p&gt;
&lt;p&gt;I am using common data source entity. And for the country lookup, I want to use a sharepoint list, that has all the country names.&lt;/p&gt;
&lt;p&gt;I'm stuck at this stage. As you see in the snap, I want to connect the country dropdown to a sharepoint list. &lt;/p&gt;
&lt;p&gt;[I've tried to achieve the same with picklist. But Its not good to manually create the huge list of countries in picklist. Sharepoint list should be ideal.]&lt;/p&gt;
&lt;p&gt;&lt;a href="https://i.stack.imgur.com/ElUWJ.png" rel="nofollow noreferrer"&gt;&lt;img src="https://i.stack.imgur.com/ElUWJ.png" alt="enter image description here"&gt;&lt;/a&gt;&lt;/p&gt;
&lt;p&gt;Here is the question: In one form, how can I use different datasource for different fields??? Please help. &lt;/p&gt;
</t>
  </si>
  <si>
    <t xml:space="preserve">&lt;p&gt;A form will save the data card value defined in &lt;code&gt;Update&lt;/code&gt; into the field defined by &lt;code&gt;DataField&lt;/code&gt;.  You are trying to change data displayed on the dropdown which is not set in the Fields list you have above.  Try the following (the first few steps may already be completed based on picture):&lt;/p&gt;
&lt;ol&gt;
&lt;li&gt;Check &lt;code&gt;Country&lt;/code&gt; to insert data card into form&lt;/li&gt;
&lt;li&gt;Select data card and under Advanced properties click &lt;code&gt;Unlock to change properties&lt;/code&gt;&lt;/li&gt;
&lt;li&gt;Delete text box from data card that was added by default&lt;/li&gt;
&lt;li&gt;Select data card and insert desired control (drop down box)&lt;/li&gt;
&lt;li&gt;Select drop down box (not data card) and under Advanced properties define &lt;code&gt;Items&lt;/code&gt; and &lt;code&gt;Value&lt;/code&gt; to populate values from the sharepoint list&lt;/li&gt;
&lt;li&gt;Select data card and change &lt;code&gt;Update&lt;/code&gt; to desired dropdown value that should be saved e.g. &lt;code&gt;dropDown1.Selected.country_id&lt;/code&gt;&lt;/li&gt;
&lt;/ol&gt;
&lt;p&gt;The drop down box can display the Country text on the form, but then save an associated value such as the country id.&lt;/p&gt;
</t>
  </si>
  <si>
    <t xml:space="preserve">&lt;p&gt;I created a page fragment with a Menu button.  This page fragment is included on pages to add or view a document.&lt;/p&gt;
&lt;p&gt;When the Menu button is clicked on, nothing happens.   &lt;/p&gt;
&lt;p&gt;In the page fragment, the Menu button has the below code:
    event.stopPropagation();
    toggleMenu();&lt;/p&gt;
&lt;p&gt;The toggleMenu() function is defined in a client script library:&lt;/p&gt;
&lt;pre&gt;&lt;code&gt;/**
 * Changes the appearance of the Menu widget on the page.
 */
function toggleMenu() {
  var menu = app.currentPage.descendants.Menu1;
  if (menu.styles.indexOf('hidden') &amp;lt; 0) {
    menu.styles = ['hidden'];
  } else {
    menu.styles = [];   
  }
}
/**
 * Forces closing of the Menu widget on the page.
 */
function closeMenu() {
  var menu = app.currentPage.descendants.Menu1;
  menu.styles = ['hidden'];
}
&lt;/code&gt;&lt;/pre&gt;
</t>
  </si>
  <si>
    <t xml:space="preserve">&lt;p&gt;I have used the Drive Picker in my app. I want the user to pick a folder (just as the sample "Drive Picker"). Then I would like to take the ID of this folder and put it in a spreadsheet on the Drive.
Do you have any idea to implement that or a function which can make this?&lt;/p&gt;
</t>
  </si>
  <si>
    <t xml:space="preserve">&lt;p&gt;I want to Insert Data to zoho using insertRecords method, but unfortunately i got this error.&lt;/p&gt;
&lt;p&gt;Here is my code:&lt;/p&gt;
&lt;pre&gt;&lt;code&gt;$insertArrayCon = array();
$zohoData = array();
$module = 'Contacts';
$insertArrayCon['First Name'] = trim($_REQUEST['con_first_name_v']);
$insertArrayCon['Last Name'] = trim($_REQUEST['con_last_name_v']);
$insertArrayCon['Email'] = trim($_REQUEST['con_email_v']);
$insertArrayCon['Mobile'] = trim($_REQUEST['con_mobile_v']);
$zohoData[0] = $insertArrayCon;
$insertZoho = $this-&amp;gt;Nzoho-&amp;gt;insertRecords($zohoData, $module);
&lt;/code&gt;&lt;/pre&gt;
&lt;p&gt;Any suggestion is appreciated.&lt;/p&gt;
</t>
  </si>
  <si>
    <t xml:space="preserve">&lt;p&gt;Is there any PHP library or code for ZAPIER that connect ZOHO to with my website (core php)?
I want to use PHP script to connect ZOHO with my website (having form) using ZAPIER.
Will any one please guide me or provide some reference link on how to achieve this.?&lt;/p&gt;
</t>
  </si>
  <si>
    <t xml:space="preserve">&lt;p&gt;I'm new to PowerApps and I'm currently working on a basic app that lets employees edit their own record from a SharePoint list which is only populated by a few managers.
PowerApps has already generated a basic CRUD application providing me with a BrowseScreen, DetailScreen and an EditScreen.&lt;/p&gt;
&lt;p&gt;The issue I'm having is that I needed the gallery to show only the current user's records. I tried using&lt;/p&gt;
&lt;pre&gt;&lt;code&gt;SortByColumns(Filter('Employee List', StartsWith(ComplianceAssetId, User().FullName)), "ComplianceAssetId", If(SortDescending1, Descending, Ascending))
&lt;/code&gt;&lt;/pre&gt;
&lt;p&gt;But it doesn't seem to work due to "delegation issues" which I am not familiar with. I found a possible solution &lt;a href="https://olafd.wordpress.com/2016/10/09/filter-data-by-the-current-user-in-powerapps/" rel="nofollow noreferrer"&gt;here&lt;/a&gt; but from how I understand it, it's checking for Author.Name which is not my case as the list is only populated by managers. I have a field in the list called 'Full Name'.&lt;/p&gt;
&lt;p&gt;Any form of assistance is appreciated!&lt;/p&gt;
</t>
  </si>
  <si>
    <t xml:space="preserve">&lt;p&gt;I suspect that the delegation issue is because of the use of the User() function in the filter argument.  I suggest you replace with a variable as suggested here:
&lt;a href="http://baizini-it.com/blog/index.php/2017/08/29/powerapps-user-function-cache-current-user-onstart/" rel="nofollow noreferrer"&gt;Cache current user&lt;/a&gt;
This will also improve app performance.
Then your filter expression should be this:&lt;/p&gt;
&lt;pre&gt;&lt;code&gt;SortByColumns(Filter('Employee List', StartsWith(ComplianceAssetId, CurrentUser.FullName)), "ComplianceAssetId", If(SortDescending1, Descending, Ascending))
&lt;/code&gt;&lt;/pre&gt;
</t>
  </si>
  <si>
    <t xml:space="preserve">&lt;p&gt;I have struggling to present available data for selected customer from spreadsheet into app maker form incase staff want to change it or update empty fields.
Client side code:&lt;/p&gt;
&lt;pre&gt;&lt;code&gt;    function getDetails() {
  var props = app.currentPage.properties;
  var page = app.pages.Search;
  var Channel = app.datasources.Update.items;
  var Customer = page.descendants.Sheets.value;
  props.Loading = true;
  props.Error = null;
  google.script.run
    .withFailureHandler(function(error) {
      props.Loading = false;
      props.Error = JSON.stringify(error);
      console.error(error);
    })
    .withSuccessHandler(function(Channel) {
     props.Loading = false;
     page.Channel = Channel; 
    var items = [];
   items =  getChannels(props.SelectedSheet);
    Channel.items.load();  // this line dosen't work and it doesn't load the data into form
      if (Channel &amp;amp;&amp;amp; Channel.length &amp;gt; 0) {
        page.SelectedSheet = Channel[0];
      } })
    .getDetails(props.SelectedSheet);
}
&lt;/code&gt;&lt;/pre&gt;
&lt;p&gt;Server side code:&lt;/p&gt;
&lt;pre&gt;&lt;code&gt;function getDetails()(customer){
   var spreadSheet = SpreadsheetApp.openById("***").getSheetByName('TRACKER');
   var data=spreadSheet.getDataRange().getValues();
   var channels = [];
   var Name = customer;
   var string1 = Name;
   var array1 = string1.split(";"); // in here I extract row number belong to customer to get data
   var  destrow = [];  
   destrow.push(data[array1[0]][0],data[array1[0]][1],data[array1[0]][2],data[array1[0]][3],data[array1[0]][4],data[array1[0]][5]);
  channels.push(destrow);
//  return channels; 
  return channels.map(function(Channel){ 
  return Channel;}); // return array of field data to presented in app maker form
  }
&lt;/code&gt;&lt;/pre&gt;
&lt;p&gt;Thank you for any answer or suggestion.&lt;/p&gt;
&lt;p&gt;Cheers&lt;/p&gt;
</t>
  </si>
  <si>
    <t xml:space="preserve">&lt;p&gt;I'm creating an app on Outsystems, which uses the Yammer API. The issue is the Yammer authentication is causing some problems. In the "OnReady" property  of the page, I've added the following code:&lt;/p&gt;
&lt;pre&gt;&lt;code&gt;yam.getLoginStatus(
function(response) {
if (response.authResponse) {
  console.log("logged in");
  $parameters.Token = response.access_token.token;
  console.dir(response); //print user information to the console
}
else {
  yam.platform.login(function (response) { //prompt user to login and authorize your app, as necessary
    if (response.authResponse) {
      console.dir(response); //print user information to the console
      console.dir(response.access_token.token);
      $parameters.Token = response.access_token.token;
      console.dir($parameters.Token);
    }
  });
}
}
);
&lt;/code&gt;&lt;/pre&gt;
&lt;p&gt;It successfully returns a token, which I am able to verify using console.log(). Additionally, I've added a Login button which has the same code in its OnClick property.&lt;/p&gt;
&lt;p&gt;The issue is, when I try to perform the Get Messages API call (Endpoint: &lt;a href="https://www.yammer.com/api/v1/messages.json" rel="nofollow noreferrer"&gt;https://www.yammer.com/api/v1/messages.json&lt;/a&gt;) from OnReady, it gives me the 401 Unauthorized access error. But, when I additionally use the OnReady, and also click the Login button, the API call is successful. I don't understand why, because the token received by both calls are the exact same, but it works after the user logs in twice? Any way to rectify this?&lt;/p&gt;
&lt;p&gt;P.S. I've tried using the other endpoint (&lt;a href="https://api.yammer.com/api/v1/messages.json" rel="nofollow noreferrer"&gt;https://api.yammer.com/api/v1/messages.json&lt;/a&gt;). I'm getting the same problem.&lt;/p&gt;
</t>
  </si>
  <si>
    <t xml:space="preserve">&lt;p&gt;I've just started exploring Google App Maker and have understood the basics. I wanted to know if there's a way by which I can push/pull data from my on premise Oracle database on to a App Maker application (model)? &lt;/p&gt;
&lt;p&gt;As an example, if I submit a form on App Maker, I want the data to be pushed to my on premise Oracle database. Likewise, I want the Spreadsheet data to be refreshed back from my on premise Oracle database. To what I understood from my readings so far, the App Maker data can come from a Google Spreadsheet. Is there a way I can push and pull data to and from this Spreadsheet eventually to my on premise Oracle database?&lt;/p&gt;
&lt;p&gt;Any help in this direction is much appreciated. &lt;/p&gt;
&lt;p&gt;Thanks very much.&lt;/p&gt;
</t>
  </si>
  <si>
    <t xml:space="preserve">&lt;p&gt;We have the requirement like to do sales force authentication from ASP.Net MVC application login page directly using OAuth (authentication) protocol.&lt;/p&gt;
&lt;p&gt;Can anyone help me how to do this one?&lt;/p&gt;
&lt;p&gt;thanks in advance&lt;/p&gt;
</t>
  </si>
  <si>
    <t xml:space="preserve">&lt;p&gt;I am trying to build an internal App through Google App Maker to track Sales Agents stats. The idea is to pull the data from a Google Sheet where I will have everything to be viewed.&lt;/p&gt;
&lt;p&gt;The Fields necessary will be:&lt;/p&gt;
&lt;ul&gt;
&lt;li&gt;Domain&lt;/li&gt;
&lt;li&gt;Agent&lt;/li&gt;
&lt;li&gt;Users&lt;/li&gt;
&lt;li&gt;Status&lt;/li&gt;
&lt;/ul&gt;
&lt;p&gt;Each agent will have their own PAGE with their name and DATA which imports from the sheet containing only their information. I tried creating one "John" and moved all his data in "Sheet2" from the Database "Sheet1". &lt;/p&gt;
&lt;p&gt;&lt;strong&gt;Pictures of the sheet where it's pulling the data&lt;/strong&gt;
&lt;img src="https://i.stack.imgur.com/YAKm0.jpg" alt="Pictures of the sheet where it&amp;#39;s pulling the data"&gt;&lt;/p&gt;
&lt;p&gt;&lt;strong&gt;A screen of the Google App Maker setup and error in the console&lt;/strong&gt;
&lt;img src="https://i.stack.imgur.com/mfHpU.jpg" alt="A screen of the AppMaker setup and error in the console"&gt;&lt;/p&gt;
&lt;p&gt;Running the App gives the following error when running it:&lt;/p&gt;
&lt;pre&gt;&lt;code&gt;Invalid binding path: @datasource.item.Status in Sheet2.Table1Panel.Table1.Table1Body.Table1Row$13.Field
&lt;/code&gt;&lt;/pre&gt;
</t>
  </si>
  <si>
    <t xml:space="preserve">&lt;p&gt;I would like to create a Dialog PageFragment that functions exactly as the default Insert Form widget does, except with my own collection of dropdowns and text boxes. It should fill out a ‘draft’ record of the user-inputted data as the user enters it, as explained in the &lt;a href="https://developers.google.com/appmaker/tutorials/work-with-data/#explore_how_the_insert_form_works" rel="nofollow noreferrer"&gt;documentation here&lt;/a&gt;, then when the user clicks Create/Insert/Submit, the draft is inserted as a new record into a data model, which is displayed as a Table widget. The draft record is then emptied. &lt;/p&gt;
&lt;p&gt;I'm sure that I can implement this by calling a server script that create a new item/record in the datasource, but I'm not sure of how exactly to begin implementing that.&lt;/p&gt;
</t>
  </si>
  <si>
    <t xml:space="preserve">&lt;p&gt;I am trying to integrate a large number of data sources available through a custom ADO.NET provider on a Windows server into PowerApps. To make the data available, I am using v14 of the On-premise Data Gateway (non-personal mode).&lt;/p&gt;
&lt;p&gt;The gateway registers nicely, but for instance in Power BI web I can define a data source based upon a file or website.&lt;/p&gt;
&lt;p&gt;But somehow even these file or website connections are not available for display or use in PowerApps. &lt;/p&gt;
&lt;p&gt;Documentation is confusing; there seems to be no up-to-date variant yet and some screenshots illustrate it works, some seem to indicate the opposite.&lt;/p&gt;
&lt;p&gt;Ultimately I would like to use a local ADO.NET provider with PowerApps to allow access to platforms such as nmbrs, Teamleader or Exact Online.&lt;/p&gt;
&lt;p&gt;Is there a recommendation how to get an on-premise file, web-based data or an ADO.NET provider available in PowerApps?&lt;/p&gt;
</t>
  </si>
  <si>
    <t xml:space="preserve">&lt;p&gt;Thanks from a willing person within Microsoft, I've learned that as of today the Data Gateway for Power BI and PowerApps does not yet support local ADO.NET providers.&lt;/p&gt;
</t>
  </si>
  <si>
    <t xml:space="preserve">&lt;p&gt;How to load and unload app maker calculated model data source, normal query filters are not working for calculated data source. We have requirement to load data source with filters after the initial data load.&lt;/p&gt;
</t>
  </si>
  <si>
    <t xml:space="preserve">&lt;p&gt;I have a google-appmaker project where I add the list of possible viewers down the workflow chain to a file. Once the user attaches a file and starts the workflow, I take the attached file and the viewers down the chain to it so that they can view it.&lt;/p&gt;
&lt;p&gt;However when I use it, it also sends another email to the user, and the viewers that the file is shared. Ideally I'd like to add them without triggering the email since there is also another email that goes when the workflow starts. Is there a way to add viewers without notifying them &lt;a href="https://developers.google.com/apps-script/reference/drive/file#addViewers(String)" rel="nofollow noreferrer"&gt;file.addViewers doc&lt;/a&gt;. &lt;/p&gt;
&lt;p&gt;Thanks&lt;/p&gt;
</t>
  </si>
  <si>
    <t xml:space="preserve">&lt;p&gt;This can be done using the advanced Drive API.&lt;/p&gt;
&lt;p&gt;Documentation is &lt;a href="https://developers.google.com/drive/v2/reference/permissions/insert" rel="nofollow noreferrer"&gt;here&lt;/a&gt;&lt;/p&gt;
&lt;p&gt;and code goes like this :&lt;/p&gt;
&lt;pre&gt;&lt;code&gt;function testFileSharing() {
  shareFile("14fQ#################9SW2SIIutz5qk");  
}
function shareFile(ID){
  var permission = Drive.Permissions.insert({value:"test@gmail.com",role:"reader",type:"user"},ID,{sendNotificationEmails:false,emailMessage:"testing for you"});
  Logger.log(JSON.stringify(permission));
}
&lt;/code&gt;&lt;/pre&gt;
&lt;p&gt;The advanced Drive API must be enabled in the ressources menu and in the Google API Console.
&lt;a href="https://i.stack.imgur.com/dc6K0.png" rel="nofollow noreferrer"&gt;&lt;img src="https://i.stack.imgur.com/dc6K0.png" alt="enter image description here"&gt;&lt;/a&gt;&lt;/p&gt;
</t>
  </si>
  <si>
    <t xml:space="preserve">&lt;p&gt;As the title says, I'm trying to filter a SQL table by the values in a collection. I'm attempting to use the Filter() function and an &lt;code&gt;in&lt;/code&gt; formula to achieve this.&lt;/p&gt;
&lt;p&gt;&lt;code&gt;ClearCollect(NewCollection, Filter('SqlTable', ID in ExistingCollection.ID))&lt;/code&gt;&lt;/p&gt;
&lt;p&gt;... where ID is a column belonging to 'SqlTable'.&lt;/p&gt;
&lt;p&gt;I'm getting the error "Right side of 'in' operator is not a column name". My Collection 'ExistingCollection' has data in it, and the SqlTable also has data.&lt;/p&gt;
&lt;p&gt;Possible issue may be the size of the Expenses table, it has 20k plus rows, but this filter should return a very small subset of that, ~200 rows. Am I running into the 5000 row limit here? Or is this kind of filtering not possible?&lt;/p&gt;
</t>
  </si>
  <si>
    <t xml:space="preserve">&lt;p&gt;I am new to &lt;code&gt;Powerapps&lt;/code&gt;. I have a number of &lt;code&gt;toggles&lt;/code&gt; in an &lt;code&gt;EditForm&lt;/code&gt; named EditForm1. When the toggles are checked they cause text input boxes to appear, these can then be used to enter new information. &lt;/p&gt;
&lt;p&gt;I then have a &lt;code&gt;SubmitForm&lt;/code&gt; button (&lt;code&gt;SubmitForm(EditForm1)&lt;/code&gt;), which saves the new information to an &lt;code&gt;Excel&lt;/code&gt; table via &lt;code&gt;Dropbox&lt;/code&gt;. Everything works fine except when I press the &lt;code&gt;SubmitForm&lt;/code&gt; button the toggles return to their default mode, which is off. How can I keep the toggles on after submitting? Thank you&lt;/p&gt;
</t>
  </si>
  <si>
    <t xml:space="preserve">&lt;p&gt;I was able to get the answer to this question from the &lt;code&gt;PowerApps&lt;/code&gt; forum (&lt;a href="https://powerusers.microsoft.com/t5/PowerApps-Forum/Submitform-resets-toggles/m-p/62742#M25890" rel="nofollow noreferrer"&gt;https://powerusers.microsoft.com/t5/PowerApps-Forum/Submitform-resets-toggles/m-p/62742#M25890&lt;/a&gt;). &lt;/p&gt;
&lt;p&gt;Basically, using &lt;code&gt;toggles&lt;/code&gt; inside a &lt;code&gt;form&lt;/code&gt; was the problem, since submitting forms causes the controls to reset. So the solution was to remove the form and include my toggles on a blank &lt;code&gt;canvas&lt;/code&gt;. Then, instead of using &lt;code&gt;Submitform()&lt;/code&gt;, I use the &lt;code&gt;Patch()&lt;/code&gt; function like so&lt;/p&gt;
&lt;p&gt;&lt;code&gt;Patch(
    DataSourceName,
    Record,
    {
        DatasourceColumnname1: datasourcecolumnname1.Text,
        DatasourceColumnname2: datasourcecolumnname2.Text,
        ...
    })&lt;/code&gt;&lt;/p&gt;
&lt;p&gt;Where &lt;code&gt;DatasourceColumnname1&lt;/code&gt; is the name of the column in the data source, and  &lt;code&gt;datasourcecolumnname1.Text&lt;/code&gt; is the information I would like added to the data source (in this case, text inside a &lt;code&gt;text input&lt;/code&gt; box).&lt;/p&gt;
</t>
  </si>
  <si>
    <t xml:space="preserve">&lt;p&gt;Does anyone know if it's possible to save data that a user inputs into a text field into a SQL Server table. We currently have data reading from SQL Server into our PowerApps app but we can't seem to figure out how we do the reverse. Someone mentioned using Flow but we're not sure. Thanks!&lt;/p&gt;
</t>
  </si>
  <si>
    <t xml:space="preserve">&lt;p&gt;This is most likely a bug, and appeared recently, but in the deployment section, the &lt;code&gt;Google Cloud SQL Address&lt;/code&gt; section says my database name is invalid. If I remove the dash, it says it's valid.&lt;/p&gt;
&lt;p&gt;Anyone facing this ?&lt;/p&gt;
&lt;p&gt;[edit] My database with a dash, in the database tab of GCP console.&lt;/p&gt;
&lt;p&gt;&lt;a href="https://i.stack.imgur.com/TXz8K.png" rel="nofollow noreferrer"&gt;&lt;img src="https://i.stack.imgur.com/TXz8K.png" alt="enter image description here"&gt;&lt;/a&gt;&lt;/p&gt;
</t>
  </si>
  <si>
    <t xml:space="preserve">&lt;p&gt;do you now how i can debug Controllers or tempalte in SFCC (demandware) without Eclipse?
I know about atom debugger, but maybe you now something else, something more comfortable. 
Thank you!&lt;/p&gt;
</t>
  </si>
  <si>
    <t xml:space="preserve">&lt;p&gt;I am trying to use the HTML5 file picker in my AppMaker app. (I cannot use Drive Picker since my app must run as the developer).&lt;/p&gt;
&lt;p&gt;I can make the file picker appear in an HTML widget with this code:&lt;/p&gt;
&lt;pre&gt;&lt;code&gt;&amp;lt;input type="file" id="files" name="files[]" multiple /&amp;gt;
&amp;lt;output id="list"&amp;gt;&amp;lt;/output&amp;gt;
&lt;/code&gt;&lt;/pre&gt;
&lt;p&gt;However, I am having trouble getting the input item so I can call addEventListener() on it.  This does not work:&lt;/p&gt;
&lt;pre&gt;&lt;code&gt;var widget = document.getElementById('files');
&lt;/code&gt;&lt;/pre&gt;
&lt;p&gt;I also tried to get the elements by name and class name, no luck.&lt;/p&gt;
&lt;p&gt;Has anybody done this?&lt;/p&gt;
&lt;p&gt;Thanks for any tips or pointers.&lt;/p&gt;
&lt;p&gt;Scott&lt;/p&gt;
</t>
  </si>
  <si>
    <t xml:space="preserve">&lt;p&gt;&lt;code&gt;id&lt;/code&gt; attribute is being stripped by HTML sanitizer. You need to check &lt;code&gt;allowUnsafeHtml&lt;/code&gt; checkbox to turn it off:&lt;/p&gt;
&lt;p&gt;&lt;a href="https://i.stack.imgur.com/3utXR.png" rel="nofollow noreferrer"&gt;&lt;img src="https://i.stack.imgur.com/3utXR.png" alt="html widget properties"&gt;&lt;/a&gt;&lt;/p&gt;
&lt;p&gt;&lt;strong&gt;PS&lt;/strong&gt;&lt;/p&gt;
&lt;p&gt;Did you consider using &lt;a href="https://developers.google.com/picker/docs/" rel="nofollow noreferrer"&gt;native Drive Picker&lt;/a&gt;? It sounds easier than implementing file uploading/managing functionality from scratch.&lt;/p&gt;
</t>
  </si>
  <si>
    <t xml:space="preserve">&lt;p&gt;I need to integrate &lt;strong&gt;Mulesoft&lt;/strong&gt; with &lt;strong&gt;OutSystems&lt;/strong&gt;. Can anyone help me in knowing the basics? &lt;/p&gt;
&lt;p&gt;Thanks.&lt;/p&gt;
</t>
  </si>
  <si>
    <t xml:space="preserve">&lt;p&gt;I am creating  Power Apps from that user can fill the record and record should get saved in dynamics 365.&lt;/p&gt;
&lt;p&gt;&lt;strong&gt;Problem:&lt;/strong&gt; Whenever I submit the form I get a error stating "Field is Required" or "An entry is required or has an invalid value" and form gets reloaded, whereas I have filled data in all the fields. &lt;/p&gt;
&lt;p&gt;&lt;strong&gt;Screenshots:&lt;/strong&gt;
&lt;img src="https://i.stack.imgur.com/TczAG.png" alt="Error 1 "&gt;&lt;/p&gt;
&lt;p&gt;&lt;img src="https://i.stack.imgur.com/9DmRn.png" alt="Error 2"&gt;&lt;/p&gt;
&lt;p&gt;Thanks in Advance.&lt;/p&gt;
</t>
  </si>
  <si>
    <t xml:space="preserve">&lt;p&gt;In Salesforce's Service Cloud one can enable the out of the box search function where the user enters a term and the system searches all parts of the database for a match. I would like to enable smart searching of acronyms so that if I spell an organizations name the search functionality will also search for associated acronyms in the database. For example, if I search type in American Automobile Association, I would also get results that contain both "American Automobile Association" and "AAA".&lt;/p&gt;
&lt;p&gt;I imagine such a script would involve declaring that if the term being searched contains one or more spaces or periods, take the first letter of the first word and concatenate it with the letters that follow subsequent spaces or periods. &lt;/p&gt;
&lt;p&gt;I have unsuccessfully tried to find scripts for this or articles on enabling this functionality in Salesforce. Any guidance would be appreciated. &lt;/p&gt;
</t>
  </si>
  <si>
    <t xml:space="preserve">&lt;p&gt;Interesting question! I don't think there's a straightforward answer but as it's standard search functionality, not 100% programming related - you might want to cross-post it to salesforce.stackexchange.com&lt;/p&gt;
&lt;p&gt;Let's start with searchable fields list: &lt;a href="https://help.salesforce.com/articleView?id=search_fields_business_accounts.htm&amp;amp;type=0" rel="nofollow noreferrer"&gt;https://help.salesforce.com/articleView?id=search_fields_business_accounts.htm&amp;amp;type=0&lt;/a&gt;&lt;/p&gt;
&lt;ol&gt;
&lt;li&gt;&lt;p&gt;In Setup there's standard functionality for Synonyms, quite easy to use. It's not a silver bullet though, applies only to certain objects like Knowledge Base (if you use it). Still - it claims to work on Cases too so if there's "AAA" in Case description it should still be good enough?&lt;/p&gt;&lt;/li&gt;
&lt;li&gt;&lt;p&gt;You could also check out the trick with marking a text field as indexed and/or external ID and adding there all your variations / acronyms: &lt;a href="https://success.salesforce.com/ideaView?id=08730000000H6m2" rel="nofollow noreferrer"&gt;https://success.salesforce.com/ideaView?id=08730000000H6m2&lt;/a&gt; This is more work, to prepare / sanitize your data upfront but it's not a bad idea.&lt;/p&gt;&lt;/li&gt;
&lt;li&gt;&lt;p&gt;Similar idea would be to use Tags although that could explode in size very quickly. It's ridiculous to create a tag for every single company.&lt;/p&gt;&lt;/li&gt;
&lt;li&gt;&lt;p&gt;You can do some really smart things in data deduplication rules. Too much to write it all here, check out the trailhead: &lt;a href="https://trailhead.salesforce.com/en/modules/sales_admin_duplicate_management/units/sales_admin_duplicate_management_unit_2" rel="nofollow noreferrer"&gt;https://trailhead.salesforce.com/en/modules/sales_admin_duplicate_management/units/sales_admin_duplicate_management_unit_2&lt;/a&gt; No idea if it impacts search though.&lt;/p&gt;&lt;/li&gt;
&lt;li&gt;&lt;p&gt;If you suffer from bad address data there are State &amp;amp; Country picklists, no more mess with CA / California / SoCal... &lt;a href="https://resources.docs.salesforce.com/204/latest/en-us/sfdc/pdf/state_country_picklists_impl_guide.pdf" rel="nofollow noreferrer"&gt;https://resources.docs.salesforce.com/204/latest/en-us/sfdc/pdf/state_country_picklists_impl_guide.pdf&lt;/a&gt; Might not help with Name problem...&lt;/p&gt;&lt;/li&gt;
&lt;li&gt;&lt;p&gt;Data.com cleanup might help. Paid service I think, no idea if it affects search too. But if enabling it can bring these common abbreviations into your org - might be better than reinventing the wheel.&lt;/p&gt;&lt;/li&gt;
&lt;/ol&gt;
</t>
  </si>
  <si>
    <t xml:space="preserve">&lt;p&gt;I am trying to set the z-index of a specific select2 component on my screen as it needs to be higher than the Top_Menu, and then the rest of the select2's z-index I want to be 0. 
so I have written this&lt;/p&gt;
&lt;pre&gt;&lt;code&gt;.Top_Menu.OSInline &amp;gt; .select2-container { 
    z-index: 50 !important;
}
.select2-container { 
    z-index: 0;
}
&lt;/code&gt;&lt;/pre&gt;
&lt;p&gt;and when I look at chromes inspect element, the z-index has been applied as expected, but when using the widget it still has a z-index of 0 as it still goes under the .Top_Menu (Top_Menu's z-index is currently set to 2)&lt;/p&gt;
</t>
  </si>
  <si>
    <t xml:space="preserve">&lt;p&gt;I want to communicate from backend with the calendar using caldav of zoho mail using nodejs. Could anyone suggest me how to implement it? 
I am using plugin node-caldav-mod&lt;/p&gt;
&lt;p&gt;I tried this piece of code which doesn't seem to be working.&lt;/p&gt;
&lt;pre&gt;&lt;code&gt;var caldav = require("node-caldav-mod");
var moment = require('moment-timezone');
var express = require('express');
var app = express();
var xmljs = require("libxmljs");
var https = require("https");
var CalendarId = "2123123123";
var url = "https://calendar.zoho.com/caldav/{CalendarId}/events";
var username = "username"
var password = "password"
var timeFormat = "YYYYMMDDTHHmms";
var getTodayEvent = function (callback){
    var startDate = moment().set({'hour': 0,'minute': 0,'second': 0}).format(timeFormat) + "Z";
    var endDate = moment().set({'hour': 23,'minute': 59,'second': 59}).format(timeFormat) + "Z";
    var output = {};
    output.startDate = startDate;
    output.endDate = endDate;
    caldav.getEvents(url, username, password, startDate, endDate, function(response){
        console.log(response);
     callback(response);
    });
}
var findPropertyNameByRegex = function(o, r) {
    var key;
    for (key in o) {
      if (key.match(r)) {
        return key;
      }
    }
    return undefined;
  };
  function compare(a,b) {
    var startDate_a = findPropertyNameByRegex(a, "DTSTART");
    var startDate_b = findPropertyNameByRegex(b, "DTSTART");
    if (a[startDate_a] &amp;lt; b[startDate_b])
      return -1;
    else if (a[startDate_a] &amp;gt; b[startDate_b])
      return 1;
    else
      return 0;
  }
    app.get('/today',function(req, res){
        getTodayEvent(function(events){
            events.sort(compare);
            res.send("Communication set up properly!")
        })
    });
&lt;/code&gt;&lt;/pre&gt;
&lt;p&gt;This is the error which I am getting&lt;/p&gt;
&lt;pre&gt;&lt;code&gt;  Parsing.....
undefined
Error parsing response
TypeError: Cannot read property 'D:multistatus' of undefined
&lt;/code&gt;&lt;/pre&gt;
&lt;p&gt;Could somebody tell me what's wrong with this code?&lt;/p&gt;
</t>
  </si>
  <si>
    <t xml:space="preserve">&lt;p&gt;I am trying to import to an AppMaker app and all I can get is the following error:&lt;/p&gt;
&lt;pre&gt;&lt;code&gt;JDBC backend failure. More information: 
Error while executing SQL statement: 
Incorrect string value: '\xC2\xA0' for column 
'business_name' at row 1. 0 records imported
&lt;/code&gt;&lt;/pre&gt;
&lt;p&gt;I know this has something to do with UTF-8 or character sets, but I have no clue how to solve it!
The spreadsheet is dead simple address info columns.&lt;/p&gt;
</t>
  </si>
  <si>
    <t xml:space="preserve">&lt;p&gt;I had to recreate the Cloud SQL database and specifically choose type as:&lt;/p&gt;
&lt;blockquote&gt;
  &lt;p&gt;utf8mb4&lt;/p&gt;
&lt;/blockquote&gt;
&lt;p&gt;Cloud SQL defaults to utf8.  I could then import the data. &lt;/p&gt;
</t>
  </si>
  <si>
    <t xml:space="preserve">&lt;p&gt;I've used (and customised) an app from the Document Approval Template. I have also found the basic way to export the entered records to google sheets. &lt;/p&gt;
&lt;p&gt;They come out as separate sheets, showing all the documents / approvers etc as a list on separate sheets, but what I really need is something that shows the relations i.e. who it was that auth each submitted record (especially with some making use of the two step auth feature of the template)&lt;/p&gt;
&lt;p&gt;Any ideas?&lt;/p&gt;
</t>
  </si>
  <si>
    <t xml:space="preserve">&lt;p&gt;We are trying to implement Twitter new DM API from Salesforce. We are sending our the JSON request in the body as mentioned in documentation but the legacy method for Oauth authorization is not working. Any help is greatly appreciated.&lt;/p&gt;
&lt;p&gt;To add, I am sending a DM from salesforce to twitter, So 
1) I am setting the request body in JSON.
2) I am doing a POST.
3) I am hitting the endpoint at '&lt;a href="https://api.twitter.com/1.1/direct_messages/events/new.json" rel="nofollow noreferrer"&gt;https://api.twitter.com/1.1/direct_messages/events/new.json&lt;/a&gt;'
4) Oauth2, getting the access token(successfully)
5) Setting header as ('Content-Type', 'application/json').
6) Creating Authorization header as twitter mentions using consumer key, Nonce, Signature, Signature method, Timestamp, Version. Building the same as in "Guide" section of developer.twitter.com/en/docs/basics/authentication/guides/
7) On running the error code "{"errors":[{"code":32,"message":"Could not authenticate you."}]}".&lt;/p&gt;
&lt;p&gt;Another important information that I had been using twitter old API to send DM that works perfect, only difference is it sends the request body in URL parameters instead of JSOn body but the authorization method remains same. As some new Functionality can only be achieved via Twitter New API and according to documentation the body needs to be sent via JSON format. Therefore the request part is changed but authorization is same.&lt;/p&gt;
&lt;p&gt;Sample code:-&lt;/p&gt;
&lt;pre&gt;&lt;code&gt;String accTok = 'redacted';
String conKey = 'redacted';
String conSec = 'redacted';
String accTokSec = 'redacted';
String theTweet = 'Hello world!';
String screenName ='some_test_username';
String jsonString = TwitterJsonReqGenerator.generateJSON(theTweet, screenName);
system.debug('JSON string ='+jsonString);
httpRequest newReq = new httpRequest();
newReq.setBody(jsonString);
newReq.setMethod('POST');
newReq.setEndpoint('https://api.twitter.com/1.1/direct_messages/events/new.json');
//Generate Nonce
string oAuth_nonce = EncodingUtil.base64Encode(blob.valueOf(string.valueOf(Crypto.getRandomInteger()+system.now().getTime())+string.valueOf(Crypto.getRandomInteger()))).replaceAll('[^a-z^A-Z^0-9]','');
map&amp;lt;String, String&amp;gt; heads = new map&amp;lt;String, String&amp;gt;{
    'oauth_token'=&amp;gt;accTok,
    'oauth_version'=&amp;gt;'1.0',
    'oauth_nonce'=&amp;gt;oAuth_nonce,
    'oauth_consumer_key'=&amp;gt;conKey,
    'oauth_signature_method'=&amp;gt;'HMAC-SHA1',
    'oauth_timestamp'=&amp;gt;string.valueOf(system.now().getTime()/1000)
};
//Alphabetize 
string[] paramHeads = new string[]{};
paramHeads.addAll(heads.keySet());
paramHeads.sort();
string params = '';
for(String encodedKey : paramHeads){
    params+=encodedKey+'%3D'+heads.get(encodedKey)+'%26';
}
//params+='status'+percentEncode('='+percentEncode(theTweet));
params+=percentEncode(theTweet);
//Build the base string
string sigBaseString = newReq.getMethod().toUpperCase()+'&amp;amp;'+EncodingUtil.urlEncode(newReq.getEndpoint(),'UTF-8')+'&amp;amp;'+params;
system.debug('signatureBaseString == '+sigBaseString);
//calculate signature
string sigKey = EncodingUtil.urlEncode(conSec,'UTF-8')+'&amp;amp;'+EncodingUtil.urlEncode(accTokSec,'UTF-8');
blob mac = crypto.generateMac('hmacSHA1', blob.valueOf(sigBaseString), blob.valueOf(sigKey));
string oauth_signature = EncodingUtil.base64Encode(mac);
heads.put(EncodingUtil.urlEncode('oauth_signature','UTF-8'), EncodingUtil.urlEncode(oauth_signature,'UTF-8'));
//build the authorization header
paramHeads.clear();
paramHeads.addAll(heads.keySet());
paramHeads.sort();
string oAuth_Body = 'OAuth ';
for(String key : paramHeads){
    oAuth_Body += key+'="'+heads.get(key)+'", ';
}
oAuth_Body = oAuth_Body.subString(0, (oAuth_Body.length() - 2));
newReq.setHeader('Authorization', oAuth_Body);
system.debug('Authroization Header == '+oAuth_Body);
newReq.setHeader('Content-Type', 'application/json');
httpResponse httpRes = new http().send(newReq);
String response = httpRes.getBody();
system.debug(response);
&lt;/code&gt;&lt;/pre&gt;
&lt;p&gt;Thanks
Prateek&lt;/p&gt;
</t>
  </si>
  <si>
    <t xml:space="preserve">&lt;p&gt;I'm building a document management application with the following Data Models:&lt;/p&gt;
&lt;ul&gt;
&lt;li&gt;Doc_Metadata
     - Approval_Requests
               - WorkflowStage
                              -  Approver
                                         - Comment&lt;/li&gt;
&lt;/ul&gt;
&lt;p&gt;I am trying to use the Document Approval Workflow template as a starting point, and associating the Doc_Metadata parent to the "Requests" model, such that each approval request is associated to (owned by) a parent Metadata record.&lt;/p&gt;
&lt;p&gt;I have gotten it to work from start to finish without throwing any errors, HOWEVER, no matter what I do I cannot get the Metadata - Request relation to save. &lt;/p&gt;
&lt;p&gt;I've posted my client scripts for the Add Request page below, and also attached the zip of my application in case someone wants to look in more detail. &lt;/p&gt;
&lt;p&gt;Any and all suggestions are incredibly appreciated, I love the idea of appmaker but have been struggling to understand relations versus how they are traditionally handled in SQL.&lt;/p&gt;
&lt;pre&gt;&lt;code&gt;    /**
 * @fileoverview Client script functions for AddRequest page.
 */
/**
 * Navigates user to the add request page and sets page URL parameters.
 * @param {string=} metadataKey - optional metadata with this key will be used
 *     as default for the new approval request.
 */
function gotoAddRequestPage(metadataKey) {
  var params = {
    metadataKey: metadataKey
  };
// DEBUG
    console.log(params.metadataKey);
    console.log(metadataKey);
  gotoPage(app.pages.AddRequest, params);
}
/**
 * Creates a new request and redirects user to the edit screen afterwards.
 * @param {Widget} submitButton - button that triggers the action.
 */
function createRequest(submitButton) {
  var addRequestPage = submitButton.root;
  if (addRequestPage.validate()) { 
    submitButton.enabled = false;
    submitButton.datasource.saveChanges({
      success: function() {
        submitButton.enabled = true;
     //DEBUG
        console.log("requestId:" + submitButton.datasource.item._key);
        goToRequestDetailsPage(submitButton.datasource.item._key);
      },
      failure: function(error) {
        submitButton.enabled = true;
      }
    });
  }
}
/**
 * Creates a new request and redirects user to the edit screen afterwards.
 * @param {Widget} cancelButton - button that triggers the action.
 */
function cancelCreateRequest(cancelButton) {
  cancelButton.datasource.clearChanges();
  app.showPage(app.pages.Main);
}
function onRequestCreate () {
  google.script.url.getLocation(function(location) {
    var metadataKey = location.parameter.metadataKey;
    var props = {
    metadataKey: metadataKey
    };
    var allMetadataDs = app.datasources.AllMetadata;
    var metadataDs = allMetadataDs.item;
    var requestDs = app.datasources.RequestsByKey;
    //DERBUG//
    console.log("metadataKey: " + metadataKey);
    var newRequest = requestDs.createItem();
    newRequest.Metadata = metadataDs;
    var requests = metadataDs.Request;
    requests.push(newRequest);
  });
}
&lt;/code&gt;&lt;/pre&gt;
</t>
  </si>
  <si>
    <t xml:space="preserve">&lt;blockquote&gt;
  &lt;p&gt;struggling to understand relations versus how they are traditionally handled in SQL&lt;/p&gt;
&lt;/blockquote&gt;
&lt;p&gt;You can configure your app to use Cloud SQL database: &lt;a href="https://developers.google.com/appmaker/models/cloudsql" rel="nofollow noreferrer"&gt;https://developers.google.com/appmaker/models/cloudsql&lt;/a&gt;&lt;/p&gt;
&lt;blockquote&gt;
  &lt;p&gt;I cannot get the Metadata - Request relation to save&lt;/p&gt;
&lt;/blockquote&gt;
&lt;p&gt;Here is a snippet that should work(assuming that you are using datasource in autosave mode).&lt;/p&gt;
&lt;pre class="lang-js prettyprint-override"&gt;&lt;code&gt;var allMetadataDs = app.datasources.AllMetadata;
// metadata record that you need should be selected at this point of time
var metadata = allMetadataDs.item;
var requestDs = app.datasources.RequestsByKey.modes.create;
var requestDraft = requestDs.item;
// This line should create relation between draft request record and
// existing Metadata record. 
requestDraft.Metadata = metadata;
// send your draft to server to save
requestDs.createItem(function(newRecord) {
  // log persisted request record asynchronously 
  console.log(newRecord);
});
&lt;/code&gt;&lt;/pre&gt;
&lt;p&gt;By the way, your life will become way easier, if you add a drop down with metadata items to the request creation form.&lt;/p&gt;
</t>
  </si>
  <si>
    <t xml:space="preserve">&lt;p&gt;When I try to use any of the workspace API javascript Library features now that winter 18' has been released for salesforce lightning, I get the following error when trying to open a subtab:&lt;/p&gt;
&lt;pre&gt;&lt;code&gt;workspaceAPI.getFocusedTabInfo().then(function(response) {
        var tabId = response.tabId;
        var ptabid = tabId.split('_');
        workspaceAPI.openSubtab({
            parentTabId: ptabid[0],
            url: '/one/one.app?source=aloha#' + strBase64,
            focus: true
        });
    });
&lt;/code&gt;&lt;/pre&gt;
&lt;p&gt;in the console: "uncaught exception: Error: Could not locate focused tab."&lt;/p&gt;
&lt;p&gt;FYI:  This code appeared to work in our sandbox pre final Winter 18" release.  It just started to break today (post Winter 18').&lt;/p&gt;
&lt;p&gt;Anyone else having this issue?  Any help would be appreciated.&lt;/p&gt;
</t>
  </si>
  <si>
    <t xml:space="preserve">&lt;p&gt;I am trying to understand how sorting works in Table widgets works when loading a page.  For most of my pages using the Table widget, the page loads sorted by the first column.&lt;/p&gt;
&lt;p&gt;I do see the below code in the onAttach event for the Table panel in a page.  I am wondering if this is the code that sets the sorting when a page loads.&lt;/p&gt;
&lt;pre&gt;&lt;code&gt;// GENERATED CODE: modify at your own risk
window._am = window._am || {};
if (!window._am.TableState) {
  window._am.TableState = {};
  window._am.inFlight = false;
}
if (!window._am.sortTableBy) {
  window._am.sortTableBy = function(datasource, field, fieldHeader, tableState) {
    if (!field) {
      throw "Can't sort the table because specified field was not found.";
    }
    tableState.inFlight = true;
    if (tableState.sortByField === field.name) {
      tableState.ascending = !tableState.ascending;
    } else {
      if (tableState.fieldHeader) {
        tableState.fieldHeader.text = tableState.fieldHeaderText;
        tableState.fieldHeader.ariaLabel = "";
      }
      tableState.sortByField = field.name;
      tableState.ascending = true;
      tableState.fieldHeader = fieldHeader;
      tableState.fieldHeaderText = fieldHeader.text;
    }
    datasource.query.clearSorting();
    var sortDirection = tableState.ascending ? "ascending" : "descending";
    datasource.query.sorting[field.name]["_" + sortDirection]();
    datasource.query.pageIndex = 1;
    datasource.load(function() {
      tableState.inFlight = false;
      fieldHeader.text = fieldHeader.text.replace(/ (\u25B2|\u25BC)/g, "");
      if (tableState.sortByField === field.name) {
        fieldHeader.ariaLabel = fieldHeader.text + " sort " + sortDirection;
        fieldHeader.text = fieldHeader.text + (tableState.ascending ? " \u25B2" : " \u25BC");
        app.accessibility.announce(fieldHeader.ariaLabel);
      }
    });
  };
}
&lt;/code&gt;&lt;/pre&gt;
</t>
  </si>
  <si>
    <t xml:space="preserve">&lt;p&gt;How do I get the caldav URL for Zoho calendar which works fine in order to get the events from the calendar. I tried using this URL which doesn't seem to working :&lt;/p&gt;
&lt;pre&gt;&lt;code&gt;https://calendar.zoho.com/caldav/{calendar_id}/events/
&lt;/code&gt;&lt;/pre&gt;
&lt;p&gt;There is an ical link as well which is working but I want to read the events by using caldav.&lt;/p&gt;
</t>
  </si>
  <si>
    <t xml:space="preserve">&lt;p&gt;I am putting together a PO Request manager. &lt;/p&gt;
&lt;p&gt;I have created one model: &lt;strong&gt;PORequests&lt;/strong&gt;&lt;/p&gt;
&lt;p&gt;Then created a ONE to MANY relationship with another model: &lt;strong&gt;Items&lt;/strong&gt;&lt;/p&gt;
&lt;p&gt;Table on the left is the datasource: PORequests. The table on the right is PORequests:Items (relation)&lt;/p&gt;
&lt;p&gt;So when you click on PORequest #1 on the left, you see &lt;em&gt;only&lt;/em&gt; the items associated with that specific PO request. &lt;/p&gt;
&lt;p&gt;&lt;a href="https://i.stack.imgur.com/dY6mC.png" rel="nofollow noreferrer"&gt;&lt;img src="https://i.stack.imgur.com/dY6mC.png" alt="enter image description here"&gt;&lt;/a&gt;&lt;/p&gt;
&lt;p&gt;Then when a user changes the quantity or cost of the item, the onValueEdit runs this code, creating an entry for the subtotal (a field in the Items model). &lt;/p&gt;
&lt;pre&gt;&lt;code&gt;widget.datasource.item.Subtotal = widget.datasource.item.Quantity * widget.datasource.item.Cost;
&lt;/code&gt;&lt;/pre&gt;
&lt;p&gt;All that works great, however now I want to add the subtoals for all the items and have it fill the Total field in the PORequest model. &lt;/p&gt;
&lt;p&gt;How can I tell App Maker to add up all the subtotals for all items in PORequest #1?&lt;/p&gt;
&lt;p&gt;Thank you for the help!&lt;/p&gt;
&lt;hr&gt;
&lt;p&gt;Update:&lt;/p&gt;
&lt;p&gt;So I'm a little bit closer. I was able to get a &lt;strong&gt;label&lt;/strong&gt; to display the total of subtotals. Stole the following Client Script from the Corporate Store template: &lt;/p&gt;
&lt;pre&gt;&lt;code&gt;/**
 * Locale constant that is used for currency formatting.
 */
var CURRENT_LOCALE = 'en-US';
/**
 * Calculates and formats total cost of all POR items.
 * @param {Array&amp;lt;CartItem&amp;gt;} PORItems - list of user's POR items.
 * @return {string} formatted total cost of all POR items.
 */
function getSubtotalTotal(PORItems) {
  var cost = PORItems.reduce(function(result, item) {
    return result + item.Subtotal;
  }, 0);
  return '$' + cost.toLocaleString(CURRENT_LOCALE, {minimumFractionDigits: 2});
}
&lt;/code&gt;&lt;/pre&gt;
&lt;p&gt;Then I put &lt;strong&gt;getSubtotalTotal(@datasource.items)&lt;/strong&gt; as the text for the label. &lt;/p&gt;
&lt;p&gt;So now I just need to figure out how to tell App Maker to take that result from the script and add it to the Total field in the PORequests datasource. &lt;/p&gt;
</t>
  </si>
  <si>
    <t xml:space="preserve">&lt;p&gt;Okay, so here is what I did: &lt;/p&gt;
&lt;p&gt;&lt;strong&gt;1. I created two Google Drive Table models: PORequests and Items.&lt;/strong&gt;&lt;/p&gt;
&lt;p&gt;PORequests has fields like: PORequest Number, Vendor and the Total*.&lt;/p&gt;
&lt;p&gt;*Note: The Total field had to be a String and not a number.&lt;/p&gt;
&lt;p&gt;Items has fields like: ItemName, Quantity, Cost and Subtotal.&lt;/p&gt;
&lt;p&gt;&lt;strong&gt;2. I created a ONE to MANY relationship with the two datasources (PORequests as the owner).&lt;/strong&gt; &lt;/p&gt;
&lt;p&gt;&lt;strong&gt;3. I created a page with two Tables.&lt;/strong&gt; &lt;/p&gt;
&lt;p&gt;Table 1's datasource = PORequests
Table 2's datasource = PORequests: Items (relation)*&lt;/p&gt;
&lt;p&gt;This way if I click PORequest #1 in Table 1 I only see Items associated with that POR.&lt;/p&gt;
&lt;p&gt;*Note: I set the Subtotal field to "non-editable/label", so no one accidentally changes it manually.&lt;/p&gt;
&lt;p&gt;&lt;strong&gt;4. Then I created a Client Script:&lt;/strong&gt; &lt;/p&gt;
&lt;pre&gt;&lt;code&gt;/**
 * Locale constant that is used for currency formatting.
 */
var CURRENT_LOCALE = 'en-US';
/**
 * Calculates and formats total cost of all POR items.
 * @param {Array&amp;lt;CartItem&amp;gt;} PORItems - list of user's POR items.
 * @return {string} formatted total cost of all POR items.
 */
function getSubtotalTotal(PORItems) {
    var cost = PORItems.reduce(function(result, item) {
    return result + item.Subtotal;
  }, 0);
  var total = cost + app.datasources.PORequests_HideArchived.item.Tax + app.datasources.PORequests_HideArchived.item.Shipping;
  return '$' + total.toLocaleString(CURRENT_LOCALE, {minimumFractionDigits: 2});
}
&lt;/code&gt;&lt;/pre&gt;
&lt;p&gt;&lt;strong&gt;5. Then I set the onValueEdit for the Quantity and Cost fields to:&lt;/strong&gt; &lt;/p&gt;
&lt;pre&gt;&lt;code&gt;widget.datasource.item.Subtotal = widget.datasource.item.Quantity * widget.datasource.item.Cost;
var subtotalTotal = getSubtotalTotal(app.datasources.PORequests.relations.Items.items);
app.datasources.PORequests.item.Total = subtotalTotal;
&lt;/code&gt;&lt;/pre&gt;
&lt;p&gt;This tells App Maker to first: multiply the cost by the quantity and put that value in the Subtotal field.&lt;/p&gt;
&lt;p&gt;Then it tells App Maker to: use the getSubtotalTotal script to add all the Subtotal values and put THAT value in the Total field of the PORequest datasource.&lt;/p&gt;
&lt;p&gt;Hope all that helps someone in the future. &lt;/p&gt;
</t>
  </si>
  <si>
    <t xml:space="preserve">&lt;p&gt;I'm learning java now and currently working on this problem:&lt;/p&gt;
&lt;blockquote&gt;
  &lt;p&gt;Save the string “WELCOMETOZOHOCORPORATION” in a two dimensional array and search for substring like “too” in the two dimensional string both from left to right and from top to bottom.&lt;/p&gt;
  &lt;p&gt;w  e   L   C   O
  M   E   T   O   Z
  O   H   O   C   O
  R   P   O   R   A
  T   I   O   n&lt;br&gt;
  And print the start and ending index as&lt;/p&gt;
  &lt;p&gt;Start index : &amp;lt;1,2&gt;&lt;/p&gt;
  &lt;p&gt;End index: &amp;lt;3, 2&gt;&lt;/p&gt;
&lt;/blockquote&gt;
&lt;p&gt;and here's my code for it;&lt;/p&gt;
&lt;pre&gt;&lt;code&gt;public class WelcomeToZoho {
public static void main(String[] args){
    String str = "WELCOMETOZOHOCOORPORATION ";
    String[] strSplitArray = str.split("");
    String[][] strArray = new String[5][5];
        int k=0;
        for(int i=0;i&amp;lt;5;i++) {
            for(int j=0;j&amp;lt;5;j++) {
                strArray[i][j] = strSplitArray[k];
                k++;
            }
        }   
        try {for(int i=0;i&amp;lt;5;i++) {
            for(int j=0;j&amp;lt;5;j++) {
            if(strArray[i][j].equals("T")&amp;amp;&amp;amp;strArray[i][j+1].equals("O")&amp;amp;&amp;amp;strArray[i][j+2].equals("O")) {
                System.out.println("Start Index &amp;lt;"+i+","+j+"&amp;gt;");
                System.out.println("End Index &amp;lt;"+i+","+j+2+"&amp;gt;");
            }
            else if(strArray[i][j].equals("T")&amp;amp;&amp;amp;strArray[i+1][j].equals("O")&amp;amp;&amp;amp;strArray[i+2][j].equals("O")) {
                System.out.println("Start Index &amp;lt;"+i+","+j+"&amp;gt;");
                i=i+2;
                System.out.println("End Index &amp;lt;"+i+","+j+"&amp;gt;");
            }
            }           
            }
        }catch(Exception e){
            System.out.println("array out of bound occurs");
        }       
  }
}
&lt;/code&gt;&lt;/pre&gt;
&lt;p&gt;I know this exception is caused by the second 'T' in the array where i+1 returns the exception, so i tried to use the try and catch method.
Without using the try catch, i'm getting the required output along with the exception but using try catch, i'm not able to get the output...
any clue how to get the output but not the exception together?? i'm a beginner, so please bear with my code..&lt;/p&gt;
</t>
  </si>
  <si>
    <t xml:space="preserve">&lt;p&gt;I have a ONE to MANY relationship setup between two datasources (longer explanation is &lt;a href="https://stackoverflow.com/questions/46801400/trying-to-total-columns-for-relation-datasource"&gt;here&lt;/a&gt;). &lt;/p&gt;
&lt;p&gt;I am intermittently getting errors when trying to create or edit an item in the non-owner datasource. &lt;/p&gt;
&lt;pre&gt;&lt;code&gt;Thu Oct 19 11:59:20 GMT-700 2017
Drive Table internal error. Please try again. Caused by: Execution Failed. More information: Internal error encountered.. (HTTP status code: unknown) Error: Drive Table internal error. Please try again.
Thu Oct 19 11:59:20 GMT-700 2017
Creating new record: (Error) : Drive Table internal error. Please try again.
at PORequests.Panel13.Panel18.Add_Item.onClick:1:19
Thu Oct 19 11:59:20 GMT-700 2017
Creating new record failed.
&lt;/code&gt;&lt;/pre&gt;
&lt;p&gt;When I looked at the server logs I see: &lt;/p&gt;
&lt;pre&gt;&lt;code&gt;{
 insertId:  "13ovnchfxwxsqq"  
 labels: {
  script.googleapis.com/process_id:  "EAEA1GOwsdCh8YjD5KVVeBwT21xln0G3WFk4ULblcC0zX8_PML2UzR0o6WSPEhKBCgXa9SY_g6dxTqLJKMqQXk0UrIJW6en9rymo8OEBcw0X4tv4pLZeSxFNgRbInWHBJiegZM4WyjaPBqw1q"   
  script.googleapis.com/project_key:  "MBTigw5qnbrHScnjNatBP5Rs3AwaeoTZn"   
  script.googleapis.com/user_key:  "AEiMU4fv5flw4TblvkAxoOl6zKB5363j63bCyxicf/bJJXwtBFLZYGEBRLOkH+Z68eLnXiHPnR98"   
 }
 logName:  "projects/project-id-8108427532903699662/logs/script.googleapis.com%2Fconsole_logs"  
 receiveTimestamp:  "2017-10-19T18:59:21.737166790Z"  
 resource: {
  labels: {
   function_name:  "__appmakerGlobalScriptWrapper"    
   invocation_type:  "web app"    
   project_id:  "project-id-8108427532903699662"    
  }
  type:  "app_script_function"   
 }
 severity:  "ERROR"  
 textPayload:  "Drive Table internal error. Please try again. 
Caused by: Execution Failed. More information: Internal error encountered.. (HTTP status code: unknown)
Error: Drive Table internal error. Please try again. "  
 timestamp:  "2017-10-19T18:59:20.729Z"  
}
&lt;/code&gt;&lt;/pre&gt;
&lt;p&gt;Anyone else seen this issue? Is it a bug or am I doing something wrong? &lt;/p&gt;
</t>
  </si>
  <si>
    <t xml:space="preserve">&lt;p&gt;I am trying to create an element instance in cloudelements. Have retrieved the code parameter from the url query string, have following codebase:&lt;/p&gt;
&lt;pre&gt;&lt;code&gt;$ch = curl_init();  
$code = $_REQUEST['code'];
$headers = array(
    'Content-Type: application/json',
    'Accept: application/json',
    'Authorization: User xxxxxxxxyyyyyyyyyzzzzzzzzzzz=, Organization ccccccccccccccccccccccccc'
);
$url = 'https://api.cloud-elements.com/elements/api-v2/elements/23/instances';
$curl_post_data = array(
    "providerData" =&amp;gt; array(
        "code" =&amp;gt; $code
    ),
    "name" =&amp;gt; "salesforce_instance_".date("Y-m-d-H:i:s"),
    "configuration" =&amp;gt;
        array(
            "base.url" =&amp;gt; "https://login.salesforce.com",
            "filter.response.nulls" =&amp;gt; "true"
        )
);
curl_setopt($ch, CURLOPT_URL, $url);
curl_setopt($ch, CURLOPT_HTTPHEADER, $headers);
curl_setopt($ch, CURLOPT_RETURNTRANSFER, true);
curl_setopt($ch, CURLOPT_POST, true);
curl_setopt($ch, CURLOPT_POSTFIELDS, json_encode($curl_post_data));
curl_setopt($ch, CURLOPT_SSL_VERIFYPEER, false);
$curl_response = curl_exec($ch);
&lt;/code&gt;&lt;/pre&gt;
&lt;p&gt;But, i am getting following error:&lt;/p&gt;
&lt;pre&gt;&lt;code&gt;Authentication with the CRM provider failed. Please ensure valid authentication values were provided.
&lt;/code&gt;&lt;/pre&gt;
</t>
  </si>
  <si>
    <t xml:space="preserve">&lt;p&gt;Does anyone know if there is a way to manually (javascript) populate/manipulate a grid in appmaker?  The situation is that a list of skills is stored in a single comma delimited string field in a table (i.e. "MS Word, MS Excel, MS Access") and I would like to use a grid to represent each skill in an individual cell in a grid widget and then add/delete them using the grid, similar to the Company services in the Vendor example.  Then reassemble the grid items into a single comma delimited string and save them back to the record.  &lt;/p&gt;
&lt;p&gt;I can't get grid to work without a datasource. I would prefer not to put Skills in a separate table joined to the employee table. It seems like overkill.&lt;/p&gt;
&lt;p&gt;Thanks for all advice!&lt;/p&gt;
</t>
  </si>
  <si>
    <t xml:space="preserve">&lt;p&gt;The short answer is that a grid widget requires a datasource. However, you can create a datasource parameter or a page parameter of type List and set your grid datasource equal to this parameter. Then you can use client scripts to manipulate the datasource and read or write it back to your datasource field using string to object conversions and using object to string conversions, however your field must have a string separator like a comma or similar that is used as a parser when converting between string and object. An App Maker application export file for an example is posted here: &lt;a href="https://groups.google.com/forum/#!topic/appmaker-users/G3UIPRRAR60" rel="nofollow noreferrer"&gt;https://groups.google.com/forum/#!topic/appmaker-users/G3UIPRRAR60&lt;/a&gt;.&lt;/p&gt;
</t>
  </si>
  <si>
    <t xml:space="preserve">&lt;p&gt;I have a 'Text Editor' widget input field that I would like to display as a read only field within a particular form.  I put in a formula for the enabled property in the Display section.  Everything works fine, except that the text in this field is dimmed when viewing.  I was hoping to get the same behavior (where there is rich text displayed with bolding, italics, links, etc.) but with the text in this widget not dimmed and wondering the best way to do this.
&lt;a href="https://i.stack.imgur.com/Twueo.png" rel="nofollow noreferrer"&gt;&lt;img src="https://i.stack.imgur.com/Twueo.png" alt="read"&gt;&lt;/a&gt;
&lt;a href="https://i.stack.imgur.com/qx4ad.png" rel="nofollow noreferrer"&gt;&lt;img src="https://i.stack.imgur.com/qx4ad.png" alt="edit"&gt;&lt;/a&gt;&lt;/p&gt;
</t>
  </si>
  <si>
    <t xml:space="preserve">&lt;p&gt;&lt;strong&gt;Short Version:&lt;/strong&gt; &lt;/p&gt;
&lt;p&gt;Need to limit the options (run a query) of a dropdown that is in a table with a relationship datasource. The field of the query exists in the OWNER datasource, while the field of the dropdown exists in the non-OWNER (child?)&lt;/p&gt;
&lt;hr&gt;
&lt;p&gt;&lt;strong&gt;Long Version:&lt;/strong&gt;&lt;/p&gt;
&lt;p&gt;I have a system setup to organize PO requests. &lt;/p&gt;
&lt;p&gt;Model &lt;strong&gt;PORequest&lt;/strong&gt; = holds PO numbers, etc.&lt;/p&gt;
&lt;p&gt;Queried Datasource &lt;strong&gt;PORequest_HideArchived&lt;/strong&gt; = holds all POs, but has the query: &lt;/p&gt;
&lt;pre&gt;&lt;code&gt;Archived != :ArchivedStatus
&lt;/code&gt;&lt;/pre&gt;
&lt;p&gt;Where the Archived status is set for 'Yes'. Therefore all POs with 'Yes' in the ArchivedStatus field are hidden.&lt;/p&gt;
&lt;p&gt;Datasource &lt;strong&gt;PORequest_Items&lt;/strong&gt; = holds the items for each PO request&lt;/p&gt;
&lt;p&gt;I have setup a ONE to MANY relationship with PORequest as the owner. &lt;/p&gt;
&lt;hr&gt;
&lt;p&gt;So now I can generate a PORequest (left) and add items to that PO via a table (middle + right) with the datasource: &lt;strong&gt;PORequest_HideArchived:PORequest_Items (relation)&lt;/strong&gt;. &lt;/p&gt;
&lt;p&gt;&lt;a href="https://i.stack.imgur.com/3LeNY.png" rel="nofollow noreferrer"&gt;&lt;img src="https://i.stack.imgur.com/3LeNY.png" alt="enter image description here"&gt;&lt;/a&gt;&lt;/p&gt;
&lt;p&gt;So far so good. &lt;/p&gt;
&lt;p&gt;That table on the far right is where I am running into a problem. I want to be able to move a PO Item from one PO to another. The easiest way to do that is change the PORequestNumber field of the item (&lt;strong&gt;datasource = PORequest_HideArchived&lt;/strong&gt;) that is linked via the relationship.&lt;/p&gt;
&lt;p&gt;&lt;a href="https://i.stack.imgur.com/tDWOL.png" rel="nofollow noreferrer"&gt;&lt;img src="https://i.stack.imgur.com/tDWOL.png" alt="enter image description here"&gt;&lt;/a&gt;&lt;/p&gt;
&lt;p&gt;All this works great too. &lt;/p&gt;
&lt;p&gt;Only problem is that when I click the dropdown for the PORequestNumber I can see ALL the PORequestNumber entries, instead of JUST the POs that aren't archived.&lt;/p&gt;
&lt;p&gt;&lt;a href="https://i.stack.imgur.com/HOWJu.png" rel="nofollow noreferrer"&gt;&lt;img src="https://i.stack.imgur.com/HOWJu.png" alt="enter image description here"&gt;&lt;/a&gt;&lt;/p&gt;
&lt;p&gt;So instead of seeing 1-6, I should only be seeing the active POs (1, 5, 6)&lt;/p&gt;
&lt;p&gt;The panel that the table is in has the datasource: &lt;strong&gt;PORequest_HideArchived:PORequest_Items (relation)&lt;/strong&gt;&lt;/p&gt;
&lt;p&gt;But the Row that the PORequestNumber field is in has the datasource: &lt;strong&gt;PORequest_Items&lt;/strong&gt;. &lt;/p&gt;
&lt;p&gt;Therefore my query on the PORequest_HideArchived datasource has no effect. &lt;/p&gt;
&lt;p&gt;Any way I can run this query so the dropdown options are limited to ArchivedStatus = 'No'?&lt;/p&gt;
</t>
  </si>
  <si>
    <t xml:space="preserve">&lt;p&gt;You need to set filtered datasource for the dropdown options/names:&lt;/p&gt;
&lt;pre class="lang-js prettyprint-override"&gt;&lt;code&gt;@datasources.PORequest_HideArchived.items
&lt;/code&gt;&lt;/pre&gt;
&lt;p&gt;and for the dropdown select row's item relation:&lt;/p&gt;
&lt;pre class="lang-js prettyprint-override"&gt;&lt;code&gt;@datatsource.item.PORequest
&lt;/code&gt;&lt;/pre&gt;
</t>
  </si>
  <si>
    <t xml:space="preserve">&lt;p&gt;i want to show the checkbox disabled when either of the values are coming, but it is working only for one value.&lt;/p&gt;
&lt;pre&gt;&lt;code&gt; &amp;lt;ui:inputCheckbox value="{!product.productSelection}" disabled="{! 
 or(product.orderLineStatus == 'Cancelled', product.orderLineStatus == 
 'Rejected',product.orderLineStatus == 'Scheduled to Ship')}"/&amp;gt;
&lt;/code&gt;&lt;/pre&gt;
</t>
  </si>
  <si>
    <t xml:space="preserve">&lt;p&gt;I want to set the &lt;strong&gt;createdDate&lt;/strong&gt; for a new feed-element (via SalesForce Rest API).&lt;/p&gt;
&lt;p&gt;I tried to do this:&lt;/p&gt;
&lt;pre&gt;&lt;code&gt;{ 
    "body" : {
      "messageSegments" : [
         {
            "type" : "Text",
            "text" : "When should we meet for release planning? "
         }]
       },
    "feedElementType" : "FeedItem",
    "subjectId" : "0060Y00000XYZXYZ",
    "createdDate ": "2016-10-27T08:01:56.000Z"
}
&lt;/code&gt;&lt;/pre&gt;
&lt;p&gt;But I get this error message:&lt;/p&gt;
&lt;pre&gt;&lt;code&gt;[
    {
        "errorCode": "JSON_PARSER_ERROR",
        "message": "Unrecognized field \"createdDate \" at [line:-1, column:-1]"
    }
]
&lt;/code&gt;&lt;/pre&gt;
&lt;p&gt;I read that I can set the createdDate via API (&lt;a href="https://developer.salesforce.com/docs/atlas.en-us.chatterapi.meta/chatterapi/connect_resources_feed_element.htm" rel="nofollow noreferrer"&gt;https://developer.salesforce.com/docs/atlas.en-us.chatterapi.meta/chatterapi/connect_resources_feed_element.htm&lt;/a&gt;), but I don't find a example or a way to do this.&lt;/p&gt;
&lt;p&gt;Also I tried to set the createdDate in a update request, but the same result.&lt;/p&gt;
&lt;p&gt;I hope someone can help me. Thanks!&lt;/p&gt;
</t>
  </si>
  <si>
    <t xml:space="preserve">&lt;p&gt;I'm sure I'm doing something wrong... but every time I query on a calculated datasource, I get the error "cannot handle returning cyclic object." &lt;/p&gt;
&lt;p&gt;Here's the gist:&lt;/p&gt;
&lt;p&gt;I have a calculated model that fetches a user's google contacts and places the full name field into a table on the UI. The goal is to have a separate text box that can be used to search the full name field and then repopulate the table on the same page with the results of the search, similar to how google contacts search behavior works. The on value change event of the text box sends the textbox value to this server script:&lt;/p&gt;
&lt;pre&gt;&lt;code&gt;function searchContacts (sq) {
var ds = app.models.Contacts.newQuery();
ds.filters.FullName._contains = sq;
var results = ds.run();
return results;
}
&lt;/code&gt;&lt;/pre&gt;
&lt;p&gt;But every time I get the cyclic object error when the values are returned from that function. The error actually fires when the query run command (ds.run) is executed.&lt;/p&gt;
&lt;p&gt;I've tried querying the datasource as well, but I've read somewhere that you can't query the datasource of a calculated model because it doesn't exist, so you have to query the model.&lt;/p&gt;
&lt;p&gt;Any help would be much appreciated.&lt;/p&gt;
</t>
  </si>
  <si>
    <t xml:space="preserve">&lt;p&gt;When I embed a youtube video in a Google Appmaker app, fullscreen mode is disabled&lt;/p&gt;
&lt;p&gt;&lt;a href="https://i.stack.imgur.com/EfEXO.png" rel="nofollow noreferrer"&gt;&lt;img src="https://i.stack.imgur.com/EfEXO.png" alt="full screen is unavailable"&gt;&lt;/a&gt;&lt;/p&gt;
&lt;p&gt;Is there any way that this can be enabled? I have tried adding the allowFullScreen tag (see below) to the iframe tag but that doesn't seem to make any difference:&lt;/p&gt;
&lt;pre class="lang-js prettyprint-override"&gt;&lt;code&gt;function getIframeHtml(url) {
   return '&amp;lt;div class="wrapper full-size"&amp;gt;&amp;lt;iframe src="' +
          app.sanitizer.sanitizeUrl(url || '') +
          '" frameborder="0" allowFullScreen="allowFullScreen" class="full-size"&amp;gt;&amp;lt;/iframe&amp;gt;&amp;lt;/div&amp;gt;';
}
&lt;/code&gt;&lt;/pre&gt;
</t>
  </si>
  <si>
    <t xml:space="preserve">&lt;p&gt;How can I change the window title (i.e. text displayed on the browser tab) from within an App Maker app?&lt;/p&gt;
&lt;p&gt;I've tried the following with a button onClick ...&lt;/p&gt;
&lt;pre&gt;&lt;code&gt;document.title = 'Hello';
window.parent.document.title = 'Hello2';
window.document.title = 'Hello3';
&lt;/code&gt;&lt;/pre&gt;
&lt;p&gt;I can retrieve those within the console after setting them, but nothing changes the browser tab text.&lt;/p&gt;
</t>
  </si>
  <si>
    <t xml:space="preserve">&lt;p&gt;If App Script doesn't allow to do something explicitly, then most likely it is forbidden. App Script nests web apps within multiple sandboxed iframes and overrides most built-in browser objects. I had a quick look at API reference and haven't found any API to manipulate page title in runtime. The only way to set tile I found in their API is this function:&lt;/p&gt;
&lt;p&gt;&lt;a href="https://developers.google.com/apps-script/reference/html/html-output#setTitle(String)" rel="nofollow noreferrer"&gt;https://developers.google.com/apps-script/reference/html/html-output#setTitle(String)&lt;/a&gt;&lt;/p&gt;
&lt;p&gt;It sets title to the output html that is sent to client. You can achieve the same result in App Maker by simple renaming your app.&lt;/p&gt;
</t>
  </si>
  <si>
    <t xml:space="preserve">&lt;p&gt;I am trying to pass a string value containing a "category" to a query script through a custom parameter:&lt;/p&gt;
&lt;p&gt;&lt;a href="https://i.stack.imgur.com/22wD7.jpg" rel="nofollow noreferrer"&gt;&lt;img src="https://i.stack.imgur.com/22wD7.jpg" alt="Query Script"&gt;&lt;/a&gt;&lt;/p&gt;
&lt;p&gt;Then filter the datasource by that parameter, but when I reload the datasource on ValueEdit of the dropdown, it does not filter the table records. In addition, I have the script output a console message supposedly containing the "categoryParameter" but it shows up undefined.&lt;/p&gt;
&lt;p&gt;Any assistance would be greatly appreciated.&lt;/p&gt;
&lt;p&gt;&lt;a href="https://i.stack.imgur.com/ELj8g.jpg" rel="nofollow noreferrer"&gt;&lt;img src="https://i.stack.imgur.com/ELj8g.jpg" alt="Console Output"&gt;&lt;/a&gt;&lt;/p&gt;
</t>
  </si>
  <si>
    <t xml:space="preserve">&lt;p&gt;I have a custom Salesforce object Category__c that has a self look up to itself upto 3 levels. I have written the below code to construct a JSON from this object. But I am facing a run time error:&lt;/p&gt;
&lt;blockquote&gt;
  &lt;p&gt;System.JSONException: Current context not an ARRAY but OBJECT&lt;/p&gt;
&lt;/blockquote&gt;
&lt;p&gt;Can someone please point out where I am going wrong there.&lt;/p&gt;
&lt;p&gt;I found the below post relevant to this error, but I am not able to relate to it since it is in a different platform.
&lt;a href="https://stackoverflow.com/questions/30186152/elasticsearchcurrent-context-not-an-array-but-object-when-trying-to-index-an-ar"&gt;ElasticSearch:Current context not an ARRAY but OBJECT when trying to index an array&lt;/a&gt;&lt;/p&gt;
&lt;p&gt;Apex Code:&lt;/p&gt;
&lt;p&gt;&lt;div class="snippet" data-lang="js" data-hide="false" data-console="true" data-babel="false"&gt;
&lt;div class="snippet-code"&gt;
&lt;pre class="snippet-code-js lang-js prettyprint-override"&gt;&lt;code&gt;public class lsRestResourceHandler {
public static String getCategoriesJSON() {
        boolean l2fieldset = false;
        //Query list of Categories
        list&amp;lt;Category__c&amp;gt; lstCategories = new list&amp;lt;Category__c&amp;gt;([SELECT Parent_Category__r.Level__c
                                                                , Parent_Category__r.Id
                                                                , Parent_Category__r.Name
                                                                , Level__c
                                                                , Id
                                                                , Name
                                                                , (SELECT Level__c, Id, Name FROM SubCategories__r) 
                                                                FROM Category__c WHERE Level__c=2 OR Level__c=1]);
        Set&amp;lt;Id&amp;gt; setParentCategories = new Set&amp;lt;Id&amp;gt;();
        for(Category__c category:lstCategories) {
            setParentCategories.add(category.Parent_Category__r.Id);
        }
        //Start JSON Generator
        JSONGenerator categoryJSON = JSON.createGenerator(true);
        categoryJSON.writeStartObject();
        categoryJSON.writeFieldName('Categories');
        categoryJSON.writeStartArray();
        //Iterate through 1st level1 Categories            
        for(Category__c level1:lstCategories) {            
            if(level1.Level__c == 1){
                categoryJSON.writeStartObject();
                categoryJSON.writeStringField('Id',level1.Id);
                categoryJSON.writeStringField('Name',level1.Name);
                if(setParentCategories.contains(level1.Id)) {
                    categoryJSON.writeFieldName('SubCategories');
                    categoryJSON.writeStartArray();
                    for(Category__c level2:lstCategories) {
                        //If Level1 is parent category for any level2 categories, iterate through them
                        if(level1.Id == level2.Parent_Category__r.Id) {
                            categoryJSON.writeStartObject();
                            categoryJSON.writeStringField('Id',level2.Id);
                            categoryJSON.writeStringField('Name',level2.Name);
                            //If level2 category has level3 SubCategories, iterate through them
                            if(level2.SubCategories__r != null) {
                                categoryJSON.writeFieldName('SubCategories');
                                categoryJSON.writeStartArray();
                                for(category__c level3:level2.SubCategories__r) {
                                    categoryJSON.writeStartObject();
                                    categoryJSON.writeStringField('Id',level3.Id);
                                    categoryJSON.writeStringField('Name',level3.Name);
                                    categoryJSON.writeEndObject();
                                }
                                categoryJSON.writeEndArray();
                            }
                            categoryJSON.writeEndObject();
                        }
                    }
                    categoryJSON.writeEndArray();
                    categoryJSON.writeEndObject();
                }                
            }
        }
        categoryJSON.writeEndArray();
        categoryJSON.writeEndObject();
        //Convert to JSON String
        String strCategoryJSON = categoryJSON.getAsString();
        return strCategoryJSON;
    }
}&lt;/code&gt;&lt;/pre&gt;
&lt;/div&gt;
&lt;/div&gt;
&lt;/p&gt;
&lt;p&gt;Target JSON Format:&lt;/p&gt;
&lt;p&gt;&lt;div class="snippet" data-lang="js" data-hide="false" data-console="true" data-babel="false"&gt;
&lt;div class="snippet-code"&gt;
&lt;pre class="snippet-code-css lang-css prettyprint-override"&gt;&lt;code&gt;{
    "Categories":[
    {
        "Id":"5",
        "Name":"Category5",
        "SubCategories":[
            {
                "Id":"51",
                "Name":"Cat5Sub1",
                "SubCategories":[
                    {
                        "Id":"511",
                        "Name":"Cat5Sub1Sub1"
                    },
                    {
                        "Id":"512",
                        "Name":"Cat5Sub1Sub1"
                    }
                ]
            },
            {
                "Id":"32",
                "Name":"Cat5Sub2",
                "SubCategories":[
                    {
                        "Id":"511",
                        "Name":"Cat5Sub1Sub2"
                    },
                    {
                        "Id":"512",
                        "Name":"Cat5Sub1Sub2"
                    }
                ]
            },
            {
                "Id":"33",
                "Name":"Cat5Sub3"
            }
        ]
    }
]
}&lt;/code&gt;&lt;/pre&gt;
&lt;/div&gt;
&lt;/div&gt;
&lt;/p&gt;
</t>
  </si>
  <si>
    <t xml:space="preserve">&lt;p&gt;I've been trying to integrate Docusign for our Zoho CRM modules.
I had researched that some similar applications doesn't support custom modules integration.&lt;/p&gt;
&lt;p&gt;May I ask on how do you integrate Zoho CRM with a custom module I had created with Docusign? I am in need of help.&lt;/p&gt;
&lt;p&gt;I had been linked here from the Docusign support:&lt;/p&gt;
&lt;p&gt;&lt;a href="https://i.stack.imgur.com/zkuJM.png" rel="nofollow noreferrer"&gt;DOCUSIGN SUPPORT&lt;/a&gt;&lt;/p&gt;
&lt;p&gt;EDIT: We need to be able to issue documents from our custom module that I had created as a starting point. I am still not quite sure if this is possible will get back here for more updates&lt;/p&gt;
</t>
  </si>
  <si>
    <t xml:space="preserve">&lt;p&gt;I'm having a problem on appmaker, I can't seem to open load appmaker and by extension, cant load my projects. &lt;/p&gt;
&lt;p&gt;What I already tried:&lt;/p&gt;
&lt;ul&gt;
&lt;li&gt;accessing 2 different projects with two different accounts of the same domain ( one is the owner of the two projects and the owner a normal dev account with given access )&lt;/li&gt;
&lt;li&gt;opening appmaker from chrome incognito window and other browsers&lt;/li&gt;
&lt;li&gt;opening appmaker using an account from another domain the the first two&lt;/li&gt;
&lt;/ul&gt;
&lt;p&gt;All these attempts always give me the same error which is:
 &lt;code&gt;com.google.apps.appmaker.client.editor.EditorLauncher
SEVERE: Unexpected error
com.google.apps.appmaker.shared.property.binding.BindingException: Unexpected error on binding initial sync write&lt;/code&gt;&lt;/p&gt;
&lt;p&gt;I added a some screenshots to show the error. I really dont know whats up, any hints or help would be appreciated !&lt;/p&gt;
&lt;p&gt;thanks !&lt;/p&gt;
&lt;p&gt;&lt;a href="https://i.stack.imgur.com/1d9WG.jpg" rel="nofollow noreferrer"&gt;&lt;img src="https://i.stack.imgur.com/1d9WG.jpg" alt="enter image description here"&gt;&lt;/a&gt;&lt;a href="https://i.stack.imgur.com/ec8dj.jpg" rel="nofollow noreferrer"&gt;&lt;img src="https://i.stack.imgur.com/ec8dj.jpg" alt="enter image description here"&gt;&lt;/a&gt;&lt;/p&gt;
</t>
  </si>
  <si>
    <t xml:space="preserve">&lt;p&gt;I am trying to setup an email notification and my hope is to have a simple list of all the items in a datasource (separated into their fields). &lt;/p&gt;
&lt;p&gt;Ex: &lt;/p&gt;
&lt;p&gt;ItemName01, Cost01, Quantity01&lt;/p&gt;
&lt;p&gt;ItemName02, Cost02, Quantity02&lt;/p&gt;
&lt;p&gt;ItemName03, Cost03, Quantity03&lt;/p&gt;
&lt;p&gt;Doing a projection of each (@datasources.Datasource.items..ItemName + @datasources.Datasource.items..Cost + @datasources.Datasource.items..Quantity) gives me everything, but not organized correctly. &lt;/p&gt;
&lt;p&gt;Ex. [ItemName01,ItemName02,ItemName03],[Cost01,Cost02,Cost03],[Quantity01,Quantity02,Quantity03]&lt;/p&gt;
&lt;p&gt;Any help/thoughts are appreciated. &lt;/p&gt;
&lt;p&gt;Thanks! &lt;/p&gt;
</t>
  </si>
  <si>
    <t xml:space="preserve">&lt;p&gt;I would recommend to use server script for this:&lt;/p&gt;
&lt;pre class="lang-js prettyprint-override"&gt;&lt;code&gt;// query records
var records = app.models.Item.newQuery().run();
// generate email HTML body
var emailBody = records.reduce(function(str, item) {
  str += '&amp;lt;p&amp;gt;' + item.Name + ', ' + item.Cost + ', ' + item.Quantity + '&amp;lt;/p&amp;gt;'
});
// hand off generated HTML to other function
// that will actually send email
sendEmail(emailBody);
&lt;/code&gt;&lt;/pre&gt;
&lt;p&gt;You can call this Server Script from Model Events or explicitly from client using &lt;code&gt;google.script.run&lt;/code&gt;. You also can pass some filters to narrow records set to be sent.&lt;/p&gt;
</t>
  </si>
  <si>
    <t xml:space="preserve">&lt;p&gt;I want to filter records on my browse screen with email of current user.I used Office 365 Users Connection. &lt;/p&gt;
&lt;p&gt;Logic Which I have written on items property of browse screen:&lt;/p&gt;
&lt;pre&gt;&lt;code&gt;SortByColumns(Search(Filter('Time Entries', User().Email= Office365Users.MyProfile().Mail) , TextSearchBox1.Text, "cf_name"), "createdon", If(SortDescending1,  Ascending,Descending))
&lt;/code&gt;&lt;/pre&gt;
&lt;p&gt;Error:&lt;/p&gt;
&lt;blockquote&gt;
  &lt;p&gt;Part of this filter cannot be evaluated remotely due to service limitations.The local evaluation may produce suboptimal or partial results.&lt;/p&gt;
&lt;/blockquote&gt;
</t>
  </si>
  <si>
    <t xml:space="preserve">&lt;p&gt;I have an aspose library with which I want to execute some commands e.g Make PDF from images, send email etc. &lt;/p&gt;
&lt;p&gt;I use sharepoint to store images from an app. This app is made by Powerapps. &lt;/p&gt;
&lt;p&gt;So what I basically want is to use the Aspose library to do some functions, but it is not available for sharepoint online. &lt;/p&gt;
&lt;p&gt;How can I achieve this ? &lt;/p&gt;
</t>
  </si>
  <si>
    <t xml:space="preserve">&lt;p&gt;I want to be able to use a PowerApp button that would copy a form that allow me to enter multiple rows in a table without needing to exit the screen&lt;/p&gt;
&lt;p&gt;&lt;a href="https://i.stack.imgur.com/SbXKx.png" rel="nofollow noreferrer"&gt;Here I want to press the '+' symbol and repeat the department and Cust_Name fields&lt;/a&gt;&lt;/p&gt;
&lt;p&gt;How would I go about doing that or is there an easier route?&lt;/p&gt;
</t>
  </si>
  <si>
    <t xml:space="preserve">&lt;p&gt;Use &lt;a href="https://powerapps.microsoft.com/en-us/tutorials/function-clear-collect-clearcollect/" rel="nofollow noreferrer"&gt;Collect()&lt;/a&gt; to add all the details to a temporary table and display the collection in a gallery.&lt;/p&gt;
&lt;p&gt;When the user hits the '+' symbol collect all the info you need and reset the input field.&lt;/p&gt;
</t>
  </si>
  <si>
    <t xml:space="preserve">&lt;p&gt;As the title says.. I'm building a power app that uploads an image to a sharepoint directory. &lt;/p&gt;
&lt;p&gt;Following &lt;a href="http://www.techmikael.com/2017/05/an-even-more-clever-workaround-for.html#comment-form" rel="noreferrer"&gt;this blog&lt;/a&gt; I was able to successfully upload an image that was captured by a Camera Control.&lt;/p&gt;
&lt;p&gt;However, I would like to do the same thing but with an 'Add Picture' Control.&lt;/p&gt;
&lt;p&gt;My PowerApp function for doing this is&lt;/p&gt;
&lt;pre&gt;&lt;code&gt;ClearCollect(PictureCollection2, AddMediaButton2.Media);
MediaToSharePoint.Run("test.png", First(PictureCollection2).Value)
&lt;/code&gt;&lt;/pre&gt;
&lt;p&gt;I add the media to a collection, then Run a Flow with the value. This value is a form of a URL that contains the image stored as a blob. Here's an example of the value that gets passed to the Flow&lt;/p&gt;
&lt;pre&gt;&lt;code&gt;blob:https://create.powerapps.com/79d7f767-4dff-448d-87ec-b3d2f7cdf27d
&lt;/code&gt;&lt;/pre&gt;
&lt;p&gt;The flow has two steps; a PowerApp connector and a Share Point Create File&lt;/p&gt;
&lt;p&gt;The flow is failing on the second step with a 'Bad Request' error.&lt;/p&gt;
&lt;p&gt;&lt;strong&gt;Has anyone been able to upload an image to Sharepoint via an 'Add Picture' control?&lt;/strong&gt;&lt;/p&gt;
&lt;p&gt;Any help would be appreciated, let me know if there are any more details I should provide.&lt;/p&gt;
</t>
  </si>
  <si>
    <t xml:space="preserve">&lt;p&gt;I've re-created the Menu from Starter App into another App but... I'm getting the following error.&lt;/p&gt;
&lt;blockquote&gt;
  &lt;p&gt;Cannot read property 'descendants' of undefined
  at Header.MenuButton.onClick:2:34&lt;/p&gt;
&lt;/blockquote&gt;
&lt;p&gt;AMU client and server Scripts are added
CSS was added to global app
onClick code added to menu button
IsVisible Property added to Menu Fragment&lt;/p&gt;
&lt;p&gt;I'm obviously missing a step somewhere... and obviously, it has something to do with descendants! haha&lt;/p&gt;
</t>
  </si>
  <si>
    <t xml:space="preserve">&lt;p&gt;yes I was missing the Hidden and Locked Menu pagefragment.
Everything works now :)&lt;/p&gt;
</t>
  </si>
  <si>
    <t xml:space="preserve">&lt;p&gt;Salesforce communities provide native lightning components with the capability of allowing a user to drag and drop components into them. Not all components are allowed (i.e. A tab component cannot contain another tab component, but can contain a list view component). I have this very simple component:&lt;/p&gt;
&lt;pre&gt;&lt;code&gt;&amp;lt;aura:component implements="forceCommunity:availableForAllPageTypes,forceCommunity:layout" access="global" &amp;gt;
 &amp;lt;aura:attribute name="detail" type="Aura.Component[]"&amp;gt;
&amp;lt;p&amp;gt;default paragraph1&amp;lt;/p&amp;gt;
&amp;lt;/aura:attribute&amp;gt;
&amp;lt;aura:set attribute="detail"&amp;gt;&amp;lt;/aura:set&amp;gt;
Default value is: 
    {!v.detail}
&amp;lt;/aura:component&amp;gt;
&lt;/code&gt;&lt;/pre&gt;
&lt;p&gt;This component implements forceCommunity:layout, so I can create a page using it as a layout. When I do, components can be dragged in to where the '{!v.detail}' is. When I drag the component into an already-existing layout, I lose that functionality. Is there any way to do this? &lt;/p&gt;
</t>
  </si>
  <si>
    <t xml:space="preserve">&lt;p&gt;Error parsing file:- &lt;/p&gt;
&lt;pre&gt;&lt;code&gt;Unexpected element {http://soap.sforce.com/2006/04/metadata} 
ol during simple type deserialization
"&amp;lt;ol&amp;gt;"  // Syntax  
"&amp;lt;li&amp;gt;"  // Syntax 
&lt;/code&gt;&lt;/pre&gt;
</t>
  </si>
  <si>
    <t xml:space="preserve">&lt;p&gt;I'm creating a custom connector for powerapps but I'm stuck on deserializing/consuming the response from my web api call. &lt;/p&gt;
&lt;p&gt;I have tested the Get and it works great, but when I tried to Post. Nothing is getting printed, I'm guessing it's something to do with accessing the variable. &lt;/p&gt;
&lt;p&gt;I tested it on the "Connections" and I found this is the default response I got when I call it: &lt;/p&gt;
&lt;pre&gt;&lt;code&gt;Body:
{
  "GetPostTestResult": "This is your Project: "
}
&lt;/code&gt;&lt;/pre&gt;
&lt;p&gt;While the response on my get is just the string "Hello World" &lt;/p&gt;
&lt;p&gt;So how can I access "GetPostTestResult"&lt;/p&gt;
&lt;p&gt;Also a follow up question, what if I have a list of complex objects, how will I able to access them? &lt;/p&gt;
&lt;p&gt;Example response would be: &lt;/p&gt;
&lt;pre&gt;&lt;code&gt;{
  "url": "asd",
  "key": "asd",
  "customFields": [
    {
      "Name": "asd",
      "Value": "asd"
    },
    {
      "Name": "asd",
      "Value": "asd"
    },
    {
      "Name": "asd",
      "Value": "asd"
    }
  ]
}
&lt;/code&gt;&lt;/pre&gt;
</t>
  </si>
  <si>
    <t xml:space="preserve">&lt;p&gt;I am trying to filter a table from Dynamics 365 by selecting a radio button which will update the table on the screen.&lt;/p&gt;
&lt;p&gt;The user has three options to choose from: "School", "Business", "All".&lt;/p&gt;
&lt;p&gt;When the user selects "All" then it should look in the "Accounts" table and search the "industrycode" column for blank values.&lt;/p&gt;
&lt;p&gt;Below is a working Filter(), which returns the result I want&lt;/p&gt;
&lt;pre&gt;&lt;code&gt;Filter(Accounts,industrycode = Blank())
&lt;/code&gt;&lt;/pre&gt;
&lt;p&gt;However if I add an If() statement to it determine which value the user selected from the radio, I get an error that says the '=' symbol is an invalid argument type.&lt;/p&gt;
&lt;pre&gt;&lt;code&gt;Filter(Accounts,industrycode = If("All" in radio_cust_type.Selected.Value,Blank()))
&lt;/code&gt;&lt;/pre&gt;
&lt;p&gt;EDIT: When I want to check for a "School", I use a filter like:&lt;/p&gt;
&lt;pre&gt;&lt;code&gt;Filter(Accounts,industrycode=If("School" in radio_cust_type.Selected.Value,34)) 
&lt;/code&gt;&lt;/pre&gt;
&lt;p&gt;I intend to combine the two filters later but right now I want to check for blanks&lt;/p&gt;
</t>
  </si>
  <si>
    <t xml:space="preserve">&lt;p&gt;This should work:&lt;/p&gt;
&lt;pre&gt;&lt;code&gt;If(
radio_cust_type.Selected.Value="All", Filter(Accounts, industrycode = Blank()),
radio_cust_type.Selected.Value="School", Filter(Accounts, industrycode = 34),
radio_cust_type.Selected.Value="Business", Filter(Accounts, industrycode = XX)
)
&lt;/code&gt;&lt;/pre&gt;
&lt;p&gt;Where XX is the industry code for "Business"&lt;/p&gt;
</t>
  </si>
  <si>
    <t xml:space="preserve">&lt;p&gt;I have a collection of images in Powerapps, that I want to send to Azure storage so that I can access them in the Azure function.&lt;/p&gt;
&lt;p&gt;I have tried to create a workflow in PowerApps using Create block blob, but I cant use dynamic content in there. &lt;/p&gt;
&lt;p&gt;So How can I send all the images I have in a collection to Azure storage? &lt;/p&gt;
&lt;p&gt;I am doing this, so I can have access to these images within the function. If there is an alternative way, I can try that too. I just need access to them in Azure function. &lt;/p&gt;
</t>
  </si>
  <si>
    <t xml:space="preserve">&lt;p&gt;There is a similar solution to what you are looking for, you'd have to: &lt;/p&gt;
&lt;pre&gt;&lt;code&gt;1- Create a custom API to route your images from the source you get them from (Example on article bellow is from camera to Blob)
2- Test your API locally in Azure Emulator
3- Publish API to Azure
4- Register the Custom API in PowerApps:https://docs.microsoft.com/en-us/powerapps/register-custom-api
&lt;/code&gt;&lt;/pre&gt;
&lt;p&gt;The full step by step guide can be found here: &lt;a href="https://powerapps.microsoft.com/en-us/blog/custom-api-for-image-upload/" rel="nofollow noreferrer"&gt;https://powerapps.microsoft.com/en-us/blog/custom-api-for-image-upload/&lt;/a&gt; 
Let me know if this helped Alan.&lt;/p&gt;
</t>
  </si>
  <si>
    <t xml:space="preserve">&lt;p&gt;I am developing an app in power apps. I need to be able to display the digital time in &lt;code&gt;hours:minutes:seconds&lt;/code&gt;. Using &lt;code&gt;Now()&lt;/code&gt; will only display &lt;code&gt;hours:minutes&lt;/code&gt;.&lt;/p&gt;
&lt;p&gt;How do I add seconds to the display?&lt;/p&gt;
</t>
  </si>
  <si>
    <t xml:space="preserve">&lt;p&gt;You can use the &lt;a href="https://powerapps.microsoft.com/tutorials/function-text/" rel="nofollow noreferrer"&gt;Text Function&lt;/a&gt; to convert the date/time value that you get from the &lt;a href="https://powerapps.microsoft.com/tutorials/function-now-today-istoday/" rel="nofollow noreferrer"&gt;Now function&lt;/a&gt; with the format that you want:&lt;/p&gt;
&lt;pre&gt;&lt;code&gt;Text(Now(), "hh:mm:ss")
&lt;/code&gt;&lt;/pre&gt;
&lt;p&gt;If you want the time to be continuously updated, then you need to use a Timer control to set a variable, and use that variable in the Text function.&lt;/p&gt;
&lt;p&gt;For example, on the Timer's OnTimerEnd property, you'd have something like&lt;/p&gt;
&lt;pre&gt;&lt;code&gt;UpdateContext({now: Now()})
&lt;/code&gt;&lt;/pre&gt;
&lt;p&gt;And on the label you'd have&lt;/p&gt;
&lt;pre&gt;&lt;code&gt;Text(now, "hh:mm:ss")
&lt;/code&gt;&lt;/pre&gt;
&lt;p&gt;Notice that the timer will not run in authoring mode, so you need to preview the app ("play" button in the top-right corner) to see it in action. It works fine in the published app.&lt;/p&gt;
</t>
  </si>
  <si>
    <t xml:space="preserve">&lt;p&gt;I have an azure function which takes an input file using multi form like this - &lt;/p&gt;
&lt;pre&gt;&lt;code&gt;    public static class function
{
    [FunctionName("Function1")]
    public static async Task&amp;lt;HttpResponseMessage&amp;gt; Run([HttpTrigger(AuthorizationLevel.Function, "get", "post", Route = null)]HttpRequestMessage req, TraceWriter log,string imagename)
    {
        // parse query parameter
        string name = req.GetQueryNameValuePairs()
            .FirstOrDefault(q =&amp;gt; string.Compare(q.Key, "name", true) == 0)
            .Value;
        // Get request body
        dynamic data = await req.Content.ReadAsAsync&amp;lt;object&amp;gt;();
        // Set name to query string or body data
        name = name ?? data?.name;
       log.Info("C# HTTP trigger function processed a request.");
        return name == null
            ? req.CreateResponse(HttpStatusCode.BadRequest, "Please pass a name on the query string or in the request body")
            : req.CreateResponse(HttpStatusCode.OK, "Hello " + name);
    }
&lt;/code&gt;&lt;/pre&gt;
&lt;p&gt;As you can see at the moment I am not doing anything with the file. I am trying to get it run first. &lt;/p&gt;
&lt;p&gt;My swagger file looks like this : &lt;/p&gt;
&lt;pre&gt;&lt;code&gt;        {
 "swagger": "2.0",
  "info": {
  "version": "1.0.0",
  "title": "Testfunction"
  },
  "host": "Testfunction.azurewebsites.net",
 "paths": {
   "/api/Function1": {
  "post": {
    "tags": [
      "Function1"
    ],
    "operationId": "UploadImage",
    "consumes": [
      "multipart/form-data"
    ],
    "produces": [
      "application/json",
      "text/json",
      "application/xml",
      "text/xml"
    ],
    "parameters": [
      {
        "name": "file",
        "in": "formData",
        "required": true,
        "type": "file",
        "x-ms-media-kind": "image"
      },
      {
        "name": "fileName",
        "in": "query",
        "required": false,
        "type": "string"
      }
    ],
    "responses": {
      "200": {
        "description": "Saved successfully",
        "schema": {
          "$ref": "#/definitions/UploadedFileInfo"
        }
      },
      "400": {
        "description": "Could not find file to upload"
      }
    },
    "summary": "Image Upload",
    "description": "Image Upload"
  }
}},
"definitions": {
"UploadedFileInfo": {
  "type": "object",
  "properties": {
    "FileName": {
      "type": "string"
    },
    "FileExtension": {
      "type": "string"
    },
    "FileURL": {
      "type": "string"
    },
    "ContentType": {
      "type": "string"
    }
  }
}
},
  "securityDefinitions": {
"AAD": {
  "type": "oauth2",
  "flow": "accessCode",
  "authorizationUrl": "https://login.windows.net/common/oauth2/authorize",
  "tokenUrl": "https://login.windows.net/common/oauth2/token",
  "scopes": {}
   }
 },
 "security": [
  {
   "AAD": []
  }
],
"tags": []
}
&lt;/code&gt;&lt;/pre&gt;
&lt;p&gt;I have configured the Auth0 properly but when I try to run this in Powerapps, it returns with unknown error as the response. &lt;/p&gt;
&lt;p&gt;I am trying to send an image to the azure function with which I want to convert it to PDF. How can I do this? &lt;/p&gt;
</t>
  </si>
  <si>
    <t xml:space="preserve">&lt;p&gt;According to your code, it seems that you are using the &lt;a href="https://github.com/Azure/azure-webjobs-sdk-script/wiki/Precompiled-functions" rel="nofollow noreferrer"&gt;precompiled functions&lt;/a&gt;. I found your HttpTrigger function code does not match the swagger file you provided. For a simple way, I just use the Azure Portal and created my HttpTrigger function as follow:&lt;/p&gt;
&lt;p&gt;&lt;strong&gt;run.csx:&lt;/strong&gt;&lt;/p&gt;
&lt;pre&gt;&lt;code&gt;using System.Net;
public static async Task&amp;lt;HttpResponseMessage&amp;gt; Run(HttpRequestMessage request, TraceWriter log)
{
    //Check if the request contains multipart/form-data.
    if (!request.Content.IsMimeMultipartContent())
    {
        return request.CreateResponse(HttpStatusCode.UnsupportedMediaType);
    }
    //The root path where the content of MIME multipart body parts are written to
    string root = Path.Combine(System.Environment.GetEnvironmentVariable("HOME"), @"site\wwwroot\HttpTriggerCSharp1\");
    var provider = new MultipartFormDataStreamProvider(root);
    // Read the form data
    await request.Content.ReadAsMultipartAsync(provider);
    List&amp;lt;UploadedFileInfo&amp;gt; files = new List&amp;lt;UploadedFileInfo&amp;gt;();
    // This illustrates how to get the file names.
    foreach (MultipartFileData file in provider.FileData)
    {   
        var fileInfo = new FileInfo(file.Headers.ContentDisposition.FileName.Trim('"'));
        files.Add(new UploadedFileInfo()
        {
            FileName = fileInfo.Name,
            ContentType = file.Headers.ContentType.MediaType,
            FileExtension = fileInfo.Extension,
            FileURL = file.LocalFileName
        });
    }
    return request.CreateResponse(HttpStatusCode.OK, files, "application/json");
}
public class UploadedFileInfo
{
    public string FileName { get; set; }
    public string FileExtension { get; set; }
    public string FileURL { get; set; }
    public string ContentType { get; set; }
}
&lt;/code&gt;&lt;/pre&gt;
&lt;p&gt;&lt;strong&gt;Note:&lt;/strong&gt; The MIME multipart body parts are stored under your temp folder. You could retrieve the temp file full path via &lt;code&gt;file.LocalFileName&lt;/code&gt;, then use the related library to process the conversion, then save the PDF file(s) and remove the temp file(s), then return the converted file(s) to the client.&lt;/p&gt;
&lt;p&gt;&lt;strong&gt;Test:&lt;/strong&gt;&lt;/p&gt;
&lt;p&gt;&lt;a href="https://i.stack.imgur.com/IMGbV.png" rel="nofollow noreferrer"&gt;&lt;img src="https://i.stack.imgur.com/IMGbV.png" alt="enter image description here"&gt;&lt;/a&gt;&lt;/p&gt;
&lt;p&gt;Additionally, I would recommend you store your files under &lt;a href="https://azure.microsoft.com/en-us/services/storage/blobs/" rel="nofollow noreferrer"&gt;Azure Blob Storage&lt;/a&gt;. And you could refer to this official &lt;a href="https://docs.microsoft.com/en-us/azure/storage/blobs/storage-dotnet-how-to-use-blobs" rel="nofollow noreferrer"&gt;toturial&lt;/a&gt; for getting started with it.&lt;/p&gt;
</t>
  </si>
  <si>
    <t xml:space="preserve">&lt;p&gt;I know this feature is available for the old Salesforce UI, but couldn't find anywhere how to pre-populate recipients using Docusign Lightning component. &lt;/p&gt;
&lt;p&gt;Has anybody been able to solve it?&lt;/p&gt;
</t>
  </si>
  <si>
    <t xml:space="preserve">&lt;p&gt;I am trying to send some images to power app using a custom connector. &lt;/p&gt;
&lt;p&gt;My OpenAPI file looks this - &lt;/p&gt;
&lt;pre&gt;&lt;code&gt;{
"swagger": "2.0",
"info": {
"version": "1.0.0",
"title": "Upload To Function"
},
"host": "XXXXXXXXXXXXX/.azurewebsites.net",
"paths": {
"/api/HttpTriggerCSharp/name/{name}": {
  "post": {
    "tags": [
      "HttpTriggerCSharp"
    ],
    "operationId": "UploadImage",
    "consumes": [
      "multipart/form-data"
    ],
    "produces": [
      "application/json",
      "text/json",
      "application/xml",
      "text/xml"
    ],
    "parameters": [
      {
        "name": "file",
        "in": "formData",
        "required": true,
        "type": "file",
        "x-ms-media-kind": "image"
      },
      {
        "name": "name",
        "in": "path",
        "required": true,
        "type": "string"
      }
    ],
    "responses": {
      "200": {
        "description": "Saved successfully"
      },
      "400": {
        "description": "Could not find file to upload"
      }
    },
    "summary": "Image Upload",
    "description": "Image Upload"
  }
  }
 },
 "definitions": {}
}
&lt;/code&gt;&lt;/pre&gt;
&lt;p&gt;My function works as I have tested it out using POSTMAN, and also within the Azure function portal. But when I test it out on Powerapps using this swagger file, I get Status code 404, Resource not found error. &lt;/p&gt;
&lt;p&gt;I call my function like this in Powerapps - &lt;/p&gt;
&lt;pre&gt;&lt;code&gt;Uploadtofunction.uploadimage(MainimageView.image,{filename:"test")
&lt;/code&gt;&lt;/pre&gt;
&lt;p&gt;Any idea, on why it's not working? &lt;/p&gt;
&lt;p&gt;Edit: Here is how I tested it out on POSTMAN. I think its also related to the filename in swagger. Because when I add name/filename in the body, I get 500 internal server issue. &lt;/p&gt;
&lt;p&gt;&lt;a href="https://i.stack.imgur.com/gYmBs.png" rel="nofollow noreferrer"&gt;&lt;img src="https://i.stack.imgur.com/gYmBs.png" alt="enter image description here"&gt;&lt;/a&gt;&lt;/p&gt;
</t>
  </si>
  <si>
    <t xml:space="preserve">&lt;p&gt;This is the salesforce application, i want to click the admin menu, so below is the source&lt;/p&gt;
&lt;pre&gt;&lt;code&gt;&amp;lt;li class="slds-context-bar__item slds-shrink-none" is="one-app-nav-bar-item-root"&amp;gt;
&amp;lt;a class="slds-context-bar__label-action" href="#/n/admin" title="Admin" tabindex="0"&amp;gt;
&amp;lt;span class="slds-truncate"&amp;gt;Admin&amp;lt;/span&amp;gt;
&amp;lt;/a&amp;gt;
&amp;lt;/li&amp;gt;
&lt;/code&gt;&lt;/pre&gt;
&lt;p&gt;i framed below xpath using contains, but its not working&lt;/p&gt;
&lt;pre&gt;&lt;code&gt;driver.findElement(By.xpath("//span[contains(.,'Admin')]"));
&lt;/code&gt;&lt;/pre&gt;
&lt;p&gt;I get the path from firepath/IDE, its working&lt;/p&gt;
&lt;pre&gt;&lt;code&gt;@FindBy(how =How.XPATH, using = "//header[@id='oneHeader']/div[3]/one-appnav/div/one-app-nav-bar/nav/ul/li[2]/a/span")
&lt;/code&gt;&lt;/pre&gt;
&lt;p&gt;but i want to frame generic xpath with above html either using menu name or title (admin), please guid me, because in feature if any ul or li tag added in between its not working&lt;/p&gt;
</t>
  </si>
  <si>
    <t xml:space="preserve">&lt;p&gt;I'm trying to use web workers in lightning component. Using them in lightning component directly fails due to LockerService. Another option of using them inside the newly available lightning:container fails due to CSP rules. Don't know if it matters but I'm using a patch org and developing a managed packed.&lt;/p&gt;
&lt;p&gt;The issue I'm getting is:&lt;/p&gt;
&lt;pre&gt;&lt;code&gt;Refused to create a worker from 'blob:https://xxxx.container.lightning.com/0487b8bd-d72f-4859-a0b7-0b2608a108c0' because it violates the following Content Security Policy directive: "script-src 'self' chrome-extension: https://zzzz.net *.na55.visual.force.com https://ssl.gstatic.com/accessibility/ 'nonce-yyyy'". Note that 'worker-src' was not explicitly set, so 'script-src' is used as a fallback.
&lt;/code&gt;&lt;/pre&gt;
&lt;p&gt;I've created a &lt;code&gt;manifest.json&lt;/code&gt; file inside the resource with the following content according to the following &lt;a href="https://developer.salesforce.com/docs/atlas.en-us.lightning.meta/lightning/container_csp.htm" rel="noreferrer"&gt;documentation&lt;/a&gt;:&lt;/p&gt;
&lt;pre&gt;&lt;code&gt;{
  "landing-pages" : [
    {
      "path": "index.html",
      "content-security-policy-type": "custom",
      "content-security-policy": "script-src *;"
    }
  ]
}
&lt;/code&gt;&lt;/pre&gt;
&lt;p&gt;It seems that my &lt;code&gt;manifest.json&lt;/code&gt; is being ignored. Here is the CSP request that is being sent:&lt;/p&gt;
&lt;pre&gt;&lt;code&gt;{"csp-report":{"document-uri":"https://xxxx.container.lightning.com/lcc/0000/xxxxx/index.html?sfdcIFrameOrigin=https%3A%2F%2Fxxxx.lightning.force.com","referrer":"https://xxxx.lightning.force.com/","violated-directive":"worker-src","effective-directive":"worker-src","original-policy":"default-src 'self'; script-src  'self' chrome-extension: https://zzzz.net *.na55.visual.force.com https://ssl.gstatic.com/accessibility/ 'nonce-yyyy'; object-src 'self' https://xxxx.na55.content.force.com; style-src 'self' chrome-extension: 'unsafe-inline' *.na55.visual.force.com; img-src 'self' http: https: data: blob: *.na55.visual.force.com; media-src 'self' https://xxxx.na55.content.force.com *.na55.visual.force.com; frame-ancestors https://xxxx.lightning.force.com; frame-src https: mailto: *.na55.visual.force.com; font-src 'self' https: data: *.na55.visual.force.com; connect-src 'self' https://api.bluetail.salesforce.com https://staging.bluetail.salesforce.com https://preprod.bluetail.salesforce.com *.na55.visual.force.com; report-uri /_/csp","disposition":"enforce","blocked-uri":"blob","line-number":1,"column-number":31921,"source-file":"https://xxxx.container.lightning.com/lcc/0000/xxxxx/all.min.js","status-code":0,"script-sample":""}}
&lt;/code&gt;&lt;/pre&gt;
&lt;p&gt;I would like to get Web Workers working in SalesForce lightning component, one way or another. Anyone had similar situation?&lt;/p&gt;
</t>
  </si>
  <si>
    <t xml:space="preserve">&lt;p&gt;I am using the User Picker for Google App Maker and it only seems to return the email address.  Before using the User Picker, you need to add the Directory model into your app, which I have done already.&lt;/p&gt;
&lt;p&gt;My question is, Is there a way to use that selected email as the key and grab the corresponding record in the Directory model?&lt;/p&gt;
&lt;p&gt;I have some code which returns &lt;code&gt;undefined&lt;/code&gt; for the 3 values (userFullname, userPhone, and userAddress) I am looking for.&lt;/p&gt;
&lt;p&gt;Server Script Code:&lt;/p&gt;
&lt;pre&gt;&lt;code&gt;function getUserInfoByEmail(email) {
    var userFullname;
    var userPhone;
    var userAddress;
    console.log("serverCode - getUserInfoByEmail: " + email);
    var query = app.models.Directory.newQuery();
    query.filters.PrimaryEmail._equals = email;
    var records = query.run();
    if (records === null) {
        console.log("serverCode - getUserByEmail() - records is null");
    }
    console.log("serverCode - getUserByEmail() - " + records.length);
    for (var user in records) {
        if (user === null) {
            console.log("serverCode - getUserByEmail() - user is null");
        }
        console.log("serverCode - getUserByEmail() - user: " + user);
        userFullname = user.FullName;
        userPhone = user.PrimaryPhone;
        userAddress = user.PrimaryAddress;
        console.log("serverCode - getUserInfoByEmail - userPhone: " + userPhone);
        console.log("serverCode - getUserInfoByEmail - userAddress: " + userAddress);
        console.log("serverCode - getUserInfoByEmail - userFullname: " + userFullname);
    }
}
&lt;/code&gt;&lt;/pre&gt;
&lt;p&gt;The &lt;code&gt;null&lt;/code&gt; checks do not return null, there are no errors.&lt;/p&gt;
&lt;p&gt;Here is the output from the console:&lt;/p&gt;
&lt;pre&gt;&lt;code&gt;Tue Nov 14 15:22:17 GMT-700 2017 clientCode - newValue: myemail@this.eml
Tue Nov 14 15:22:18 GMT-700 2017 serverCode - getUserInfoByEmail: myemail@this.eml
Tue Nov 14 15:22:18 GMT-700 2017 serverCode - getUserByEmail() - 1
Tue Nov 14 15:22:18 GMT-700 2017 serverCode - getUserByEmail() - user: 0
Tue Nov 14 15:22:18 GMT-700 2017 serverCode - getUserInfoByEmail - userPhone: undefined
Tue Nov 14 15:22:18 GMT-700 2017 serverCode - getUserInfoByEmail - userAddress: undefined
Tue Nov 14 15:22:18 GMT-700 2017 serverCode - getUserInfoByEmail - userFullname: undefined
&lt;/code&gt;&lt;/pre&gt;
&lt;p&gt;Appreciate any direction and help.&lt;/p&gt;
</t>
  </si>
  <si>
    <t xml:space="preserve">&lt;p&gt;On a form I put a &lt;code&gt;DrivePicker&lt;/code&gt; widget/button. This button opens my Google Drive and I can select an image. To show this image in an &lt;code&gt;Image&lt;/code&gt; widget I need the webcontent link instead of the file URL link. The file URL link won't work.&lt;/p&gt;
&lt;p&gt;By the property editor of the &lt;code&gt;DrivePicker&lt;/code&gt; widget I put the following code at &lt;code&gt;onDocumentSelect&lt;/code&gt; part.&lt;/p&gt;
&lt;pre&gt;&lt;code&gt;varId = result.docs[0].id;
widget.datasource.item.strArtikelAfbeeldingId = result.docs[0].id;
widget.datasource.item.strArtikelAfbeeldingUrl = Drive.Files.get(varId).webContentLink;
&lt;/code&gt;&lt;/pre&gt;
&lt;p&gt;Unfortunately I get no webcontentlink and got the following error message&lt;/p&gt;
&lt;blockquote&gt;
  &lt;p&gt;Drive is not defined
  at pageTabelArtikelen.Form1.Form1Body.DrivePicker1.onDocumentSelect:3:50&lt;/p&gt;
&lt;/blockquote&gt;
&lt;p&gt;How can I get a webcontentlink of a selected image when using &lt;code&gt;DrivePicker&lt;/code&gt; widget?&lt;/p&gt;
</t>
  </si>
  <si>
    <t xml:space="preserve">&lt;p&gt;You need to run a server function from the client to use Drive. So you can still run this function for the onDocumentSelect event, but you would want to declare a server function such as getFileWebContent() and then change your event code to:&lt;/p&gt;
&lt;p&gt;Client&lt;/p&gt;
&lt;pre&gt;&lt;code&gt;var Id = widget.selectedDocId;
    google.script.run
      .withSuccessHandler(function() {
      //do something here with the returned link from server;
      })
      .withFailureHandler(function() {
      //optional failure handler;
      })
      .getFileWebContent(Id);
&lt;/code&gt;&lt;/pre&gt;
&lt;p&gt;Server&lt;/p&gt;
&lt;pre&gt;&lt;code&gt;function getFileWebContent(Id) {
  var link = Drive.Files.get(Id).WebContentLink;
  return link;
}
&lt;/code&gt;&lt;/pre&gt;
&lt;p&gt;It would be more ideal to run the server code in the model onCreate event which is a server function. In this case your model can have a field for the file id and in your onCreate event you would run&lt;/p&gt;
&lt;pre&gt;&lt;code&gt;var link = Drive.Files.get(record.FileId).webContentLink;
record.WebLink = link;
&lt;/code&gt;&lt;/pre&gt;
</t>
  </si>
  <si>
    <t xml:space="preserve">&lt;p&gt;Is there a way to set the onClick to return to the previous page, rather than a specific page?&lt;/p&gt;
&lt;p&gt;I have a print friendly page that is linked to by multiple pages. It would be nice if when users click "Back" they are returned to the page they just came from. &lt;/p&gt;
</t>
  </si>
  <si>
    <t xml:space="preserve">&lt;p&gt;Absolutely, here is a function that you can add to your client script file and call from any widget event handler:&lt;/p&gt;
&lt;pre class="lang-js prettyprint-override"&gt;&lt;code&gt;/**
 * Navigates user to a previous page.
 */
function goBack() {
  window.history.back();
}
&lt;/code&gt;&lt;/pre&gt;
</t>
  </si>
  <si>
    <t xml:space="preserve">&lt;p&gt;I generated a PowerApps from an existing SharePoint list and I have a Choice column which has been automatically converted to a dropdown list on the app's Edit screen. The issue I'm having is that the app lets the user "edit" the dropdown list and they can type something else other than the premade choices.&lt;/p&gt;
&lt;p&gt;Is it possible to make the dropdown read-only? I have several fields that rely on its selection for visibility. For some reason I couldn't find a property that lets me lock the choices. Am I missing something? Thanks for any help!&lt;/p&gt;
</t>
  </si>
  <si>
    <t xml:space="preserve">&lt;p&gt;I would like to have some kind of interceptor or something that shows a loading spinner for every request made to the server, what I am looking is the most general form of it. I currently have a spinner component that holds the view and controller in it, but I am just wondering how do I make this general for every http request show it into the view maybe in the header or somewhere else.&lt;/p&gt;
&lt;p&gt;This is the view part: &lt;/p&gt;
&lt;pre&gt;&lt;code&gt;&amp;lt;aura:component &amp;gt;
&amp;lt;aura:attribute name="visible" type="Boolean" default="false"/&amp;gt;
&amp;lt;div class="{!if(v.visible, '', 'slds-hide')}"&amp;gt;
    &amp;lt;div class="slds-spinner_container"&amp;gt;
        &amp;lt;div role="status" class="slds-spinner slds-spinner_medium"&amp;gt;
            &amp;lt;span class="slds-assistive-text"&amp;gt;Loading&amp;lt;/span&amp;gt;
            &amp;lt;div class="slds-spinner__dot-a"&amp;gt;&amp;lt;/div&amp;gt;
            &amp;lt;div class="slds-spinner__dot-b"&amp;gt;&amp;lt;/div&amp;gt;
        &amp;lt;/div&amp;gt;
    &amp;lt;/div&amp;gt;
&amp;lt;/div&amp;gt;
&lt;/code&gt;&lt;/pre&gt;
&lt;p&gt;&lt;/p&gt;
&lt;p&gt;I should somehow add to the controller some logic for other controllers to call it, but I just dont know and not quite sure what is the best way to do it!&lt;/p&gt;
&lt;p&gt;For ex I have some controllers that makes a call to the server and I would like to somehow automatically show the loading spinner when such actions happens:&lt;/p&gt;
&lt;pre&gt;&lt;code&gt;doInit : function(component, event, helper)
{
    var getTeamAction = component.get("c.getCurrentUserTeam");
    getTeamAction.setCallback(this, function(response) {
        if(response)
        {
            var t= response.getReturnValue();
            component.set("v.millTeamMembers", t);
        }
        else
        {
            console.log("Unable to getteam");
        }
    });
    $A.enqueueAction(getTeamAction);
}
&lt;/code&gt;&lt;/pre&gt;
</t>
  </si>
  <si>
    <t xml:space="preserve">&lt;p&gt;Use this, Whenever you are calling to server call doShowModalProcessing(comp) method and after getting response call doHideModalProcessing(comp).&lt;/p&gt;
&lt;p&gt;Markup: &lt;/p&gt;
&lt;pre&gt;&lt;code&gt;&amp;lt;div aura:id="modalProcessing" class="busy-backdrop busy-backdrop--open hideDiv"&amp;gt;
    &amp;lt;div class="slds-spinner--brand slds-spinner slds-spinner--large" aria-hidden="false" role="alert"&amp;gt;
        &amp;lt;div class="slds-spinner__dot-a"&amp;gt;&amp;lt;/div&amp;gt;
        &amp;lt;div class="slds-spinner__dot-b"&amp;gt;&amp;lt;/div&amp;gt;
    &amp;lt;/div&amp;gt;
&amp;lt;/div&amp;gt;
&lt;/code&gt;&lt;/pre&gt;
&lt;p&gt;Helper: &lt;/p&gt;
&lt;pre&gt;&lt;code&gt;doShowModalProcessing : function(component) {        
    var modal = component.find("modalProcessing");
    $A.util.removeClass(modal, 'hideDiv');
},
doHideModalProcessing : function(component) {
    var modal = component.find("modalProcessing");
    $A.util.addClass(modal, 'hideDiv');
},
&lt;/code&gt;&lt;/pre&gt;
&lt;p&gt;CSS:&lt;/p&gt;
&lt;pre&gt;&lt;code&gt;   .THIS.hideDiv {
    display: none;
  }
&lt;/code&gt;&lt;/pre&gt;
</t>
  </si>
  <si>
    <t xml:space="preserve">&lt;p&gt;Trying to make out this call&lt;/p&gt;
&lt;p&gt;&lt;a href="https://www.zoho.com/creator/help/api/rest-api/rest-api-edit-records.html" rel="nofollow noreferrer"&gt;https://www.zoho.com/creator/help/api/rest-api/rest-api-edit-records.html&lt;/a&gt;&lt;/p&gt;
&lt;p&gt;I did tried everything but seems i need basic knowledge. Can anyone give me directions what is wrong with my code&lt;/p&gt;
&lt;pre&gt;&lt;code&gt;Public Sub updateRecord(ByVal ht As Hashtable, ByVal criteriaField As String)
        Dim apiUrl As String = "https://creator.zoho.com/api/xml/write/apikey=xxxx"
        Dim xmlStr As New System.Text.StringBuilder
        Dim newvalue As New System.Text.StringBuilder
        newvalue.AppendLine("&amp;lt;newvalues&amp;gt;")
        xmlStr.Append("&amp;lt;ZohoCreator&amp;gt;&amp;lt;applicationlist&amp;gt;")
        xmlStr.Append("&amp;lt;application name=copy-of-ebay-inventory&amp;gt;&amp;lt;formlist&amp;gt;&amp;lt;form name=Ebay_Inventory&amp;gt;")
        xmlStr.AppendLine("&amp;lt;update&amp;gt;")
        xmlStr.AppendLine("&amp;lt;criteria&amp;gt;")
        xmlStr.AppendLine("&amp;lt;field name='Ticket Number' compOperator='Equals' value='20573'&amp;gt;&amp;lt;/field&amp;gt;")
        xmlStr.AppendLine("&amp;lt;/criteria&amp;gt;")
        newvalue.AppendLine("&amp;lt;field name='Found on site' value='1'&amp;gt;&amp;lt;/field&amp;gt;")
        newvalue.AppendLine("&amp;lt;/newvalues&amp;gt;")
        xmlStr.Append(newvalue.ToString)
        xmlStr.AppendLine("&amp;lt;/update&amp;gt;")
        xmlStr.AppendLine("&amp;lt;/form&amp;gt;&amp;lt;/formlist&amp;gt;&amp;lt;/application&amp;gt;&amp;lt;/applicationlist&amp;gt;&amp;lt;/ZohoCreator&amp;gt;")
        Dim params As String = "XMLString=" + xmlStr.ToString
        Dim res As String = getResponseFromUrl(apiUrl, params)
    End Sub
Public Function getResponseFromUrl(ByVal url As String, ByVal params As String)
        Dim str As String = ""
        Try
            Dim webreq As HttpWebRequest = WebRequest.Create(url)
            webreq.Method = "POST"
            webreq.ContentType = "application/x-www-form-urlencoded"
            Dim byteArray As Byte() = Encoding.UTF8.GetBytes(params)
            Dim dataStream As Stream = webreq.GetRequestStream()
            dataStream.Write(byteArray, 0, byteArray.Length)
            dataStream.Close()
            Dim res As WebResponse = webreq.GetResponse()
            Dim stream As Stream = res.GetResponseStream()
            Dim streamReader As New StreamReader(stream)
            str = streamReader.ReadToEnd
        Catch ex As Exception
            MsgBox(ex.ToString)
        End Try
        Return str.ToString
    End Function
&lt;/code&gt;&lt;/pre&gt;
&lt;p&gt;At the end of formating my xml looks like&lt;/p&gt;
&lt;p&gt;&lt;a href="https://i.stack.imgur.com/YqmFb.png" rel="nofollow noreferrer"&gt;&lt;img src="https://i.stack.imgur.com/YqmFb.png" alt="Sample"&gt;&lt;/a&gt;&lt;/p&gt;
&lt;p&gt;But that is not that. 
Found a good example on ..&lt;/p&gt;
&lt;p&gt;&lt;a href="https://forums.zoho.com/topic/cannot-see-my-post-about-asp-net#2266000002594784" rel="nofollow noreferrer"&gt;LINK DEMO&lt;/a&gt;&lt;/p&gt;
&lt;p&gt;Reposnse&lt;/p&gt;
&lt;p&gt;&lt;a href="https://i.stack.imgur.com/51mux.png" rel="nofollow noreferrer"&gt;&lt;img src="https://i.stack.imgur.com/51mux.png" alt="enter image description here"&gt;&lt;/a&gt;&lt;/p&gt;
</t>
  </si>
  <si>
    <t xml:space="preserve">&lt;p&gt;Wrap all XML attribute values with a quote (single or double, although double is more common):&lt;/p&gt;
&lt;pre&gt;&lt;code&gt;    xmlStr.Append("&amp;lt;application name=" &amp;amp; ControlChars.Quote &amp;amp; "copy-of-ebay-inventory" &amp;amp; ControlChars.Quote &amp;amp;
                  "&amp;gt;&amp;lt;formlist&amp;gt;&amp;lt;form name=" &amp;amp; ControlChars.Quote &amp;amp; "Ebay_Inventory" &amp;amp; ControlChars.Quote &amp;amp; "&amp;gt;")
&lt;/code&gt;&lt;/pre&gt;
</t>
  </si>
  <si>
    <t xml:space="preserve">&lt;p&gt;Trying to make an api call here is code&lt;/p&gt;
&lt;pre&gt;&lt;code&gt; public static void Main()
    {
        // Create a request using a URL that can receive a post.   
        WebRequest request = WebRequest.Create("https://creator.zoho.eu/api/programerAnel/xml/testAPP/form/Edit/record/update");
        // Set the Method property of the request to POST.  
        request.Method = "POST";
        // Create POST data and convert it to a byte array.  
        string postData = @"
        &amp;lt; input type=""hidden"" name =""authtoken"" value=""12333""&amp;gt;
        &amp;lt; input type = ""hidden"" name = ""scope"" id = ""scope"" value = ""creatorapi""&amp;gt;
        &amp;lt; input type = ""text"" name = ""criteria"" value = ""UpdateUj=123"" &amp;gt;
        &amp;lt; input type = ""text"" name = ""Kljuc"" value = ""1"" &amp;gt;
        &amp;lt; input type = ""submit"" value = ""Update Record"" &amp;gt; ";
        byte[] byteArray = Encoding.UTF8.GetBytes(postData);
        // Set the ContentType property of the WebRequest.  
        request.ContentType = "application/x-www-form-urlencoded";
        // Set the ContentLength property of the WebRequest.  
        request.ContentLength = byteArray.Length;
        // Get the request stream.  
        Stream dataStream = request.GetRequestStream();
        // Write the data to the request stream.  
        dataStream.Write(byteArray, 0, byteArray.Length);
        // Close the Stream object.  
        dataStream.Close();
        // Get the response.  
        WebResponse response = request.GetResponse();
        // Display the status.  
        Console.WriteLine(((HttpWebResponse)response).StatusDescription);
        // Get the stream containing content returned by the server.  
        dataStream = response.GetResponseStream();
        // Open the stream using a StreamReader for easy access.  
        StreamReader reader = new StreamReader(dataStream);
        // Read the content.  
        string responseFromServer = reader.ReadToEnd();
        // Display the content.  
        Console.WriteLine(responseFromServer);
        // Clean up the streams.  
        reader.Close();
        dataStream.Close();
        response.Close();
    }
&lt;/code&gt;&lt;/pre&gt;
&lt;p&gt;But it keep throwing me response . &lt;/p&gt;
&lt;blockquote&gt;
  &lt;p&gt;System.Net.WebException: 'The remote server returned an error: (400)
  Bad Request.'&lt;/p&gt;
&lt;/blockquote&gt;
&lt;p&gt;Is it possible to send postData in format like this at all ?&lt;/p&gt;
&lt;p&gt;The requests are sent to &lt;a href="https://www.zoho.eu/creator/help/api/rest-api/rest-api-edit-records.html" rel="nofollow noreferrer"&gt;Zoho - REST API&lt;/a&gt;&lt;/p&gt;
</t>
  </si>
  <si>
    <t xml:space="preserve">&lt;p&gt;I was facing some time-zone related issue with custom date/time object on salesforce basically I am creating/updating that value via force.com api's from different application. And salesforce convert the date/time value on default TimeZone witch is GMT. &lt;/p&gt;
&lt;p&gt;&lt;em&gt;On Salesforce user/organisation setting I have different timezone (not in GMT it's GMT+5:30 IST)
So every time when record is created its show the value in GMT not in GMT+5:30.&lt;/em&gt;&lt;/p&gt;
&lt;p&gt;What I did to convert the custom date/time filed timezone into local/setting timezone I used a formula custom date/time field in Salesforce and use &lt;strong&gt;&lt;code&gt;DATETIMEVALUE( Date_Time__c )&lt;/code&gt;&lt;/strong&gt; formula which gives me the local/setting timezone.&lt;/p&gt;
&lt;p&gt;&lt;strong&gt;&lt;em&gt;But the problem is it's keep updating the value and I want this only that time of creation of object. After doing some re-search on salesforce found some formula where they are using AND and OR to achieve this but for me all of them not working because I want date/time object in return not boolean.&lt;/em&gt;&lt;/strong&gt;&lt;/p&gt;
&lt;p&gt;If you have any idea please let me know ...     &lt;/p&gt;
</t>
  </si>
  <si>
    <t xml:space="preserve">&lt;p&gt;Am getting a connection time out error when am trying to send a django mail through smtp. Below is my configuration -&lt;/p&gt;
&lt;pre&gt;&lt;code&gt;EMAIL_BACKEND = 'django.core.mail.backends.smtp.EmailBackend'
# Host for sending e-mail.
EMAIL_HOST = 'smtp.zoho.com'
# Port for sending e-mail.
EMAIL_PORT = 587
# Optional SMTP authentication information for EMAIL_HOST.
EMAIL_HOST_USER = 'cs@amaze.com'
EMAIL_HOST_PASSWORD = 'amaze123'
EMAIL_USE_TLS = True
&lt;/code&gt;&lt;/pre&gt;
&lt;p&gt;And the code which am using is :&lt;/p&gt;
&lt;pre&gt;&lt;code&gt;    from django.core.mail import send_mail
    &amp;gt;&amp;gt;&amp;gt; send_mail('Order Confirmation', 'Order placed successfuly', 
'cs@amaze.com', ['check@gmail.com'])
&lt;/code&gt;&lt;/pre&gt;
&lt;p&gt;&lt;strong&gt;Error -&lt;/strong&gt;&lt;/p&gt;
&lt;pre&gt;&lt;code&gt;Traceback (most recent call last):
  File "&amp;lt;console&amp;gt;", line 1, in &amp;lt;module&amp;gt;
  File "/usr/local/lib/python2.7/dist-packages/django/core/mail/__init__.py", li                                                                                        ne 61, in send_mail
    return mail.send()
  File "/usr/local/lib/python2.7/dist-packages/django/core/mail/message.py", lin                                                                                        e 292, in send
    return self.get_connection(fail_silently).send_messages([self])
  File "/usr/local/lib/python2.7/dist-packages/django/core/mail/backends/smtp.py                                                                                        ", line 100, in send_messages
    new_conn_created = self.open()
  File "/usr/local/lib/python2.7/dist-packages/django/core/mail/backends/smtp.py                                                                                        ", line 58, in open
    self.connection = connection_class(self.host, self.port, **connection_params                                                                                        )
  File "/usr/lib/python2.7/smtplib.py", line 256, in __init__
    (code, msg) = self.connect(host, port)
  File "/usr/lib/python2.7/smtplib.py", line 316, in connect
    self.sock = self._get_socket(host, port, self.timeout)
  File "/usr/lib/python2.7/smtplib.py", line 291, in _get_socket
    return socket.create_connection((host, port), timeout)
  File "/usr/lib/python2.7/socket.py", line 571, in create_connection
    raise err
error: [Errno 110] Connection timed out
&lt;/code&gt;&lt;/pre&gt;
</t>
  </si>
  <si>
    <t xml:space="preserve">&lt;p&gt;I have a model with url images in this format "&lt;a href="https://drive.google.com/file/d/" rel="nofollow noreferrer"&gt;https://drive.google.com/file/d/&lt;/a&gt;&amp;lt; id &gt;/view". &lt;/p&gt;
&lt;p&gt;Urls are referred to images stored on my Drive. &lt;/p&gt;
&lt;p&gt;I have an image widget into form binding  to the url in images model. &lt;/p&gt;
&lt;p&gt;When I preview the app, the url works as  href but  image is not displayed in the form. &lt;/p&gt;
&lt;p&gt;What's wrong? Someone can help me please?&lt;/p&gt;
</t>
  </si>
  <si>
    <t xml:space="preserve">&lt;p&gt;I'm new to PowerApps and am exploring relational databases before starting a project in PowerApps (involving relational databases). I'm trying to do a simple join of two entities (drink and human), where the drink has a BuyerID field which relates to a "human"'s Primary ID.
So I tried
&lt;code&gt;ForAll(Filter(drink, (name = "Americano") And (drink.BuyerID = human.PrimaryId) ), Collect(AmericanoDrinkers, {FirstName: human.firstName, LastName: human.lastName}))&lt;/code&gt;
to get a collection of humans who brought an Americano, but I get an &lt;code&gt;Invalid argument type&lt;/code&gt; error with &lt;code&gt;drink.BuyerID = human.PrimaryId&lt;/code&gt;. 
Any ideas? I've tried changing &lt;code&gt;=&lt;/code&gt; to &lt;code&gt;in&lt;/code&gt; and stuff like &lt;code&gt;drink.BuyerID&lt;/code&gt; to &lt;code&gt;drink[@BuyerID]&lt;/code&gt;. Note that the drink.BuyerID datatype is "Lookup" and human.PrimaryId is integer, so could I be getting this error because of the different types? Also I'm certain there's nothing wrong with the data because when editting the drink entity in excel, the powerapps add-on shows the related humans when a BuyerID is selected.&lt;/p&gt;
</t>
  </si>
  <si>
    <t xml:space="preserve">&lt;p&gt;The problem was just the setup, I just created a new field (BuyerID2) in the drinks entity and set it as a number value rather than a lookup like BuyerID was, and all 3 (my initial one, and the two Meneghino provided) solutions worked fine (although I had to change &lt;code&gt;drink.BuyerID = human.PrimaryId&lt;/code&gt; to &lt;code&gt;BuyerID2 in human.PrimaryId&lt;/code&gt;). &lt;/p&gt;
</t>
  </si>
  <si>
    <t xml:space="preserve">&lt;p&gt;I'm passing a parameter to a PowerApp through the calling URL called ID, i.e.
&lt;a href="https://web.powerapps.com/apps/" rel="nofollow noreferrer"&gt;https://web.powerapps.com/apps/&lt;/a&gt;&lt;em&gt;powerappid&lt;/em&gt;?ID=32&lt;/p&gt;
&lt;p&gt;When the app launches I want it to jump from BrowseScreen1 which lists all the Business Cases and go straight to the Business Case with the matching ID (a field from a SharePoint list).&lt;/p&gt;
&lt;p&gt;I'm brand new to PowerApps but pretty sure what I need to do is called Deep Linking and I found this tutorial &lt;a href="https://powerapps.microsoft.com/en-us/blog/powerapps-deep-linking/" rel="nofollow noreferrer"&gt;https://powerapps.microsoft.com/en-us/blog/powerapps-deep-linking/&lt;/a&gt; and having read the comments to the article I'm trying to apply it to the OnStart property of BrowseScreen1. I don't really understand how the navigation link in the tutorial is constructed so I'm sure I'm using the wrong Navigation parameters as it always launches the first record in the list ignoring anything to do with the ID. I'm using:&lt;/p&gt;
&lt;blockquote&gt;
  &lt;p&gt;If(Not(IsBlank(Param("ID"))),Navigate(DetailScreen1,
  None,{ID:LookUp('Full Business Case For Review'.ID, ID =
  Value(Param("ID")))}))&lt;/p&gt;
&lt;/blockquote&gt;
&lt;p&gt;'Full Business Case For Review' is the name of the Sharepoint list and ID is a unique field that gets assigned to each list item.&lt;/p&gt;
&lt;p&gt;The tutorial doesn't mention having to change anything on the detail screen but I've also wondered if I need to perhaps change the item properties there as they are currently:&lt;/p&gt;
&lt;blockquote&gt;
  &lt;p&gt;BrowseGallery1.Selected&lt;/p&gt;
&lt;/blockquote&gt;
&lt;p&gt;I'm feeling out of my depth and would really appreciate some help on this!&lt;/p&gt;
&lt;p&gt;Thanks,&lt;/p&gt;
&lt;p&gt;John&lt;/p&gt;
</t>
  </si>
  <si>
    <t xml:space="preserve">&lt;p&gt;Yes, you need to change the Item property in the detail screen.  This is because there is currently no way to select an item in a gallery programmatically in PowerApps.&lt;/p&gt;
&lt;p&gt;I normally get around this by using a global variable to store the current item, so you can set BrowseSreen1.OnStart to this&lt;/p&gt;
&lt;pre&gt;&lt;code&gt;If(Not(IsBlank(Param("ID"))),
    Set(CurrentItem, LookUp('Full Business Case For Review'.ID, ID = Value(Param("ID"))));
        Navigate(DetailScreen1, None)
    )
&lt;/code&gt;&lt;/pre&gt;
&lt;p&gt;This will store the item with ID equal to your parameter as a record type variable.&lt;/p&gt;
&lt;p&gt;You also need to change the OnSelect property of your BrowseGallery1's template or whichever control is used to navigate to the detail screen.  It will need to be something like this&lt;/p&gt;
&lt;pre&gt;&lt;code&gt;Set(CurrentItem, ThisItem); Navigate(DetailScreen1, None)
&lt;/code&gt;&lt;/pre&gt;
&lt;p&gt;Finally set the Item property in the detail screen simply to this&lt;/p&gt;
&lt;pre&gt;&lt;code&gt;CurrentItem
&lt;/code&gt;&lt;/pre&gt;
</t>
  </si>
  <si>
    <t xml:space="preserve">&lt;p&gt;I'm practicing with the early access Google App Maker and want to create a simple app that allows an administrator to change the password of another user in the organisation. &lt;/p&gt;
&lt;p&gt;Whenever I try to call the Admin SDK API with something that would have previously worked with App Script, I get an error. It seems to be that App Maker is not allowing access to the SDK API.&lt;/p&gt;
&lt;p&gt;I've enabled the Advanced Services &gt; Google Admin Directory API. Is this where I should be able to enable the Admin SDK API (required for changing passwords)&lt;/p&gt;
&lt;p&gt;To test, I'm trying to run &lt;a href="https://developers.google.com/admin-sdk/directory/v1/quickstart/apps-script" rel="nofollow noreferrer"&gt;this simple function&lt;/a&gt;:&lt;/p&gt;
&lt;pre&gt;&lt;code&gt;function listUsers() {
  var response = AdminDirectory.Users.list(optionalArgs);
  var users = response.users;
  if (users &amp;amp;&amp;amp; users.length &amp;gt; 0) {
    Logger.log('Users:');
    for (i = 0; i &amp;lt; users.length; i++) {
      var user = users[i];
      Logger.log('%s (%s)', user.primaryEmail, user.name.fullName);
    }
  } else {
    Logger.log('No users found.');
  }
}
&lt;/code&gt;&lt;/pre&gt;
&lt;p&gt;The above code returns this error:&lt;/p&gt;
&lt;pre&gt;&lt;code&gt;AdminDirectory is not defined at NewPage.Button1.onClick:2:18
&lt;/code&gt;&lt;/pre&gt;
&lt;p&gt;I'm sure I must be missing something here. &lt;/p&gt;
&lt;p&gt;Many Thanks.&lt;/p&gt;
</t>
  </si>
  <si>
    <t xml:space="preserve">&lt;p&gt;AdminDirectory (As well as other advanced services) are available on server side only.&lt;/p&gt;
&lt;p&gt;You should move the method to Server Script and call it with google.script.run on button's click.&lt;/p&gt;
&lt;p&gt;Please use code completion to see available options.&lt;/p&gt;
</t>
  </si>
  <si>
    <t xml:space="preserve">&lt;p&gt;I have a situation where I have multiple calculated datasources that can be displayed on ene page. But for some reason I cant seem to change the datasource of the widget on the page.
Is this possible at all? I have tried all combinations but nothing seems to work.&lt;/p&gt;
</t>
  </si>
  <si>
    <t xml:space="preserve">&lt;p&gt;Generally, it is not possible to change widget's datasource in runtime.&lt;/p&gt;
&lt;p&gt;There are some exceptions for some widgets... For instance with widgets like Dropdown or Multiselect you can dynamically change their &lt;code&gt;options&lt;/code&gt;, &lt;code&gt;values&lt;/code&gt; and &lt;code&gt;names&lt;/code&gt; properties, but in most cases it works only with simple types(strings/numbers) and strictly saying it is not real datasource change.&lt;/p&gt;
&lt;p&gt;There is also dirty hack with &lt;code&gt;Dynamic&lt;/code&gt; custom property type, but I'll not recommend to use it...&lt;/p&gt;
&lt;p&gt;So... if you have multiple datasources for the same Calculated Model, I would consider squeezing all of them into one and adding parameters to tell your server side which records it should return.&lt;/p&gt;
</t>
  </si>
  <si>
    <t xml:space="preserve">&lt;p&gt;I am using an API call to update a record:&lt;/p&gt;
&lt;pre&gt;&lt;code&gt;Dim TargetURL As String = "https://creator.zoho.com/api/json/" &amp;amp; myCfg.ZohoAPP &amp;amp; "/view/" &amp;amp; myCfg.ZohoReport &amp;amp; "?authtoken=" &amp;amp; myCfg.ZohoToken &amp;amp; "&amp;amp;scope=creatorapi&amp;amp;zc_ownername=" &amp;amp; myCfg.ZohoUser &amp;amp; "&amp;amp;criteria=(New_Ebay_Tracking_number==" &amp;amp; ebayNumber &amp;amp; ")&amp;amp;raw=true"
Dim httpReq As Object
httpReq = CreateObject("WinHttp.WinHttpRequest.5.1")
httpReq.Open("GET", TargetURL, False)
&lt;/code&gt;&lt;/pre&gt;
&lt;p&gt;So at this part I say update with &lt;/p&gt;
&lt;pre&gt;&lt;code&gt;(New_Ebay_Tracking_number==" &amp;amp; ebayNumber &amp;amp; ")
&lt;/code&gt;&lt;/pre&gt;
&lt;p&gt;And it works perfectly if my ebayNumber is only digits. But when I have a letter in it doesn't work.&lt;/p&gt;
&lt;p&gt;So I changed my API call to &lt;/p&gt;
&lt;pre&gt;&lt;code&gt;(New_Ebay_Tracking_number==""" &amp;amp; ebayNumber &amp;amp; """)
&lt;/code&gt;&lt;/pre&gt;
&lt;p&gt;But that way I'm not getting any response.. &lt;/p&gt;
&lt;p&gt;Keep in mind that when I call the API via POSTMAN as (New_Ebay_Tracking_number=="1234R") I got the response. But when I put quotes in my code it doesnt work.&lt;/p&gt;
&lt;p&gt;Entire send request method&lt;/p&gt;
&lt;pre&gt;&lt;code&gt;Try
            Dim TargetURL As String = "https://creator.zoho.com/api/json/" &amp;amp; myCfg.ZohoAPP &amp;amp; "/view/" &amp;amp; myCfg.ZohoReport &amp;amp; "?authtoken=" &amp;amp; myCfg.ZohoToken &amp;amp; "&amp;amp;scope=creatorapi&amp;amp;zc_ownername=" &amp;amp; myCfg.ZohoUser &amp;amp; "&amp;amp;criteria=(New_Ebay_Tracking_number==" &amp;amp; ebayNumber &amp;amp; ")&amp;amp;raw=true"
            Dim httpReq As Object
            httpReq = CreateObject("WinHttp.WinHttpRequest.5.1")
            httpReq.Open("GET", TargetURL, False)
            httpReq.setRequestHeader("Content-Type", "application/x-www-form-urlencoded")
            httpReq.send("")
            Dim response As String = httpReq.responseText
        Catch ex As Exception
            WriteLog("Error during check item on ZOHO " &amp;amp; ex.Message)
        End Try
&lt;/code&gt;&lt;/pre&gt;
</t>
  </si>
  <si>
    <t xml:space="preserve">&lt;ul&gt;
&lt;li&gt;I want to use live agent Service, that I configured already.&lt;/li&gt;
&lt;li&gt;But I cant create new Custom chat page(because I cant see add &lt;strong&gt;sites&lt;/strong&gt; functionality in my account)
(I already add &lt;strong&gt;domain&lt;/strong&gt; and &lt;strong&gt;visualforce pages&lt;/strong&gt;)&lt;/li&gt;
&lt;/ul&gt;
</t>
  </si>
  <si>
    <t xml:space="preserve">&lt;p&gt;Hi there Im trying to extract data from a google trends graph but google does not provide an API to do so...&lt;/p&gt;
&lt;p&gt;I need to get the most recent data using javascript or jquery is that possible?&lt;/p&gt;
&lt;p&gt;If yes can you help me out?&lt;/p&gt;
</t>
  </si>
  <si>
    <t xml:space="preserve">&lt;p&gt;Currently, the &lt;a href="https://developers.google.com/appmaker/samples/calculated-model/" rel="nofollow noreferrer"&gt;Calculated Model Sample app&lt;/a&gt; only calculates the &lt;em&gt;count&lt;/em&gt; of the records for each &lt;strong&gt;Type&lt;/strong&gt;. I would like to calculate the &lt;em&gt;sum&lt;/em&gt; of the ratings for each &lt;strong&gt;Type&lt;/strong&gt; as well. &lt;/p&gt;
&lt;p&gt;To briefly explain the app's data model, there are three fields for each record: Name (str), &lt;strong&gt;Type&lt;/strong&gt; (str), and &lt;strong&gt;Rating&lt;/strong&gt; (num).&lt;/p&gt;
&lt;p&gt;I have added a &lt;em&gt;sum&lt;/em&gt; &lt;em&gt;field&lt;/em&gt; to the &lt;strong&gt;Aggregation&lt;/strong&gt; calculated model, but am unclear what exactly I need to change in the code &lt;strong&gt;CalculatedModels&lt;/strong&gt; script in the app.&lt;/p&gt;
&lt;p&gt;Here is the code block which calculates the &lt;em&gt;count&lt;/em&gt; of each &lt;strong&gt;Type&lt;/strong&gt;. I've added the &lt;code&gt;records.Sum =&lt;/code&gt; to indicate how and where the &lt;em&gt;sum&lt;/em&gt; should be recorded. However, since the existing for loop increments by 1 (to calculate the &lt;em&gt;count&lt;/em&gt;), do I need another for loop that would increment by the value of each record's &lt;strong&gt;Rating&lt;/strong&gt; (since the &lt;em&gt;sum&lt;/em&gt; will be the total of the &lt;strong&gt;Ratings&lt;/strong&gt; for each &lt;strong&gt;Type&lt;/strong&gt;? Or can I just use the existing for loop, as I have indicated by inserting the &lt;code&gt;records.Sum =&lt;/code&gt; where I did?&lt;/p&gt;
&lt;pre&gt;&lt;code&gt;/**
 * Gathers statistics of Data records distribution by Type field values.
 * Used by the calculated datasource AggregationByType.
 * @return {Array&amp;lt;Aggregation&amp;gt;} array of records with the stats by Type.
 */  
function getStatisticsByType_() {
      var allRecords = app.models.Data.newQuery().run();
      var stats = {};
      for (var i = 0; i &amp;lt; allRecords.length; i++) {
        var recordType = allRecords[i].Type;
        if (!stats[recordType]) {
          stats[recordType] = 0;
        }
        stats[recordType]++;
      }
  var records = [];
  var properties = Object.getOwnPropertyNames(stats);
  for (var j = 0; j &amp;lt; properties.length; j++) {
    var record = app.models.Aggregation.newRecord();
    record.Name = properties[j];
    record.Count = stats[properties[j]];
    record.Sum = 
    records.push(record);
  }
  records.sort(sortDataByName_);
  return records;
}
&lt;/code&gt;&lt;/pre&gt;
</t>
  </si>
  <si>
    <t xml:space="preserve">&lt;p&gt;This should do it. Sorry don't have the time to explain at the moment.&lt;/p&gt;
&lt;pre&gt;&lt;code&gt;function getStatisticsByType_() {
  var allRecords = app.models.Data.newQuery().run();
  var stats = {};
  var data = [];
  for (var i = 0; i &amp;lt; allRecords.length; i++) {
    var recordType = allRecords[i].Type;
    var num = allRecords[i].Rating;
    if (!stats[recordType]) {
      stats[recordType] = {'Count': 0, 'Sum': 0};
    }
    stats[recordType].Count++;
    stats[recordType].Sum += num;
  }
  var records = [];
  var properties = Object.getOwnPropertyNames(stats);
  console.log(stats);
  for (var j = 0; j &amp;lt; properties.length; j++) {
    var record = app.models.Aggregation.newRecord();
    record.Name = properties[j];
    record.Count = stats[properties[j]].Count;
    record.Sum = stats[properties[j]].Sum;
    records.push(record);
  }
  records.sort(sortDataByName_);
  return records;
}
&lt;/code&gt;&lt;/pre&gt;
</t>
  </si>
  <si>
    <t xml:space="preserve">&lt;p&gt;I have an app that includes a datasource created from an existing Cloud SQL table.  A column has since been added to the Cloud SQL table (outside of App Maker).  &lt;/p&gt;
&lt;p&gt;How do I get the App Maker datasource to reflect the new table schema?&lt;/p&gt;
</t>
  </si>
  <si>
    <t xml:space="preserve">&lt;p&gt;You need to go to &lt;strong&gt;Settings -&gt; Database&lt;/strong&gt; and click &lt;code&gt;Check&lt;/code&gt; button:
&lt;a href="https://i.stack.imgur.com/NQSSI.png" rel="nofollow noreferrer"&gt;&lt;img src="https://i.stack.imgur.com/NQSSI.png" alt="Database Settings"&gt;&lt;/a&gt;&lt;/p&gt;
&lt;p&gt;App Maker will show you a dialog with multiple choices. You can opt to import changes from database:
&lt;a href="https://i.stack.imgur.com/jly2w.png" rel="nofollow noreferrer"&gt;&lt;img src="https://i.stack.imgur.com/jly2w.png" alt="Database synchronization options"&gt;&lt;/a&gt;&lt;/p&gt;
&lt;p&gt;In other words, App Maker supports both Database First and &lt;em&gt;kinda&lt;/em&gt; Code First development approaches.&lt;/p&gt;
</t>
  </si>
  <si>
    <t xml:space="preserve">&lt;p&gt;What am I trying to do is, I have couple of datasource and I need to use the records details for reporting purposing. I need to get each field's Start_date and extract the month from it and if it is current month, last month or ... I will count them, however, I tried everything to access my datasource, unfortunately, no luck at all. the result will be populated on another page.   &lt;/p&gt;
</t>
  </si>
  <si>
    <t xml:space="preserve">&lt;p&gt;The function f does not type check in the following code, which uses singletons with Frames and Vinyl:&lt;/p&gt;
&lt;pre&gt;&lt;code&gt;f :: forall rs1 rs2.  SList rs1 -&amp;gt; Frame (Record rs1) -&amp;gt; Int
f (OnlyRecord s1 t1) df1 = broadcast (*) (rhead &amp;lt;$&amp;gt; df1)
pattern OnlyRecord :: Sing s -&amp;gt; Sing t -&amp;gt; SList '[s :-&amp;gt; t]
pattern OnlyRecord sym typsing = SCons (SRecArrow sym typsing) SNil
rhead :: Record ((s :-&amp;gt; t) ': sstt) -&amp;gt; t
rhead (x :&amp;amp; xs) = getCol $ getIdentity x
data instance Sing (a :: Type) where
    SRecArrow :: Sing (s :: Symbol) -&amp;gt; Sing (t :: Type) -&amp;gt; Sing (s :-&amp;gt; t)
&lt;/code&gt;&lt;/pre&gt;
&lt;p&gt;The error is &lt;code&gt;Couldn't match type ‘rs1’ with ‘'[s2 :-&amp;gt; t1]&lt;/code&gt; in the call to rhead -- basically it seems as if the pattern match is not binding the structure of rs1 as I would expect.  But if I inline the pattern, it type checks:&lt;/p&gt;
&lt;pre&gt;&lt;code&gt;f' :: forall rs1 rs2.  SList rs1 -&amp;gt; Frame (Record rs1) -&amp;gt; Int
f' (SCons (SRecArrow s1 t1) SNil) df1 = broadcast (*) (rhead &amp;lt;$&amp;gt; df1)
&lt;/code&gt;&lt;/pre&gt;
&lt;p&gt;Given the pattern synonym is supposed to be, well, a synonym, shouldn't it work identically to the inline pattern?&lt;/p&gt;
</t>
  </si>
  <si>
    <t xml:space="preserve">&lt;p&gt;The definition of the pattern synonym is correct; it is the type which is wrong. The correct type is&lt;/p&gt;
&lt;pre&gt;&lt;code&gt;pattern OnlyRecord :: () =&amp;gt; (rs ~ '[s :-&amp;gt; t]) =&amp;gt; Sing s -&amp;gt; Sing t -&amp;gt; SList rs
pattern OnlyRecord ...
&lt;/code&gt;&lt;/pre&gt;
&lt;p&gt;With your original pattern type signature (which is equivalent to &lt;code&gt;() =&amp;gt; () =&amp;gt; Sing s -&amp;gt; Sing t -&amp;gt; SList '[s :-&amp;gt; t]&lt;/code&gt;), you are claiming that given an expression &lt;code&gt;x :: SList '[s :-&amp;gt; t]&lt;/code&gt; you can match on this expression using your pattern synonym. However, in &lt;code&gt;f&lt;/code&gt;, you don't have such an expression - you only have &lt;code&gt;x :: SList rs1&lt;/code&gt; for some &lt;code&gt;rs1&lt;/code&gt;, which is strictly more general. With the correct signature, you can use the pattern synonym to match on such an expression, because the pattern synonym is declared to be applicable to any &lt;code&gt;SList rs&lt;/code&gt;; and then the &lt;em&gt;provided constraints&lt;/em&gt; (namely &lt;code&gt;rs ~ '[s :-&amp;gt; t]&lt;/code&gt;) are available within the scope of the pattern match.&lt;/p&gt;
&lt;p&gt;For additional details regarding pattern signatures, see the &lt;a href="https://downloads.haskell.org/~ghc/latest/docs/html/users_guide/glasgow_exts.html#typing-of-pattern-synonyms" rel="nofollow noreferrer"&gt;GHC user guide&lt;/a&gt;.&lt;/p&gt;
</t>
  </si>
  <si>
    <t xml:space="preserve">&lt;p&gt;I have the requirement to calculate the number of attachments for custom object.
So I have written the trigger on attachment where as it was not working on Insert event. I want to check is insert event work on Attachments or not?&lt;/p&gt;
</t>
  </si>
  <si>
    <t xml:space="preserve">&lt;p&gt;Trying to separate the content of the page into a single file, so whenever a text on site changes, I dont have to go to every page and change the text but change it from the file and it will reflect on all pages, smth that can be useful for multi language support!&lt;/p&gt;
&lt;p&gt;I currently dont have any code written as this is not as important as first thinking of organizing the structure for it, like, what format the text content would be, where to put the file, how to better extract etc.&lt;/p&gt;
</t>
  </si>
  <si>
    <t xml:space="preserve">&lt;p&gt;I'm trying to use Integration Studio for the first time to create an extension to make an API call with a file upload. Unfortunately, I'm not very well versed with .NET. This is the code I'm trying to replicate on Integration Studio:&lt;/p&gt;
&lt;pre&gt;&lt;code&gt;public static async Task&amp;lt;PendingAttachment&amp;gt; Upload(string FilePath)
{
    byte[] byteFile = System.IO.File.ReadAllBytes(FilePath);
    FileInfo fi = new FileInfo(FilePath);
    PendingAttachment pa = null;
    using (var client = new HttpClient())
    {
        string token = "XXXXXXXXXXXXX";
        client.DefaultRequestHeaders.Add("Authorization", "Bearer" + token);
        using (var content = new MultipartFormDataContent("Upload----" + DateTime.Now.ToString(CultureInfo.InvariantCulture)))
        {
            content.Add(new StreamContent(new MemoryStream(byteFile)), "attachment", fi.Name);
            using (var message = await client.PostAsync("https://www.yammer.com/api/v1/pending_attachments", content))
            {
                if (message.IsSuccessStatusCode)
                {
                    var result = await message.Content.ReadAsStringAsync();
                    pa = Newtonsoft.Json.JsonConvert.DeserializeObject&amp;lt;PendingAttachment&amp;gt;(result);
                    return pa;
                }
            }
        }
    }
    return null;
}
&lt;/code&gt;&lt;/pre&gt;
&lt;p&gt;So, this is what I've tried. I have created the following structures on Integration Studio:&lt;/p&gt;
&lt;pre&gt;&lt;code&gt;public class PendingAttachment
{
    public int id { get; set; }
    public int network_id { get; set; }
    public string url { get; set; }
    public string web_url { get; set; }
    public string type { get; set; }
    public string name { get; set; }
    public string original_name { get; set; }
    public string full_name { get; set; }
    public string description { get; set; }
    public string content_type { get; set; }
    public string content_class { get; set; }
    public string created_at { get; set; }
    public int owner_id { get; set; }
    public bool official { get; set; }
    public string small_icon_url { get; set; }
    public string large_icon_url { get; set; }
    public string download_url { get; set; }
    public string thumbnail_url { get; set; }
    public string preview_url { get; set; }
    public string large_preview_url { get; set; }
    public int size { get; set; }
    public string owner_type { get; set; }
    public string last_uploaded_at { get; set; }
    public int last_uploaded_by_id { get; set; }
    public string last_uploaded_by_type { get; set; }
    public object uuid { get; set; }
    public object transcoded { get; set; }
    public object streaming_url { get; set; }
    public string path { get; set; }
    public int y_id { get; set; }
    public string overlay_url { get; set; }
    public string privacy { get; set; }
    public object group_id { get; set; }
    public bool is_pending { get; set; }
    public int height { get; set; }
    public int width { get; set; }
    public string scaled_url { get; set; }
    public Image image { get; set; }
    public int latest_version_id { get; set; }
    public string status { get; set; }
    public Latest_Version latest_version { get; set; }
    public Stats stats { get; set; }
    public string _OriginalFileName { get; set; }
}
public class Image
{
    public string url { get; set; }
    public int size { get; set; }
    public string thumbnail_url { get; set; }
}
public class Latest_Version
{
    public int id { get; set; }
    public int file_id { get; set; }
    public string content_type { get; set; }
    public int size { get; set; }
    public int uploader_id { get; set; }
    public string created_at { get; set; }
    public string path { get; set; }
    public string download_url { get; set; }
    public string thumbnail_url { get; set; }
    public string preview_url { get; set; }
    public string large_preview_url { get; set; }
    public string post_processed_id { get; set; }
    public object streaming_url { get; set; }
    public string revert_url { get; set; }
    public int height { get; set; }
    public int width { get; set; }
    public string scaled_url { get; set; }
    public string thumbnail_path { get; set; }
    public string preview_path { get; set; }
    public string large_preview_path { get; set; }
    public string status { get; set; }
}
public class Stats
{
    public int following { get; set; }
    public int followers { get; set; }
    public int updates { get; set; }
    public object first_reply_id { get; set; }
    public object first_reply_at { get; set; }
    public int latest_reply_id { get; set; }
    public string latest_reply_at { get; set; }
    public int shares { get; set; }
}
&lt;/code&gt;&lt;/pre&gt;
&lt;p&gt;As this extension will be used for mobile, I have added 2 input parameters, to send the FileData as well as the FileName, to avoid having to extract that data. I have added an output parameter with the data type PendingAttachment which is the structure mentioned above.&lt;/p&gt;
&lt;p&gt;So the issue I'm facing is that since it is an async method, Visual Studio isn't allowing me to have an output parameter. So is there a way to fix this?&lt;/p&gt;
&lt;p&gt;P.S: Yes, I have tried implementing this normally on Service Studio, by referencing the Box File Upload plugin. It did not work (gave a 500 error). I have also been assured that this method works properly.&lt;/p&gt;
&lt;p&gt;Thank you for your help!&lt;/p&gt;
</t>
  </si>
  <si>
    <t xml:space="preserve">&lt;p&gt;I have a table with two filters on it. Both filters are in the form of Dropdown widgets; when a user selects an item from the list of options in the Dropdowns, the table is filtered to include only records with that item. Each Dropdown filter is a Relation to the table's datasource.&lt;/p&gt;
&lt;p&gt;Currently, each Dropdown's Options is just the full list of Items from that Dropdown's particular datasource. However, when the value of one Dropdown is changed by the user, I would like the other Dropdown's Options list to be populated only with &lt;/p&gt;
&lt;p&gt;For example, I have a table of US and Canadian citizens and their home state/province. The first Dropdown filters the table by country, the second by state/province. If I select 'Canada' from the first Dropdown, then when I select an item for the second Dropdown, only Canadian provinces appear as options, and none of the US states would.&lt;/p&gt;
</t>
  </si>
  <si>
    <t xml:space="preserve">&lt;p&gt;I have a Calculated Model, &lt;strong&gt;MonthlyTotalsByResource&lt;/strong&gt;, displayed in a table that I am trying to query with a filter. First, I am retrieving the initial data from a regular Data Model called &lt;strong&gt;Allocations&lt;/strong&gt;. I only wish to retrieve records from Allocations where the "Approved" field &lt;code&gt;=true&lt;/code&gt;. &lt;/p&gt;
&lt;p&gt;I also want to allow the user to filter &lt;strong&gt;MonthlyTotalsByResource&lt;/strong&gt; by the "ManagerName" field. I have created a Dropdown widget with the Options as the full list of managers, and the Value is a query on the Calculated Model datasource:&lt;/p&gt;
&lt;pre&gt;&lt;code&gt;    @datasource.query.filters.ManagerName._equals
&lt;/code&gt;&lt;/pre&gt;
&lt;p&gt;Here is the beginning of my code for getting the data for the Calculated Model &lt;strong&gt;MonthlyTotalsByResource&lt;/strong&gt; from the regular data model &lt;strong&gt;Allocations&lt;/strong&gt;, and where I filter for only "true" values in the Approved field. I am unclear what I should make the ManagerName filter set to in order for it to be binded to my Dropdown widget, or if I should add another query on the Calculated Model itself, instead of here on the regular Data Model. &lt;/p&gt;
&lt;pre&gt;&lt;code&gt;    function getMonthlyTotalsByResource_() {
        var allRecordsQuery = app.models.Allocations.newQuery();
        allRecordsQuery.filters.Approved._equals = true;
        allRecordsQuery.filters.Resource.Manager.ManagerName._equals = ;
&lt;/code&gt;&lt;/pre&gt;
</t>
  </si>
  <si>
    <t xml:space="preserve">&lt;p&gt;I'm getting an incorrect time in an AppMaker App and so I added this console.log statement to see what it was returning.&lt;/p&gt;
&lt;pre&gt;&lt;code&gt;function getTodaysDate(){
  console.log('Time Zone is ',Session.getScriptTimeZone());
  return Utilities.formatDate(new Date(),Session.getScriptTimeZone(),"E MMM d, yyyy HH:mm");
}
&lt;/code&gt;&lt;/pre&gt;
&lt;p&gt;Here's the return:&lt;/p&gt;
&lt;p&gt;&lt;code&gt;Sat Dec 09 09:54:38 GMT-700 2017 Time Zone is America/Los_Angeles&lt;/code&gt;&lt;/p&gt;
&lt;p&gt;However, I live in another timezone. In fact, you you can &lt;strong&gt;see my time zone&lt;/strong&gt; in the &lt;strong&gt;console log response.&lt;/strong&gt;&lt;/p&gt;
&lt;blockquote&gt;
  &lt;p&gt;The problem is that I don't know where to change this in App Maker and the instructions that pop with code completion seem to refer to the old script editor and not the App Maker Editor.&lt;/p&gt;
&lt;/blockquote&gt;
&lt;p&gt;&lt;a href="https://i.stack.imgur.com/cvTVB.jpg" rel="nofollow noreferrer"&gt;&lt;img src="https://i.stack.imgur.com/cvTVB.jpg" alt="enter image description here"&gt;&lt;/a&gt;&lt;/p&gt;
&lt;blockquote&gt;
  &lt;p&gt;So for now I'm not using Session.getScriptTimeZone() but simply hardwiring it to "GMT-7".&lt;/p&gt;
&lt;/blockquote&gt;
</t>
  </si>
  <si>
    <t xml:space="preserve">&lt;blockquote&gt;
  &lt;p&gt;instructions that pop with code completion seem to refer to the old script editor and not the App Maker Editor&lt;/p&gt;
&lt;/blockquote&gt;
&lt;p&gt;It is totally OK, since App Maker is generating Apps Script apps.&lt;/p&gt;
&lt;blockquote&gt;
  &lt;p&gt;&lt;strong&gt;File -&gt; Project properties&lt;/strong&gt;&lt;/p&gt;
&lt;/blockquote&gt;
&lt;p&gt;You don't access to this configuration, since Apps Script project(App Maker deployment) is hidden/encapsulated by App Maker application and App Maker doesn't provide a way to configure these properties at this time...&lt;/p&gt;
</t>
  </si>
  <si>
    <t xml:space="preserve">&lt;p&gt;I am not able to see my lightning component when trying to create a lighting tab. Something is wrong with one of the components - &lt;/p&gt;
&lt;p&gt;I moved the component and tab using salesforce dx and when editing the component. I am getting below error. I seems like one of the component is throwing an error when i am trying to edit the record - &lt;/p&gt;
&lt;p&gt;Error = Review all error messages below to correct your data.
You can only create lightning tabs for AuraDefinitionBundles containing a component that implements force:appHostable and has no required attributes without a default value. (Related field: Content)&lt;/p&gt;
&lt;p&gt;Observation - When i remove the attribute from parent component and child component than its working and i am able to save the tab. Something is not correct with my component initiation.&lt;/p&gt;
&lt;p&gt;Code in parent Component - &lt;/p&gt;
&lt;pre&gt;&lt;code&gt;&amp;lt;aura:if isTrue="{!!v.customTab}"&amp;gt;
&amp;lt;div aura:id="defaultTabContent" class="slds-show"&amp;gt;
    &amp;lt;c:ApiRequestFieldMapping custom="false" objectName="Credit_Report__c"/&amp;gt;
&amp;lt;/div&amp;gt;
&amp;lt;/aura:if&amp;gt;
&amp;lt;aura:if isTrue="{!v.customTab}"&amp;gt;
&amp;lt;div aura:id="customTabContent" class="slds-hide"&amp;gt;
    &amp;lt;c:ApiRequestFieldMapping custom="true" listSObjects="
    {!v.listSObjects}" message="Select object from drop-down." 
    messageClass="Info"/&amp;gt;
&amp;lt;/div&amp;gt;
&lt;/code&gt;&lt;/pre&gt;
&lt;p&gt;Code in Child Component - &lt;/p&gt;
&lt;pre&gt;&lt;code&gt;&amp;lt;aura:handler name="init" action="{!c.doInit}" value="{!this}"/&amp;gt;
&amp;lt;aura:registerEvent name="handleModelVisiblity" type="c:HandleModel"/&amp;gt;
&amp;lt;!-- attributes --&amp;gt;
&amp;lt;aura:attribute name="custom" type="Boolean"/&amp;gt;
&amp;lt;aura:attribute name="objectName" type="String"/&amp;gt;
&amp;lt;aura:attribute name="listSObjects" type="String[]"/&amp;gt;
&amp;lt;aura:attribute name="message" type="String"/&amp;gt;
&amp;lt;aura:attribute name="messageClass" type="String"/&amp;gt; 
&amp;lt;aura:attribute name="listSObjectFields" type="String[]" 
required="false"/&amp;gt;
&amp;lt;aura:attribute name="customObjectName" type="String" 
required="false"/&amp;gt;
&amp;lt;aura:attribute name="listWrapper" 
type="RequestMappingWrapper.MappingRecords[]" required="false"/&amp;gt;
&lt;/code&gt;&lt;/pre&gt;
&lt;p&gt;Already Tried - 1. My component is already implementing "force:appHostable" interface.
2. The component us using latest version.(40.0)
3. Have already tried creating the components.
4. My org has my domain enabled and also have namespace.&lt;/p&gt;
</t>
  </si>
  <si>
    <t xml:space="preserve">&lt;p&gt;I have fixed the issue. I have removed the reference to inner class in one of the attribute. Changed "RequestMappingWrapper.MappingRecords[]" to "RequestMappingWrapper[]".&lt;/p&gt;
</t>
  </si>
  <si>
    <t xml:space="preserve">&lt;p&gt;New appmaker user here.&lt;/p&gt;
&lt;p&gt;I'm trying to port the work permits approval "app" I made with G Suite form+spreadsheet+GAS; users should enter the day, the start and end time of the permit.&lt;/p&gt;
&lt;p&gt;I can see from the Forum Sample that the Date field type is a DateTime field type, so I can use it in my model.&lt;br&gt;
The problem is I cannot find the time picker in the widgets, and the date box has no option to also enter the time.&lt;/p&gt;
&lt;p&gt;Am I missing something?&lt;/p&gt;
</t>
  </si>
  <si>
    <t xml:space="preserve">&lt;p&gt;At this time App Maker doesn't provide out of the box Time or Date/Time picker widgets, it means that you need to implement one by yourself. There are at least two ways to accomplish this task:&lt;/p&gt;
&lt;p&gt;&lt;strong&gt;App Maker way&lt;/strong&gt;&lt;/p&gt;
&lt;p&gt;Wait and hope when App Maker will introduce Time or Date/Time picker widget or use existing App Maker widgets to emulate Time Picker. &lt;a href="https://developers.google.com/appmaker/samples/calendar/" rel="nofollow noreferrer"&gt;Calendar Sample&lt;/a&gt; can be a good starting point:
&lt;a href="https://i.stack.imgur.com/9Y3Z7.png" rel="nofollow noreferrer"&gt;&lt;img src="https://i.stack.imgur.com/9Y3Z7.png" alt="Calendar Sample"&gt;&lt;/a&gt;&lt;/p&gt;
&lt;p&gt;&lt;strong&gt;Hack into DOM/JS&lt;/strong&gt;&lt;/p&gt;
&lt;p&gt;If you have no concerns about cross-browser compatibility and you are OK to get you hands dirty with DOM manipulation by javascript, creating events listeners and other cool stuff, then you can play with &lt;a href="https://developers.google.com/appmaker/ui/display-widgets#html" rel="nofollow noreferrer"&gt;HTML widget&lt;/a&gt; and native &lt;a href="https://developer.mozilla.org/en-US/docs/Web/HTML/Element/input/datetime-local" rel="nofollow noreferrer"&gt;date/time&lt;/a&gt; or &lt;a href="https://developer.mozilla.org/en-US/docs/Web/HTML/Element/input/time" rel="nofollow noreferrer"&gt;time&lt;/a&gt; input, or even some third party library.&lt;/p&gt;
</t>
  </si>
  <si>
    <t xml:space="preserve">&lt;p&gt;I have a requirement to pull and post data to another application. App maker provides URL fetch option to get data from public API's. &lt;/p&gt;
&lt;p&gt;I want to access data from a application in my intranet server does app maker provides any option to connect to the outside server.&lt;/p&gt;
&lt;p&gt;URL Fetch option is used to consume data, if I need to pass some data is there any option available to do this in app script &lt;/p&gt;
</t>
  </si>
  <si>
    <t xml:space="preserve">&lt;p&gt;I am using sales force WSDL file for getting data from sales force. Here query based execution i am using . But Select Query record is working but Inner join is not working.&lt;/p&gt;
&lt;p&gt;&lt;strong&gt;My Inner Join Query :&lt;/strong&gt;  SELECT LoginIp.UsersId, UserLogin.UserId 
FROM ( LoginIp INNER JOIN UserLogin ON LoginIp.UsersId = UserLogin.UserId)  &lt;/p&gt;
&lt;p&gt;&lt;strong&gt;My Select Query :&lt;/strong&gt; SELECT LoginIp.UsersId FROM LoginIp&lt;/p&gt;
&lt;p&gt;&lt;strong&gt;Code :&lt;/strong&gt; &lt;/p&gt;
&lt;pre&gt;&lt;code&gt;  public dynamic Execute(string queryString)
  {
     QueryResult qr = this._svc.query(queryString);
     sObject[] records = qr.records;
     return records;
  }
&lt;/code&gt;&lt;/pre&gt;
&lt;p&gt;&lt;strong&gt;Error :&lt;/strong&gt;  MALFORMED_QUERY: FROM ( LoginIp INNER JOIN UserLogin ERROR at Row:2:Column:5unexpected token: '('&lt;/p&gt;
</t>
  </si>
  <si>
    <t xml:space="preserve">&lt;p&gt;I have created a package where I am using some protected custom setting to store credentials etc. I don't want admins to change or see any information from UI so I have created a lighting component to enable change to some fields.&lt;/p&gt;
&lt;p&gt;When testing the app in packaging org everything is working as expected but I am getting below error in subscriber org where the app is deployed/installed. . &lt;/p&gt;
&lt;pre&gt;&lt;code&gt;org.auraframework.throwable.quickfix.InvalidDefinitionException: Invalid 
definition for &amp;lt;namespace&amp;gt;:&amp;lt;namespace&amp;gt;__&amp;lt;Custom_Settings__c&amp;gt;: null
&lt;/code&gt;&lt;/pre&gt;
</t>
  </si>
  <si>
    <t xml:space="preserve">&lt;p&gt;I created this script to determine if the &lt;code&gt;Session.getScriptTimeZone()&lt;/code&gt; would draw the time zone from the library file rather than AppMaker.  Here's the script:&lt;/p&gt;
&lt;pre&gt;&lt;code&gt;function getFormattedDateString(dt,format){
  var format=format||"E MMM dd, yyyy HH:mm";
  var dt=dt||new Date();
  return Utilities.formatDate(new Date(dt), Session.getScriptTimeZone(), format);
}
&lt;/code&gt;&lt;/pre&gt;
&lt;p&gt;I tested it in another script with the following code:&lt;/p&gt;
&lt;pre&gt;&lt;code&gt;function test(){
  Logger.log(AMSLib.getFormattedDateString(new Date()));
}
&lt;/code&gt;&lt;/pre&gt;
&lt;p&gt;I went into AppMaker and this dialog:&lt;/p&gt;
&lt;p&gt;&lt;a href="https://i.stack.imgur.com/NpGbc.jpg" rel="nofollow noreferrer"&gt;&lt;img src="https://i.stack.imgur.com/NpGbc.jpg" alt="enter image description here"&gt;&lt;/a&gt;&lt;/p&gt;
&lt;p&gt;I've tried the Script ID from here:&lt;/p&gt;
&lt;p&gt;&lt;a href="https://i.stack.imgur.com/0v9Yx.jpg" rel="nofollow noreferrer"&gt;&lt;img src="https://i.stack.imgur.com/0v9Yx.jpg" alt="enter image description here"&gt;&lt;/a&gt;&lt;/p&gt;
&lt;p&gt;I've also tried several deployment ID's from the publish from Manifest dialog and I keep getting the same answer: &lt;/p&gt;
&lt;p&gt;&lt;a href="https://i.stack.imgur.com/ml3BZ.jpg" rel="nofollow noreferrer"&gt;&lt;img src="https://i.stack.imgur.com/ml3BZ.jpg" alt="enter image description here"&gt;&lt;/a&gt;&lt;/p&gt;
&lt;p&gt;I've also tried the Project Key which is used with other apps scripts to load libraries.&lt;/p&gt;
&lt;p&gt;I don't know what to try next.&lt;/p&gt;
</t>
  </si>
  <si>
    <t xml:space="preserve">&lt;p&gt;First things first, you need to publish your Apps Script app, after that it'll be assigned Script ID(by the way it can also be found in the published app URL). Once you have Script ID, you can specify it in App Maker and select library version you want to use:
&lt;a href="https://i.stack.imgur.com/S59fG.png" rel="nofollow noreferrer"&gt;&lt;img src="https://i.stack.imgur.com/S59fG.png" alt="Add library"&gt;&lt;/a&gt;&lt;/p&gt;
&lt;p&gt;To access library's functions you need to use name specified in the &lt;code&gt;object&lt;/code&gt; setting:&lt;/p&gt;
&lt;pre class="lang-js prettyprint-override"&gt;&lt;code&gt;// Server side library call
var result = MyLibraryName.doSomeCoolStuff();
&lt;/code&gt;&lt;/pre&gt;
&lt;p&gt;App Maker should be smart enough and pickup all library's public functions for autocomplete.&lt;/p&gt;
&lt;p&gt;&lt;strong&gt;Learn more:&lt;/strong&gt;&lt;/p&gt;
&lt;p&gt;&lt;a href="https://developers.google.com/apps-script/guides/libraries" rel="nofollow noreferrer"&gt;https://developers.google.com/apps-script/guides/libraries&lt;/a&gt;
&lt;a href="https://developers.google.com/appmaker/scripting/libraries" rel="nofollow noreferrer"&gt;https://developers.google.com/appmaker/scripting/libraries&lt;/a&gt;&lt;/p&gt;
</t>
  </si>
  <si>
    <t xml:space="preserve">&lt;p&gt;in PowerApps, I have default New Form screen for Table1 with Combobox linked to Table2 so the user is able to choose items from the Table2. Combobox is saving the selected item Column1 data from Table2 to Column1 in Table1. &lt;/p&gt;
&lt;p&gt;What I need, is to be able to save appropriate combobox item Column2 data (from Table2) to Column 2 in Table 1.&lt;/p&gt;
&lt;p&gt;Basically, I need to save item's Column1 AND! Column2 data from Table2 to Column1 and Column2 of Table1.&lt;/p&gt;
&lt;p&gt;BTW: Tables are lists on Sharepoint.&lt;/p&gt;
&lt;p&gt;Can you help please?&lt;/p&gt;
&lt;p&gt;&lt;a href="https://i.stack.imgur.com/09gYz.png" rel="nofollow noreferrer"&gt;&lt;img src="https://i.stack.imgur.com/09gYz.png" alt="enter image description here"&gt;&lt;/a&gt;&lt;/p&gt;
</t>
  </si>
  <si>
    <t xml:space="preserve">&lt;p&gt;we are trying to use this &lt;a href="https://design-system-react.herokuapp.com" rel="nofollow noreferrer"&gt;design-system-react&lt;/a&gt; in our project, but we are not able due to a problem at the time of using it.&lt;/p&gt;
&lt;p&gt;We have our project working and running with &lt;code&gt;react-scripts&lt;/code&gt;, and from now we are able to use any library we want, with this exception. We followed the &lt;a href="https://design-system-react.herokuapp.com/getting-started/" rel="nofollow noreferrer"&gt;getting started&lt;/a&gt; official guide, we have the following &lt;code&gt;package.json&lt;/code&gt; and everything really looks quite the same, but somehow we are not able to make it work.&lt;/p&gt;
&lt;pre&gt;&lt;code&gt;{
  "name": "Scheduling",
  "version": "0.0.1",
  "description": "Scheduling",
  "scripts": {
    "build": "webpack --config webpack.config.js",
    "start": "react-scripts start",
    "test": "react-scripts test",
    "eject": "react-scripts eject"
  },
  "license": "BSD-3-Clause",
  "engines": {
    "node": "&amp;gt;=9.2.0",
    "npm": "&amp;gt;=5.5.1"
  },
  "dependencies": {
    "@salesforce-ux/design-system": "2.4.3",
    "@salesforce-ux/icons": "7.x",
    "axios": "^0.17.1",
    "babel-plugin-transform-object-rest-spread": "^6.3.13",
    "babel-polyfill": "^6.26.0",
    "body-parser": "^1.14.2",
    "compression": "^1.6.1",
    "create-react-class": "^15.6.2",
    "design-system-react": "git+https://github.com/salesforce/design-system-react.git#v0.8.0-es",
    "express": "^4.13.4",
    "forcejs": "^2.0.1",
    "jsforce": "^1.7.1",
    "jsforce-metadata-tools": "^1.2.2",
    "lightning-container": "^0.1.6",
    "lodash": "^4.17.4",
    "method-override": "^2.3.5",
    "moment": "^2.19.1",
    "path": "^0.12.7",
    "pg": "^4.4.4",
    "prop-types": "^15.6.0",
    "q": "^1.4.1",
    "query-string": "^4.2.3",
    "react": "15.6.2",
    "react-addons-linked-state-mixin": "15.6.2",
    "react-dom": "15.6.2",
    "react-lightning-design-system": "^2.4.5",
    "react-redux": "^5.0.6",
    "redux": "^3.5.2",
    "redux-saga": "^0.16.0",
    "tether": "^1.1.1",
    "tether-drop": "^1.4.2",
    "vis": "^4.21.0"
  },
  "devDependencies": {
    "archiver": "^1.3.0",
    "babel-core": "^6.4.5",
    "babel-loader": "^6.2.2",
    "babel-preset-env": "^1.6.1",
    "babel-preset-react": "^6.3.13",
    "babel-preset-stage-3": "^6.3.13",
    "commander": "^2.9.0",
    "css-loader": "^0.26.1",
    "webpack": "^2.6.1",
    "style-loader": "^0.13.1",
    "enzyme": "^3.1.1",
    "eslint": "^4.10.0",
    "eslint-config-airbnb": "^16.1.0",
    "eslint-plugin-html": "^3.2.2",
    "eslint-plugin-import": "^2.8.0",
    "eslint-plugin-json": "^1.2.0",
    "eslint-plugin-jsx-a11y": "^6.0.2",
    "eslint-plugin-react": "^7.4.0",
    "file-loader": "^0.9.0",
    "fs": "0.0.1-security",
    "history": "^1.17.0",
    "html-webpack-plugin": "^2.24.1",
    "react-scripts": "^1.0.16",
    "react-addons-test-utils": "^15.5.1"
  }
}
&lt;/code&gt;&lt;/pre&gt;
&lt;p&gt;We even started a new project with Webpack 1.0 and no &lt;code&gt;react-scripts&lt;/code&gt; installed following exactly the same, &lt;code&gt;.babelrc:&lt;/code&gt; and the same &lt;code&gt;webpack.config.js&lt;/code&gt;:&lt;/p&gt;
&lt;p&gt;Everything works fine, till the moment we try to use any Component from it. For example, just adding the button example to one of our components:&lt;/p&gt;
&lt;pre&gt;&lt;code&gt;import Button from 'design-system-react/components/button';
&amp;lt;Button label="Hello World!" onClick={this.handleClick} /&amp;gt;
&lt;/code&gt;&lt;/pre&gt;
&lt;p&gt;Of course, we have the &lt;code&gt;handleClick&lt;/code&gt; function implemented in the component&lt;/p&gt;
&lt;p&gt;Something interesting is if we just import the button it works and not using it, it works.&lt;/p&gt;
&lt;p&gt;The exception we got is the following:&lt;/p&gt;
&lt;pre&gt;&lt;code&gt;Uncaught Error: Invalid tag: /static/media/index.8365feb8.jsx
    at invariant (invariant.js:42)
    at validateDangerousTag (ReactDOMComponent.js:343)
    at new ReactDOMComponent (ReactDOMComponent.js:370)
    at Object.createInternalComponent (ReactHostComponent.js:39)
    at instantiateReactComponent (instantiateReactComponent.js:77)
    at instantiateChild (ReactChildReconciler.js:42)
    at ReactChildReconciler.js:69
    at traverseAllChildrenImpl (traverseAllChildren.js:75)
    at traverseAllChildrenImpl (traverseAllChildren.js:91)
    at traverseAllChildren (traverseAllChildren.js:170)
    at Object.instantiateChildren (ReactChildReconciler.js:68)
    at ReactDOMComponent._reconcilerInstantiateChildren (ReactMultiChild.js:183)
    at ReactDOMComponent.mountChildren (ReactMultiChild.js:222)
    at ReactDOMComponent._createInitialChildren (ReactDOMComponent.js:701)
    at ReactDOMComponent.mountComponent (ReactDOMComponent.js:520)
    at Object.mountComponent (ReactReconciler.js:43)
    at ReactCompositeComponentWrapper.performInitialMount (ReactCompositeComponent.js:368)
    at ReactCompositeComponentWrapper.mountComponent (ReactCompositeComponent.js:255)
    at Object.mountComponent (ReactReconciler.js:43)
    at ReactDOMComponent.mountChildren (ReactMultiChild.js:234)
    at ReactDOMComponent._createInitialChildren (ReactDOMComponent.js:701)
    at ReactDOMComponent.mountComponent (ReactDOMComponent.js:520)
    at Object.mountComponent (ReactReconciler.js:43)
    at ReactCompositeComponentWrapper.performInitialMount (ReactCompositeComponent.js:368)
    at ReactCompositeComponentWrapper.mountComponent (ReactCompositeComponent.js:255)
    at Object.mountComponent (ReactReconciler.js:43)
    at ReactDOMComponent.mountChildren (ReactMultiChild.js:234)
    at ReactDOMComponent._createInitialChildren (ReactDOMComponent.js:701)
    at ReactDOMComponent.mountComponent (ReactDOMComponent.js:520)
    at Object.mountComponent (ReactReconciler.js:43)
    at ReactCompositeComponentWrapper.performInitialMount (ReactCompositeComponent.js:368)
    at ReactCompositeComponentWrapper.mountComponent (ReactCompositeComponent.js:255)
    at Object.mountComponent (ReactReconciler.js:43)
    at ReactDOMComponent.mountChildren (ReactMultiChild.js:234)
    at ReactDOMComponent._createInitialChildren (ReactDOMComponent.js:701)
    at ReactDOMComponent.mountComponent (ReactDOMComponent.js:520)
    at Object.mountComponent (ReactReconciler.js:43)
    at ReactCompositeComponentWrapper.performInitialMount (ReactCompositeComponent.js:368)
    at ReactCompositeComponentWrapper.mountComponent (ReactCompositeComponent.js:255)
    at Object.mountComponent (ReactReconciler.js:43)
    at ReactDOMComponent.mountChildren (ReactMultiChild.js:234)
    at ReactDOMComponent._createInitialChildren (ReactDOMComponent.js:701)
    at ReactDOMComponent.mountComponent (ReactDOMComponent.js:520)
    at Object.mountComponent (ReactReconciler.js:43)
    at ReactCompositeComponentWrapper.performInitialMount (ReactCompositeComponent.js:368)
    at ReactCompositeComponentWrapper.mountComponent (ReactCompositeComponent.js:255)
    at Object.mountComponent (ReactReconciler.js:43)
    at ReactDOMComponent.mountChildren (ReactMultiChild.js:234)
    at ReactDOMComponent._createInitialChildren (ReactDOMComponent.js:701)
    at ReactDOMComponent.mountComponent (ReactDOMComponent.js:520)
&lt;/code&gt;&lt;/pre&gt;
&lt;p&gt;We used both, just the &lt;code&gt;@salesforce-ux/design-system&lt;/code&gt; or the &lt;a href="https://github.com/mashmatrix/react-lightning-design-system" rel="nofollow noreferrer"&gt;&lt;code&gt;react-lightning-design-system&lt;/code&gt;&lt;/a&gt; with no problems in the applications. But we would like to take the advantage of this one, as looks amazing.&lt;/p&gt;
&lt;p&gt;So any help here will be welcome.&lt;/p&gt;
</t>
  </si>
  <si>
    <t xml:space="preserve">&lt;p&gt;I am trying to auto populate the Opportunity Owner name in to custom field(Manger) on the same page. But when i am trying it's getting only Id but not Owner Name. This logic i am implementing using Flow in the process builder. Can some one help on this.
In the flow i am using 'Record Lookup'(getting OwnerId and passing to Temp variable), Record Update(Assigning the temp variable to Custom field). But not luck.&lt;/p&gt;
</t>
  </si>
  <si>
    <t xml:space="preserve">&lt;p&gt;I've been able to set the options on an AppMaker DropDown by doing this sort of thing:&lt;/p&gt;
&lt;pre&gt;&lt;code&gt;google.script.run
    .withSuccessHandler(function(oA){app.pages.Notes.descendants.Dropdown1.options=oA;})
    .getSelectOptions();//oA is just an array
&lt;/code&gt;&lt;/pre&gt;
&lt;p&gt;But I'd like to know how to do load different values in the options and value like we can do it in javascript with something like this:&lt;/p&gt;
&lt;pre&gt;&lt;code&gt; function updateSelect(vA){
      var select = document.getElementById("sel1");
      select.options.length = 0; 
      for(var i=0;i&amp;lt;vA.length;i++)
      {
        select.options[i] = new Option(vA[i].option,vA[i].value);
      }
    }
&lt;/code&gt;&lt;/pre&gt;
&lt;p&gt;And I tried this by trying to get a hold of the dom element as follows:&lt;/p&gt;
&lt;pre&gt;&lt;code&gt;var elem=app.pages.myPage.descendants.myDropDown.getElement();
elem.options.length=0;//always gives me an error because options doesn't seem to exist in that object.
&lt;/code&gt;&lt;/pre&gt;
&lt;p&gt;So for now I've been using the standard HTML dom elements in an AppMaker Html widget and that works okay as long as your select is on the first page.  If it's not on the first page I have found that the onChange event can't load Widgets on pages that are not visible.  It is interesting to note however that you can change the contents of HTML widgets even if they are on other non visible pages.&lt;/p&gt;
&lt;p&gt;Anyway the simple question is how can one load one thing into value and another thing into option text in an AppMaker DropDown Widget?&lt;/p&gt;
&lt;pre&gt;&lt;code&gt;&amp;lt;option value="value"&amp;gt;text&amp;lt;/option&amp;gt;
&lt;/code&gt;&lt;/pre&gt;
</t>
  </si>
  <si>
    <t xml:space="preserve">&lt;p&gt;If you have a predefined array for your options and values you could do the following for your onAttach Event of your dropdown:&lt;/p&gt;
&lt;pre&gt;&lt;code&gt;var options = ['one thing','two thing','three thing'];
var names = ['another one thing','another two thing','another three thing'];
widget.options = options;
widget.names = names;
&lt;/code&gt;&lt;/pre&gt;
&lt;p&gt;In this case the values that would get recorded would be the options array, but the items that would be displayed would be from the names array. Hope this gets you on the right path.&lt;/p&gt;
</t>
  </si>
  <si>
    <t xml:space="preserve">&lt;p&gt;I want to update a SharePoint list that would have the results filtered by a choice column with a certain value. From that selection I then want to update another choice column with a specific value from the choice selection available. I understand because it's a choice column I have to use odata to update this. I am also using the patch function. &lt;/p&gt;
&lt;p&gt;The way I am trying to update this is on a browse gallery view. I've inserted a button, with the following formula:&lt;/p&gt;
&lt;pre&gt;&lt;code&gt;Patch(
    'Q-Central Package Tracking',
    First(Filter('Q-Central Package Tracking', Initial Destination.Value = "Ecart")),
    {
        Final Destination: "EMR",
        '@odata.type': "#Microsoft.Azure.Connectors.SharePoint.SPListExpandedReference"
    })
&lt;/code&gt;&lt;/pre&gt;
&lt;p&gt;Is this the right way to go about updating the list? With just a button? Should the button navigate away from the page for it to update the results? Not sure how that would work.&lt;/p&gt;
&lt;p&gt;Right now, the above formula does not work. I had a suggestion that I am missing a baserecordstable, but I am not sure what I would be putting in for that....&lt;/p&gt;
&lt;p&gt;My data source is 'Q-Central Package Tracking'. 
The first column I am filtering by is 'Initial Destination.Value'.
The column I want to update is 'Final Destination'.&lt;/p&gt;
&lt;p&gt;This is a modern list, on an O365 environment. &lt;/p&gt;
&lt;p&gt;&lt;a href="https://i.stack.imgur.com/j1Wxi.jpg" rel="nofollow noreferrer"&gt;The error hovering over the button&lt;/a&gt;&lt;/p&gt;
&lt;p&gt;&lt;a href="https://i.stack.imgur.com/h24S7.jpg" rel="nofollow noreferrer"&gt;Clicking in the formula shows this&lt;/a&gt;&lt;/p&gt;
&lt;p&gt;Any insights would be much appreciated. &lt;/p&gt;
</t>
  </si>
  <si>
    <t xml:space="preserve">&lt;p&gt;I see the Google Map widget documentation for App Maker says I can bind a &lt;a href="https://developers.google.com/appmaker/ui/display-widgets#google-map" rel="nofollow noreferrer"&gt;datasource&lt;/a&gt; to it so that user can input an address to update the map.
Is it possible to bind it to something like a &lt;a href="https://developers.google.com/maps/documentation/javascript/examples/places-searchbox" rel="nofollow noreferrer"&gt;Places search box&lt;/a&gt; in App Maker?&lt;/p&gt;
&lt;p&gt;It'd be great if I don't need to create my own datasource to enable an address search.&lt;/p&gt;
</t>
  </si>
  <si>
    <t xml:space="preserve">&lt;p&gt;You can build Address Search using &lt;a href="https://developers.google.com/appmaker/ui/input-widgets#suggest-box" rel="nofollow noreferrer"&gt;Suggest Box&lt;/a&gt;, &lt;a href="https://developers.google.com/appmaker/models/calculated" rel="nofollow noreferrer"&gt;Calculated Datasource&lt;/a&gt; and &lt;a href="https://developers.google.com/apps-script/reference/maps/geocoder" rel="nofollow noreferrer"&gt;Geocoder Apps Script service&lt;/a&gt;&lt;/p&gt;
&lt;pre class="lang-js prettyprint-override"&gt;&lt;code&gt;/**
 * Creates address suggestion record.
 * @param {Object} geocode Geocode object received from Maps Geocoder.
 * @return {AddressSuggestion} Created suggestion record.
 */
function createAddressSuggestion_(geocode) {
  var record = app.models.AddressSuggestion.newRecord();
  record.Address = geocode.formatted_address;
  return record;
}
/**
 * Gets address suggestions Maps Geocoder.
 * @param {string} term Start of address string to search for.
 * @return {Array&amp;lt;AddressSuggestion&amp;gt;} Array of suggestion records.
 */
function getAddressSuggestions_(term) {
  // TODO: Uncomment to set clientId and Google Maps API Key
  // Maps.setAuthentication('your_client_id', 'your_signing_key');
  var response = Maps.newGeocoder().geocode(term);
  var geocodes = response.results;
  return geocodes.map(createAddressSuggestion_);
}
&lt;/code&gt;&lt;/pre&gt;
&lt;p&gt;&lt;a href="https://i.stack.imgur.com/KGpfu.png" rel="nofollow noreferrer"&gt;&lt;img src="https://i.stack.imgur.com/KGpfu.png" alt="Datasource"&gt;&lt;/a&gt;&lt;/p&gt;
&lt;p&gt;One more &lt;strong&gt;important&lt;/strong&gt; important thing: you need to say Suggest Box to handle your datasource as whole records otherwise it will filter out all results that have no exact match with your &lt;code&gt;_startsWith&lt;/code&gt; term:
&lt;a href="https://i.stack.imgur.com/IEXQY.png" rel="nofollow noreferrer"&gt;&lt;img src="https://i.stack.imgur.com/IEXQY.png" alt="Record as value"&gt;&lt;/a&gt;&lt;/p&gt;
</t>
  </si>
  <si>
    <t xml:space="preserve">&lt;p&gt;I have data returned from API call, which is an array. I want to create a list in App Maker to display the items in the array. I have already put my API calling in sever script. How can I load the data into list widget? &lt;/p&gt;
</t>
  </si>
  <si>
    <t xml:space="preserve">&lt;p&gt;You can transform response from your API into &lt;a href="https://developers.google.com/appmaker/models/calculated" rel="nofollow noreferrer"&gt;Calculated Model&lt;/a&gt;'s records and then load and bind them on UI:&lt;/p&gt;
&lt;pre class="lang-js prettyprint-override"&gt;&lt;code&gt;// Server script
function getCaluculatedModelRecords() {
  var apiObjects = getMyMagicObjectsFromApi();
  return apiObjects.map(function(apiObj) {
    var record = app.models.MyCalculatedModel.newRecord();
    record.Field1 = apiObj.field1;
    record.Field2 = apiObj.field2;
    record.Field3 = apiObj.field3;
    ...
    return record;
  });
}
&lt;/code&gt;&lt;/pre&gt;
&lt;p&gt;Maybe this sample will be somehow helpful as well: &lt;a href="https://developers.google.com/appmaker/samples/calculated-model/" rel="nofollow noreferrer"&gt;https://developers.google.com/appmaker/samples/calculated-model/&lt;/a&gt;&lt;/p&gt;
</t>
  </si>
  <si>
    <t xml:space="preserve">&lt;p&gt;Working on an app where I'm getting the email address of a user from Google Sheets. &lt;/p&gt;
&lt;p&gt;I would like to use that email address to surface the Full Name and Thumbnail Photo from the directory. &lt;/p&gt;
&lt;p&gt;&lt;a href="https://i.stack.imgur.com/pvEDv.png" rel="nofollow noreferrer"&gt;Screenshot of the UI&lt;/a&gt; - email &amp;amp; names hidden to protect user data&lt;/p&gt;
&lt;p&gt;So far, when I try to link the two I get the First photo from Directory for all the users. &lt;/p&gt;
&lt;p&gt;Any ideas how the two can be linked, as the Directory doesn't support adding new relations?&lt;/p&gt;
</t>
  </si>
  <si>
    <t xml:space="preserve">&lt;ol&gt;
&lt;li&gt;Create a new Calculated Model   &lt;/li&gt;
&lt;li&gt;In the Datasources tab, in the
Server Script add the code below.&lt;/li&gt;
&lt;li&gt;&lt;strong&gt;Be sure to correct the Model and Field names to match yours!&lt;/strong&gt;&lt;/li&gt;
&lt;/ol&gt;
&lt;p&gt;. &lt;/p&gt;
&lt;pre&gt;&lt;code&gt;//Get the Spreadsheet Data
var spreadsheetData = app.models.MySpreadsheetSource.newQuery().run();
var combinedData = []; // Place to store output for calculated model
spreadsheetData.forEach(function(record){ //iterate the ss data
  var query = app.models.Directory.newQuery(); //start a query for directory
  query.filters.PrimaryEmail._equals = record.email; //set the query for the email
  var dirRecord = query.run()[0]; //get the one record
  //make a new record for the calculated model
  var newRecord = app.models.Directory_Spreadsheet.newRecord(); 
  //add the data from both SS and Directory models
  newRecord.Email = record.email; //from ss
  newRecord.address = record.address;
  newRecord.Full_Name = dirRecord.FullName; //from Directory
  newRecord.Thumbnail = dirRecord.ThumbnailPhotoUrl;
  //Add More Fields
  combinedData.push(newRecord); //add to output
});
return combinedData; //return the combine object
&lt;/code&gt;&lt;/pre&gt;
&lt;p&gt;You can use this Datasource in your Accordion to display the combined data. &lt;/p&gt;
</t>
  </si>
  <si>
    <t xml:space="preserve">&lt;p&gt;I'm building an App Maker app that uses the Google OAuth2 library (&lt;a href="https://github.com/googlesamples/apps-script-oauth2" rel="nofollow noreferrer"&gt;https://github.com/googlesamples/apps-script-oauth2&lt;/a&gt;) to connect to an external service.&lt;/p&gt;
&lt;p&gt;All is working fine until it comes to setting a callback URL. I've implemented the same type of project for a Google Sheets addon, but using apps script there I can get the script URL, but I can't seem to access that with App Maker, making it tricky to register the callback URL in the API I'm accessing.&lt;/p&gt;
&lt;p&gt;Has anyone found a solution to this?&lt;/p&gt;
&lt;p&gt;Thanks,&lt;/p&gt;
&lt;p&gt;Paul&lt;/p&gt;
</t>
  </si>
  <si>
    <t xml:space="preserve">&lt;p&gt;I know at least two ways how you can get callback URL:&lt;/p&gt;
&lt;ol&gt;
&lt;li&gt;Copy it from your deployment&lt;/li&gt;
&lt;/ol&gt;
&lt;p&gt;&lt;a href="https://i.stack.imgur.com/yUdsx.png" rel="nofollow noreferrer"&gt;&lt;img src="https://i.stack.imgur.com/yUdsx.png" alt="enter image description here"&gt;&lt;/a&gt;&lt;/p&gt;
&lt;ol start="2"&gt;
&lt;li&gt;Get it in runtime:&lt;/li&gt;
&lt;/ol&gt;
&lt;pre class="lang-javascript prettyprint-override"&gt;&lt;code&gt;// server script
var url = ScriptApp.getService().getUrl();
&lt;/code&gt;&lt;/pre&gt;
</t>
  </si>
  <si>
    <t xml:space="preserve">&lt;p&gt;Hi I am using App Maker to build the application that would load the data from Google Team Drive. I was able to get the Team Drive ID from Team Drive API and saved in the calculated model. &lt;/p&gt;
&lt;p&gt;Then I want to create another page which can show the folder list in a selected team drive by using the same method. However, the function need to pass a drive Id. I don't know how to connect these two together. 
&lt;a href="https://i.stack.imgur.com/1ugk1.png" rel="nofollow noreferrer"&gt;&lt;img src="https://i.stack.imgur.com/1ugk1.png" alt="enter image description here"&gt;&lt;/a&gt;&lt;/p&gt;
</t>
  </si>
  <si>
    <t xml:space="preserve">&lt;p&gt;First you need to define parameter within you Client Model's datasource:&lt;/p&gt;
&lt;p&gt;&lt;a href="https://i.stack.imgur.com/64FYY.png" rel="nofollow noreferrer"&gt;&lt;img src="https://i.stack.imgur.com/64FYY.png" alt="enter image description here"&gt;&lt;/a&gt;&lt;/p&gt;
&lt;p&gt;After that you can access it on the client and bind it to some widget or set it by script:&lt;/p&gt;
&lt;pre class="lang-js prettyprint-override"&gt;&lt;code&gt;// binding
@datasources.FolderList.query.parameters.DriveId
// Client script
app.datasources.FolderList.query.parameters.DriveId = 'some value';
&lt;/code&gt;&lt;/pre&gt;
</t>
  </si>
  <si>
    <t xml:space="preserve">&lt;p&gt;I have a &lt;code&gt;calculated model&lt;/code&gt; with survey responses from Google Form and Directory information for each of the submissions. This model filters the results so as to return only the &lt;strong&gt;LATEST&lt;/strong&gt; submission, where users have submitted multiple times. &lt;/p&gt;
&lt;p&gt;I'm using an &lt;code&gt;Accordion widget&lt;/code&gt; to display this info and I would like from the &lt;code&gt;Details panel&lt;/code&gt; to create a &lt;code&gt;popup&lt;/code&gt; that will display &lt;code&gt;ALL of the responses for the Selected User in the Accordion&lt;/code&gt;. &lt;/p&gt;
&lt;p&gt;&lt;a href="https://i.stack.imgur.com/vItso.png" rel="nofollow noreferrer"&gt;Current Accordion UI&lt;/a&gt;&lt;/p&gt;
&lt;p&gt;What's the best way to return only the values associated with the opened accordion card - see screenshot? e.g. John Doe's previous answers&lt;/p&gt;
&lt;p&gt;&lt;a href="https://i.stack.imgur.com/MICat.png" rel="nofollow noreferrer"&gt;Popup outcome&lt;/a&gt;&lt;/p&gt;
&lt;p&gt;I tried using the bindings but I always get ALL the results for ALL the users in the same order as the Accordion and when I select a row it also selects the accordion row. &lt;/p&gt;
&lt;p&gt;Any advice on how to approach this would be greatly appreciated. &lt;/p&gt;
</t>
  </si>
  <si>
    <t xml:space="preserve">&lt;p&gt;I have a data model in excel with repeated rows by few columns. row update and delete is working if i don't apply filter or distinct in list control in prev screen. &lt;/p&gt;
&lt;p&gt;How can i update selected row from prev screen list control when list control has filtered or distinct data. &lt;/p&gt;
&lt;p&gt;my formula for filter as follows:&lt;/p&gt;
&lt;pre&gt;&lt;code&gt;ShowColumns(
    Filter(
        Table2,
        Company = TemplateGalleryList1.Selected.Result,
        Department = TemplateGalleryList2.Selected.Result),
    "Team Member Email Address",
    "Team Member Name",
    "Title",
    "Session Date",
    "Session Time")
&lt;/code&gt;&lt;/pre&gt;
&lt;p&gt;i am attaching a excel data model here and in that model i am applying filter and distinct on company and department column. &lt;/p&gt;
&lt;p&gt;&lt;a href="https://i.stack.imgur.com/z9nQZ.png" rel="nofollow noreferrer"&gt;&lt;img src="https://i.stack.imgur.com/z9nQZ.png" alt="enter image description here"&gt;&lt;/a&gt;&lt;/p&gt;
</t>
  </si>
  <si>
    <t xml:space="preserve">&lt;p&gt;So the problem I am having is with Google App Maker. I have two SQL databases.. One with employee information and one with recruiters. Each recruiter has a name a percentage and each employee have a recruiter and percentage set to them. So when setting up a new employee I set a recruiter however I cannot automatically set the percentage of the employee based on the recruiter. So I have a form where I select the recruiter and I want to from this also automatically pick the percentage. &lt;/p&gt;
&lt;p&gt;There isn't much "coding" to App Maker so I wasn't sure if Stackoverflow would be the best place to come but I thought I'd give it a try.&lt;/p&gt;
</t>
  </si>
  <si>
    <t xml:space="preserve">&lt;p&gt;I am creating a formula for a commission field that has multiple calculations depending on criteria.  I am currently getting an error that says (Error: Incorrect parameter type for function 'AND()'. Expected Boolean, received Number).  How should I modify the formula to fix this?&lt;/p&gt;
&lt;p&gt;IF(AND(Order__r.New_Amount_Outstanding__c = 0,Order__r.RecordTypeId="Bespoke Item",ISPICKVAL( Payment_type__c , 'Deposit'), Date__c &gt;= DATE(2017,04,01)),(Order__r.Amount_RollUp__c) *1.2/100,IF(AND(Order__r.RecordTypeId="Bespoke Item",ISPICKVAL( Payment_type__c , 'Deposit'), Date__c &amp;lt; DATE(2017,04,01),(Order__r.New_New_Net__c)  *1.2/100),IF(Order__r.RecordTypeId&amp;lt;&gt;"Bespoke Item",(Order__r.New_New_Net__c  *1.2/100), NULL)))&lt;/p&gt;
&lt;p&gt;It essentially consists of 3 scenarios broken out:&lt;/p&gt;
&lt;p&gt;IF(AND(Order__r.New_Amount_Outstanding__c = 0,Order__r.RecordTypeId="Bespoke Item",ISPICKVAL( Payment_type__c , 'Deposit'), Date__c &gt;= DATE(2017,04,01)),(Order__r.Amount_RollUp__c) *1.2/100,&lt;/p&gt;
&lt;p&gt;IF(AND(Order__r.RecordTypeId="Bespoke Item",ISPICKVAL( Payment_type__c , 'Deposit'), Date__c &amp;lt; DATE(2017,04,01),(Order__r.New_New_Net__c)  *1.2/100),&lt;/p&gt;
&lt;p&gt;IF(Order__r.RecordTypeId&amp;lt;&gt;"Bespoke Item",(Order__r.New_New_Net__c  *1.2/100), &lt;/p&gt;
&lt;p&gt;NULL)))&lt;/p&gt;
</t>
  </si>
  <si>
    <t xml:space="preserve">&lt;p&gt;When trying to scroll thru picklist of multiselect element the whole picklist disappears, so I am unable to scroll the picklist. &lt;/p&gt;
&lt;pre&gt;&lt;code&gt;&amp;lt;c:strike_multiSelectPicklist label="Responsible for" value="{!v.contact.Process_Responsibility__c}" class="responsibleFor"&amp;gt;
    &amp;lt;aura:iteration items="{!v.processResponsibilityOptions}" var="option"&amp;gt;
        &amp;lt;c:strike_option label="{!option}" value="{!option}" /&amp;gt;
    &amp;lt;/aura:iteration&amp;gt;
&amp;lt;/c:strike_multiSelectPicklist&amp;gt;
&lt;/code&gt;&lt;/pre&gt;
&lt;p&gt;And this is the Strike Multiselect implementation I am using: &lt;a href="https://gist.github.com/JitendraZaa/6b82ee00c45a4b1b66093966c5e6583b" rel="nofollow noreferrer"&gt;https://gist.github.com/JitendraZaa/6b82ee00c45a4b1b66093966c5e6583b&lt;/a&gt;&lt;/p&gt;
</t>
  </si>
  <si>
    <t xml:space="preserve">&lt;p&gt;Ive been working on a code zap step to make a get call to an api endpoint, and then transform the response into key pair objects to pass to further steps in zapier. &lt;/p&gt;
&lt;p&gt;&lt;div class="snippet" data-lang="js" data-hide="false" data-console="true" data-babel="false"&gt;
&lt;div class="snippet-code"&gt;
&lt;pre class="snippet-code-js lang-js prettyprint-override"&gt;&lt;code&gt;var fileIds = [],
    tempData = [],
    newData = [],
    obj = [];
fetch('zoho getClientById endpoint'+inputData.id)
  .then(function(res) {
    return res.json();
  })
  .then(function(json) {
    tempData = json.response.result.Leads.row.FL;
    for(var i = 0; i &amp;lt; tempData.length; i++ ){
      tempVal = tempData[i].val;
      newData = tempData[i].content;
      let allData = {};
      allData[tempVal] =  newData;
      obj.push(allData)
    }
    callback(null, obj);
  }).catch(callback);&lt;/code&gt;&lt;/pre&gt;
&lt;/div&gt;
&lt;/div&gt;
&lt;/p&gt;
&lt;p&gt;Above is more or less the code Im using. It works, except that when the array of objects comes out of the step, only the first object is available for steps after. Im not certain if this is because of the way Im handling it, or if it's something with how zapier works. &lt;/p&gt;
&lt;p&gt;Edit: What's interesting is I can use the log statement to see results in the meta data, and it shows the full array of objects. &lt;/p&gt;
</t>
  </si>
  <si>
    <t xml:space="preserve">&lt;p&gt;I have a collection called Records and I want to see if I can return true if the collection contains a specific string.&lt;/p&gt;
&lt;p&gt;The idea I had was to hide a button if the title of that selected item is in the collection. The selected item is pulled off from my SharePoint list.&lt;/p&gt;
&lt;p&gt;I was hoping I could use something like this:&lt;/p&gt;
&lt;pre&gt;&lt;code&gt;if (Count(LookUp(Registered, BrowseGallery1.Selected.Title = Title)) &amp;gt; 0, true, false)
&lt;/code&gt;&lt;/pre&gt;
&lt;p&gt;This doesn't work because Count expects to have a table passed to it and my lookup returns records.&lt;/p&gt;
&lt;p&gt;Any ideas how I can get this working or pointers? &lt;/p&gt;
&lt;p&gt;Thank you.&lt;/p&gt;
</t>
  </si>
  <si>
    <t xml:space="preserve">&lt;p&gt;Found the solution - hopefully this helps others.&lt;/p&gt;
&lt;p&gt;We need to set a condition on the "Visible" property of a button. So, first step is to make sure you are adding the following formula to the visible property.&lt;/p&gt;
&lt;pre&gt;&lt;code&gt;IsBlank(LookUp('Registered', Course Registered To = ThisItem.Title).Course Registered To)
&lt;/code&gt;&lt;/pre&gt;
&lt;p&gt;In the above code:&lt;/p&gt;
&lt;ul&gt;
&lt;li&gt;'Registered': Name of the table I want to look into&lt;/li&gt;
&lt;li&gt;Course Registered To: The column in the Registered Table&lt;/li&gt;
&lt;li&gt;ThisItem.Title: ThisItem is provided by the BrowserGallery control. I am asking for the Title of the selected item&lt;/li&gt;
&lt;/ul&gt;
&lt;p&gt;IsBlank returns no values (blank) from the Lookup - and so the returned values will be true or false. If the Lookup is blank, it means no matches were found.&lt;/p&gt;
</t>
  </si>
  <si>
    <t xml:space="preserve">&lt;p&gt;I am trying to on/off a toggle button on a button &lt;code&gt;OnSelect&lt;/code&gt; Action in PowerApps.&lt;/p&gt;
&lt;p&gt;Its not working. I have tired code as follows but it did not work:&lt;/p&gt;
&lt;pre&gt;&lt;code&gt;UpdateContext({DataCardValue8:DataCardValue8.Value=false}) //or
UpdateContext({DataCardValue8.Value=false}) //or
UpdateContext({DataCardValue8.Value:false})
//toggle button control Id is DataCardValue8
&lt;/code&gt;&lt;/pre&gt;
&lt;p&gt;&lt;a href="https://i.stack.imgur.com/sRsDM.png" rel="nofollow noreferrer"&gt;&lt;img src="https://i.stack.imgur.com/sRsDM.png" alt="enter image description here"&gt;&lt;/a&gt;&lt;/p&gt;
</t>
  </si>
  <si>
    <t xml:space="preserve">&lt;p&gt;I have the following code which works perfectly fine in Chrome and every other browser i have tested so far:&lt;/p&gt;
&lt;pre&gt;&lt;code&gt; &amp;lt;div class="slds-grid slds-wrap"&amp;gt;
    &amp;lt;div class="slds-col slds-size--1-of-1 slds-small-size--3-of-4 slds-medium-size--2-of-3 " onkeyup="{!c.enterClicked}"&amp;gt;
      &amp;lt;div class="inputWrapper searchInpFastlane" &amp;gt;
        &amp;lt;c:input aura:id="PortalFastlaneSearchBar" value="{!v.searchInput}" type="text" placeholder="{!v.placeholderText}" useIcons="false" class="noMargins heightXL searchInpFastlane3" labelClass="hidden"/&amp;gt;
      &amp;lt;/div&amp;gt;
    &amp;lt;/div&amp;gt;
    &amp;lt;div class="slds-col slds-size--1-of-1 slds-small-size--1-of-4 slds-medium-size--1-of-3 searchBtnPad"&amp;gt;
      &amp;lt;div class="buttonWrapper searchBtn"&amp;gt;
        &amp;lt;c:button buttonLabel="Search" onclick="{!c.searchButtonClicked}" buttonClass="valmetPrimaryButton" showImage="false"/&amp;gt;
      &amp;lt;/div&amp;gt; 
    &amp;lt;/div&amp;gt;
&amp;lt;/div&amp;gt;
&lt;/code&gt;&lt;/pre&gt;
&lt;p&gt;and my controller looks like this:&lt;/p&gt;
&lt;pre&gt;&lt;code&gt;    enterClicked : function(component, event, helper)
{
       console.log("1");
    if(event.keyCode &amp;amp;&amp;amp; event.keyCode === 13)
    {
           console.log("2");
        try
        {
            console.log("3");
            console.log(component.get("v.searchInput"));
            helper.search(component, helper);
        }
        catch(e)
        {
            console.log("4");
            Console.log(e);
        }
    }
},
searchButtonClicked : function(component, event, helper)
{
    try
        {
            console.log(component.get("v.searchInput"));
            helper.search(component, helper);
        }
        catch(e)
        {
            Console.log(e);
        }
}
&lt;/code&gt;&lt;/pre&gt;
&lt;p&gt;I just dont know why &lt;code&gt;console.log(component.get("v.searchInput"));&lt;/code&gt; does not seem to display anything instead it displays &lt;strong&gt;undefined&lt;/strong&gt; when clicking enter.&lt;/p&gt;
&lt;p&gt;It works when searchButtonClicked is called by clicking a button&lt;/p&gt;
</t>
  </si>
  <si>
    <t xml:space="preserve">&lt;p&gt;I would like to get ALL the ui components in a quickbase view. Is there a api that enumerates them, returns IDs, names, etc?&lt;/p&gt;
</t>
  </si>
  <si>
    <t xml:space="preserve">&lt;p&gt;I'm getting the following error when I try to load my app, and not sure why. It seemed to appear randomly. What might cause this to appear?&lt;/p&gt;
&lt;p&gt;&lt;em&gt;Drive Table internal error. Please try again. Caused by: Lock timeout: another process was holding the lock for too long.&lt;/em&gt;&lt;/p&gt;
</t>
  </si>
  <si>
    <t xml:space="preserve">&lt;p&gt;I am looking at creating a set of permission roles based on groups and then filtering the data they see from the datasources based on those role specifics, but I cannot seem to get it to go forward as I would like.&lt;/p&gt;
&lt;p&gt;To get proof of concept I am only trying to filter down a roster datasource and have the following server-side script:&lt;/p&gt;
&lt;pre&gt;&lt;code&gt;function roleCheckAgents(user)
{
  var userRoles = app.getActiveUserRoles();
  var query = app.models.Agents.newQuery();
  if(userRoles.indexOf(app.roles.testRole) &amp;gt;= 1){
     if(app.models.Agents.getRecords().filter().
       query.filters.strRelatedCompany._equals === "sampleCompany");
     return query.run();
  }
}
&lt;/code&gt;&lt;/pre&gt;
&lt;p&gt;the group itself has mine and a few other emails in it, and is listed as &lt;code&gt;testRole&lt;/code&gt;.  In the Agents datasource security, I have Load listed as script with: &lt;code&gt;roleCheckAgents(user)&lt;/code&gt;.&lt;/p&gt;
&lt;p&gt;Realistically, I would like to set multiple filters within one role, e.g. &lt;code&gt;Company === "sampleCompany" &amp;amp;&amp;amp; Site === "sampleSite"&lt;/code&gt;, etc.&lt;/p&gt;
&lt;p&gt;Any help would be greatly appreciated as I currently can't see how this will function the way I need/want.&lt;/p&gt;
&lt;p&gt;Thank you!&lt;/p&gt;
&lt;p&gt;&lt;strong&gt;Update:&lt;/strong&gt;&lt;/p&gt;
&lt;p&gt;I was able to get the multiple filters to work, but only as a query script of the datasource.  The problem that created is that I already had query builder conditions within the section and you can only have query builder or query script.&lt;/p&gt;
&lt;p&gt;Query Script works as follows:&lt;/p&gt;
&lt;pre&gt;&lt;code&gt;var query = app.models.Audits.newQuery();  
if(app.getActiveUserRoles().indexOf(app.roles.Test) &amp;gt; -1)
  {   query.filters.field1._contains = "center";
      query.filters.field2._contains = "status";
      return query.run();}
else
{}
&lt;/code&gt;&lt;/pre&gt;
&lt;p&gt;The current query builder items were:&lt;/p&gt;
&lt;pre&gt;&lt;code&gt;field1 contains? :searchText OR
field2 contains? :searchText OR
field3 contains? :searchText OR
field4 contains? :searchText OR
field5 contains? :searchText
&lt;/code&gt;&lt;/pre&gt;
&lt;p&gt;Any thoughts on how to have both as part of either the query builder or the query script?&lt;/p&gt;
&lt;p&gt;Thank you.
Kristopher&lt;/p&gt;
</t>
  </si>
  <si>
    <t xml:space="preserve">&lt;p&gt;I'm working on AppMaker since few week but I got stuck, so I got a very simple question but I can't find any answer.&lt;/p&gt;
&lt;p&gt;Is it possible to non admin access user to modify or edit a table on release App? For example, the Hello Data tutorial, if you release a deployments version, a non admin user cannot work with it because he can't modify data. And obviously, I saw nothing on google documentation&lt;/p&gt;
&lt;p&gt;Thanks&lt;/p&gt;
</t>
  </si>
  <si>
    <t xml:space="preserve">&lt;p&gt;I believe you are referring to access levels within the models themselves, such as creating, editing, loading and deleting. App Maker defaults each model so only Admins have all of those access levels. You need to go into each model and change the access levels to suit your needs. Please see the attached picture. If you need different access levels for each of these functions you need to choose 'Advanced'.
&lt;a href="https://i.stack.imgur.com/oGkDf.jpg" rel="nofollow noreferrer"&gt;&lt;img src="https://i.stack.imgur.com/oGkDf.jpg" alt="App Maker Model Security Settings"&gt;&lt;/a&gt;&lt;/p&gt;
</t>
  </si>
  <si>
    <t xml:space="preserve">&lt;p&gt;In Powerapp app, I have screen,which contain&lt;/p&gt;
&lt;p&gt;1 : "text input", to enter CityName&lt;/p&gt;
&lt;p&gt;2 : When I click on Clear button, How can I clear value of text input ?&lt;/p&gt;
&lt;p&gt;&lt;a href="https://i.stack.imgur.com/9flRm.png" rel="nofollow noreferrer"&gt;Click here for more details of problem statement&lt;/a&gt;&lt;/p&gt;
&lt;p&gt;&lt;strong&gt;Solution&lt;/strong&gt;&lt;/p&gt;
&lt;p&gt;step 1 : let text input name is "txtCity" and set it's Default property to ""&lt;/p&gt;
&lt;p&gt;step 2 : set &lt;strong&gt;OnSelect&lt;/strong&gt; event of button to &lt;strong&gt;Reset(txtCity)&lt;/strong&gt;&lt;/p&gt;
&lt;p&gt;&lt;a href="https://i.stack.imgur.com/dDnOm.png" rel="nofollow noreferrer"&gt;solution shown in image&lt;/a&gt;&lt;/p&gt;
</t>
  </si>
  <si>
    <t xml:space="preserve">&lt;p&gt;That would be one way of resetting, there are other ways to solve it too. By assigning a variable to TextInput's default property and setting that variable to "" or any other default value you want based on the scenario. How and when to use reset can be found here: &lt;a href="https://docs.microsoft.com/sl-si/powerapps/functions/function-reset" rel="nofollow noreferrer"&gt;https://docs.microsoft.com/sl-si/powerapps/functions/function-reset&lt;/a&gt;&lt;/p&gt;
</t>
  </si>
  <si>
    <t xml:space="preserve">&lt;p&gt;I have a hybrid mobile app in Mendix. In one page of the app, I am displaying some data with text and also video or website URL embedded.&lt;/p&gt;
&lt;pre&gt;&lt;code&gt;&amp;lt;iframe id="quizWidget-454107" width="100%" height="900px" frameborder="0" border="none" src="https://www.qzzr.com/widget/quiz/fi9xdWl6emVzLzQ1NDEwNw"&amp;gt;&amp;lt;/iframe&amp;gt;
&lt;/code&gt;&lt;/pre&gt;
&lt;p&gt;Here we are embedding this website, and we also embed youtube URL here.&lt;/p&gt;
&lt;p&gt;The issue is, this embedded URL(video/website) shows up in a section on Android phone but not in iPhone. May be Safari does not render iFrame correctly.&lt;/p&gt;
&lt;p&gt;Any idea what we can replace iFrame with?&lt;/p&gt;
</t>
  </si>
  <si>
    <t xml:space="preserve">&lt;p&gt;please see an answer to a related question &lt;a href="https://stackoverflow.com/a/36440562/1513051"&gt;here&lt;/a&gt;. I believe You need to add &lt;code&gt;&amp;lt;meta&amp;gt;&lt;/code&gt; tags to your index.html page to allow the app to load external content, preferable using a Content Security Policy (CSP).&lt;/p&gt;
</t>
  </si>
  <si>
    <t xml:space="preserve">&lt;p&gt;I'm a new user of App Maker and I've just started coding with Google App Scripts, so basically I don't know so many things about the subject, and today I'm working on a app that already exists at Google Sheets, and I have to  recreate it using App Maker. The only problem is that I have all my data and scripts on Google Sheets and my boss asked to not import data but to link the App Maker with spread sheet. For example I have a search form and when I click the submit button I get the values that the user entered in the form and place them into the existing search form in Google Sheets and run the script in Google Sheet, and then get the search results from Sheets and display them in App Maker, please any ideas how can I do that?&lt;/p&gt;
</t>
  </si>
  <si>
    <t xml:space="preserve">&lt;p&gt;You can access Google Sheets files using &lt;a href="https://developers.google.com/apps-script/reference/spreadsheet/" rel="nofollow noreferrer"&gt;Spreadsheet Apps Script API&lt;/a&gt;. This API provides full CRUD access to Spreadsheet files:&lt;/p&gt;
&lt;pre class="lang-javascript prettyprint-override"&gt;&lt;code&gt;var spreadsheet = SpreadsheetApp.openById(spreadsheetId);
var sheet = spreadsheet.getSheetByName(sheetName);
...
&lt;/code&gt;&lt;/pre&gt;
&lt;p&gt;Full sample code lives here:&lt;/p&gt;
&lt;p&gt;&lt;a href="https://developers.google.com/appmaker/samples/spreadsheet/" rel="nofollow noreferrer"&gt;https://developers.google.com/appmaker/samples/spreadsheet/&lt;/a&gt;&lt;/p&gt;
&lt;p&gt;In answer to this question you can find high level steps to build UI for some 3rd party services with App Maker: &lt;a href="https://stackoverflow.com/questions/48287957"&gt;Google App Maker how to create Data Source from Google Contacts&lt;/a&gt;&lt;/p&gt;
</t>
  </si>
  <si>
    <t xml:space="preserve">&lt;p&gt;I have a simple SharePoint list named "Test_approval" which contains a choice column(drop-down list) named "approval_status". This choice column has 3 option "approved", "rejected" and "pending". When a new item is created the approval_status is set to "pending". I am trying to create a simple mobile app in power apps which will use a button to update the dropdown value from "pending" to "approved". In power apps my button is "button1" and the approval_status column is named approval_status_DataCard2. I am looking to add a formula the button1.onChange which runs the update and then submits the form. I know how to update a text box using the updatecontext formula "UpdateContext({textboxUpdateVariable:"Approved"})". Can someone point me in the right direction on how to do this for a dropdown value ? &lt;/p&gt;
</t>
  </si>
  <si>
    <t xml:space="preserve">&lt;p&gt;The code you want for the OnSelect property of Button1 is&lt;/p&gt;
&lt;pre&gt;&lt;code&gt;Patch(
    Test_approval,
    {ID: YourItemId},
    {approval_status:{
        '@odata.type':"#Microsoft.Azure.Connectors.SharePoint.SPListExpandedReference",
        Value:"Approved"
        }
    }
)
&lt;/code&gt;&lt;/pre&gt;
&lt;p&gt;Where YourItemId is the ID of the item in Test_approval.  This will be typically be the item selected in a gallery, so could be something like:&lt;/p&gt;
&lt;pre&gt;&lt;code&gt;Gallery1.Selected.ID
&lt;/code&gt;&lt;/pre&gt;
</t>
  </si>
  <si>
    <t xml:space="preserve">&lt;p&gt;I'm trying to do a simple task of changing the text in a text box, on the click of a button in PowerApps.&lt;/p&gt;
&lt;p&gt;I have a button "Button1" - and a textbox "TextInput2" on my page.&lt;/p&gt;
&lt;p&gt;The buttons OnSelect action is set to: TextInput2.Text = "hello"&lt;/p&gt;
&lt;p&gt;Nothing happens when I click the button. The textbox's text remains unchanged.&lt;/p&gt;
&lt;p&gt;I also tried UpdateContext({TextInput2:"Hi"}) in the OnSelect action of the button.&lt;/p&gt;
&lt;p&gt;Is there a way of doing this in PowerApps, that I may just be missing?&lt;/p&gt;
&lt;p&gt;Thank you, Mark&lt;/p&gt;
</t>
  </si>
  <si>
    <t xml:space="preserve">&lt;p&gt;From my understanding, data can’t be access if we are using &lt;strong&gt;Google Drive Table&lt;/strong&gt; as the back-end and the only way to see the data is through the &lt;strong&gt;table&lt;/strong&gt; widget or export the data to a &lt;strong&gt;spreadsheet&lt;/strong&gt;. &lt;/p&gt;
&lt;p&gt;I manage to export the data to Google spreadsheet but the problem is I just want to export the data on a specific &lt;strong&gt;date&lt;/strong&gt;. I manage to do filtering on the table showing data on a specific date, but I can’t export the data according to that specific date. Instead the whole data will be exported. &lt;/p&gt;
&lt;p&gt;Is there a way we can &lt;strong&gt;&lt;em&gt;export data to a spreadsheet from the table that had been filtered by date?&lt;/em&gt;&lt;/strong&gt;. Really appreciate if anyone could solve this.&lt;/p&gt;
</t>
  </si>
  <si>
    <t xml:space="preserve">&lt;p&gt;I'm using powerapps on a sharepoint list datasource. Trying to do a filter based on the current user's email ID on a single line text field in sharepoint. Getting this error, &lt;/p&gt;
&lt;p&gt;&lt;a href="https://i.stack.imgur.com/9AFMK.png" rel="nofollow noreferrer"&gt;&lt;img src="https://i.stack.imgur.com/9AFMK.png" alt="enter image description here"&gt;&lt;/a&gt;&lt;/p&gt;
&lt;p&gt;I believe there's 2 errors above.&lt;/p&gt;
&lt;p&gt;1) User().Email function itself does not support delegation.&lt;/p&gt;
&lt;p&gt;2) '=' operator does not support delegation. &lt;/p&gt;
&lt;hr&gt;
&lt;p&gt;For (2), not sure why it's giving an error. '=' operator supposed to support delegation, &lt;/p&gt;
&lt;p&gt;&lt;a href="https://i.stack.imgur.com/FynDS.png" rel="nofollow noreferrer"&gt;&lt;img src="https://i.stack.imgur.com/FynDS.png" alt="enter image description here"&gt;&lt;/a&gt;&lt;/p&gt;
&lt;p&gt;For (1), I've saved the User() object into a global variable "CurrentUserG" on start. It seems to fix this error.&lt;/p&gt;
&lt;p&gt;&lt;a href="https://i.stack.imgur.com/XppvR.png" rel="nofollow noreferrer"&gt;&lt;img src="https://i.stack.imgur.com/XppvR.png" alt="enter image description here"&gt;&lt;/a&gt;&lt;/p&gt;
</t>
  </si>
  <si>
    <t xml:space="preserve">&lt;p&gt;Since you set CurrentUserG=User() at the start and User() returns a record, not a value, then you probably need:&lt;/p&gt;
&lt;pre&gt;&lt;code&gt;Filter(Clock_In_Out, CurrentUserG.Email=User_Email)
&lt;/code&gt;&lt;/pre&gt;
&lt;p&gt;If you do not get the result you need, remember that text comparisons in PowerApps are case sensitive.  If you have this issue, just use Lower() on both sides of the equation.&lt;/p&gt;
</t>
  </si>
  <si>
    <t xml:space="preserve">&lt;p&gt;can anyone share with me the .zip file for &lt;a href="https://developers.google.com/appmaker/templates/document-approval/" rel="nofollow noreferrer"&gt;Document Approval template&lt;/a&gt;  because I can't open it since I'm not using GCS but I wanted to go through &lt;strong&gt;how they using Drive Picker widget to upload file&lt;/strong&gt; and so on. &lt;/p&gt;
&lt;p&gt;&lt;a href="https://i.stack.imgur.com/cFFmL.png" rel="nofollow noreferrer"&gt;&lt;img src="https://i.stack.imgur.com/cFFmL.png" alt="the error that I got"&gt;&lt;/a&gt;&lt;/p&gt;
&lt;p&gt;another thing is, where the file will be uploaded to? is it the owner's Drive? is it possible to upload the document to a single folder of a &lt;strong&gt;Team Drive&lt;/strong&gt; instead? Really appreciate it if anyone can share with me some thoughts or any API will do, Thanks!&lt;/p&gt;
</t>
  </si>
  <si>
    <t xml:space="preserve">&lt;p&gt;The only way to upload files that App Maker provides out of the box is Drive Picker widget and by default it uploads files to current user's Drive root folder. Drive Picker's API allows to &lt;a href="https://developers.google.com/picker/docs/reference#DocsUploadView" rel="nofollow noreferrer"&gt;change default upload folder&lt;/a&gt;, however App Maker doesn't expose the setting at this time. &lt;strong&gt;But&lt;/strong&gt; it has &lt;code&gt;onPickerInit&lt;/code&gt; event that provides you with &lt;a href="https://developers.google.com/picker/docs/reference#PickerBuilder" rel="nofollow noreferrer"&gt;pickerBuilder&lt;/a&gt; that you can use to customize your the picker:&lt;/p&gt;
&lt;pre class="lang-javascript prettyprint-override"&gt;&lt;code&gt;// onPickerInit Drive Picker's event handler
var uploadView = new google.picker.DocsUploadView();
uploadView.setParent('ID of the folder to upload to');
pickerBuilder.addView(uploadView);
&lt;/code&gt;&lt;/pre&gt;
&lt;p&gt;This trick works both for personal and Team Drive folders.&lt;/p&gt;
&lt;p&gt;&lt;strong&gt;Note&lt;/strong&gt;&lt;/p&gt;
&lt;p&gt;It seems that &lt;code&gt;setParent&lt;/code&gt; works only in combination with &lt;code&gt;MULTISELECT_ENABLED&lt;/code&gt; drive picker feature enabled.&lt;/p&gt;
</t>
  </si>
  <si>
    <t xml:space="preserve">&lt;p&gt;I have created a simple form in Powerapps which has a text input field called name and a data table which shows a list of all customers from a table called customer in a SQL Server database and I have also added a button labelled "Go" on the form.&lt;/p&gt;
&lt;p&gt;What I want to do is:&lt;/p&gt;
&lt;ol&gt;
&lt;li&gt;See a blank data table when I first open the form &lt;/li&gt;
&lt;li&gt;I would enter a customer name in the name text input field &lt;/li&gt;
&lt;li&gt;Click the "Go" button and then the value from the name field will be passed to the SQL Server database in a query which only returns
the records which have the same name&lt;/li&gt;
&lt;li&gt;Display the results of the query in the data table.&lt;/li&gt;
&lt;/ol&gt;
&lt;p&gt;How can I do this?  &lt;/p&gt;
&lt;p&gt;Thanks&lt;/p&gt;
</t>
  </si>
  <si>
    <t xml:space="preserve">&lt;p&gt;I am relatively new to PowerApps and am having a bit of an issue with the form resetting, so any help would be greatly appreciated.&lt;/p&gt;
&lt;ul&gt;
&lt;li&gt;I have set up the form to write back to SharePoint online&lt;/li&gt;
&lt;li&gt;I have tried putting the formula Button1.Pressed on the reset field of the various text boxes but then the data is being wiped out before it is stored in SharePoint, however when selecting a new form it is providing me with an empty form.&lt;/li&gt;
&lt;/ul&gt;
&lt;p&gt;I would need to be able to press the submit button, have the data stored and the next time I press the button for a new form I would need it to be clear of information.&lt;/p&gt;
&lt;p&gt;Is there anyway to do this?&lt;/p&gt;
&lt;p&gt;Thanks&lt;/p&gt;
</t>
  </si>
  <si>
    <t xml:space="preserve">&lt;p&gt;If you used a form in PowerApps you can submit your form using SubmitForm(Form1) and to reset it ResetForm(Form1).  Field by field would be something like Reset(TextInput1).&lt;/p&gt;
</t>
  </si>
  <si>
    <t xml:space="preserve">&lt;p&gt;I would like to call a SQL Server stored procedure called get_customer from my PowerApps flow.  How do you do this?  &lt;/p&gt;
&lt;p&gt;I can see in posts that others have been able to do this but I cannot see the option in PowerApps and the only data source options I have is to access the tables and views and not the stored procedure.&lt;/p&gt;
&lt;p&gt;I have a button on screen 1 and on click I want it to call a stored procedure and then display the results in a list on the same form.  How can I do this? &lt;/p&gt;
&lt;p&gt;Thanks &lt;/p&gt;
</t>
  </si>
  <si>
    <t xml:space="preserve">&lt;p&gt;I have a form created in PowerApps. Few fields are required for user to fill in. I need to have a form validation before user can click Submit button.&lt;/p&gt;
&lt;p&gt;Upon submit button:
- All required are fill in
- All data saved to SharePoint list
- Navigate to 'Thank you' page&lt;/p&gt;
&lt;p&gt;I have this link in 'OnSelect' for Submit button
If((IsEmpty(Data1, Data2), SubmitForm(Form), Navigate(ThankYouPage, Fade)), false)&lt;/p&gt;
&lt;p&gt;But it just navigate to Thank you page even required fields are empty.&lt;/p&gt;
&lt;p&gt;Looking forward to your responses. Thanks in advance!&lt;/p&gt;
</t>
  </si>
  <si>
    <t xml:space="preserve">&lt;p&gt;How can i rename my Apex class?&lt;/p&gt;
&lt;p&gt;For example if I want to change the name of my apex class from ABC to ABC123, how can I do that?&lt;/p&gt;
</t>
  </si>
  <si>
    <t xml:space="preserve">&lt;p&gt;I need to hide the View button inside Lightning Datatable based on Team Group Name in that same row
&lt;a href="https://i.stack.imgur.com/gPSJL.png" rel="nofollow noreferrer"&gt;&lt;img src="https://i.stack.imgur.com/gPSJL.png" alt="enter image description here"&gt;&lt;/a&gt;&lt;/p&gt;
&lt;p&gt;If team Group name is blank then view button must be hidden and if team group name is not blank then i need to show view button&lt;/p&gt;
&lt;p&gt;Here is my code:&lt;/p&gt;
&lt;pre&gt;&lt;code&gt;columns: [
    {label: "Course Title", fieldName: "CourseTitle", type: "text"},
    {label: "Team Group Name", fieldName: "TeamGroupName", type: "text"},
    {label: "Campus Name", fieldName: "CampusName", type: "text"},
    {label: "Course", fieldName: "Course", type: "text"},
    {label: "Section ID", fieldName: "SectionID", type: "text"},
    {label: "Session", fieldName: "Session", type: "text"},
    {label: "Course Level", fieldName: "CourseLevel", type: "text"},
    {label: "Term Length", fieldName: "TermLength", type: "text"},
    {type: "button", typeAttributes: {
            label: 'View',
            name: 'View',
            title: 'View',
            disabled: false,
            value: 'view',
            iconPosition: 'left'
        }}
]
&lt;/code&gt;&lt;/pre&gt;
&lt;p&gt;Component:&lt;/p&gt;
&lt;pre&gt;&lt;code&gt;&amp;lt;aura:component implements="force:appHostable"
controller="Teams_Controller"&amp;gt;
&amp;lt;aura:attribute type="Account[]" name="acctList"/&amp;gt;
&amp;lt;aura:attribute name="mycolumns" type="List"/&amp;gt;
&amp;lt;aura:handler name="init" value="{!this}" action="{!c.fetchAccounts}"/&amp;gt;
&amp;lt;lightning:datatable data="{! v.acctList }" 
                     columns="{! v.mycolumns }" 
                     keyField="id"
                     hideCheckboxColumn="false"
                     onrowaction="{!c.viewRecord}"/&amp;gt;
&lt;/code&gt;&lt;/pre&gt;
&lt;p&gt;&lt;/p&gt;
</t>
  </si>
  <si>
    <t xml:space="preserve">&lt;p&gt;I've had the same issue as yours.&lt;br&gt;
I managed to solve it by following the solution &lt;a href="http://www.infallibletechie.com/2018/07/how-to-disable-and-enable-button-in.html" rel="nofollow noreferrer"&gt;here&lt;/a&gt;.  &lt;/p&gt;
&lt;p&gt;Edit: I'm posting also here the solution. It should be similar to your case.&lt;/p&gt;
&lt;p&gt;Component:&lt;/p&gt;
&lt;pre&gt;&lt;code&gt;&amp;lt;aura:component implements="force:appHostable"
   controller="AccountListController"&amp;gt;
&amp;lt;aura:attribute type="AccountWrapper[]" name="acctList"/&amp;gt;
&amp;lt;aura:attribute name="mycolumns" type="List"/&amp;gt;
&amp;lt;aura:handler name="init" value="{!this}" action="{!c.fetchAccounts}"/&amp;gt;
&amp;lt;lightning:datatable data="{! v.acctList }" 
                     columns="{! v.mycolumns }" 
                     keyField="id"
                     hideCheckboxColumn="true"
                     onrowaction="{!c.viewRecord}"/&amp;gt;
&lt;/code&gt;&lt;/pre&gt;
&lt;p&gt;&lt;/p&gt;
&lt;p&gt;Component Controller:&lt;/p&gt;
&lt;pre&gt;&lt;code&gt;({
fetchAccounts : function(component, event, helper) {
    component.set('v.mycolumns', [
        {label: 'Account Name', fieldName: 'accName', type: 'text'},
        {label: 'Industry', fieldName: 'accIndustry', type: 'text'},
        {label: 'Type', fieldName: 'accType', type: 'text'},
        {label: 'Active?', fieldName: 'accActive', type: 'text'},
        {type: "button", typeAttributes: {
            label: 'View',
            name: 'View',
            title: 'View',
            disabled: { fieldName: 'isActive'},
            value: 'view',
            iconPosition: 'left'
        }}
    ]);
    var action = component.get("c.fetchAccts");
    action.setParams({
    });
    action.setCallback(this, function(response) {
        var state = response.getState();
        if (state === "SUCCESS") {
            component.set("v.acctList", response.getReturnValue());
        }
    });
    $A.enqueueAction(action);
},
viewRecord : function(component, event, helper) {
    var recId = event.getParam('row').accId;
    var actionName = event.getParam('action').name;
    if ( actionName == 'View') {
        var viewRecordEvent = $A.get("e.force:navigateToURL");
        viewRecordEvent.setParams({
            "url": "/" + recId
        });
        viewRecordEvent.fire();
    }
}
})
&lt;/code&gt;&lt;/pre&gt;
&lt;p&gt;Apex Classes:&lt;/p&gt;
&lt;pre&gt;&lt;code&gt;public class AccountWrapper {
@AuraEnabled
public String accName;
@AuraEnabled
public Boolean isActive;
@AuraEnabled
public String accIndustry;
@AuraEnabled
public String accType;
@AuraEnabled
public String accActive;   
@AuraEnabled
public String accId;
}
&lt;/code&gt;&lt;/pre&gt;
&lt;p&gt;AccountListController:&lt;/p&gt;
&lt;pre&gt;&lt;code&gt;public class AccountListController {
@AuraEnabled
public static List &amp;lt; AccountWrapper &amp;gt; fetchAccts() {
    List &amp;lt; AccountWrapper &amp;gt; listAcctWrapper = new List &amp;lt; AccountWrapper &amp;gt;();
    for ( Account acc : [ SELECT Id, Name, Industry, Type, Active__c FROM Account LIMIT 10 ] ) {
        AccountWrapper AccountWrap = new AccountWrapper();
        AccountWrap.accName = acc.Name;
        AccountWrap.isActive = acc.Active__c == 'Yes' ? true : false;
        AccountWrap.accIndustry = acc.Industry;
        AccountWrap.accType = acc.Type;
        AccountWrap.accActive = acc.Active__c;
        AccountWrap.accId = acc.Id;
        listAcctWrapper.add(AccountWrap);
    }
    return listAcctWrapper;
  }
}
&lt;/code&gt;&lt;/pre&gt;
&lt;p&gt;Hope it helps you.&lt;/p&gt;
</t>
  </si>
  <si>
    <t xml:space="preserve">&lt;p&gt;As of a few days ago I periodically get messages like &lt;code&gt;Script delayed (13.0 min) waiting for quota&lt;/code&gt; while testing some of my apps.&lt;/p&gt;
&lt;p&gt;Looking through &lt;a href="https://script.google.com/dashboard" rel="nofollow noreferrer"&gt;the quotas&lt;/a&gt; it doesn't seem like I would be going over any of the limits as most flat out don't apply to this app and the rest are orders of magnitude over the amount of requests I'm making.&lt;/p&gt;
&lt;p&gt;Can I safely ignore these messages?  I can't find anything else helpful in the google cloud logs or in my 10 minutes of poking around to try and find my current usage.  For the few services that do report the quota I am far below the limit (to my knowledge only MailApp has such a function - correct me if there are more).&lt;/p&gt;
</t>
  </si>
  <si>
    <t xml:space="preserve">&lt;p&gt;I'm trying to send emails from my CodeIgniter application via Zoho SMTP server.&lt;/p&gt;
&lt;p&gt;Here is the code:
    $this-&gt;load-&gt;library('email');&lt;/p&gt;
&lt;pre&gt;&lt;code&gt;$config['protocol'] = 'smtp';
$config['smtp_host'] = 'smtp.zoho.com';
$config['smtp_user'] = '&amp;lt;username&amp;gt;';
$config['smtp_pass'] = '&amp;lt;password&amp;gt;';
$config['smtp_port'] = 465;
$config['smtp_crypto'] = 'ssl';
$config['mailtype'] = 'text';
$this-&amp;gt;email-&amp;gt;initialize($config);
$this-&amp;gt;email-&amp;gt;from('&amp;lt;mail&amp;gt;', '&amp;lt;name&amp;gt;');
$this-&amp;gt;email-&amp;gt;to('&amp;lt;mail&amp;gt;');
$this-&amp;gt;email-&amp;gt;subject("Test");
$this-&amp;gt;email-&amp;gt;message("Test message");
if(!$this-&amp;gt;email-&amp;gt;send()){
    echo $this-&amp;gt;email-&amp;gt;print_debugger();
}
&lt;/code&gt;&lt;/pre&gt;
&lt;p&gt;And I get this output:&lt;/p&gt;
&lt;pre&gt;&lt;code&gt;220 mx.zohomail.com SMTP Server ready July 12, 2018 10:58:40 AM PDT
hello: 250-mx.zohomail.com Hello [::1] (83.240.61.40 (83.240.61.40))
250-STARTTLS
250 SIZE 53477376
starttls: 220 Ready to start TLS.
hello: 250-mx.zohomail.com Hello [::1] (83.240.61.40 (83.240.61.40))
250-AUTH LOGIN PLAIN
250 SIZE 53477376
from: 250 Sender  OK
to: 250 Recipient  OK
data: 354 Ok Send data ending with .
quit: 
The following SMTP error was encountered:
The following SMTP error was encountered:
Unable to send email using PHP SMTP. Your server might not be configured to send mail using this method.
Date: Thu, 12 Jul 2018 19:58:40 +0200
From: &amp;lt;from&amp;gt;
Return-Path: &amp;lt;from&amp;gt;
To: me@jradl.cz
Subject: =?UTF-8?Q?Test?=
Reply-To: &amp;lt;from&amp;gt;
User-Agent: CodeIgniter
X-Sender: &amp;lt;from&amp;gt;
X-Mailer: CodeIgniter
X-Priority: 3 (Normal)
Message-ID: &amp;lt;id&amp;gt;
Mime-Version: 1.0
Content-Type: text/plain; charset=UTF-8
Content-Transfer-Encoding: 8bit
Test message
&lt;/code&gt;&lt;/pre&gt;
&lt;p&gt;(removed personal data)&lt;/p&gt;
&lt;p&gt;I get the same message when trying to use Gmail SMTP servers or a different account. Can anybody help with this?&lt;/p&gt;
&lt;p&gt;Using Windows 10, XAMPP, CodeIgniter 3.1.9.&lt;/p&gt;
</t>
  </si>
  <si>
    <t xml:space="preserve">&lt;p&gt;Ok, so I just solved this by adding this line:&lt;/p&gt;
&lt;pre&gt;&lt;code&gt;$this-&amp;gt;email-&amp;gt;set_newline("\r\n");
&lt;/code&gt;&lt;/pre&gt;
</t>
  </si>
  <si>
    <t xml:space="preserve">&lt;p&gt;Creating from blank Powerapp canvas Sharepoint lookup fields are not visible when editing form.&lt;/p&gt;
&lt;p&gt;It is working fine if I start creating my app from Sharepoint data however I need tablet/web layout. I am using on-prem Sharepoint data and a gateway.&lt;/p&gt;
&lt;p&gt;&lt;strong&gt;Update:&lt;/strong&gt; As a workaround I was able to convert my phone layout app derived from sharepoint list to a tablet layout by saving to local folder and updating the properties json file.&lt;/p&gt;
&lt;p&gt;Steps:&lt;/p&gt;
&lt;ol&gt;
&lt;li&gt;&lt;p&gt;Save phone layout app created from sharepoint data to local folder.&lt;/p&gt;&lt;/li&gt;
&lt;li&gt;&lt;p&gt;Create a blank app from tablet layout and save to local folder.&lt;/p&gt;&lt;/li&gt;
&lt;li&gt;Rename both .msapp files by adding the .zip extension.&lt;/li&gt;
&lt;li&gt;Extract both file to one directory&lt;/li&gt;
&lt;li&gt;open the properties.json file of both apps and update the LocalConnectionReferences, DocumentLayoutWidth, DocumentLayoutHeight, DocumentLayoutOrientation, DocumentAppType to be the same as the value of the blank app&lt;/li&gt;
&lt;li&gt;Save and drag updated properties.json to the original zip file.&lt;/li&gt;
&lt;li&gt;Rename from zip to msapp extension.&lt;/li&gt;
&lt;li&gt;Reopen from powerapps, browse from local folder.&lt;/li&gt;
&lt;li&gt;Click App Settings.Click Screen size + orientation.&lt;/li&gt;
&lt;li&gt;In the Size radio button, select 3:2. Click Apply.Click Save.&lt;/li&gt;
&lt;li&gt;In the Size radio button, select 16:9.Click Apply.Click Save.&lt;/li&gt;
&lt;/ol&gt;
</t>
  </si>
  <si>
    <t xml:space="preserve">&lt;p&gt;I'm trying to implement &lt;code&gt;Light Estimation&lt;/code&gt; with &lt;code&gt;ARKit&lt;/code&gt;, but with no luck. What I did is run a &lt;code&gt;session&lt;/code&gt; with &lt;/p&gt;
&lt;pre&gt;&lt;code&gt;configuration.isLightEstimationEnabled = true
&lt;/code&gt;&lt;/pre&gt;
&lt;p&gt;and &lt;/p&gt;
&lt;pre&gt;&lt;code&gt;arSceneView.scene                        = SCNScene()
arSceneView.autoenablesDefaultLighting   = true
arSceneView.automaticallyUpdatesLighting = true
&lt;/code&gt;&lt;/pre&gt;
&lt;p&gt;Is there something else I need to do to make it work? There are no other lights in the scene, just &lt;code&gt;autoenablesDefaultLighting&lt;/code&gt;. I'm using &lt;code&gt;iPhone 6s&lt;/code&gt;, can it be too old to run this functionality?&lt;/p&gt;
</t>
  </si>
  <si>
    <t xml:space="preserve">&lt;p&gt;Depending on what you actually need to achieve the following may help.&lt;/p&gt;
&lt;p&gt;&lt;code&gt;autoEnablesDefaultLighting&lt;/code&gt; is a Boolean value that determines whether SceneKit automatically adds lights to a scene or not.&lt;/p&gt;
&lt;p&gt;By default this is set as &lt;code&gt;false&lt;/code&gt; meaning that:&lt;/p&gt;
&lt;blockquote&gt;
  &lt;p&gt;the only light sources SceneKit uses for rendering a scene are those
  contained in the scene graph.&lt;/p&gt;
&lt;/blockquote&gt;
&lt;p&gt;If on the other hand, this is set to &lt;code&gt;true&lt;/code&gt;:&lt;/p&gt;
&lt;blockquote&gt;
  &lt;p&gt;SceneKit automatically adds and places an omnidirectional light source
  when rendering scenes that contain no lights or only contain ambient
  lights.&lt;/p&gt;
&lt;/blockquote&gt;
&lt;p&gt;This is located from the position of the camera and pointing in the direction of the camera. &lt;/p&gt;
&lt;p&gt;One issue that &lt;a href="https://blog.markdaws.net/arkit-by-example-part-4-realism-lighting-pbr-b9a0bedb013e" rel="nofollow noreferrer"&gt;Mark Daws&lt;/a&gt; noted in his excellent article is that: &lt;/p&gt;
&lt;blockquote&gt;
  &lt;p&gt;The light has a changing direction, so as you walk around an object it
  will always look like the light is coming from your point of view
  (like you are holding a torch infront of you) which isn’t the case
  normally, most scenes have static lighting so your model will look
  unnatural as you move around.&lt;/p&gt;
&lt;/blockquote&gt;
&lt;p&gt;&lt;code&gt;isLightEstimationEnabled&lt;/code&gt; on the other hand:&lt;/p&gt;
&lt;blockquote&gt;
  &lt;p&gt;provides light estimates in the lightEstimate property of each ARFrame
  it delivers.
  If you render your own overlay graphics for the AR scene, you can use
  this information in shading algorithms to help make those graphics
  match the real-world lighting conditions of the scene captured by the
  camera. The ARSCNView class automatically uses this information to
  configure SceneKit lighting.&lt;/p&gt;
&lt;/blockquote&gt;
&lt;p&gt;What this means, is that if you dim the lights in your room for example, and want to apply these lighting conditions on your virtual objects to make them more realistic, this is what you want to use; since with this information we can take the lightEstimate from every frame and modify the intensity of the lights in our scene to mimic the ambient light intensity of the real world itself.&lt;/p&gt;
&lt;p&gt;You can get details of lightingEstimate by setting:&lt;/p&gt;
&lt;p&gt;&lt;code&gt;configuration.isLightEstimationEnabled = true&lt;/code&gt; &lt;/p&gt;
&lt;p&gt;And then using the following callback:&lt;/p&gt;
&lt;pre&gt;&lt;code&gt;//--------------------------
// MARK: - ARSCNViewDelegate
//--------------------------
extension ViewController: ARSCNViewDelegate{
    func renderer(_ renderer: SCNSceneRenderer, updateAtTime time: TimeInterval) {
        guard let lightEstimate = self.augmentedRealityView.session.currentFrame?.lightEstimate else { return }
        let ambientLightEstimate = lightEstimate.ambientIntensity
        let ambientColourTemperature = lightEstimate.ambientColorTemperature
        print(
            """
            Current Light Estimate = \(ambientLightEstimate)
            Current Ambient Light Colour Temperature Estimate = \(ambientColourTemperature)
            """)
        if ambientLightEstimate &amp;lt; 100 { print("Lighting Is Too Dark") }
    }
}
&lt;/code&gt;&lt;/pre&gt;
&lt;p&gt;You then need to do something with the values returned and apply them to your sceneLights.&lt;/p&gt;
&lt;p&gt;Putting it into practice therefore a very basic example might look like so:&lt;/p&gt;
&lt;pre&gt;&lt;code&gt;//--------------------------
// MARK: - ARSCNViewDelegate
//--------------------------
extension ViewController: ARSCNViewDelegate{
    func renderer(_ renderer: SCNSceneRenderer, updateAtTime time: TimeInterval) {
        //1. Get The Current Light Estimate
        guard let lightEstimate = self.augmentedRealityView.session.currentFrame?.lightEstimate else { return }
        //2. Get The Ambient Intensity &amp;amp; Colour Temperatures
        let ambientLightEstimate = lightEstimate.ambientIntensity
        let ambientColourTemperature = lightEstimate.ambientColorTemperature
        print(
            """
            Current Light Estimate = \(ambientLightEstimate)
            Current Ambient Light Colour Temperature Estimate = \(ambientColourTemperature)
            """)
        if ambientLightEstimate &amp;lt; 100 { print("Lighting Is Too Dark") }
        //3. Adjust The Scene Lighting
        sceneLight.intensity = ambientLightEstimate
        sceneLight.temperature = ambientColourTemperature
    }
}
class ViewController: UIViewController {
    //1. Create A Reference To Our ARSCNView In Our Storyboard Which Displays The Camera Feed
    @IBOutlet weak var augmentedRealityView: ARSCNView!
    @IBOutlet weak var takeSnapshotButton: UIButton!
    //2. Create Our ARWorld Tracking Configuration
    let configuration = ARWorldTrackingConfiguration()
    //3. Create Our Session
    let augmentedRealitySession = ARSession()
    //4. Create Our Light
    var sceneLight: SCNLight!
    //-----------------------
    // MARK: - View LifeCycle
    //-----------------------
    override func viewDidLoad() {
        //2. Setup The ARSession
        setupARSession()
        //2. Generate Our Scene
        generateScene()
        super.viewDidLoad()
    }
    override func didReceiveMemoryWarning() { super.didReceiveMemoryWarning() }
    //-------------------------
    // MARK: - Scene Generation
    //-------------------------
    /// Creates An SCNNode &amp;amp; Light For Our Scene
    func generateScene(){
        //1. Create An SCNNode With An SCNSphere Geometry
        let sphereNode = SCNNode()
        let sphereGeometry = SCNSphere(radius: 0.2)
        sphereGeometry.firstMaterial?.diffuse.contents = UIColor.cyan
        sphereNode.geometry = sphereGeometry
        sphereNode.position = SCNVector3(0, 0, -1.5)
        //2. Create Our Light &amp;amp; Position It
        sceneLight = SCNLight()
        sceneLight.type = .omni
        let lightNode = SCNNode()
        lightNode.light = sceneLight
        lightNode.position = SCNVector3(0,0,2)
        //3. Add The Node &amp;amp; Light To Out Scene
        self.augmentedRealityView.scene.rootNode.addChildNode(sphereNode)
        self.augmentedRealityView.scene.rootNode.addChildNode(lightNode)
    }
    //-----------------
    //MARK: - ARSession
    //-----------------
    /// Sets Up The ARSession
    func setupARSession(){
        //1. Set The AR Session
        augmentedRealityView.session = augmentedRealitySession
        augmentedRealityView.delegate = self
        configuration.isLightEstimationEnabled = true
        augmentedRealityView.automaticallyUpdatesLighting = false
        augmentedRealityView.autoenablesDefaultLighting = false
        augmentedRealityView.session.run(configuration, options:[.resetTracking, .removeExistingAnchors])
    }
}
&lt;/code&gt;&lt;/pre&gt;
&lt;p&gt;Hope it helps...&lt;/p&gt;
</t>
  </si>
  <si>
    <t xml:space="preserve">&lt;p&gt;I am trying to use the Zoho API Version 2 to do a simple record update in Leads. I am using PHP and CURL and my sample code for this call (to update a single field in the record) is as follows:-&lt;/p&gt;
&lt;pre&gt;&lt;code&gt;$apiUrl = "https://www.zohoapis.com/crm/v2/Leads/" . {valid record id here};
$headers = array(
    'Content-Type: application/json',
    'Content-Length: ' . strlen($fields),
    sprintf('Authorization: Zoho-oauthtoken %s', {valid auth token here})
);
$fields = json_encode([["data" =&amp;gt; ["City" =&amp;gt; "Egham"]]]);
$ch = curl_init();
curl_setopt($ch, CURLOPT_URL, $apiUrl);
curl_setopt($ch, CURLOPT_HTTPHEADER, $headers);
curl_setopt($ch, CURLOPT_CUSTOMREQUEST, "PUT");
curl_setopt($ch, CURLOPT_POSTFIELDS, $fields); 
curl_setopt($ch, CURLOPT_RETURNTRANSFER, 1); 
curl_setopt($ch, CURLOPT_CONNECTTIMEOUT, 60); 
curl_setopt($ch, CURLOPT_TIMEOUT, 60); 
$result = curl_exec($ch);
curl_close($ch); 
&lt;/code&gt;&lt;/pre&gt;
&lt;p&gt;No matter how I format the JSON, I always get the following returned:&lt;/p&gt;
&lt;pre&gt;&lt;code&gt;{"code":"INVALID_DATA","details": {"expected_data_type":"jsonobject"},"message":"body","status":"error"} 
&lt;/code&gt;&lt;/pre&gt;
&lt;p&gt;It is not a matter of invalid auth tokens etc because I have successfully used PHP and CURL with the Zoho API to read data and I decode the JSON returned successfully.&lt;/p&gt;
&lt;p&gt;Please could somebody help with passing valid JSON data?&lt;/p&gt;
</t>
  </si>
  <si>
    <t xml:space="preserve">&lt;p&gt;The above code constructs input &lt;code&gt;JSON&lt;/code&gt; like this
&lt;code&gt;[{"data":{"City":"Egham"}}]&lt;/code&gt;. This &lt;code&gt;JSON&lt;/code&gt; is not valid as per the &lt;code&gt;ZOHO CRM APIs&lt;/code&gt;(&lt;a href="https://www.zoho.com/crm/help/api/v2/#update-specify-records" rel="noreferrer"&gt;API help&lt;/a&gt;).&lt;/p&gt;
&lt;p&gt;It should be like this &lt;code&gt;{"data":[{"City":"Egham"}]}&lt;/code&gt;. &lt;/p&gt;
&lt;p&gt;Change the code like this :&lt;/p&gt;
&lt;pre&gt;&lt;code&gt;$apiUrl = "https://www.zohoapis.com/crm/v2/Leads/" . {valid record id here};
$fields = json_encode(array("data" =&amp;gt; array(["City" =&amp;gt; "Egham"])));
// *strlen must be called after defining the variable. So moved headers down to $fields*
$headers = array(
    'Content-Type: application/json',
    'Content-Length: ' . strlen($fields),
    sprintf('Authorization: Zoho-oauthtoken %s', {valid auth token here})
);
$ch = curl_init();
curl_setopt($ch, CURLOPT_URL, $apiUrl);
curl_setopt($ch, CURLOPT_HTTPHEADER, $headers);
curl_setopt($ch, CURLOPT_CUSTOMREQUEST, "PUT");
curl_setopt($ch, CURLOPT_POSTFIELDS, $fields);
curl_setopt($ch, CURLOPT_RETURNTRANSFER, 1);
curl_setopt($ch, CURLOPT_CONNECTTIMEOUT, 60);
curl_setopt($ch, CURLOPT_TIMEOUT, 60);
$result = curl_exec($ch);
curl_close($ch); 
&lt;/code&gt;&lt;/pre&gt;
</t>
  </si>
  <si>
    <t xml:space="preserve">&lt;p&gt;The app I'm building uses an external library, &lt;strong&gt;&lt;a href="https://albert-gonzalez.github.io/easytimer.js/#chronometerExample" rel="nofollow noreferrer"&gt;EasyTimer.js&lt;/a&gt;&lt;/strong&gt;. It is useful for timers. I use an HTML widget to show how much time it has elapsed since the timer started, thus it looks like this:&lt;/p&gt;
&lt;p&gt;&lt;a href="https://i.stack.imgur.com/0pVAH.png" rel="nofollow noreferrer"&gt;&lt;img src="https://i.stack.imgur.com/0pVAH.png" alt="enter image description here"&gt;&lt;/a&gt;&lt;/p&gt;
&lt;p&gt;It actually works really good! The only problem I'm having is that I need to stop the timer when the page is detached; that is because the record will be changed and thus the timer needs to start again. Not doing so, causes conflicts with the timer.&lt;/p&gt;
&lt;p&gt;On the HTML widget onAttach event, I have this:&lt;/p&gt;
&lt;pre&gt;&lt;code&gt;//start running timer in the HTML widget
var runningTimer = new Timer();
runningTimer.start({precision: 'seconds', startValues: {seconds: startSeconds}});
runningTimer.addEventListener('secondsUpdated', function (e) {
  $('#timerDiv').html(timerRun.getTimeValues().toString());
});
//attach event listener to page onDetach event to stop timer
widget.root.getElement().addEventListener("unload", function(){
    runningTimer.stop();
    console.log("Timer stopped");
)};
&lt;/code&gt;&lt;/pre&gt;
&lt;p&gt;The top part of the code is working, the bottom one does nothing. I have examined the &lt;a href="https://developers.google.com/appmaker/ui/logic#Events" rel="nofollow noreferrer"&gt;&lt;strong&gt;widget logic documentation&lt;/strong&gt;&lt;/a&gt;, but there is no hint as to if this is possible or not. &lt;/p&gt;
&lt;p&gt;I have a feeling that this might not be possible and I'm starting to freak out; Nonetheless, I wanted to consult with an expert here in case there is a solution and I just haven't found it.&lt;/p&gt;
&lt;p&gt;For your valuable time and opinion on this matter, thanks in advance!&lt;/p&gt;
</t>
  </si>
  <si>
    <t xml:space="preserve">&lt;p&gt;So far, &lt;strong&gt;it is not possible to set the onDetach event handler programmatically&lt;/strong&gt;; Nevertheless, I found a possible solution for you by implementing a custom property on the page. I used a property of type Dynamic and named it 'Timer' for this example. I did not implement Jquery library for this, but used the HTML widget options instead. Here is the html widget onAttach event code:&lt;/p&gt;
&lt;pre&gt;&lt;code&gt;//start running timer in the HTML widget
widget.root.properties.Timer = new Timer();
var runningTimer = widget.root.properties.Timer;
runningTimer.start({precision: 'seconds', startValues: {seconds: 0}});
runningTimer.addEventListener('secondsUpdated', function (e) {
  widget.html = runningTimer.getTimeValues().toString();
});
&lt;/code&gt;&lt;/pre&gt;
&lt;p&gt;Here is the page onDetach event code:&lt;/p&gt;
&lt;pre&gt;&lt;code&gt;widget.root.properties.Timer.stop();
&lt;/code&gt;&lt;/pre&gt;
&lt;p&gt;Hope this will work for you or get you going in the right direction.&lt;/p&gt;
</t>
  </si>
  <si>
    <t xml:space="preserve">&lt;p&gt;I am just starting html/javascript, and attempting to create a simple form that populates a specific "Customer Code" when a "Customer Name" is selected from an input list (behaving like an excel vlookup). The examples I found on stackoverflow all resulted in alert windows, but I would like the value to populate in the form. &lt;/p&gt;
&lt;p&gt;Here's my html snippet for the Customer Name dropdown list: &lt;/p&gt;
&lt;pre&gt;&lt;code&gt;&amp;lt;select id="customername"&amp;gt;
&amp;lt;option&amp;gt;&amp;lt;/option&amp;gt;
&amp;lt;option&amp;gt;Doe Inc&amp;lt;/option&amp;gt;
&amp;lt;option&amp;gt; Smith LLC &amp;lt;/option&amp;gt;
&amp;lt;option&amp;gt; Rogers and Co &amp;lt;/option&amp;gt;
&lt;/code&gt;&lt;/pre&gt;
&lt;p&gt;Here's the customername to customercode mapping:
Doe Inc = 276. Smith LLC = 852. Rogers and Co = 552.&lt;/p&gt;
&lt;p&gt;I would like the customercode to update to the respective customername whenever the customername is updated (without the need for a button), as this is part of a larger form that will an Submit button (in other words, I don't want users to have to click "Submit" to retrieve the customercode, then "Submit" again later in the form). &lt;/p&gt;
&lt;p&gt;Thanks! &lt;/p&gt;
</t>
  </si>
  <si>
    <t xml:space="preserve">&lt;p&gt;In order to be included in a form submission, your form controls need to successful controls, which at the simplest means they need a &lt;code&gt;name=""&lt;/code&gt; value:&lt;/p&gt;
&lt;pre&gt;&lt;code&gt;&amp;lt;select id="customername" name="customername"&amp;gt;
    &amp;lt;option&amp;gt;&amp;lt;/option&amp;gt;
    &amp;lt;option&amp;gt;Doe Inc&amp;lt;/option&amp;gt;
    &amp;lt;option&amp;gt; Smith LLC &amp;lt;/option&amp;gt;
    &amp;lt;option&amp;gt; Rogers and Co &amp;lt;/option&amp;gt;
&amp;lt;/select&amp;gt;
&lt;/code&gt;&lt;/pre&gt;
&lt;p&gt;If what you actually care about submitting is the customercode, and the customername is just the "friendly" version, add the &lt;code&gt;value&lt;/code&gt; attribute to your options, and rename the select appropriately:&lt;/p&gt;
&lt;pre&gt;&lt;code&gt;&amp;lt;select id="customercode" name="customercode"&amp;gt;
    &amp;lt;option value=""&amp;gt;Select one...&amp;lt;/option&amp;gt;
    &amp;lt;option value="276"&amp;gt;Doe Inc&amp;lt;/option&amp;gt;
    &amp;lt;option value="852"&amp;gt;Smith LLC &amp;lt;/option&amp;gt;
    &amp;lt;option value="552"&amp;gt;Rogers and Co &amp;lt;/option&amp;gt;
&amp;lt;/select&amp;gt;
&lt;/code&gt;&lt;/pre&gt;
&lt;p&gt;If you want both "values" to be visible on the form and included in the form submission, you could use a &lt;code&gt;data-&lt;/code&gt; attribute to sync a readonly input:&lt;/p&gt;
&lt;pre&gt;&lt;code&gt;&amp;lt;select id="customername" name="customername"&amp;gt;
    &amp;lt;option data-value=""&amp;gt;Select one...&amp;lt;/option&amp;gt;
    &amp;lt;option data-value="276"&amp;gt;Doe Inc&amp;lt;/option&amp;gt;
    &amp;lt;option data-value="852"&amp;gt;Smith LLC &amp;lt;/option&amp;gt;
    &amp;lt;option data-value="552"&amp;gt;Rogers and Co &amp;lt;/option&amp;gt;
&amp;lt;/select&amp;gt;
&amp;lt;input type="text" name="customercode" id="customercode" readonly /&amp;gt;
&lt;/code&gt;&lt;/pre&gt;
&lt;p&gt;Then use some JavaScript to sync them:&lt;/p&gt;
&lt;pre&gt;&lt;code&gt;var select = document.getElementById('customername');
select.onchange = function(e) {
  var value = select.options[select.selectedIndex].dataset.value;
  var input = document.getElementById('customercode');
  input.value = value;
}
&lt;/code&gt;&lt;/pre&gt;
&lt;p&gt;Example jsFiddle: &lt;a href="https://jsfiddle.net/27jx0q3a/3/" rel="nofollow noreferrer"&gt;https://jsfiddle.net/27jx0q3a/3/&lt;/a&gt;&lt;/p&gt;
&lt;p&gt;Some links, to help: &lt;/p&gt;
&lt;ul&gt;
&lt;li&gt;&lt;a href="https://www.w3.org/TR/html401/interact/forms.html#h-17.13.2" rel="nofollow noreferrer"&gt;W3C: Successful controls&lt;/a&gt;&lt;/li&gt;
&lt;li&gt;&lt;a href="https://developer.mozilla.org/en-US/docs/Learn/HTML/Howto/Use_data_attributes" rel="nofollow noreferrer"&gt;MDN: Using data attributes&lt;/a&gt;&lt;/li&gt;
&lt;/ul&gt;
</t>
  </si>
  <si>
    <t xml:space="preserve">&lt;p&gt;I am working on &lt;code&gt;Yii2&lt;/code&gt;. I have a &lt;code&gt;URL&lt;/code&gt; which on hitting a browser is redirected to my redirect &lt;code&gt;URI&lt;/code&gt;. &lt;/p&gt;
&lt;p&gt;&lt;strong&gt;URL&lt;/strong&gt;&lt;/p&gt;
&lt;pre&gt;&lt;code&gt;https://accounts.zoho.com/oauth/v2/auth?scope=ZohoBugTracker.projects.ALL,ZohoBugTracker.bugs.ALL&amp;amp;client_id=1000&amp;amp;response_type=code&amp;amp;access_type=offline&amp;amp;redirect_uri=http://11.111.111.111:7000/api/oauth/zoho_auth
&lt;/code&gt;&lt;/pre&gt;
&lt;p&gt;When I hit the above URL it will redirect to my redirect URI while giving a code&lt;/p&gt;
&lt;p&gt;&lt;strong&gt;Redirect URI&lt;/strong&gt;&lt;/p&gt;
&lt;p&gt;After hitting the above URL the redirect URI is &lt;code&gt;http://11.111.111.111:7000/api/oauth/zoho_auth?code=1000&amp;amp;location=us&amp;amp;accounts-server=https%3A%2F%2Faccounts.zoho.com&lt;/code&gt;&lt;/p&gt;
&lt;p&gt;&lt;strong&gt;Redirect URI Response&lt;/strong&gt;&lt;/p&gt;
&lt;blockquote&gt;
  &lt;p&gt;{"Message":"No HTTP resource was found that matches the request URI '&lt;a href="http://11.111.111.111:7000/api/oauth/zoho_auth?code=1000&amp;amp;location=us&amp;amp;accounts-server=https:%2F%2Faccounts.zoho.com" rel="nofollow noreferrer"&gt;http://11.111.111.111:7000/api/oauth/zoho_auth?code=1000&amp;amp;location=us&amp;amp;accounts-server=https:%2F%2Faccounts.zoho.com&lt;/a&gt;'."}&lt;/p&gt;
&lt;/blockquote&gt;
&lt;p&gt;How to get the &lt;code&gt;code&lt;/code&gt; from the above response? &lt;/p&gt;
&lt;p&gt;&lt;strong&gt;Update 1&lt;/strong&gt;&lt;/p&gt;
&lt;p&gt;As per suggestion given. I tried to send a &lt;code&gt;GET&lt;/code&gt; request using &lt;a href="https://github.com/linslin/Yii2-Curl" rel="nofollow noreferrer"&gt;linslin&lt;/a&gt;. Below is my code &lt;/p&gt;
&lt;pre&gt;&lt;code&gt; public static function authToken()
{
    $curl = new curl\Curl();
    $response = $curl-&amp;gt;setGetParams([
        'scope' =&amp;gt; 'ZohoBugTracker.projects.ALL,ZohoBugTracker.bugs.ALL',
        'client_id' =&amp;gt; '1000',
        'response_type' =&amp;gt; 'code',
        'access_type' =&amp;gt; 'offline',
        'redirect_uri' =&amp;gt; 'http://11.111.111.111:7000/api/oauth/zoho_auth',
    ])
        -&amp;gt;get('https://accounts.zoho.com/oauth/v2/auth');
    echo $response;
    exit();
}
&lt;/code&gt;&lt;/pre&gt;
&lt;p&gt;And then called this function inside a function through which I am actually creating bugs using zoho API&lt;/p&gt;
&lt;p&gt;Testing my &lt;code&gt;API&lt;/code&gt; via &lt;code&gt;POSTMAN&lt;/code&gt;&lt;/p&gt;
&lt;blockquote&gt;
  &lt;p&gt;&lt;a href="http://localhost:225/inventory-web/api/web/v1/installation/email?ref_no=28373340485858U&amp;amp;customer_id=37030315933&amp;amp;site_snap_name=28373340485858U_1530958224_site_9.jpg&amp;amp;flag=1" rel="nofollow noreferrer"&gt;http://localhost:225/inventory-web/api/web/v1/installation/email?ref_no=28373340485858U&amp;amp;customer_id=37030315933&amp;amp;site_snap_name=28373340485858U_1530958224_site_9.jpg&amp;amp;flag=1&lt;/a&gt;&lt;/p&gt;
&lt;/blockquote&gt;
&lt;p&gt;My &lt;code&gt;email&lt;/code&gt; function is written inside a API controller. So, it will first hit the &lt;code&gt;issueSetup($param1,$param2)&lt;/code&gt;&lt;/p&gt;
&lt;pre&gt;&lt;code&gt;public function actionEmail()
{
    .
    .
    .
    .
     Installations::setupEmail($param1, $param2, $param3);
    .
    .
    .
}
&lt;/code&gt;&lt;/pre&gt;
&lt;p&gt;The above function &lt;code&gt;setupEmail($param1,$param2,$param3)&lt;/code&gt; is inside my controller.&lt;/p&gt;
&lt;pre&gt;&lt;code&gt; public static function setupEmail($ref_no, $customer_id, $install_id)
 {
     .
     .
     .
     .
     .
      list(params.....)= Installations::issueSetup($param1,$param2);
     .
     .
     .
     .      
  }
&lt;/code&gt;&lt;/pre&gt;
&lt;p&gt;&lt;strong&gt;issuSetup funciton&lt;/strong&gt;&lt;/p&gt;
&lt;pre&gt;&lt;code&gt;public static function issueSetup($param1,$param2)
{
     .
     .
     .
     .
    $token = Installations::authToken();
    exit();
    .
    .
    .
    . 
}
&lt;/code&gt;&lt;/pre&gt;
&lt;p&gt;After hitting the &lt;code&gt;API&lt;/code&gt; the I am getting no response in POSTMAN just the empty window&lt;/p&gt;
&lt;p&gt;&lt;a href="https://i.stack.imgur.com/C2WOw.jpg" rel="nofollow noreferrer"&gt;&lt;img src="https://i.stack.imgur.com/C2WOw.jpg" alt="enter image description here"&gt;&lt;/a&gt;&lt;/p&gt;
&lt;p&gt;Any help would be highly appreciated.&lt;/p&gt;
</t>
  </si>
  <si>
    <t xml:space="preserve">&lt;p&gt;Its working quite fine when you enable SSL and check the response code / response header to redirect to the userAuth form on Zuhu:&lt;/p&gt;
&lt;pre&gt;&lt;code&gt;$curl = new \linslin\yii2\curl\Curl();
/** @var Curl $response */
$curl-&amp;gt;setGetParams([
        'scope' =&amp;gt; 'ZohoBugTracker.projects.ALL,ZohoBugTracker.bugs.ALL',
        'client_id' =&amp;gt; '1000',
        'response_type' =&amp;gt; 'code',
        'access_type' =&amp;gt; 'offline',
        'redirect_uri' =&amp;gt; 'http://11.111.111.111:7000/api/oauth/zoho_auth',
])-&amp;gt;setOption(CURLOPT_SSL_VERIFYPEER, true)
    -&amp;gt;setOption(CURLOPT_SSL_VERIFYHOST, false)
    -&amp;gt;setOption(CURLOPT_CAINFO, 'C:/Ampps/apache/conf/ssl_crt/cacert.pem')
    -&amp;gt;get('https://accounts.zoho.com/oauth/v2/auth');
$responseHeaders = $curl-&amp;gt;responseHeaders;
if ($curl-&amp;gt;responseCode === 302 &amp;amp;&amp;amp; isset($responseHeaders['Location'])) {
    header("location: ".$responseHeaders['Location']);
    die();
}
&lt;/code&gt;&lt;/pre&gt;
</t>
  </si>
  <si>
    <t xml:space="preserve">&lt;p&gt;I have one data source (Cloud SQL), and a page where I list the data. I want to create another page where I should only see the data that meets a condition. &lt;/p&gt;
&lt;p&gt;I have tried to create a query, but it doesn't works...&lt;/p&gt;
&lt;p&gt;&lt;a href="https://i.stack.imgur.com/kCwwy.jpg" rel="nofollow noreferrer"&gt;&lt;img src="https://i.stack.imgur.com/kCwwy.jpg" alt="enter image description here"&gt;&lt;/a&gt;&lt;/p&gt;
</t>
  </si>
  <si>
    <t xml:space="preserve">&lt;p&gt;The reason it is not working is due to the fact that you have a function but you are not invoking it. Get rid of the function and just leave the following line of codes:&lt;/p&gt;
&lt;pre&gt;&lt;code&gt;query.filters.approver._contains = Session.getActiveUser().getEmail();
return query.run();
&lt;/code&gt;&lt;/pre&gt;
&lt;p&gt;I believe this should make it work. Take a look at the example provided in the &lt;strong&gt;&lt;a href="https://developers.google.com/appmaker/models/datasources#query_script" rel="nofollow noreferrer"&gt;official documentation&lt;/a&gt;&lt;/strong&gt;. Hope it helps!&lt;/p&gt;
</t>
  </si>
  <si>
    <t xml:space="preserve">&lt;p&gt;I can successfully query relations that have been set:&lt;/p&gt;
&lt;pre&gt;&lt;code&gt;var datasource = app.datasources.MyModel;
datasource.query.filters.Stage.Name._contains = 'This'; //works
datasource.query.filters.Stage.Name._contains = 'That'; //works
datasource.load();
&lt;/code&gt;&lt;/pre&gt;
&lt;p&gt;I'm struggling with &lt;strong&gt;how can I query relations that have NOT been set?&lt;/strong&gt;&lt;/p&gt;
&lt;p&gt;I tried, to no avail:&lt;/p&gt;
&lt;pre&gt;&lt;code&gt;datasource.query.filters.Stage.Id._equals = null; //doesnt work
datasource.query.filters.Stage._equals = null; //doesnt work
&lt;/code&gt;&lt;/pre&gt;
</t>
  </si>
  <si>
    <t xml:space="preserve">&lt;p&gt;I am building an application in Google App Maker that upon a file upload via Drive Picker button, the page will display the date and time of the most recent upload. The part I am unsure of what to do is how to display unique date/time values on the page (reloading the page with new values each time the user uploads a file). I was going through the Google App Maker documentation, and I think it has something to do with binding label values but I am unsure of what to do with it. Thank you for your help!&lt;/p&gt;
</t>
  </si>
  <si>
    <t xml:space="preserve">&lt;p&gt;I have implemented agent live availability according to &lt;a href="https://developer.salesforce.com/docs/atlas.en-us.noversion.service_sdk_android.meta/service_sdk_android/android_chat_agent_avail.htm" rel="nofollow noreferrer"&gt;documentation&lt;/a&gt;. Problem is according to documentation it would land in &lt;strong&gt;OnResult&lt;/strong&gt; method but every time response is landed in &lt;strong&gt;OnCompleted&lt;/strong&gt; method, where I am unable to retrieve agent status from &lt;strong&gt;async&lt;/strong&gt; variable.
Please Guide me if I am missing something or how to get live agent availability from &lt;strong&gt;OnCompleted&lt;/strong&gt;.&lt;/p&gt;
&lt;p&gt;My code (called within HomeFragment)&lt;/p&gt;
&lt;pre&gt;&lt;code&gt;private void setupChatButton() {
        try {
            // Build a configuration object
            ChatConfiguration chatConfiguration =
                    new ChatConfiguration.Builder(ORG_ID, BUTTON_ID,
                            DEPLOYMENT_ID, LIVE_AGENT_POD)
                            .build();
            // Create an agent availability client
            AgentAvailabilityClient client = ChatCore.configureAgentAvailability(chatConfiguration);
            // Check agent availability
            client.check().onResult((async, state) -&amp;gt; {
                switch (state.getStatus()) {
                    case AgentsAvailable: {
//                            Toast.makeText(context, "Available  Chat", Toast.LENGTH_LONG).show();
                        isAgentAvailable = true;
                        fabChat.setBackgroundTintList(ContextCompat.getColorStateList(context, R.color.colorAccent));
                        break;
                    }
                    case NoAgentsAvailable: {
//                            Toast.makeText(context, "NOAGENTS  Chat", Toast.LENGTH_LONG).show();
                        isAgentAvailable = false;
                        fabChat.setBackgroundTintList(ContextCompat.getColorStateList(context, R.color.grey));
                        break;
                    }
                    case Unknown: {
//                            Toast.makeText(context, "UNKNOWN  Chat", Toast.LENGTH_LONG).show();
                        isAgentAvailable = false;
                        fabChat.setBackgroundTintList(ContextCompat.getColorStateList(context, R.color.grey));
                        break;
                    }
                }
            })
                    .onComplete(async -&amp;gt; {
                        Log.e("Home Fragment ", "Chat Call completed");
                        if (async.isComplete()) {
                            isAgentAvailable = true;
                            fabChat.setBackgroundTintList(ContextCompat.getColorStateList(context, R.color.colorAccent));
                        } else {
                            isAgentAvailable = false;
                            fabChat.setBackgroundTintList(ContextCompat.getColorStateList(context, R.color.grey));
                        }
//                            Toast.makeText(context, "Chat Completed!", Toast.LENGTH_LONG).show();
                    });
        } catch (Exception e) {
            Log.e(getContext().getClass().getSimpleName(), e.getMessage());
        }
&lt;/code&gt;&lt;/pre&gt;
</t>
  </si>
  <si>
    <t xml:space="preserve">&lt;p&gt;below is the &lt;a href="https://powerapps.microsoft.com/en-us/blog/add-attachments-to-sharepoint-lists" rel="nofollow noreferrer"&gt;blog post&lt;/a&gt; detailing the feature but I cannot see it even after following the step to disable and re-enable attachments. I am using Sharepoint on premise list and a gateway.&lt;/p&gt;
</t>
  </si>
  <si>
    <t xml:space="preserve">&lt;p&gt;Unfortunately Sharepoint OnPrem 2013 and 2016 do not have support for attachments so you will not be able to use this feature.  &lt;/p&gt;
</t>
  </si>
  <si>
    <t xml:space="preserve">&lt;p&gt;For the app I'm building on Google App Maker I was asked to set default value for my dropdown list and my radio group , and it seems nearly impossible to do it , any ideas how to do it ? (default value and not Null item because the null item is not allowed in my case )
the value of the dropdown and radio group it a query parameter and not a datasource feild&lt;/p&gt;
</t>
  </si>
  <si>
    <t xml:space="preserve">&lt;p&gt;Why not use the &lt;strong&gt;onAttach&lt;/strong&gt; event handler?&lt;/p&gt;
&lt;p&gt;You can set your widget onAttach even logic like this:&lt;/p&gt;
&lt;pre&gt;&lt;code&gt;widget.value = "My default value";
&lt;/code&gt;&lt;/pre&gt;
&lt;p&gt;See below:
&lt;a href="https://i.stack.imgur.com/l4zEG.png" rel="nofollow noreferrer"&gt;&lt;img src="https://i.stack.imgur.com/l4zEG.png" alt="enter image description here"&gt;&lt;/a&gt;&lt;/p&gt;
&lt;p&gt;I suggest you to go over the &lt;strong&gt;&lt;a href="https://developers.google.com/appmaker/ui/logic#Events" rel="nofollow noreferrer"&gt;widgets logic documentation&lt;/a&gt;&lt;/strong&gt; to comprehend more about how to achieve this type of things. Hope it helps!&lt;/p&gt;
</t>
  </si>
  <si>
    <t xml:space="preserve">&lt;p&gt;We are using Drive Picker widget to select files in user's Drive.&lt;/p&gt;
&lt;p&gt;The app is configured to run as user.&lt;/p&gt;
&lt;p&gt;The app works properly when running at &lt;a href="https://scripts.google.com/" rel="nofollow noreferrer"&gt;https://scripts.google.com/&lt;/a&gt;... URL; if we embed the app in a New Google Sites instance (google.com URL), the drive picker shows an empty, white dialog only.&lt;/p&gt;
&lt;p&gt;We have some errors in Chrome's Console:&lt;/p&gt;
&lt;blockquote&gt;
  &lt;p&gt;Failed to execute 'postMessage' on 'DOMWindow': The target origin provided ('&lt;a href="https://docs.google.com" rel="nofollow noreferrer"&gt;https://docs.google.com&lt;/a&gt;') does not match the recipient window's origin [...]&lt;/p&gt;
  &lt;p&gt;Invalid 'X-Frame-Options' header encountered when loading [...] 'ALLOW-FROM &lt;a href="https://script.google.com" rel="nofollow noreferrer"&gt;https://script.google.com&lt;/a&gt;' is not a recognized directive. The header will be ignored.&lt;/p&gt;
  &lt;p&gt;Uncaught Error: Incorrect origin value. Please set it to - (window.location.protocol + '//' + window.location.host) of the top-most page at new JJ (13808338-picker_modularized_opc.js:975) at _createPicker (13808338-picker_modularized_opc.js:977) at HTMLDocument.&lt;/p&gt;
&lt;/blockquote&gt;
&lt;p&gt;Firefox says&lt;/p&gt;
&lt;blockquote&gt;
  &lt;p&gt;Load denied by X-Frame-Options: &lt;a href="https://script.google.com/" rel="nofollow noreferrer"&gt;https://script.google.com/&lt;/a&gt; does not permit framing by &lt;a href="https://sites.google.com/s/[...]/edit?authuser=0" rel="nofollow noreferrer"&gt;https://sites.google.com/s/[...]/edit?authuser=0&lt;/a&gt;.&lt;/p&gt;
&lt;/blockquote&gt;
&lt;p&gt;We cannot find any clue about restrictions and limitations in Drive Picker's docs.&lt;/p&gt;
&lt;p&gt;Thank you.&lt;/p&gt;
</t>
  </si>
  <si>
    <t xml:space="preserve">&lt;p&gt;I run App Maker on my bare domain and have picker widget working.&lt;/p&gt;
&lt;ol&gt;
&lt;li&gt;In App Settings: Check &lt;strong&gt;Allow embedding app&lt;/strong&gt;&lt;/li&gt;
&lt;li&gt;In Drive Picker's &lt;em&gt;onPickerInit&lt;/em&gt;: &lt;code&gt;pickerBuilder.setOrigin("https://example.com/");&lt;/code&gt;&lt;/li&gt;
&lt;/ol&gt;
</t>
  </si>
  <si>
    <t xml:space="preserve">&lt;p&gt;I am using Spring Boot and I have configured Zoho mail as smtp server. Following are my application properties pertaining to mail&lt;/p&gt;
&lt;pre&gt;&lt;code&gt;spring.mail.host = smtp.zoho.com
spring.mail.port = 587
spring.mail.username= emialid
spring.mail.password = password
spring.mail.properties.mail.smtp.auth = true
spring.mail.properties.mail.smtp.starttls.enable=true
&lt;/code&gt;&lt;/pre&gt;
&lt;p&gt;I am getting following error:&lt;/p&gt;
&lt;pre&gt;&lt;code&gt;org.springframework.mail.MailSendException: Failed to close server connection after message failures; nested exception is javax.mail.MessagingException: Can't send command to SMTP host;
  nested exception is:
    java.net.SocketException: Connection closed by remote host. Failed messages: com.sun.mail.smtp.SMTPSendFailedException: 553 Relaying disallowed as &amp;lt;"Faran Anjum"@DESKTOP-3PBLRKB&amp;gt;
; message exception details (1) are:
Failed message 1:
com.sun.mail.smtp.SMTPSendFailedException: 553 Relaying disallowed as &amp;lt;"Faran Anjum"@DESKTOP-3PBLRKB&amp;gt;
    at com.sun.mail.smtp.SMTPTransport.issueSendCommand(SMTPTransport.java:2267)
    at com.sun.mail.smtp.SMTPTransport.finishData(SMTPTransport.java:2045)
    at com.sun.mail.smtp.SMTPTransport.sendMessage(SMTPTransport.java:1260)
    at org.springframework.mail.javamail.JavaMailSenderImpl.doSend(JavaMailSenderImpl.java:448)
    at org.springframework.mail.javamail.JavaMailSenderImpl.send(JavaMailSenderImpl.java:345)
    at org.springframework.mail.javamail.JavaMailSenderImpl.send(JavaMailSenderImpl.java:340)
    at com.palmgrid.preparify.module.emailService.GmailSender.sendEmailThroughTemplate(GmailSender.java:46)
    at com.palmgrid.preparify.module.emailService.GmailSender$$FastClassBySpringCGLIB$$e1c05267.invoke(&amp;lt;generated&amp;gt;)
    at org.springframework.cglib.proxy.MethodProxy.invoke(MethodProxy.java:204)
    at org.springframework.aop.framework.CglibAopProxy$CglibMethodInvocation.invokeJoinpoint(CglibAopProxy.java:738)
    at org.springframework.aop.framework.ReflectiveMethodInvocation.proceed(ReflectiveMethodInvocation.java:157)
    at org.springframework.aop.interceptor.AsyncExecutionInterceptor$1.call(AsyncExecutionInterceptor.java:115)
    at java.util.concurrent.FutureTask.run$$$capture(FutureTask.java:266)
    at java.util.concurrent.FutureTask.run(FutureTask.java)
    at java.lang.Thread.run(Thread.java:745)
&lt;/code&gt;&lt;/pre&gt;
&lt;p&gt;How to resolve this?&lt;/p&gt;
</t>
  </si>
  <si>
    <t xml:space="preserve">&lt;p&gt;I am attempting to use the PHP SDK to access the Zoho API. I have successfully installed the SDK using composer as per the instructions, and it sits in the /vendor folder on my web site.&lt;/p&gt;
&lt;p&gt;So if I create a PHP page, which part do I need to reference with require or include or whatever to give my PHP page access to the SDK code.&lt;/p&gt;
&lt;p&gt;There are a lot of examples with small code snippets but none which show a complete page. Can anybody help?&lt;/p&gt;
</t>
  </si>
  <si>
    <t xml:space="preserve">&lt;p&gt;The Issue I am having is that I have a component (A) with an array of objects. That is being displayed on the dom.&lt;/p&gt;
&lt;p&gt;Then I have another component (B) that fires an event to add an object to the array in component (A). &lt;/p&gt;
&lt;p&gt;Component (A) handles the event and it adds the object to the array but the dom does not change, Unless i refresh the page.&lt;/p&gt;
&lt;pre&gt;&lt;code&gt;let objectA = componet.get("v.objectA");  // Array of objects
objectA.push({ 
  name: 'test',
  id: 1234
});
$A.get('e.force:refreshView').fire();
&lt;/code&gt;&lt;/pre&gt;
&lt;p&gt;I inspected the data and ObjectA has the object. Is there a way to dynamically show the data in the dom.&lt;/p&gt;
&lt;p&gt;This is what my dom is doing. Looping through the objects in the array&lt;/p&gt;
&lt;pre&gt;&lt;code&gt;  &amp;lt;aura:iteration items="{!v.objectA}" indexVar="actionIndex" var="obj"&amp;gt;
     &amp;lt;c:componentA recordId="{#v.recordId}" actionIndex="{!actionIndex}" object="{!obj}" /&amp;gt;
  &amp;lt;/aura:iteration&amp;gt;
&lt;/code&gt;&lt;/pre&gt;
</t>
  </si>
  <si>
    <t xml:space="preserve">&lt;p&gt;**I have two comboboxes in my lighting UI with a set of options. I want to reset one combobox if the options in other combobox have changed.&lt;/p&gt;
&lt;p&gt;How to reset the options in combobox dynamically in salesforce lightning UI?**&lt;/p&gt;
</t>
  </si>
  <si>
    <t xml:space="preserve">&lt;p&gt;I created the formula field below to show the link to a record. It works when I'm on different record, however, if I click the same link on a dashboard, it gives me the following error: URL No Longer Exists. The url adds "desktopDashboards." Can someone help me fix this issue?&lt;/p&gt;
&lt;p&gt;HYPERLINK(LEFT($Api.Partner_Server_URL_260, FIND( '/lightning', $Api.Partner_Server_URL_260)) &amp;amp;  Id,  'Test')&lt;/p&gt;
&lt;p&gt;Record link: 
&lt;a href="https://company.lightning.force.com/lightning/r/Object__c/(id)/view" rel="nofollow noreferrer"&gt;https://company.lightning.force.com/lightning/r/Object__c/(id)/view&lt;/a&gt;&lt;/p&gt;
&lt;p&gt;Dashboard link (with error message):
&lt;a href="https://company.cs21.my.salesforce.com/" rel="nofollow noreferrer"&gt;https://company.cs21.my.salesforce.com/&lt;/a&gt;&lt;strong&gt;desktopDashboards&lt;/strong&gt;/(id)&lt;/p&gt;
</t>
  </si>
  <si>
    <t xml:space="preserve">&lt;p&gt;I have created a lightning component with lightning record edit form and a couple of fields. Wrote a Javascript method such that When I change the first field to a particular value then second field is updated. Below is my code.&lt;/p&gt;
&lt;pre&gt;&lt;code&gt;&amp;lt;aura:component implements="force:appHostable"&amp;gt;
   &amp;lt;aura:attribute name='test' type='String'/&amp;gt;
   &amp;lt;lightning:recordEditForm 
                          aura:id="editForm"
                          objectApiName="Case"
                          recordTypeId="{XXXXXXXXXXXXX}"&amp;gt;
    &amp;lt;div class="slds-col slds-size_1-of-2 slds-p-around_x-small"&amp;gt;
        &amp;lt;lightning:inputField aura:id="subject" fieldName="Subject" onchange="{!c.subjectChanged}"/&amp;gt;
    &amp;lt;/div&amp;gt;
    &amp;lt;div class="slds-col slds-size_1-of-2 slds-p-around_x-small"&amp;gt;
        &amp;lt;lightning:inputField aura:id="description" value="{!v.test}" fieldName="Description"/&amp;gt;
    &amp;lt;/div&amp;gt;
&amp;lt;/lightning:recordEditForm&amp;gt;
&amp;lt;/aura:component&amp;gt;
&lt;/code&gt;&lt;/pre&gt;
&lt;p&gt;Below is the Controller code&lt;/p&gt;
&lt;pre&gt;&lt;code&gt;({
    subjectChanged : function(component, event, helper) {
        var subjectValue = component.find("subject").get("v.value");
        if(subjectValue === "U") {
            //var descriptionValue = component.find("description");
            //descriptionValue.set("v.value","User");
            component.set('v.test','User');
        }
    }
})
&lt;/code&gt;&lt;/pre&gt;
&lt;ol&gt;
&lt;li&gt;Updated Subject field to U, then Description got updated to 'User'&lt;/li&gt;
&lt;li&gt;Update the Description field value to XYZ or clear the value.&lt;/li&gt;
&lt;li&gt;Change the subject field to X and then update back to U. &lt;/li&gt;
&lt;li&gt;Notice that JS method got executed, but description is not updated to 'User'.&lt;/li&gt;
&lt;/ol&gt;
&lt;p&gt;Whenever, user updates subject field to U, I want the description to be set to User. Any thoughts on this?&lt;/p&gt;
</t>
  </si>
  <si>
    <t xml:space="preserve">&lt;p&gt;From documentation: &lt;a href="https://developer.salesforce.com/docs/component-library/bundle/lightning:inputField/documentation" rel="nofollow noreferrer"&gt;https://developer.salesforce.com/docs/component-library/bundle/lightning:inputField/documentation&lt;/a&gt;&lt;/p&gt;
&lt;p&gt;.....The assumption is that there are unsaved changes that &lt;strong&gt;should not be overwritten&lt;/strong&gt;. If you want to be able to overwrite user changes, &lt;strong&gt;you can use lightning:input instead&lt;/strong&gt;....&lt;/p&gt;
</t>
  </si>
  <si>
    <t xml:space="preserve">&lt;p&gt;I have been looking for an adequate way to make my design responsive and easily used with mobile devices, within google app maker. Using 'auto' for the horizontal width or vertical height does help with this but the resizing of text even using the css font size by vw  results in my content not being compatible with mobile devices and web. Any ideas how to make Google App Maker more 'mobile friendly' so to say, would be greatly appreciated. &lt;/p&gt;
</t>
  </si>
  <si>
    <t xml:space="preserve">&lt;p&gt;I am trying to use Standard Date picker using below component but however I want to display custom error message when the enterted date is not in the speciied min &amp;amp; max range. But I am not able to achieve it as I could see the standard error message. I implemented the same by referring to : &lt;a href="https://developer.salesforce.com/docs/component-library/bundle/lightning:input/example" rel="nofollow noreferrer"&gt;https://developer.salesforce.com/docs/component-library/bundle/lightning:input/example&lt;/a&gt; and in this link I can see that the custom error messages can be shown. But nothing worked for me can anyone please help. 
&lt;a href="https://developer.salesforce.com/docs/component-library/bundle/lightning:input/documentation" rel="nofollow noreferrer"&gt;https://developer.salesforce.com/docs/component-library/bundle/lightning:input/documentation&lt;/a&gt;
&lt;/p&gt;
&lt;pre&gt;&lt;code&gt;&amp;lt;lightning:input aura:id="field
                     type="date" 
                     name="MyDatefield" 
                     label="MyDateField" 
                     value="2017-09-07" 
                     min="2017-09-05" 
                     messageWhenRangeUnderflow="Select correct date range1"
                     max="2017-09-22" 
                     messageWhenRangeOverflow="Select correct date range2"
                     onchange="{!c.checkValidity }"
&amp;lt;/aura:component&amp;gt;
&lt;/code&gt;&lt;/pre&gt;
</t>
  </si>
  <si>
    <t xml:space="preserve">&lt;p&gt;I have been trying to work on a requirement where I made an app using App Maker, it is a directory app, user will open the homepage for that app and should be able to see the list of his contacts in the same OrgUnit that he is in on G Suite.&lt;/p&gt;
&lt;p&gt;I understand that the default people or directory model does not show the orgUnitPath attribute, so I used the AdminDirectory directly.&lt;/p&gt;
&lt;p&gt;In application settings I enabled the AdminDirectory API.
I created a new calculated datasource named Test.
Then I added 3 fields to the datasource: primaryEmail, fllName, and orgUnitPath.
Then in the events I added the following script:&lt;/p&gt;
&lt;pre&gt;&lt;code&gt;var usersArr = [];
var pageToken, page;
var conditions = {
    customer: 'my_customer',
    query: 'orgUnitPath=\'/OU_NAME\'',
    pageToken: pageToken 
}
do {
    page = AdminDirectory.Users.list(conditions);
    for (var i=0;i&amp;lt;page.users.length;i++)
    {
        console.log(page.users[i].orgUnitPath);
        usersArr.push(page.users[i].primaryEmail,page.users[i].name.fullName,page.users[i].orgUnitPath);
    }
    //page.users.forEach(function(user) {
        //usersArr.push(user.primaryEmail, user.name.fullName, user.orgUnitPath);
    //});
    if (page.nextPageToken) {
        conditions.pageToken = page.nextPageToken;
    }
} while (page.pageToken);
console.log(usersArr.length);
console.log(usersArr);
return usersArr;
&lt;/code&gt;&lt;/pre&gt;
&lt;p&gt;&lt;a href="https://i.stack.imgur.com/CLsDF.png" rel="nofollow noreferrer"&gt;&lt;img src="https://i.stack.imgur.com/CLsDF.png" alt="Query event for the datasource"&gt;&lt;/a&gt;&lt;/p&gt;
&lt;p&gt;When I try to preview the app, I get the following error in console:&lt;/p&gt;
&lt;blockquote&gt;
  &lt;p&gt;E - Tue Oct 16 11:36:43 GMT+300 2018 - The function queryRecords must
  return an array of records, but the array contained an element that
  was not a record. Error: The function queryRecords must return an
  array of records, but the array contained an element that was not a
  record.&lt;/p&gt;
  &lt;p&gt;E - Tue Oct 16 11:36:43 GMT+300 2018 - Executing query for datasource
  Test: (Error) : The function queryRecords must return an array of
  records, but the array contained an element that was not a record.&lt;/p&gt;
  &lt;p&gt;E - Tue Oct 16 11:36:43 GMT+300 2018 - Executing query for datasource
  Test failed.&lt;/p&gt;
&lt;/blockquote&gt;
&lt;p&gt;I think I am not getting the point where I need to make the returned array into proper format to be accepted by the datasource so I can use it with it.&lt;/p&gt;
&lt;p&gt;Not sure if I did put all the required details.. Please let me know of any missing information and I'll put them here!&lt;/p&gt;
&lt;p&gt;I would really appreciate any help or guidance on this...&lt;/p&gt;
&lt;p&gt;Regards&lt;/p&gt;
</t>
  </si>
  <si>
    <t xml:space="preserve">&lt;p&gt;App Maker is expecting you to return an array of &lt;a href="https://developers.google.com/appmaker/scripting/api/server#Record" rel="nofollow noreferrer"&gt;Record&lt;/a&gt; objects for the datasource you are defining (in this case "Test" records).&lt;/p&gt;
&lt;p&gt;You can put this script in the datasource server script or as a function that's called from the datasource server script as Markus suggested.&lt;/p&gt;
&lt;pre&gt;&lt;code&gt;var usersArr = [];
var pageToken, page;
var conditions = {
    customer: 'my_customer',
    query: 'orgUnitPath=\'/OU_NAME\'',
    pageToken: pageToken 
}
do {
    page = AdminDirectory.Users.list(conditions);
    for (var i = 0; i &amp;lt; page.users.length; i++) {
        var userRecord = app.models.Test.newRecord();
        userRecord.primaryEmail = page.users[i].primaryEmail;
        userRecord.fullName = page.users[i].name.fullName;
        userRecord.orgUnitPath = page.users[i].orgUnitPath;
        usersArr.push(userRecord);
    }
    if (page.nextPageToken) {
        conditions.pageToken = page.nextPageToken;
    }
} while (page.pageToken);
return usersArr;
&lt;/code&gt;&lt;/pre&gt;
</t>
  </si>
  <si>
    <t xml:space="preserve">&lt;p&gt;I'm using the form field in Zoho and I want to scan a license disk.&lt;/p&gt;
&lt;p&gt;This is the license disk code I get from the QR reader&lt;/p&gt;
&lt;pre&gt;&lt;code&gt; %MVL1CC17%0139%4024B00K%1%4024047DWMR8%12343GP%WMS659W%Pick-up/Bakkie%FORD%RANGER%White/White%abcdefghijklmnop%2018-06-30%
&lt;/code&gt;&lt;/pre&gt;
&lt;p&gt;Now I want it to scan and substring each individual item for example:&lt;/p&gt;
&lt;pre&gt;&lt;code&gt;License plate number = 12343GP
vin number = abcdefghijklmnop
color = white
model = ranger
make = ford
type= bakkie
?? =?? 
&lt;/code&gt;&lt;/pre&gt;
&lt;p&gt;I want to scan one time and it should automatically put it in the desired fields color make type etc..&lt;/p&gt;
&lt;p&gt;I have tried putting the fields together but then I have to scan the same disk 5 times should I make a formula field then put in a script?&lt;/p&gt;
</t>
  </si>
  <si>
    <t xml:space="preserve">&lt;p&gt;I am in the process of building a PowerApp that stores its data on a SharePoint OnLine list.&lt;/p&gt;
&lt;p&gt;One of the fields is meant to be an Attachments Control that may carry one or more files.  The record is validated by checking for data in relevant fields; I need to check whether or not the Attachments Control has any items attached to it.&lt;/p&gt;
&lt;p&gt;I was unable to find out how to see if the Attachments Control has some property that would at least tell me if there are attachments associated with the control.  The Microsoft documentation doesn't seem to describe any such feature, is there something I missed?&lt;/p&gt;
</t>
  </si>
  <si>
    <t xml:space="preserve">&lt;p&gt;I wish to create a generic component which can save the Object Name and field Names with old and new values in a BigObject. 
The brute force algo says, on every update of each object, get field API names using describe and check old and new value of those fields. If it gets modified insert it into new BigObject.
But it will consume a lot of CPU time and I am looking for an optimum solution to handle this.
Any suggestions are appreciated.&lt;/p&gt;
</t>
  </si>
  <si>
    <t xml:space="preserve">&lt;p&gt;I wanted to see if anybody on here has encountered this yet...I'm looking to work with multiple ComboBoxes to Filter data in a Gallery. Currently, I have a search bar &lt;strong&gt;(TextInput1.Text)&lt;/strong&gt; working in conjunction with multiple ComboBoxes (&lt;strong&gt;ComboBox1&lt;/strong&gt; and &lt;strong&gt;ComboBox3&lt;/strong&gt;) -- which is attached to the &lt;strong&gt;Gallery &gt; Items Function&lt;/strong&gt; : &lt;/p&gt;
&lt;pre&gt;&lt;code&gt;Gallery&amp;gt; Items = Filter('Table A', 
    ((TextInput1.Text in 'Description') || 
     (TextInput1.Text in 'Name - Long') ||
     (TextInput1.Text in 'Tags')) &amp;amp;&amp;amp;
    ('Target Type'.Value exactin ComboBox1.SelectedItems.Result &amp;amp;&amp;amp;
     'Target Level'.Value exactin ComboBox3.SelectedItems.Result)
)
&lt;/code&gt;&lt;/pre&gt;
&lt;p&gt;&lt;strong&gt;&lt;em&gt;PROBLEM&lt;/em&gt;&lt;/strong&gt;&lt;/p&gt;
&lt;p&gt;The issue with the &lt;code&gt;('Target Type'.Value exactin ComboBox1.SelectedItems.Result &amp;amp;&amp;amp; 'Target Level'.Value exactin ComboBox3.SelectedItems.Result)&lt;/code&gt;, part in the function above is that when you apply the &lt;code&gt;&amp;amp;&amp;amp;&lt;/code&gt; operator in between &lt;strong&gt;ComboBox1&lt;/strong&gt; and &lt;strong&gt;ComboBox2&lt;/strong&gt; , none of the data populates on the Gallery unless items are selected on BOTH &lt;strong&gt;ComboBoxes&lt;/strong&gt;. Similarly, when using the &lt;code&gt;||&lt;/code&gt; operator it only responds to the MOST RECENTLY selected items in the boxes. &lt;/p&gt;
&lt;p&gt;&lt;strong&gt;&lt;em&gt;POSSIBLE SOLUTION&lt;/em&gt;&lt;/strong&gt;&lt;/p&gt;
&lt;p&gt;In order for multiple ComboBoxes to execute cross-reference functionality(which is essentially what I'm trying to do with multiple boxes), I have to use an &lt;strong&gt;IF&lt;/strong&gt; function that follows the following logic:&lt;/p&gt;
&lt;blockquote&gt;
  &lt;p&gt;IF(more than 1 comboBox is being selected, apply &amp;amp;&amp;amp; logic in between ComboBoxes[like shown above], else apply ||)&lt;/p&gt;
&lt;/blockquote&gt;
&lt;p&gt;or&lt;/p&gt;
&lt;blockquote&gt;
  &lt;p&gt;IF( just 1 combobox is being used, apply || logic, else apply &amp;amp;&amp;amp;)&lt;/p&gt;
&lt;/blockquote&gt;
&lt;p&gt;Am I going about this the right way? If so, how would a function look in its entirety when incorporating this?&lt;/p&gt;
</t>
  </si>
  <si>
    <t xml:space="preserve">&lt;p&gt;Below is the sample canvas-app functions that I have tried, however I would like to convert the below canvas-app functions that can access collection data to use it:&lt;/p&gt;
&lt;pre&gt;&lt;code&gt;If("EC - Empire Complex" in BuildingDropdown.Selected.Value, Distinct(Filter(Area, "1" in buildingID), storey), If("BTB - Brani Terminal Building" in BuildingDropdown.Selected.Value, Distinct(Filter(Area, "2" in buildingID), storey), If("KW - Keppel Workshop" in BuildingDropdown.Selected.Value, Distinct(Filter(Area, "3" in buildingID),storey), If("CSO - Container Side Office"in BuildingDropdown.Selected.Value, Distinct(Filter(Area, "4" in buildingID), storey), If("Others" in BuildingDropdown.Selected.Value, Distinct(Filter(Area, "5" in buildingID), storey))))))
&lt;/code&gt;&lt;/pre&gt;
&lt;p&gt;How do I convert the above canvas-app functions such that it can make use of the collect function together with the use of if function? Thanks.&lt;/p&gt;
</t>
  </si>
  <si>
    <t xml:space="preserve">&lt;p&gt;I'm new to Appmaker &amp;amp; for the most part, advanced web development. In 2016 I created a very rudimentary AMP stack page to be used in my employers office to take leads by phone and email, then afterward the estimators log in and claim them (place their name in a field) to remove them from available leads. I used Adobe CS5 Dreamweaver, which I'm sure you all know, no longer receives support for their PHP backend since PHP has had so much change. By the way, I know very little about PHP or Mysql, that's why I used Dreamweaver and I now move toward Appmaker. I also have no scripting background which is where I'm stuck at now, I think.&lt;/p&gt;
&lt;p&gt;It took me awhile but I figured out how to setup Appmaker (We have no sysadmin, so I dug around until I got it working). I now know the basics of Appmaker, I even paid to take the Appmaker University Bootcamp course which did open my eyes to the correct way to build pages. Onto my issue...&lt;/p&gt;
&lt;p&gt;Lead comes in and shows in main list, estimator views details and clicks one of two checkboxes. 1.) Pass (Not interested, do not list anymore in my view)
 2.) Claim (Move into claimed status, now owns this lead).&lt;/p&gt;
&lt;p&gt;I have not started using database relations and I am unsure if this should be an instance where I should use them, but for now I just have Claim and Pass as Boolean table entries. I also have for each of these, accompanying table fields of Claim Date, Claim Estimator &amp;amp; Pass Date, Pass Estimator (Multiple Estimators can pass but only one can Claim).&lt;/p&gt;
&lt;p&gt;I cannot figure out how to have the backend enter the date and user email upon clicking the Pass or Claim checkboxes.. I have tried adding stuff to onCLick and onValidate and nothing seems to work. Im confident I am looking in the wrong direction, please help.&lt;/p&gt;
</t>
  </si>
  <si>
    <t xml:space="preserve">&lt;p&gt;I have to query some data from BigQuery. The code looks like this:&lt;/p&gt;
&lt;pre&gt;&lt;code&gt;function GetQuery(employeeId) {
 var projectId = 'xxxx-xx-xxx';
   var request = {
     query: 'SELECT HOD_Email ' +
            'FROM [xxxx-xx-xxx.table_name.dataset] ' +
            'WHERE EmployeeId = employeeId'
   };
 }
&lt;/code&gt;&lt;/pre&gt;
&lt;p&gt;And I don't think it works &lt;/p&gt;
</t>
  </si>
  <si>
    <t xml:space="preserve">&lt;p&gt;Instead of    &lt;/p&gt;
&lt;pre&gt;&lt;code&gt;'WHERE EmployeeId = employeeId'   
&lt;/code&gt;&lt;/pre&gt;
&lt;p&gt;try    &lt;/p&gt;
&lt;pre&gt;&lt;code&gt;'WHERE EmployeeId = "' + employeeId + '"'   
&lt;/code&gt;&lt;/pre&gt;
</t>
  </si>
  <si>
    <t xml:space="preserve">&lt;p&gt;I am new to Google App Maker and am trying to build m own custom version of the Calendar sample was that given. In the example, the code grabs the default calendar by getDefaultCalendar. I have another Calendar that I want to grab (either by name or id). After using getCalendarByName and debugging it, it finds the calendar, however when i use it with getEvents it does not populate in the sample app. &lt;/p&gt;
&lt;p&gt;The code below is from the Calendar Sample.&lt;/p&gt;
&lt;pre&gt;&lt;code&gt;/**
* Gets Calendar events.
* @param {Query} query - data query with parameters.
* @return {Array&amp;lt;Event&amp;gt;} events from Calendar.
*/
function getEvents_(query) {
var startDate = query.parameters.StartDate;
startDate.setHours(0, 0, 0, 0);
var endDate = query.parameters.EndDate;
endDate.setDate(endDate.getDate() + 1);
endDate.setHours(0, 0, 0, 0);
if (startDate.getTime() &amp;gt; endDate.getTime()) {
return [];
}
var results = [];
var events = 
CalendarApp.getDefaultCalendar().getEvents(startDate,endDate);
events.forEach(function(item) {
var event = app.models.Events.newRecord();
event.StartDate = item.getStartTime();
event.EndDate = item.getEndTime();
event.Title = item.getTitle();
event.Color = item.getColor();
results.push(event);
});
return results;
}
&lt;/code&gt;&lt;/pre&gt;
</t>
  </si>
  <si>
    <t xml:space="preserve">&lt;p&gt;The function is &lt;code&gt;getCalendarsByName&lt;/code&gt; with an &lt;code&gt;s&lt;/code&gt; and thus it returns an array of calendars. If you know you'll only get one correct result you can just change the code to:&lt;/p&gt;
&lt;pre&gt;&lt;code&gt;CalendarApp.getCalendarsByName('email@gmail.com')[0].getEvents(startDate,endDate);
&lt;/code&gt;&lt;/pre&gt;
&lt;p&gt;&lt;code&gt;getCalendarById&lt;/code&gt; will return a calendar on it's own, so you could just use that instead.&lt;/p&gt;
</t>
  </si>
  <si>
    <t xml:space="preserve">&lt;p&gt;I am a new user for Microsoft Flows.&lt;/p&gt;
&lt;p&gt;I have a requirement for Connecting the Microsoft Flow with HTTP Request.&lt;/p&gt;
&lt;p&gt;When connecting the HTTP Request, I am using the Client Certificate with the .pfx certificate file.&lt;/p&gt;
&lt;p&gt;I am using the below format :&lt;/p&gt;
&lt;p&gt;{ "type": "ClientCertificate", "pfx": "aGVsbG8g...d29ybGQ=", "password": "myPassword" }&lt;/p&gt;
&lt;p&gt;I am adding the pfx file in Base64 Encoding Format and Password in Plain Text format.&lt;/p&gt;
&lt;p&gt;While running the Flow, I get the below error :&lt;/p&gt;
&lt;p&gt;BadRequest. Unable to load the certificate private key. Please check that the password of the authentication certificate is correct, then try again.&lt;/p&gt;
&lt;p&gt;Thanks, :)&lt;/p&gt;
</t>
  </si>
  <si>
    <t xml:space="preserve">&lt;p&gt;I am new to app maker. When working with the User Picker widget which allows for a drop down selection of valid email address within a domain, logging the newValue under onValueChanged would output [object Object] instead of the email address selected. Am I doing something wrong?&lt;/p&gt;
</t>
  </si>
  <si>
    <t xml:space="preserve">&lt;p&gt;I am writing a script to take a stock number, loop through existing stock numbers until a match is NOT found, then assign that unique stock number to the record. My problem is that the usual data[i][2] doesn't seem to reference a 'query' the same way that Apps Script would reference an array. &lt;/p&gt;
&lt;p&gt;&lt;em&gt;Fair warning, I'm trying to expand my Apps Script skills in to broader Javascript so I there's a good chance I'm doing it all wrong - I'm all ears if you tell me I'm doing this all incorrectly!&lt;/em&gt;&lt;/p&gt;
&lt;p&gt;Using the log: data[i][2] gives me 'undefined' whereas data[2] gives me all fields of the third item in my query. Based on this I feel like I just need to learn how to reference it properly.&lt;/p&gt;
&lt;pre&gt;&lt;code&gt;//Querying my datasource as 'var data'
var query = app.models.UsedVehicles.newQuery();
query.filters.ParentDealType._contains = prefix;
var data = query.run();
//Returns four records which is correct.
var testStockNo = prefix+month+countstring+year; 
console.log("Test Stock Number " + j + ": " + testStockNo);
for (i = 0; i &amp;lt; data.length; i++){
     console.log("data[i][2]: " + data[i][2]); //results: undefined
     console.log("data[2]: " + data[2]); //results: all fields of 3rd query result.
     if(data[i][2] === testStockNo){
        k++;
        break;
     }else{
     console.log("No Match");
  }
}
&lt;/code&gt;&lt;/pre&gt;
&lt;p&gt;Even if &lt;strong&gt;testStockNo&lt;/strong&gt; equals the value in &lt;strong&gt;field:TStockNo&lt;/strong&gt;, the log displays:&lt;br&gt;
Test Stock Number 1: C1200118&lt;br&gt;&lt;br&gt;
data[i][2]: undefined&lt;br&gt;&lt;br&gt;
data[2]: Record : { TIndex: 8, TVin8: HS654987, TStockNo: null, 
         TParentStkNo: GSD6578, TYear: 2010, TMake: NISSAN, TModel: PICKUP, 
         TMileage: 24356, ParentDealType: C}&lt;br&gt;&lt;br&gt;
No Match&lt;/p&gt;
</t>
  </si>
  <si>
    <t xml:space="preserve">&lt;h3&gt;Issue/Solution:&lt;/h3&gt;
&lt;p&gt;&lt;code&gt;query.run()&lt;/code&gt; returns array of records and NOT a array of arrays(2D). You should access the &lt;code&gt;Record&lt;/code&gt; value using it's &lt;code&gt;key&lt;/code&gt; instead of a &lt;code&gt;index&lt;/code&gt;.    &lt;/p&gt;
&lt;h3&gt;Snippets:&lt;/h3&gt;
&lt;pre&gt;&lt;code&gt;console.log("data[i][TStockNo]: " + data[i]['TStockNo']);
console.log("data[i].TStockNo: " + data[i].TStockNo);
console.log("data[2]: " + data[2]); 
&lt;/code&gt;&lt;/pre&gt;
&lt;h3&gt;References:&lt;/h3&gt;
&lt;ul&gt;
&lt;li&gt;&lt;a href="https://developers.google.com/appmaker/scripting/api/server#Query" rel="nofollow noreferrer"&gt;Query#Run&lt;/a&gt;&lt;/li&gt;
&lt;/ul&gt;
</t>
  </si>
  <si>
    <t xml:space="preserve">&lt;p&gt;I have two SQL datasources in Google AppMaker. Both will have tens of thousands of records in them:&lt;/p&gt;
&lt;p&gt;LastLogins:&lt;/p&gt;
&lt;pre&gt;&lt;code&gt;+-------------------+-----------+
|       Email       | LastLogin |
+-------------------+-----------+
| email@domain.com  | 1/1/2019  |
| email2@domain.com | 12/1/2018 |
+-------------------+-----------+
&lt;/code&gt;&lt;/pre&gt;
&lt;p&gt;and Licenses:&lt;/p&gt;
&lt;pre&gt;&lt;code&gt;+------------------+---------+------------+
|      Email       |  SkuID  |  SkuName   |
+------------------+---------+------------+
| email@domain.com | 1001001 | Enterprise |
| email2@domain.com| 1001001 | Basic      |
+------------------+---------+------------+
&lt;/code&gt;&lt;/pre&gt;
&lt;p&gt;I'd like to join the tables to create a calculated datasource with this data:&lt;/p&gt;
&lt;pre&gt;&lt;code&gt;+------------------+---------+------------+-----------+
|      Email       |  SkuID  |  SkuName   | LastLogin |
+------------------+---------+------------+-----------+
| email@email.com  | 1001001 | Enterprise | 1/1/2019  |
| email2@email.com | 1001001 | Basic      | 12/1/2018 |
+------------------+---------+------------+-----------+
&lt;/code&gt;&lt;/pre&gt;
&lt;p&gt;I tried a few different &lt;code&gt;join&lt;/code&gt; commands but none worked. This is my current iteration:&lt;/p&gt;
&lt;pre&gt;&lt;code&gt;select 
    m.Email,
    m.SkuID,
    m.SkuName,
    l.Email,
    l.LastLogin
from Licenses m ,LastLogins l
full join LastLogins on Licenses.Email = LastLogins.Email
&lt;/code&gt;&lt;/pre&gt;
&lt;p&gt;The error I get is;&lt;/p&gt;
&lt;blockquote&gt;
  &lt;p&gt;Exception: Malformed SQL. More information: Error with SQL statement:
  You have an error in your SQL syntax; check the manual that
  corresponds to your MySQL server version for the right syntax to use
  near 'full join LastLogins on Licenses.Email = LastLogins.Email LIMIT
  26' at line 3.&lt;/p&gt;
&lt;/blockquote&gt;
</t>
  </si>
  <si>
    <t xml:space="preserve">&lt;p&gt;You are almost there, but your syntax to JOIN tables is wrong. &lt;/p&gt;
&lt;p&gt;The syntax is :&lt;/p&gt;
&lt;pre&gt;&lt;code&gt;FROM &amp;lt;table1&amp;gt; as &amp;lt;alias1&amp;gt;
INNER JOIN &amp;lt;table2&amp;gt; as &amp;lt;alias2&amp;gt; ON ...
&lt;/code&gt;&lt;/pre&gt;
&lt;p&gt;Try :&lt;/p&gt;
&lt;pre&gt;&lt;code&gt;select 
    m.Email,
    m.SkuID,
    m.SkuName,
    l.LastLogin
from Licenses as m
inner join LastLogins as l on l.Email = m.Email
&lt;/code&gt;&lt;/pre&gt;
</t>
  </si>
  <si>
    <t xml:space="preserve">&lt;p&gt;I am displaying a page by below script&lt;/p&gt;
&lt;pre&gt;&lt;code&gt; app.showDialog(app.pages.test);
&lt;/code&gt;&lt;/pre&gt;
&lt;p&gt;on the test page, which has an update button to invoke a popup (Update confirmation with Yes and No button), Problem is when the update button is clicked confirmation popup shows behind the dialog box. I tried with below css&lt;/p&gt;
&lt;pre&gt;&lt;code&gt; .runtimeRoot .app-PopupOverlay {
    z-index: 20;
 }
&lt;/code&gt;&lt;/pre&gt;
&lt;p&gt;Using the above css, popup comes on top, but not clickable. Is there a way fix this?&lt;/p&gt;
</t>
  </si>
  <si>
    <t xml:space="preserve">&lt;p&gt;We have connected our Zoho Mail with Zoho CRM using IMAP configuration. Now we are able to see the emails on Contact's Email section. &lt;/p&gt;
&lt;p&gt;Is there a way to get these emails via Zoho CRM API? Similar to how we get Notes/Events for a contact. &lt;/p&gt;
</t>
  </si>
  <si>
    <t xml:space="preserve">&lt;p&gt;on Zoho CRM we don't have any functions or API's available to fetch mail sent from CRM. But using Zoho mail API's we can fetch the required information. Also kindly check Zoho integration tasks. But on CRM we don't have any methods by default to get those details. Mail sent to one particular lead record can be obtained user get search mail api kindly refer Zoho mail API. As you mentioned Zoho mail and CRM and integrated, in such cases you can contact Zoho CRM team requesting to provide API to get only those mail which is associated with a particular contact&lt;/p&gt;
&lt;p&gt;FYI please find the link :&lt;/p&gt;
&lt;p&gt;Zoho Mail API: &lt;a href="https://www.zoho.com/mail/help/api/get-search-emails.html" rel="nofollow noreferrer"&gt;https://www.zoho.com/mail/help/api/get-search-emails.html&lt;/a&gt;&lt;/p&gt;
&lt;p&gt;ZOHO Integration Task Methods: &lt;a href="https://www.zoho.com/deluge/help/script/mail/get-details.html" rel="nofollow noreferrer"&gt;https://www.zoho.com/deluge/help/script/mail/get-details.html&lt;/a&gt;&lt;/p&gt;
&lt;p&gt;If I know what exactly you are looking for I can suggest you better  &lt;/p&gt;
</t>
  </si>
  <si>
    <t xml:space="preserve">&lt;p&gt;I am trying to set a widget's visibility based on &lt;strong&gt;one of many roles&lt;/strong&gt;. The log seems to return the proper values, but the ui doesn't respond properly.&lt;/p&gt;
&lt;p&gt;&lt;strong&gt;Logger is showing:&lt;/strong&gt;&lt;br&gt;
User Role: Admins&lt;br&gt;
Server returns: true&lt;/p&gt;
&lt;p&gt;&lt;strong&gt;Client Script:&lt;/strong&gt; ('visible' property)&lt;/p&gt;
&lt;pre&gt;&lt;code&gt;google.script.run.withSuccessHandler(function(visible) {
  console.log("Server returns: " + visible);
}).vis_canUnwind(@user.roles)
&lt;/code&gt;&lt;/pre&gt;
&lt;p&gt;&lt;strong&gt;Server Script:&lt;/strong&gt;&lt;/p&gt;
&lt;pre&gt;&lt;code&gt;function vis_canUnwind(role){
console.log("User Role: " + role);
  if(role == "Admins"||"DeptHeads"){
      return true;
    }else{
      return false;
   }
}
&lt;/code&gt;&lt;/pre&gt;
&lt;p&gt;If I use &lt;strong&gt;(@user.roles).indexOf('Admins') &gt; -1&lt;/strong&gt; &lt;em&gt;(as the visible property)&lt;/em&gt; then it works properly so I'm sure it's related to my code.&lt;/p&gt;
</t>
  </si>
  <si>
    <t xml:space="preserve">&lt;p&gt;I am very confused with this. Why is that in Navigation Menu, a wrong name was displayed like on the image below.&lt;/p&gt;
&lt;p&gt;The person's name is Jacob but it displays Rod.&lt;/p&gt;
&lt;p&gt;Can someone help? Thanks!&lt;/p&gt;
&lt;p&gt;&lt;a href="https://i.stack.imgur.com/DD3ey.png" rel="nofollow noreferrer"&gt;wrong name display&lt;/a&gt;&lt;/p&gt;
</t>
  </si>
  <si>
    <t xml:space="preserve">&lt;p&gt;I have a global variable in PowerApps which I set onstart.&lt;/p&gt;
&lt;pre&gt;&lt;code&gt;Set(CurrentItem, First(Filter('Internal Review', ID=Value(Param("ID")))))
&lt;/code&gt;&lt;/pre&gt;
&lt;p&gt;This sets the variable CurrentItem to &lt;/p&gt;
&lt;pre&gt;&lt;code&gt;{ myProperty: 1, secondProperty: 2 }
&lt;/code&gt;&lt;/pre&gt;
&lt;p&gt;I want to update "myProperty" in the global variable on a button click. I've got this:&lt;/p&gt;
&lt;pre&gt;&lt;code&gt;Set(CurrentItem, { myProperty: 3 })
&lt;/code&gt;&lt;/pre&gt;
&lt;p&gt;but its not working. &lt;/p&gt;
</t>
  </si>
  <si>
    <t xml:space="preserve">&lt;p&gt;Seems simple enough, but...&lt;/p&gt;
&lt;p&gt;I have a Page (a dashboard) with buttons, one button for each Program. I have a different page with Tasks in a Table. 
I want to load the Tasks page with the tasks for that Program from that programs button on the dashboard Page.
I've attempted multiple angles using Relations, queries and scripts from multiple tutorials and templates I get all the parts working but not working together.&lt;/p&gt;
&lt;p&gt;This is how I think it should work.
On the dashboard Page each button calls its own script like:&lt;/p&gt;
&lt;pre&gt;&lt;code&gt;currentProgram = "ALL";
function btnProgram1_click() {
  currentProgram = "Program1";
  app.showPage(app.pages.Tasks);
}
&lt;/code&gt;&lt;/pre&gt;
&lt;p&gt;Then on the Tasks Page &gt; Panel &gt; Event &gt; onAttach calls:&lt;/p&gt;
&lt;pre&gt;&lt;code&gt;function loadTasks(){
  if(currentProgram == "Program1"){
    app.datasources.qryProgram1Tasks.load();
  }
  if(currentProgram == "Program2"){
    app.datasources.qryProgram2Tasks.load();
  }
}
&lt;/code&gt;&lt;/pre&gt;
&lt;p&gt;I have SQL Datasources on the Tasks model like &lt;code&gt;qryProgram1Tasks&lt;/code&gt; with a query expression for &lt;code&gt;"Program1"&lt;/code&gt; and they return data as expected.&lt;/p&gt;
&lt;p&gt;Seems to me this is what is not working as wanted to load, or replace and refresh a designated datasource to the panel &lt;code&gt;app.datasources.qryProgram1Tasks.load();&lt;/code&gt;&lt;/p&gt;
</t>
  </si>
  <si>
    <t xml:space="preserve">&lt;p&gt;I have tried the code below but encountered some errors:&lt;/p&gt;
&lt;pre&gt;&lt;code&gt;var query = app.models.Hardware.newQuery();
query.filters.HardwareId._equals = record.HardwareId;
if (query.run().length) {
    throw 'Hardware ID "' + record.HardwareId + '" is in use.';
}
&lt;/code&gt;&lt;/pre&gt;
&lt;p&gt;Errors encountered below:&lt;/p&gt;
&lt;blockquote&gt;
  &lt;p&gt;Saving records: (Error) : Cannot set property "_equals" of undefined to "undefined".&lt;br&gt;
  at models.CheckpointBooking.onAfterCreateEvent:2&lt;br&gt;
  at saveChanges (ChkPointEditPgAction:54:21)&lt;br&gt;
  at ChkPointPageFm.Form1.Form1Footer.Form1SubmitButton.onClick:1:1&lt;/p&gt;
&lt;/blockquote&gt;
&lt;p&gt;What am I doing wrong?&lt;/p&gt;
</t>
  </si>
  <si>
    <t xml:space="preserve">&lt;p&gt;I have a temporary table where I let the user copy the record that needs to be edited. Once the edit is complete, I copy it back. &lt;/p&gt;
&lt;p&gt;I am getting an error when I am trying to copy the original record to temporary table for editing. Here's the code I am using&lt;/p&gt;
&lt;pre&gt;&lt;code&gt;  console.log('copyOriginalToTemp ' + tempRecord.ID + ' options ' + JSON.stringify(options));
  var myCreateDatasource = app.datasources.RadiosTemp.modes.create;
  console.log('# of items in myCreateDatasource ' + myCreateDatasource.items.length);
  var draft = myCreateDatasource.item;
  draft.BatchId = options.BatchId ;
  draft.County = tempRecord.County ;
  ... // lot of assignments
  console.log('About to create item ');
  myCreateDatasource.createItem(function(createdRecord) {
    console.log('Creating the Item ' + createdRecord._key);
    app.datasources.RadiosTemp.query.filters.BatchId._equals = options.BatchId;
     .....
});
&lt;/code&gt;&lt;/pre&gt;
&lt;p&gt;Error message tells me that newly created item cannot be selected but I have no idea why?. If I change the datasource to Manual Save, I get the same error with no key since it is in Manual save mode.&lt;/p&gt;
&lt;p&gt;&lt;a href="https://i.stack.imgur.com/7C4OQ.png" rel="nofollow noreferrer"&gt;&lt;img src="https://i.stack.imgur.com/7C4OQ.png" alt="enter image description here"&gt;&lt;/a&gt;&lt;/p&gt;
</t>
  </si>
  <si>
    <t xml:space="preserve">&lt;p&gt;I have a sales entry form where the user selects a boolean, "Has a trade?". When the form is submitted, my code displays a popup form tied to a separate datasource. The "Parent Stock No" field on this popup needs to come from the "Stock No" field on the initial sales entry form. I'm not having any success passing it forward.&lt;/p&gt;
&lt;p&gt;I tried to modify my Submit/OnClick script to set the (source)Stock No field as a variable and then set the popup's field after making it visible, but that doesn't seem to work.&lt;/p&gt;
&lt;pre&gt;&lt;code&gt;//Submit button, 'On Click' code.
app.closeDialog('AddSaleWindow');
var tradechk = widget.datasource.item.HasTrade;
if(tradechk === true){
app.popups.AddTradePopup.visible = true;
}
widget.datasource.createItem();
&lt;/code&gt;&lt;/pre&gt;
&lt;p&gt;edit w/ working code - Used on a "Submit and add another" button. It passes a stock number and deal type to the second form. &lt;/p&gt;
&lt;pre&gt;&lt;code&gt;var parentStkNo = app.popups.AddTradePopup.children.ParentStkNo.value;
var parentDealType = 
app.popups.AddTradePopup.children.TradeDealType.value;
widget.datasource.createItem();
app.popups.AddTradePopup.visible = false;
app.closeDialog('AddSaleWindow');
app.popups.AddTrade2Popup.visible = true;
app.popups.AddTrade2Popup.children.ParentStkNo.value = parentStkNo;
app.popups.AddTrade2Popup.TradeDealType.value = parentDealType;
&lt;/code&gt;&lt;/pre&gt;
</t>
  </si>
  <si>
    <t xml:space="preserve">&lt;p&gt;I have a datasource in manual save mode. When I create the item and persist the changes, I get an error message, saying Id field is null. Id field is the primary key and hence cannot be assigned through front end. Any ideas why AppMaker thinks it is missing.&lt;/p&gt;
&lt;p&gt;&lt;a href="https://i.stack.imgur.com/e4lHn.png" rel="nofollow noreferrer"&gt;&lt;img src="https://i.stack.imgur.com/e4lHn.png" alt="enter image description here"&gt;&lt;/a&gt;&lt;/p&gt;
&lt;p&gt;Code is this &lt;/p&gt;
&lt;pre&gt;&lt;code&gt;widget.datasource.createItem({
  success: function(){
    app.datasources.CountyManualSave.saveChanges({
      success: function() {console.log('yey');},
      failure: function(e) {showSnackbar(e.message);}
    });
  },
  failure: function(e) {showSnackbar(e.message);}
});
&lt;/code&gt;&lt;/pre&gt;
&lt;p&gt;Here's the image, that shows it is the primary key. Doing the insert through the Mysql client works without problems.&lt;/p&gt;
&lt;p&gt;&lt;a href="https://i.stack.imgur.com/4UkkL.png" rel="nofollow noreferrer"&gt;&lt;img src="https://i.stack.imgur.com/4UkkL.png" alt="enter image description here"&gt;&lt;/a&gt;&lt;/p&gt;
</t>
  </si>
  <si>
    <t xml:space="preserve">&lt;p&gt;I am not sure what was wrong but I unclicked the auto increment and reclicked the auto increment under field Id. Previewed again. Things worked. I am leaving this question here in case somebody questions their sanity. This is to show that environment is not always stable.&lt;/p&gt;
</t>
  </si>
  <si>
    <t xml:space="preserve">&lt;p&gt;I have a Calculated datasource that's populated via an appscript function. When I display this datasource in a table, it works great but I can't click on the headers to sort them. I'd like to implement sorting.&lt;/p&gt;
&lt;p&gt;I can see that sorting is specified in the &lt;a href="https://developers.google.com/appmaker/scripting/api/server#Query" rel="nofollow noreferrer"&gt;Query&lt;/a&gt; object using &lt;code&gt;Query.sorting.&amp;lt;fieldname&amp;gt;._ascending()&lt;/code&gt; and &lt;code&gt;descending()&lt;/code&gt;. What I can't figure out is how to read the value that was set by these functions so I can determine how the user wants me to sort the results.&lt;/p&gt;
&lt;p&gt;How do I determine what the desired sort is from the appmaker Query object?&lt;/p&gt;
</t>
  </si>
  <si>
    <t xml:space="preserve">&lt;p&gt;I would like to integrate Zoho Subscription for our c# mvc web application. i am current having doubt in 2 scenarios at payment&lt;/p&gt;
&lt;ol&gt;
&lt;li&gt;&lt;p&gt;Is there any way to make customer details on Hosted Payment Page Url ? Currently the fields are empty and it is creating new customer and new subscription.&lt;/p&gt;&lt;/li&gt;
&lt;li&gt;&lt;p&gt;After payment completed the page will be redirected to the return url (Which we will specify at the time of product creation). Is there any way to get the client details on return url as a query string parameter &lt;/p&gt;
&lt;p&gt;&lt;strong&gt;Example: {return_url}/customer_id={Id}&lt;/strong&gt;&lt;/p&gt;&lt;/li&gt;
&lt;/ol&gt;
&lt;p&gt;Please help me in understanding the above two scenarios. Thanks in advance.&lt;/p&gt;
</t>
  </si>
  <si>
    <t xml:space="preserve">&lt;ol&gt;
&lt;li&gt;&lt;p&gt;PaginationSearch.cmp..................component&lt;/p&gt;
&lt;pre&gt;&lt;code&gt;&amp;lt;aura:component controller="pagiSearchController" implements="flexipage:availableForAllPageTypes,force:appHostable,flexipage:availableForRecordHome,force:hasRecordId,force:hasSObjectName"
&lt;/code&gt;&lt;/pre&gt;
&lt;p&gt;access="global"&gt;&lt;/p&gt;
&lt;pre&gt;&lt;code&gt;    &amp;lt;aura:handler name="init" value="{!this}" action="{!c.doInit}" /&amp;gt; 
    &amp;lt;aura:attribute name="AccountList" type="Account[]"/&amp;gt;
    &amp;lt;aura:attribute name="PageNumber" type="integer" default="1"/&amp;gt;
    &amp;lt;aura:attribute name="TotalPages" type="integer" default="0"/&amp;gt;
    &amp;lt;aura:attribute name="TotalRecords" type="integer" default="0"/&amp;gt;
    &amp;lt;aura:attribute name="RecordStart" type="integer" default="0"/&amp;gt;
    &amp;lt;aura:attribute name="RecordEnd" type="integer" default="0"/&amp;gt;
    &amp;lt;aura:attribute name="selectedValue" type="integer" default="5"/&amp;gt;
    &amp;lt;aura:registerEvent name="showToast" type="force:showToast"/&amp;gt;
    &amp;lt;aura:attribute name="searchKey" type="String" description="use for store user search input"/&amp;gt;
    &amp;lt;aura:attribute name="defaultShow" type="boolean" default="true"/&amp;gt;
    &amp;lt;aura:attribute name="showButton" type="boolean" default="false"/&amp;gt;      
    &amp;lt;aura:attribute name="currentId" type="String"/&amp;gt;
     &amp;lt;aura:attribute name="spinner" type="boolean" default="false"/&amp;gt;
    &amp;lt;aura:handler event="aura:waiting" action="{!c.showSpinner}"/&amp;gt;
    &amp;lt;aura:handler event="aura:doneWaiting" action="{!c.hideSpinner}"/&amp;gt;
    &amp;lt;lightning:card variant="Basic" title="Account" iconName="standard:account"&amp;gt;
         &amp;lt;aura:set attribute="actions"&amp;gt;
         &amp;lt;lightning:layout class="slds-float_right"&amp;gt;
                &amp;lt;lightning:layoutItem size="7" padding="around-small"&amp;gt;
                    &amp;lt;lightning:input value="{!v.searchKey}"
                                     placeholder="Search Accounts.."
                                     aura:id="searchField"
                                     onchange="{!c.searchKeyChange}"/&amp;gt;   
               &amp;lt;/lightning:layoutItem&amp;gt;
               &amp;lt;lightning:layoutItem size="5" padding="slds-p-top_medium" class="buttonPosition"&amp;gt;
                 &amp;lt;lightning:button label="New Account" onclick="{!c.createRecord}"/&amp;gt;
              &amp;lt;/lightning:layoutItem&amp;gt;
         &amp;lt;/lightning:layout&amp;gt;   
        &amp;lt;/aura:set&amp;gt;
    &amp;lt;/lightning:card&amp;gt;
     &amp;lt;div class="slds-page-header" role="banner"&amp;gt;
        &amp;lt;aura:if isTrue="{!v.showButton}"&amp;gt;
                 &amp;lt;lightning:buttonIcon iconName="utility:home" class="slds-p-around_small" size="large" variant="bare"
&lt;/code&gt;&lt;/pre&gt;
&lt;p&gt;onclick="{!c.doInit}" alternativeText="HomePage" /&gt;
            &lt;/p&gt;
&lt;pre&gt;&lt;code&gt;         &amp;lt;aura:if isTrue="{!v.spinner}"&amp;gt;
             &amp;lt;div class="exampleHolder"&amp;gt;
                    &amp;lt;lightning:spinner alternativeText="Loading" size="medium" /&amp;gt;
             &amp;lt;/div&amp;gt;
        &amp;lt;/aura:if&amp;gt;
         &amp;lt;table aria-multiselectable="true" class="slds-table slds-table_bordered slds-table_resizable-cols" role="grid"&amp;gt;
            &amp;lt;thead&amp;gt;
                &amp;lt;tr class="slds-text-title_caps"&amp;gt;
                    &amp;lt;th scope="col"&amp;gt;
                        &amp;lt;div class="slds-truncate" title="S.no"&amp;gt;S.no&amp;lt;/div&amp;gt;
                    &amp;lt;/th&amp;gt;
                    &amp;lt;th scope="col"&amp;gt;
                        &amp;lt;div class="slds-truncate" title="Account Name"&amp;gt;Account Name&amp;lt;/div&amp;gt;
                    &amp;lt;/th&amp;gt;
                    &amp;lt;th scope="col"&amp;gt;
                        &amp;lt;div class="slds-truncate" title="Type"&amp;gt;Type&amp;lt;/div&amp;gt;
                    &amp;lt;/th&amp;gt;
                    &amp;lt;th scope="col"&amp;gt;
                        &amp;lt;div class="slds-truncate" title="Industry"&amp;gt;Industry&amp;lt;/div&amp;gt;
                    &amp;lt;/th&amp;gt;
                    &amp;lt;th scope="col"&amp;gt;
                        &amp;lt;div class="slds-truncate" title="Phone"&amp;gt;Phone&amp;lt;/div&amp;gt;
                    &amp;lt;/th&amp;gt;
                    &amp;lt;th scope="col"&amp;gt;
                        &amp;lt;div class="slds-truncate" title="Fax"&amp;gt;Fax&amp;lt;/div&amp;gt;
                    &amp;lt;/th&amp;gt;
                    &amp;lt;th scope="col"&amp;gt;
                        &amp;lt;div class="slds-truncate" title="Fax"&amp;gt;&amp;lt;/div&amp;gt;
                    &amp;lt;/th&amp;gt;
                &amp;lt;/tr&amp;gt;
            &amp;lt;/thead&amp;gt;
            &amp;lt;tbody&amp;gt;
                &amp;lt;aura:iteration items="{!v.AccountList}" var="acc" indexVar="count"&amp;gt; 
                    &amp;lt;tr&amp;gt;
                        &amp;lt;td&amp;gt; {!acc.Id}&amp;lt;/td&amp;gt;
                        &amp;lt;td&amp;gt; {!acc.Name}&amp;lt;/td&amp;gt;
                        &amp;lt;td&amp;gt; {!acc.Type}&amp;lt;/td&amp;gt;
                        &amp;lt;td&amp;gt; {!acc.Industry}&amp;lt;/td&amp;gt;
                        &amp;lt;td&amp;gt; {!acc.Phone}&amp;lt;/td&amp;gt;
                        &amp;lt;td&amp;gt; {!acc.Fax}&amp;lt;/td&amp;gt;
                        &amp;lt;td&amp;gt;
                            &amp;lt;lightning:buttonMenu iconSize="x-small" aura:id="menu" value="{!acc.Id}"  onselect="{!
&lt;/code&gt;&lt;/pre&gt;
&lt;p&gt;c.handleSelect }" alternativeText="Show menu"&gt;
            &lt;br/&gt;&lt;/p&gt;
&lt;pre&gt;&lt;code&gt;          &amp;lt;aura:if isTrue="{!v.defaultShow}"&amp;gt;    
                  &amp;lt;lightning:select aura:Id ="pageSize" class="marginText slds-size_2-of-12" name="selectItem"
&lt;/code&gt;&lt;/pre&gt;
&lt;p&gt;value="{!v.selectedValue}" label="Display Records Per Page:"
onchange="{!c.onSelectChange}" &gt;
                        &lt;br&gt;
            &lt;/p&gt;
&lt;pre&gt;&lt;code&gt;      &amp;lt;aura:if isTrue="{!v.defaultShow}"&amp;gt;       
        &amp;lt;div class="slds-grid slds-wrap"&amp;gt;
            &amp;lt;div class="slds-col slds-size_9-of-12 "&amp;gt;
                    &amp;lt;lightning:layoutItem&amp;gt;
                       Page No.&amp;lt;lightning:input name="input1" class="widthPageNoBox" value="{!v.PageNumber}"
&lt;/code&gt;&lt;/pre&gt;
&lt;p&gt;onchange="{!c.setPageNum}"/&gt; of Total Pages: {!v.TotalPages} from
Total Records: {!v.TotalRecords} 
                     &lt;/p&gt;
&lt;pre&gt;&lt;code&gt;            &amp;lt;div class="slds-col slds-size_3-of-12 pageNoDisplay"&amp;gt;
               &amp;lt;lightning:layout&amp;gt;
                &amp;lt;lightning:layoutItem&amp;gt;
                    &amp;lt;lightning:button disabled="{!v.PageNumber == 1}" variant="brand" label="First" onclick="{!c.handleFirst}" /&amp;gt;  
                    &amp;lt;lightning:button disabled="{!v.PageNumber == 1}" variant="brand" aura:id="prevPage" label="Prev" onclick="{!c.handlePrev}" /&amp;gt;            
                    &amp;lt;lightning:button disabled="{!v.PageNumber == v.TotalPages}" aura:id="nextPage" variant="brand" label="Next" onclick="{!c.handleNext}"/&amp;gt;
                    &amp;lt;lightning:button disabled="{!v.PageNumber == v.TotalPages}"  variant="brand" label="Last" onclick="{!c.handleLast}"/&amp;gt;
                &amp;lt;/lightning:layoutItem&amp;gt;
              &amp;lt;/lightning:layout&amp;gt;
             &amp;lt;/div&amp;gt;
         &amp;lt;/div&amp;gt;
        &amp;lt;/aura:if&amp;gt;
       &amp;lt;/div&amp;gt;
&amp;lt;/aura:component&amp;gt;
PaginationSearchController..................controller
({
    doInit: function(component, event, helper) {
        component.set("v.defaultShow",true);   
        component.set("v.showButton",false);
        var pageNumber = component.get("v.PageNumber");  
        var pageSize = component.find("pageSize").get("v.value"); 
        helper.getAccountList(component, pageNumber, pageSize);
    }, 
    handleFirst: function(component, event, helper) {
        var pageNumber = component.get("v.PageNumber");  
        var pageSize = component.find("pageSize").get("v.value");
        helper.getAccountList(component, 1 , pageSize);
    },
    handleNext: function(component, event, helper) {
        var pageNumber = component.get("v.PageNumber");  
        var pageSize = component.find("pageSize").get("v.value");
        pageNumber++;
        helper.getAccountList(component, pageNumber, pageSize);
    },
    handlePrev: function(component, event, helper) {
        var pageNumber = component.get("v.PageNumber");  
        var pageSize = component.find("pageSize").get("v.value");
        pageNumber--;
        helper.getAccountList(component, pageNumber, pageSize);
    },
    handleLast: function(component, event, helper) {
        var pageSize = component.find("pageSize").get("v.value");
        var TotalRecords =component.get("v.TotalRecords");
        var last = Math.ceil(TotalRecords/pageSize);
        helper.getAccountList(component, last, pageSize);
    },
    setPageNum :function(component, event, helper){
      var pageNumber = component.get("v.PageNumber");  
      var pageSize = component.find("pageSize").get("v.value");
      var totalPages = component.get("v.TotalPages");
        if(pageNumber &amp;gt; totalPages){
            var toastEvent = $A.get("e.force:showToast");
            toastEvent.setParams({
                title : '',
                message: 'Invalid page number!!,The page number you entered is greater then the total number of existing pages.',
                duration:' 8000',
                key: 'info_alt',
                type: 'error',
                mode: 'pester'
            });
            toastEvent.fire();
            helper.getAccountList(component,1, pageSize);
        }else{
            helper.getAccountList(component, pageNumber, pageSize);
        }
    },
    onSelectChange: function(component, event, helper){
        var pageNumber = component.get("v.PageNumber");  
        var pageSize = component.find("pageSize").get("v.value");
        helper.getAccountList(component, pageNumber, pageSize);
    },
    createRecord : function (component, event, helper) {
        var createRecordEvent = $A.get("e.force:createRecord");
        createRecordEvent.setParams({
            "entityApiName": "Account"
        });
        createRecordEvent.fire();
    },
    searchKeyChange: function(component, event,helper){
       component.set("v.defaultShow",false);   
       component.set("v.showButton",true);   
       var searchKey =  component.find("searchField").get("v.value");  
         if($A.util.isEmpty(searchKey)){
            var toastEvent = $A.get("e.force:showToast");
            toastEvent.setParams({
                title : '',
                message: 'Please enter the string you want to search.',
                duration:' 8000',
                key: 'info_alt',
                type: 'error',
                mode: 'pester'
            });
            toastEvent.fire();
             helper.getAccountList(component, 1,5);
        }else{
                helper.getAccount(component);
        }
    },
    handleSelect: function (component, event) {
        console.log("in han");
        var selected = event.getParam("label");
        console.log("selected"+selected);
        var selectedMenuItemValue = event.getParam("value");
        console.log("selectedMenuItemValue"+selectedMenuItemValue);
                var action = component.get("c.deleteAccount");
                action.setParams({accId:selectedMenuItemValue});
                action.setCallback(this, function(response) {
                    var state = response.getState();
                    if (state === "SUCCESS") {
                        $A.get('e.force:refreshView').fire();
                    }
                });
                $A.enqueueAction(action);
             document.location.reload(true);
        switch (selectedMenuItemValue) {
            case 'menuSec':
                var urlEvent = $A.get("e.force:navigateToURL");
                urlEvent.setParams({
                    "url": "/"+selectedMenuItemValue
                });
                urlEvent.fire();
                break;
        }
    },
    showSpinner: function(component, event) {
        component.set("v.spinner", true); 
   },
    hideSpinner : function(component,event){
       component.set("v.spinner", false);
    }
})
Paginationsearchelper..................helper
({
    getAccountList: function(component, pageNumber, pageSize) {
        var action = component.get("c.getAccountData");
        action.setParams({
            "pageNumber": pageNumber,
            "pageSize": pageSize
        });
        action.setCallback(this, function(result) {
            var state = result.getState();
            if (state === "SUCCESS"){
                var resultData = result.getReturnValue();
                console.log(JSON.stringify(resultData.accountList));
                component.set("v.AccountList", resultData.accountList);
                component.set("v.PageNumber", resultData.pageNumber);
                component.set("v.TotalRecords", resultData.totalRecords);
                component.set("v.RecordStart", resultData.recordStart);
                component.set("v.TotalPages", Math.ceil(resultData.totalRecords / pageSize));
            }
        });
        $A.enqueueAction(action);
    },
    getAccount: function(component){
       var searchKey =  component.find("searchField").get("v.value");  
       var action = component.get("c.fetchAccount"); 
       action.setParams({    
           "searchKeyWord": searchKey
       });
       action.setCallback(this, function(response) {
           var state = response.getState();
           if (component.isValid() &amp;amp;&amp;amp; state === "SUCCESS"){
               var resultData = response.getReturnValue();   
               component.set("v.TotalRecords", component.get("v.AccountList").length);
               component.set('v.AccountList', resultData); 
           }
       });
       $A.enqueueAction(action);
   },
})
pagiSearchController.apxc
public class pagiSearchController {
    @AuraEnabled
    public static List &amp;lt; account &amp;gt; fetchAccount(String searchKeyWord){
    String searchKey = searchKeyWord + '%';
    List &amp;lt; Account &amp;gt; returnList = new List &amp;lt; Account &amp;gt; ();
    List &amp;lt; Account &amp;gt; lstOfAccount = [select id, Name, Type, Industry, Phone, Fax from account
                                   where Name LIKE: searchKey];  
    for (Account acc: lstOfAccount) {
     returnList.add(acc);
    }
  return returnList;
 }
    @AuraEnabled
    public static void deleteAccount(String accId){
        delete  [select id, Name, Type, Industry, Phone, Fax from account where id=:accId] ;
    }
    @AuraEnabled
    public static AccountDataTableWrapper getAccountData(Decimal pageNumber, Decimal pageSize){
        Integer pSize = (Integer)pageSize;
        Integer pNumber = (Integer)pageNumber;
        Integer offset = (pNumber - 1) * pSize;
        Integer recordEnd = pSize * pNumber;
        //System.debug('offset'+offset);
        Integer totalRecords = [SELECT COUNT() FROM Account];
        AccountDataTableWrapper objDT =  new AccountDataTableWrapper();  
        objDT.pageSize = pSize;
        objDT.pageNumber = pNumber;
        objDT.recordStart = offset + 1;
        objDT.recordEnd = totalRecords &amp;gt;= recordEnd ? recordEnd : totalRecords;
        objDT.totalRecords = totalRecords;
        objDT.accountList = [select Id, Name, Type, Industry, Phone,Fax, CreatedDate from account ORDER BY Name LIMIT :pSize
&lt;/code&gt;&lt;/pre&gt;
&lt;p&gt;OFFSET:offset];
            return objDT;
        }&lt;/p&gt;
&lt;pre&gt;&lt;code&gt;    public class AccountDataTableWrapper {
        @AuraEnabled
        public Integer pageSize {get;set;}
        @AuraEnabled
        public Integer pageNumber {get;set;}
        @AuraEnabled
        public Integer totalRecords {get;set;}
        @AuraEnabled
        public Integer recordStart {get;set;}
        @AuraEnabled
        public Integer recordEnd {get;set;}
        @AuraEnabled
        public List&amp;lt;Account&amp;gt; accountList {get;set;}
    }
} 
&lt;/code&gt;&lt;/pre&gt;&lt;/li&gt;
&lt;/ol&gt;
</t>
  </si>
  <si>
    <t xml:space="preserve">&lt;p&gt;When trying to use getUrl() to grab a CSV file from a URL with basic .htaccess authorisation, I am redirected to an AMAZON S3 location. The getURL() function passes the original HTTP headers (for the auth) to Amazon S3 which Amazon thinks is an Amazon token; this causes the following error in the response:&lt;/p&gt;
&lt;blockquote&gt;
  &lt;p&gt;Only one auth mechanism allowed; only the X-Amz-Algorithm query parameter, Signature query string parameter or the Authorization header should be specified&lt;/p&gt;
&lt;/blockquote&gt;
&lt;p&gt;I can't see this issues talked about anywhere other than an advisory from Thompson Reuters: &lt;a href="https://community.developers.thomsonreuters.com/questions/29247/aws-download-x-direct-download-returns-invalid-arg.html" rel="nofollow noreferrer"&gt;https://community.developers.thomsonreuters.com/questions/29247/aws-download-x-direct-download-returns-invalid-arg.html&lt;/a&gt;&lt;/p&gt;
&lt;p&gt;The fix is to receive the redirect back from the remote server, look at the response and pull out the new (redirected) URL and grab the CSV file from there without the auth details in the header.&lt;/p&gt;
&lt;p&gt;Is there a way in deluge script ZOHO to do this? The getUrl() function seems really basic and the documentation is very thin.&lt;/p&gt;
&lt;p&gt;The other way to do this is a 'middleware' application that can use CURL, save the CSV's on a remote server then use ZOHO getUrl() to pull these CSV files. This is not an optimal solution but unless ZOHO gives access to some HTTP client functions then I don't see another way.&lt;/p&gt;
</t>
  </si>
  <si>
    <t xml:space="preserve">&lt;p&gt;I've read that the Patch function allows one to insert a new record while also updating the values of Lookup Columns in that same record. I am however having some trouble with what I think is the Defaults section of the Patch function, as well as using dropdowns from a different datasource.&lt;/p&gt;
&lt;p&gt;I have a "New Inspection" screen, called "EditScreen_New" which collects a lot of values from the user and writes a new record into my "Merchandiser Inspection" Sharepoint list. Apart from the basic fields of Inspector Name, Inspection Date etc, there are 2 fields, Partnership and Store, which are Dropdowns with options from another list with the datasource name of "Store_2".&lt;/p&gt;
&lt;p&gt;The 2 fields are as follows:&lt;/p&gt;
&lt;ol&gt;
&lt;li&gt;&lt;p&gt;Partnership&lt;/p&gt;
&lt;ul&gt;
&lt;li&gt;Dropdown control from the "Store_2"&lt;/li&gt;
&lt;/ul&gt;
&lt;p&gt;Distinct(SortByColumns(Store_2.Partnership0, "Partnership0"), Partnership0)&lt;/p&gt;&lt;/li&gt;
&lt;li&gt;&lt;p&gt;Store&lt;/p&gt;
&lt;ul&gt;
&lt;li&gt;&lt;p&gt;Combobox control from the "Store_2" datasource, cascaded on the Partnership value selected above&lt;/p&gt;&lt;/li&gt;
&lt;li&gt;&lt;p&gt;I've used Combobox instead of Dropdown, so that the field is searchable (it's a long list)&lt;/p&gt;&lt;/li&gt;
&lt;/ul&gt;
&lt;p&gt;SortByColumns(
    Filter(Store_2, Partnership0 = Dropdown_Partnership.Selected.Value),
    "Store")&lt;/p&gt;&lt;/li&gt;
&lt;/ol&gt;
&lt;p&gt;To save a new record I used to have the standard "SubmitForm" on the OnSelect attribute of my Save button, however I now know that this won't update/save the values to the Lookup Columns of Partnership and Store - it just left these 2 fields empty.&lt;/p&gt;
&lt;pre&gt;&lt;code&gt;Patch('Merchandiser Inspection', 
  Defaults('Merchandiser Inspection'),
  {
    Partnership: 
      {
        '@odata.type':"#Microsoft.Azure.Connectors.Sharepoint.SPListExpandedReference",
        Id:EditScreen_New.Selected.ID,
        Value: Dropdown_Partnership.Selected.Value
      }
  }
)
&lt;/code&gt;&lt;/pre&gt;
&lt;p&gt;My questions are as follows:&lt;/p&gt;
&lt;ol&gt;
&lt;li&gt;&lt;p&gt;Is the "Defaults" section sufficient to grab the values from all the other fields and insert them into the new record? I.e. Does PowerApps know to use all the values entered on the screen and insert them as the values for my new record? &lt;/p&gt;&lt;/li&gt;
&lt;li&gt;&lt;p&gt;In the "Id" attribute for the Partnership field, how does PowerApps know what the Id of the new record is, as the record hasn't been inserted yet. Do I even need the Id attribute?&lt;/p&gt;&lt;/li&gt;
&lt;li&gt;&lt;p&gt;Because my Dropdown_Partnership uses the "Store_2" datasource, but the EditScreen_New is trying to insert a record into the "Merchandiser Inspection" datasource, is this causing my above error message about the invalid argument type?&lt;/p&gt;&lt;/li&gt;
&lt;li&gt;&lt;p&gt;Should I be using the "Collect" function instead, or in addition?&lt;/p&gt;&lt;/li&gt;
&lt;/ol&gt;
</t>
  </si>
  <si>
    <t xml:space="preserve">&lt;p&gt;This &lt;a href="https://stackoverflow.com/a/51493731/9426876"&gt;info&lt;/a&gt; is very useful in order to pre-set the staging approval and it works. But the thing is the stage loaded to slow and the loading bar is close even before all the stage finish loading. I believe it has to be with the &lt;code&gt;app.closeDialog()&lt;/code&gt;. So I try to put it inside some condition to check if the &lt;code&gt;Label1&lt;/code&gt; has finish loaded or not:&lt;/p&gt;
&lt;pre&gt;&lt;code&gt;requestDs.relations.WorkflowStages.createItem(function() {
var createDatasource = requestDs.relations.WorkflowStages.relations.Approvers.modes.create;
var draft = createDatasource.item;
draft.Email = 'xxx@airasia.com';
draft.Name = 'xxxx xxxx';          
createDatasource.createItem(function(createdRecord) { }); 
  if (requestDetailsPage.descendants.StagesList.descendants.StagesListRow.descendants.DraftStagePanel.descendants.Grid1.children.Grid1Cell.descendants.Label1.loaded) {
   app.closeDialog();    
   }     
 });
}
&lt;/code&gt;&lt;/pre&gt;
&lt;p&gt;So if &lt;code&gt;Label1&lt;/code&gt; had finished loading only then it will close the loading bar. Anyway I don't think I have reference it correctly to the &lt;code&gt;Label1&lt;/code&gt; and got error like &lt;/p&gt;
&lt;blockquote&gt;
  &lt;p&gt;descendent is not defined&lt;/p&gt;
&lt;/blockquote&gt;
&lt;p&gt;Can anyone help me to solve this? or suggest a better to way to do it ..&lt;/p&gt;
</t>
  </si>
  <si>
    <t xml:space="preserve">&lt;p&gt;Is it possible to merge multiple images * (jpeg) in one image and convert it to PDF in PowerApps?&lt;/p&gt;
&lt;p&gt;Edit: * uploaded via mobile browser.&lt;/p&gt;
</t>
  </si>
  <si>
    <t xml:space="preserve">&lt;p&gt;I am creating an Application using Node Express and MongoDB. After user creation a successful mail want to send to the user. I am using zohomail and can able to use those username and password to login zohomail online. But when I try to send mail I got an error as &lt;/p&gt;
&lt;pre&gt;&lt;code&gt;  code: 'EAUTH',
  response: '535 Authentication Failed',
  responseCode: 535,
  command: 'AUTH PLAIN'
&lt;/code&gt;&lt;/pre&gt;
&lt;p&gt;&lt;strong&gt;This is my code&lt;/strong&gt;&lt;/p&gt;
&lt;p&gt;&lt;a href="https://ourcodeworld.com/articles/read/264/how-to-send-an-email-gmail-outlook-and-zoho-using-nodemailer-in-node-js" rel="nofollow noreferrer"&gt;helped snippet from&lt;/a&gt;&lt;/p&gt;
&lt;pre&gt;&lt;code&gt;if (user) {
  var transporter = nodemailer.createTransport({
    host: 'smtp.zoho.com',
    port: 465,
    secure: true, // use SSL
    auth: {
      user: 'sample@sample.com',  //zoho username
      pass: 'password'  //zoho password## Heading ##
    }
  });
  var mailOptions = {
    from: 'sample@sample.com',
    to: req.body.email,
    subject: 'Created Successfully',
    html: '&amp;lt;h1&amp;gt;Hi ' + req.body.fname + ',&amp;lt;/h1&amp;gt;&amp;lt;p&amp;gt;You have successfully created.&amp;lt;/p&amp;gt;'
  };
  transporter.sendMail(mailOptions, function(error, info) {
    if (error) {
      console.log(error);
    } else {
      res.status(200).send(setting.status("User created Successfully, Please Check your Mail"))
    }
  });
}
&lt;/code&gt;&lt;/pre&gt;
</t>
  </si>
  <si>
    <t xml:space="preserve">&lt;p&gt;Thank you &lt;a href="https://stackoverflow.com/users/6603052/nguyen-manh-tung"&gt;Nguyen Manh Tung&lt;/a&gt;&lt;/p&gt;
&lt;p&gt;As said in comment.&lt;/p&gt;
&lt;p&gt;I had enabled 2 Factor Authentication (2FA) in Zoho mail.&lt;/p&gt;
&lt;p&gt;So, I login my account &lt;a href="https://accounts.zoho.com/u/h#home" rel="nofollow noreferrer"&gt;here&lt;/a&gt; and go to the Two Factor Authentication and get Application specific password.&lt;/p&gt;
&lt;p&gt;After that I used the application specific password instead of zoho mail password in Node Js.&lt;/p&gt;
&lt;pre&gt;&lt;code&gt;if (user) {
  var transporter = nodemailer.createTransport({
    host: 'smtp.zoho.com',
    port: 465,
    secure: true, // use SSL
    auth: {
      user: 'sample@sample.com',  //zoho username
      pass: 'application specific password'  //Not zoho mail password because of 2FA enabled
    }
  });
  var mailOptions = {
    from: 'sample@sample.com',
    to: req.body.email,
    subject: 'Created Successfully',
    html: '&amp;lt;h1&amp;gt;Hi ' + req.body.fname + ',&amp;lt;/h1&amp;gt;&amp;lt;p&amp;gt;You have successfully created.&amp;lt;/p&amp;gt;'
  };
  transporter.sendMail(mailOptions, function(error, info) {
    if (error) {
      console.log(error);
    } else {
      res.status(200).send(setting.status("User created Successfully, Please Check your Mail"))
    }
  });
}
&lt;/code&gt;&lt;/pre&gt;
</t>
  </si>
  <si>
    <t xml:space="preserve">&lt;p&gt;I'm about to go mad about an issue in Powerapp.&lt;/p&gt;
&lt;p&gt;I'm making an app, which will be used to count inventory in different locations. &lt;/p&gt;
&lt;p&gt;I'm using a gallery to show the data from my Excel spreadsheet, and it works fine, if I choose the locations in the gallery settings menu. &lt;/p&gt;
&lt;p&gt;However, I would like the text input field in the gallery to show the current value, from the location which I enter in the top text input field. I would also like to have the correct column PATCH when I press the arrow. &lt;/p&gt;
&lt;p&gt;Does anybody know how I can make it happen?&lt;/p&gt;
&lt;p&gt;Thanks in advance! &lt;/p&gt;
&lt;p&gt;&lt;a href="https://i.stack.imgur.com/a3xFf.png" rel="nofollow noreferrer"&gt;&lt;img src="https://i.stack.imgur.com/a3xFf.png" alt="enter image description here"&gt;&lt;/a&gt;&lt;/p&gt;
&lt;p&gt;&lt;a href="https://i.stack.imgur.com/TxUNX.png" rel="nofollow noreferrer"&gt;&lt;img src="https://i.stack.imgur.com/TxUNX.png" alt="enter image description here"&gt;&lt;/a&gt;&lt;/p&gt;
&lt;p&gt;&lt;a href="https://i.stack.imgur.com/S5XSW.png" rel="nofollow noreferrer"&gt;&lt;img src="https://i.stack.imgur.com/S5XSW.png" alt="enter image description here"&gt;&lt;/a&gt;&lt;/p&gt;
</t>
  </si>
  <si>
    <t xml:space="preserve">&lt;p&gt;To display the column based on the input box text, set the 'Default' formula of the gallery input boxes to be: &lt;/p&gt;
&lt;pre&gt;&lt;code&gt;If(TextInput.Text = "Loc21", Loc21, TextInput.Text = "Loc22", Loc22, TextInput.Text = "Loc23", Loc23, TextInput.Text = "Loc24", Loc24, TextInput.Text = "Loc25", Loc25, TextInput.Text = "Loc26", Loc26)
&lt;/code&gt;&lt;/pre&gt;
You can't update tables from a static data source such as Excel. You could however upload your data to a SharePoint site or Common Data Service and then use a [Patch](https://docs.microsoft.com/en-us/powerapps/maker/canvas-apps/functions/function-patch)  function to update the value in that new data source. 
</t>
  </si>
  <si>
    <t xml:space="preserve">&lt;p&gt;I have a radio button:
Options: [null,"N","U"], displaying [All, New, Used] on the ui.&lt;/p&gt;
&lt;p&gt;I can set the onAttach to widget.value = "N" or "U" and it works perfectly. If I set onAttach to widget.value = null, the UI has no selection.&lt;/p&gt;
&lt;p&gt;How can I force the first option, "All" to always be selected onAttach?&lt;/p&gt;
</t>
  </si>
  <si>
    <t xml:space="preserve">&lt;p&gt;I have data that I'm getting from the &lt;a href="https://developers.google.com/admin-sdk/directory/v1/reference/orgunits/list" rel="nofollow noreferrer"&gt;G Suite Admin SDK&lt;/a&gt; that looks like this:&lt;/p&gt;
&lt;pre&gt;&lt;code&gt;[{orgUnitPath=/Test, kind=admin#directory#orgUnit, blockInheritance=false, name=No Public Sharing, description=, etag="string", orgUnitId=id:00000, parentOrgUnitPath=/, parentOrgUnitId=id:111111}, ...]
&lt;/code&gt;&lt;/pre&gt;
&lt;p&gt;How can I convert this into an array like this:&lt;/p&gt;
&lt;pre&gt;&lt;code&gt;[[[orgunitpath, test],[orgunitid,000000]],[[orgunitpath, test],[orgunitid,000000]],[[orgunitpath, test2],[orgunitid,222222]],[[orgunitpath, test],[orgunitid,222222]]]
&lt;/code&gt;&lt;/pre&gt;
&lt;p&gt;I'm ultiamtely looking to import this data into a SQL datasource in AppMaker.&lt;/p&gt;
</t>
  </si>
  <si>
    <t xml:space="preserve">&lt;p&gt;You can easily do this with &lt;a href="https://developer.mozilla.org/en-US/docs/Web/JavaScript/Reference/Global_Objects/Array/map" rel="nofollow noreferrer"&gt;Array#map&lt;/a&gt;&lt;/p&gt;
&lt;h3&gt;Snippet:&lt;/h3&gt;
&lt;pre&gt;&lt;code&gt;var res; //[{orgUnitPath:/Test, orgUnitId:id:00000, parentOrgUnitPath=/, parentOrgUnitId=id:111111}, ...]
var array=res.map(function(obj){
    return [['orgunitpath', obj['orgUnitPath']],['orgunitid',obj['orgUnitId']]]
})
&lt;/code&gt;&lt;/pre&gt;
</t>
  </si>
  <si>
    <t xml:space="preserve">&lt;p&gt;I have a function &lt;code&gt;BigQueryGetEmail()&lt;/code&gt; that query requester Manager info from BigQuery. I call the code in order to get the info and pass it to a variable. But the problem is because JS is a single threaded language, so I think that it skips the code where I call the &lt;code&gt;BigQueryGetEmail()&lt;/code&gt; function before it finish querying the info that I need. The effect is when I assign it to a variable for sure it will return an error because there is no data yet.&lt;/p&gt;
&lt;p&gt;I have tried to put the variable assignment inside the callback of the &lt;code&gt;BigQueryGetEmail()&lt;/code&gt; yet still not have time to capture data. Also tried async function but it doesn't seem like it works on AppMaker. The query function is working as expected when I test it out. It returns the requester Manager's email.&lt;/p&gt;
&lt;pre&gt;&lt;code&gt;//run Query to get Manager email info base on requester email
var email = google.script.run.BigQueryGetEmail(emailRequester);
//assign email value to draft.email;
draft.Email = email;
//create record
createDatasource.createItem(function(createdRecord) { });
&lt;/code&gt;&lt;/pre&gt;
&lt;p&gt;I expect the query will get the requester Manager's email address first, then pass the value to &lt;code&gt;draft.Email&lt;/code&gt; first before save the record. &lt;/p&gt;
</t>
  </si>
  <si>
    <t xml:space="preserve">&lt;p&gt;I have an appmaker app that used to send emails. However, my users objected to the permissions required for this feature, so I removed it. However, the "Send email as you" permission is still being requested and I can't seem to get rid of it.&lt;/p&gt;
&lt;p&gt;I did the following:&lt;/p&gt;
&lt;ul&gt;
&lt;li&gt;deleted (not just commented out) all references to MailApp I was able to find via the search bar&lt;/li&gt;
&lt;li&gt;exported my code and searched for Mail just in case I missed anything above&lt;/li&gt;
&lt;li&gt;removed mailto: links, in desperation&lt;/li&gt;
&lt;li&gt;pubished to a new deployment to verify the permissions required&lt;/li&gt;
&lt;/ul&gt;
&lt;p&gt;I can see in the deployment that "&lt;a href="https://www.googleapis.com/auth/script.send_mail" rel="nofollow noreferrer"&gt;https://www.googleapis.com/auth/script.send_mail&lt;/a&gt;" is being requested, which is undesirable. However, I can't edit it, and I can't see why it's being requested.&lt;/p&gt;
&lt;p&gt;No matter what I do, I keep seeing "Send email as you" being requested. Am I missing something?&lt;/p&gt;
</t>
  </si>
  <si>
    <t xml:space="preserve">&lt;p&gt;From my previous question &lt;a href="https://stackoverflow.com/q/54178050/9426876"&gt;here&lt;/a&gt;, I think it is the problem to my server-script function that queries the data from BigQuery. Following are my code to queries HOD email base on requester email address.&lt;/p&gt;
&lt;pre&gt;&lt;code&gt;//To fetch requester's HOD email address
function BigQueryGetEmail(emailRequester){
  // Replace this value with the project ID listed in the Google
  // Cloud Platform project.
  var projectId = 'xxxxxx-xxx-stg';
  query = '#standardSQL \n SELECT SUPV_EMAIL_A FROM `xxxxx-xxx-stg.xxxxx.vw_HOD_email` WHERE EMP_EMAIL_A = "' + emailRequester + '";';
  var request = {
    query: query,
  };
  var queryResults = BigQuery.Jobs.query(request, projectId);
  var jobId = queryResults.jobReference.jobId;
  // Check on status of the Query Job.
  var sleepTimeMs = 500;
  while (!queryResults.jobComplete) {
    Utilities.sleep(sleepTimeMs);
    sleepTimeMs *= 2;
    queryResults = BigQuery.Jobs.getQueryResults(projectId, jobId);
  }
  // Get all the rows of results.
  var rows = queryResults.rows;
  while (queryResults.pageToken) {
    queryResults = BigQuery.Jobs.getQueryResults(projectId, jobId, {
      pageToken: queryResults.pageToken
    });
    rows = rows.concat(queryResults.rows);
  }
  // Append the results.
  var data = new Array(rows.length);
  for (var i = 0; i &amp;lt; rows.length; i++) {
   var cols = rows[i].f;
    data[i] = new Array(cols.length);
    for (var j = 0; j &amp;lt; cols.length; j++) {
      data[i][j] = cols[j].v;
    }
  }
  console.log('HOD email: ' + data);
  return data.toString();
}
&lt;/code&gt;&lt;/pre&gt;
&lt;p&gt;The weird thing is that when I &lt;code&gt;console.log&lt;/code&gt; data it return the HOD email address. But the function won't return the data result when ever I call the &lt;code&gt;BigQueryGetEmail&lt;/code&gt; function. Following is the caller function:&lt;/p&gt;
&lt;pre&gt;&lt;code&gt;function getHOD(){
  var ownerEmail = app.pages.Main.descendants.TextBox1.value;
  var HODemailfield = app.pages.Main.descendants.TextBox2.value;
  function successHandler(email){
  //assign email value to widget;
    HODemailfield = email;
  }
google.script.run.withSuccessHandler(successHandler).BigQueryGetEmail(ownerEmail);  
}
&lt;/code&gt;&lt;/pre&gt;
&lt;p&gt;The widget &lt;code&gt;TextBox2&lt;/code&gt; doesn't reflect any data nor error which is I believe it is because of the &lt;code&gt;BigQueryGetEmail&lt;/code&gt; function doesn't return any data.&lt;/p&gt;
&lt;p&gt;Can anyone guide me on the correct way how to return the query result when I call the &lt;code&gt;BigQueryGetEmail&lt;/code&gt; function? had tried several ways but still stuck.&lt;/p&gt;
</t>
  </si>
  <si>
    <t xml:space="preserve">&lt;p&gt;Im trying to integrate the ZoHo crm v2 sdk with my Django app. 
On the Django runserver, im able to get access tokens and using the refresh method and store them in the zcrm_oauthtokens.pkl file.  The sdk then automatically refreshes the access token using the refresh token, so no problem here.  However on my production server (heroku) im getting this error message:&lt;/p&gt;
&lt;pre&gt;&lt;code&gt;2019-01-16T11:07:22.314759+00:00 app[web.1]: 2019-01-16 11:07:22,314    - Client_Library_OAUTH - ERROR - Exception occured while fetching oauthtoken from db; Exception Message::'NoneType' object has no attribute 'accessToken'
&lt;/code&gt;&lt;/pre&gt;
&lt;p&gt;It seems to me that the tokens are being saved to file, but when the sdk try to access them it is looking for them in a DB and not the file specified in the token_persistence_path.&lt;/p&gt;
&lt;p&gt;In my settings.py I have this:&lt;/p&gt;
&lt;pre&gt;&lt;code&gt;ZOHO_CLIENT_ID = config('ZOHO_CLIENT_ID')
ZOHO_CLIENT_SECRET = config('ZOHO_CLIENT_SECRET')
ZOHO_REDIRECT_URI = config('ZOHO_REDIRECT_URI')
ZOHO_CURRENT_USER_EMAIL = 'jamesalexander@mylastwill.co.uk'
ZOHO_PATH = os.path.join(BASE_DIR, 'wills_online', 'zoho')
zoho_config = {'apiBaseUrl': "https://www.zohoapis.com",
               'currentUserEmail': ZOHO_CURRENT_USER_EMAIL,
               'client_id': ZOHO_CLIENT_ID,
               'client_secret': ZOHO_CLIENT_SECRET,
               'redirect_uri': ZOHO_REDIRECT_URI,
               'token_persistence_path': ZOHO_PATH}
&lt;/code&gt;&lt;/pre&gt;
&lt;p&gt;and in a views file I have this:&lt;/p&gt;
&lt;pre&gt;&lt;code&gt;from zcrmsdk import *
import logging
from django.shortcuts import HttpResponse
from wills.models import PersonalDetails, ZoHoRecord, WillDocument
from wills_online.decorators import start_new_thread
from wills_online.settings import zoho_config
logger = logging.getLogger(__name__)
class ZohoRunOnce:
    def __init__(self):
        self.already_run = False
    def run_once(self):
        if not self.already_run:
            print('zoho init run once')
            ZCRMRestClient.initialize(zoho_config)
            self.already_run = True
zoho_init = ZohoRunOnce()
zoho_init.run_once()
print(zoho_config['token_persistence_path'])
def zoho_callback():
    return HttpResponse(200)
@start_new_thread
def zoho_personal_details(request):
    """ updates or create a user account on zoho on profile completion """
    personal_details_ob = PersonalDetails.objects.get(user=request.user)
    zoho_ob = ZoHoRecord.objects.get(user=request.user)
    try:
        if zoho_ob.account:
            record = ZCRMRecord.get_instance('Accounts', zoho_ob.account)
            record.set_field_value('Account_Name', request.user.email)
            record.set_field_value('Name', personal_details_ob.full_name)
            record.set_field_value('Email', request.user.email)
            record.set_field_value('Address_Line_1', personal_details_ob.address_line_1)
            record.set_field_value('Address_Line_2', personal_details_ob.address_line_2)
            record.set_field_value('Post_Town', personal_details_ob.post_town)
            record.set_field_value('Post_Code', personal_details_ob.post_code)
            record.set_field_value('Dob_Day', personal_details_ob.dob_day)
            record.set_field_value('Dob_Month', personal_details_ob.dob_month)
            record.set_field_value('Dob_Year', personal_details_ob.dob_year)
            record.set_field_value('Gender', personal_details_ob.sex)
            record.set_field_value('Marital_Status', personal_details_ob.marital_status)
            record.set_field_value('Partner_Name', personal_details_ob.partner_full_name)
            record.set_field_value('Partner_Gender', personal_details_ob.partner_gender)
            record.set_field_value('Partner_Email', personal_details_ob.partner_email)
            record.set_field_value('Children', personal_details_ob.children)
            record.set_field_value('Pets', personal_details_ob.pets)
            record.update()
        else:
            user = ZCRMUser.get_instance(name='James Alexander')
            record = ZCRMRecord.get_instance('Accounts')
            record.set_field_value('Account_Owner', user)
            record.set_field_value('Account_Name', request.user.email)
            record.set_field_value('Name', personal_details_ob.full_name)
            record.set_field_value('Email', request.user.email)
            record.set_field_value('Address_Line_1', personal_details_ob.address_line_1)
            record.set_field_value('Address_Line_2', personal_details_ob.address_line_2)
            record.set_field_value('Post_Town', personal_details_ob.post_town)
            record.set_field_value('Post_Code', personal_details_ob.post_code)
            record.set_field_value('Dob_Day', personal_details_ob.dob_day)
            record.set_field_value('Dob_Month', personal_details_ob.dob_month)
            record.set_field_value('Dob_Year', personal_details_ob.dob_year)
            record.set_field_value('Gender', personal_details_ob.sex)
            record.set_field_value('Marital_Status', personal_details_ob.marital_status)
            record.set_field_value('Partner_Name', personal_details_ob.partner_full_name)
            record.set_field_value('Partner_Gender', personal_details_ob.partner_gender)
            record.set_field_value('Partner_Email', personal_details_ob.partner_email)
            record.set_field_value('Children', personal_details_ob.children)
            record.set_field_value('Pets', personal_details_ob.pets)
            response = record.create()
            # save account id to db for future updates
            zoho_ob.account = response.details['id']
            zoho_ob.save()
    except ZCRMException as ex:
        logger.log(1, ex.status_code)
        logger.log(1, ex.error_message)
        logger.log(1, ex.error_details)
        logger.log(1, ex.error_content)
        print(ex.status_code)
        print(ex.error_message)
        print(ex.error_content)
        print(ex.error_details)
&lt;/code&gt;&lt;/pre&gt;
&lt;p&gt;Ive tried running  ZCRMRestClient.initialize(zoho_config) in settings.py, with no luck.  &lt;/p&gt;
&lt;p&gt;My method for getting the access token and refresh token, which seems to work is:&lt;/p&gt;
&lt;pre&gt;&lt;code&gt;import os
import pprint
from sys import argv
import django
import requests
import zcrmsdk
from django.conf import settings
os.environ.setdefault('DJANGO_SETTINGS_MODULE', 'wills_online.settings')
django.setup()
def zoho_refresh_token(code):
    """ supply a self client token from the zoho api credentials from web site """
    zoho_config = {"apiBaseUrl": "https://www.zohoapis.com",
               "currentUserEmail": settings.ZOHO_CURRENT_USER_EMAIL,
               "client_id": settings.ZOHO_CLIENT_ID,
               "client_secret": settings.ZOHO_CLIENT_SECRET,
               "redirect_uri": settings.ZOHO_REDIRECT_URI,
               "token_persistence_path": settings.ZOHO_PATH}
pprint.pprint(zoho_config)
print('working')
address = f'https://accounts.zoho.com/oauth/v2/token?code={code}&amp;amp;redirect_uri={settings.ZOHO_REDIRECT_URI}&amp;amp;client_id={settings.ZOHO_CLIENT_ID}&amp;amp;client_secret={settings.ZOHO_CLIENT_SECRET}&amp;amp;grant_type=authorization_code'
response = requests.post(address)
data = response.json()
pprint.pprint(data)
zcrmsdk.ZCRMRestClient.initialize(zoho_config)
oauth_client = zcrmsdk.ZohoOAuth.get_client_instance()
refresh_token = data['refresh_token']
print(type(refresh_token))
oauth_client.generate_access_token_from_refresh_token(refresh_token, settings.ZOHO_CURRENT_USER_EMAIL)
print(refresh_token)
print('finished')
&lt;/code&gt;&lt;/pre&gt;
&lt;p&gt;if &lt;strong&gt;name&lt;/strong&gt; == '&lt;strong&gt;main&lt;/strong&gt;':
    zoho_refresh_token(argv[1])&lt;/p&gt;
&lt;p&gt;This is driving me mad.  Help would be greatly appreciated.  This is my first post so go easy, lol.&lt;/p&gt;
</t>
  </si>
  <si>
    <t xml:space="preserve">&lt;p&gt;I have a datasource that contains &gt; 1000 records. The current Query page size is at 100. &lt;/p&gt;
&lt;p&gt;I have a need to loop through each item, and try to find a record that matches input given by the user. Fairly simple use-case, however, I can't seem to get the script to loop through the pages so it just finishes its loop at the query page size of 100 and therefore only searching the first 100 records. &lt;/p&gt;
&lt;p&gt;I've tried putting in&lt;/p&gt;
&lt;pre&gt;&lt;code&gt;app.datasources.Vehicles.nextPage();
&lt;/code&gt;&lt;/pre&gt;
&lt;p&gt;at the end of the for loop and then call regoExists again with the new page but it doesn't work. How is nextPage() meant to be used in client scripts? &lt;/p&gt;
&lt;pre&gt;&lt;code&gt;function regoExists(rego){
  var regoUp = rego.toUpperCase();
  regoUp = regoUp.trim(); 
  ds = app.datasources.Vehicles.items;
  for (var i in ds){
    if (ds[i].registration === regoUp){
      console.log(ds[i].registration + " equals " + regoUp);
      app.datasources.Vehicles.query.filters.registration._equals = regoUp;
      return true;
    } else {
      console.log(ds[i].registration + " does not equals " + regoUp);
      continue;
    }
  }
} 
&lt;/code&gt;&lt;/pre&gt;
</t>
  </si>
  <si>
    <t xml:space="preserve">&lt;p&gt;Rather than looping through each record and performing the query on each individual record I would suggest introducing a textbox widget in the same datasource and setting the binding to:&lt;/p&gt;
&lt;pre&gt;&lt;code&gt;@datasource.query.filters.registration._equals
&lt;/code&gt;&lt;/pre&gt;
&lt;p&gt;Then load the datasource via a button click or via the onValueEdit event of the textbox widget. If the registration value exists, it will be returned in a table presumably, and if it doesn't exist no records would be returned.&lt;/p&gt;
</t>
  </si>
  <si>
    <t xml:space="preserve">&lt;p&gt;I am creating a leave system for my company through Sharepoint. I tried customizing the edit form using powerapps. So when I fill all the records in edit form as shown in powerapp.png, and click on save button as in normal sharepoint form, my fields get reset to their defaults and i get 'entry required or invalid value'(see the attachment named 'powerapp.png') and the item isn't added to my sharepoint list. &lt;/p&gt;
&lt;p&gt;However the record does get added to list if using normal sharepoint form as shown in normal_sharepoint.png. &lt;/p&gt;
&lt;p&gt;Note: I have created a custom text field in powerapp.png which calculates me the leave days excluding weekdays and weekends. ( this is a major requirement)&lt;/p&gt;
&lt;p&gt;Also I have enabled content-approval in my sharepoint list because the item is sent to manager for approval. Hence a content-type data field equal to 'Item' always shows up when I open the edit form in normal sharepoint and some unique id is autogenerated. However I enabled the content type field in powerapps too but still the same error.&lt;/p&gt;
&lt;p&gt;&lt;strong&gt;powerapp.png&lt;/strong&gt;&lt;/p&gt;
&lt;p&gt;&lt;a href="https://i.stack.imgur.com/8l4Eo.png" rel="nofollow noreferrer"&gt;&lt;img src="https://i.stack.imgur.com/8l4Eo.png" alt="powerapp.png"&gt;&lt;/a&gt;&lt;/p&gt;
&lt;p&gt;&lt;strong&gt;normal_sharepoint.png&lt;/strong&gt;
&lt;a href="https://i.stack.imgur.com/w41jd.png" rel="nofollow noreferrer"&gt;&lt;img src="https://i.stack.imgur.com/w41jd.png" alt="normal_sharepoint.png"&gt;&lt;/a&gt;&lt;/p&gt;
</t>
  </si>
  <si>
    <t xml:space="preserve">&lt;p&gt;I have 2 tables, which has one - many relation ship. The child table has 4 columns (Let say, A, B, C, D)&lt;/p&gt;
&lt;p&gt;A - Table column
B - Foreign key column
C - Foreign key column
D - Table column&lt;/p&gt;
&lt;p&gt;Requirement is to sort the data by A, B,then by C when displaying records &lt;/p&gt;
&lt;p&gt;I tried with query script but not working. (Relation data source doesn't load)&lt;/p&gt;
&lt;p&gt;I tried with specifying the sort field on Relations tab (Sorting work only for table column, fk columns are not displayed)&lt;/p&gt;
&lt;p&gt;Is there a way to do this?&lt;/p&gt;
</t>
  </si>
  <si>
    <t xml:space="preserve">&lt;p&gt;Sorry this seems such a basic question but I simply cannot find an equivalent example anywhere!&lt;/p&gt;
&lt;p&gt;Given a new PowerApp created from the "start from data" template against the native D365 Contact entity. The new app contains a Gallery control. I simply want to filter it to only show Contacts that match a specific account ID. &lt;/p&gt;
&lt;p&gt;I believed this should be as simple as this, but I cannot get this or any permutation that I've tried to work (syntax errors). Where am I going wrong? I've set the Items property of the control to this, but it's just not right. Among a couple of hours of guesses, I've tried appending ".id" or "_id" to parentaccountid (in various case permutations) I don't know where else to look.  &lt;/p&gt;
&lt;pre&gt;&lt;code&gt;Filter('Contacts', parentaccountid = "dd12fc2e-ab9a-4488-bc62-22e3bc048cb7")
&lt;/code&gt;&lt;/pre&gt;
</t>
  </si>
  <si>
    <t xml:space="preserve">&lt;p&gt;I think you have to use &lt;strong&gt;Lookup property&lt;/strong&gt; &lt;code&gt;_accountid_value&lt;/code&gt; to accomplish this. &lt;a href="https://docs.microsoft.com/en-us/dynamics365/customer-engagement/web-api/contact?view=dynamics-ce-odata-9#lookup-properties" rel="nofollow noreferrer"&gt;Lookup property&lt;/a&gt;&lt;/p&gt;
&lt;pre&gt;&lt;code&gt;Filter('Contacts', _accountid_value = GUID("dd12fc2e-ab9a-4488-bc62-22e3bc048cb7"))
&lt;/code&gt;&lt;/pre&gt;
&lt;p&gt;&lt;a href="https://www.cloudfronts.com/filter-records-in-gallery-control-based-on-value-selected-in-other-gallery-control-in-powerapps/" rel="nofollow noreferrer"&gt;Reference&lt;/a&gt; &lt;/p&gt;
</t>
  </si>
  <si>
    <t xml:space="preserve">&lt;p&gt;I have a model 'Invoices' which I created another datasource on (Past_due_invoices) with a query script to return all records where invoice_due_date._lessThan = new Date(); It returns all the records as expected.&lt;/p&gt;
&lt;p&gt;I have an account details page where I've put in a table that I had imagined I would use 'Accounts: PastDueInvoices(relation)' as the datasource to only return the past due invoices for that account, but I have yet to find a way to bind to that datasource.&lt;/p&gt;
&lt;p&gt;To complicate matters, I will also need to filter that data by (@datasource.relations.Payments.items).reduce&lt;/p&gt;
&lt;p&gt;I have read all I could find on the subject over the last week.&lt;/p&gt;
&lt;p&gt;Is there a better approach, or what am I missing to be able to relate to that datasource?  Many thanks.&lt;/p&gt;
</t>
  </si>
  <si>
    <t xml:space="preserve">&lt;p&gt;I create a draft for an email thread in Google App Maker by using the threadId. This draft is shown as part of the thread in Gmail. However when I update the draft it loses the link it has to the thread.&lt;/p&gt;
&lt;p&gt;The following code was used to create a reply draft to a thread and the draftId was stored.&lt;/p&gt;
&lt;pre&gt;&lt;code&gt;var draft = GmailApp.getThreadById(threadId).createDraftReply('');
&lt;/code&gt;&lt;/pre&gt;
&lt;p&gt;Then the draft is updated as below. When this is run, the link with the thread is lost. I am not keen on passing all these parameters as I just want to update the html body of the draft&lt;/p&gt;
&lt;pre&gt;&lt;code&gt;function saveDraft(draftId, body) {
  if (draftId !== null) {
    var draftToSave = GmailApp.getDraft(draftId);
    var draftMessage = draftToSave.getMessage();
    var options = {
        'htmlBody': body,
        'cc': draftMessage.getCc(),
        'bcc': draftMessage.getBcc()
    };
    draftToSave.update(draftMessage.getTo(), draftMessage.getSubject(), '', options);
  }
}
&lt;/code&gt;&lt;/pre&gt;
&lt;p&gt;I expect to update the body of the draft which is linked to the thread without changing anything else. 
Note that I am passing an html body not a text body.&lt;/p&gt;
</t>
  </si>
  <si>
    <t xml:space="preserve">&lt;p&gt;I am trying to call an external service from a Google AppMaker server-side script using the FetchUrl function. &lt;/p&gt;
&lt;p&gt;I get a timeout after only 1 minute (the service takes ~1min 30s to run and respond). From &lt;a href="https://developers.google.com/apps-script/guides/services/quotas" rel="nofollow noreferrer"&gt;the Google documentation on quotas&lt;/a&gt; I see the timeout should be 6 min. &lt;/p&gt;
&lt;p&gt;Is there an option at application level or somewhere else to increase this timeout to get at least the one we see on the quotas list ?&lt;/p&gt;
&lt;p&gt;Server-side logs:&lt;/p&gt;
&lt;pre&gt;&lt;code&gt;2019-01-21 10:41:06.090 CET
Trying to connect to https://europe-west1-***
2019-01-21 10:42:06.080 CET
Exception: Timeout: https://europe-west1-*** at myFunction 
&lt;/code&gt;&lt;/pre&gt;
</t>
  </si>
  <si>
    <t xml:space="preserve">&lt;p&gt;Previously I was using a sharepoint default form to send a request to my client. I was always able to fill all the fields in default form(fields being appointment type, reason, requested date, due date, and a person/group field called Client) and send it to client approval by workflow that was operating after 'Save' and it was working. However when I tried to customize my form using powerapps by adding one dynamic textfield that calculates the difference in the due and requested dates excluding holidays and weekends, my form doesn't save in sharepoint and I get a message like '&lt;strong&gt;There was a problem saving your changes. The data source may be invalid&lt;/strong&gt;.'&lt;/p&gt;
&lt;p&gt;When I checked out the data source, it was all good. Each field especially required fields of my form has been given correct values. I don't understand where I am going wrong.&lt;/p&gt;
&lt;p&gt;Is there any way of debugging this? How can I check out the json after the form submits and throws error? Or is my approach wrong?&lt;/p&gt;
</t>
  </si>
  <si>
    <t xml:space="preserve">&lt;p&gt;I was wondering when someone creates a trigger with a certain handler, should we look first if the trigger with that certain handler function already exists? If it does then remove it then add the new trigger. &lt;/p&gt;
&lt;p&gt;Or every time a trigger is created ( lets say accidentally a button with a function that creates a trigger was clicked twice ), the old one gets overridden?&lt;/p&gt;
</t>
  </si>
  <si>
    <t xml:space="preserve">&lt;p&gt;I have two related tables. This is a relationship where parent can have zero or many notes. I am trying to save a note that's related to original record. Code itself is&lt;/p&gt;
&lt;pre&gt;&lt;code&gt;  app.datasources.RadiosManualSave.load(function() {
    ...
    var existingRecord = app.datasources.RadiosManualSave.item;
    ... // update some fields of the existingRecord &amp;amp; save later
    try {
      app.datasources.RadiosManualSave.saveChanges(function() {
        var notesCreate = app.datasources.RadioNotes.modes.create ;  
        var newNote = notesCreate.item ;
        newNote.Notes = tempRecord.Notes ;
        //newNote.Radios_fk = existingRecord.Id ;
        newNote.Radios = existingRecord ;
        notesCreate.createItem(function() {
          app.showPage(app.pages.Radios);  
        });
      });  
   } catch(e) {
        showSnackbar('Error saving record');
        app.datasources.RadiosManualSave.clearChanges();
   }
   ...
}
&lt;/code&gt;&lt;/pre&gt;
&lt;p&gt;The code fails when I associate the note with the existing record. &lt;/p&gt;
&lt;p&gt;The error message is:&lt;/p&gt;
&lt;blockquote&gt;
  &lt;p&gt;Can't associate draft record with record in draft datasource. &lt;/p&gt;
&lt;/blockquote&gt;
&lt;p&gt;However existing record is not in draft datasource and is already in the table. Assigning to the foreign key works without problems.&lt;/p&gt;
</t>
  </si>
  <si>
    <t xml:space="preserve">&lt;p&gt;I have a page that will display data of the most recently 3 years (For example: 2017, 2018, 2019), each in a separate table. I tried using &lt;code&gt;._greaterThanOrEquals&lt;/code&gt; filter but filtered values are the same in 3 tables. How to do separate filters in each table? Please take a look at the image of Data Sample below:&lt;/p&gt;
&lt;p&gt;&lt;a href="https://i.stack.imgur.com/jBu2S.png" rel="nofollow noreferrer"&gt;Sample Data&lt;/a&gt;&lt;/p&gt;
</t>
  </si>
  <si>
    <t xml:space="preserve">&lt;p&gt;My task is pretty simple, all i have to do is to create records in the lead section of the salesforce. I have created a free account and i am not able to figure it out that, &lt;strong&gt;what is&lt;/strong&gt; &lt;a href="https://yourinstance.saleforce.com" rel="nofollow noreferrer"&gt;https://yourinstance.saleforce.com&lt;/a&gt; in the below rest api:&lt;/p&gt;
&lt;pre&gt;&lt;code&gt;https://yourinstance.salesforce.com/services/data/v39.0/sobjects/Lead
&lt;/code&gt;&lt;/pre&gt;
&lt;p&gt;Body JSON: &lt;/p&gt;
&lt;pre&gt;&lt;code&gt;{
    "body": {
    "Salutation": "Mr.",
    "FirstName": "H",
    "LastName": "Sam",
    "Company": "Samosto"
    }
}
&lt;/code&gt;&lt;/pre&gt;
&lt;p&gt;Header: &lt;/p&gt;
&lt;pre&gt;&lt;code&gt;Authorization: Bearer 00D0o0000015jPn!ARgAQPiIGhuYGUG_c0HDKNR0hxTX9zS82Fv1lIuqn4rapFJHPR422gLyi10rF8Auukb._hj9pj532DP7IajQV36lyKpUNEXdxvL
Content-Type: application/json
Sforce-Auto-Assign: TRUE
&lt;/code&gt;&lt;/pre&gt;
&lt;p&gt;Any help will be highly appreciated!&lt;/p&gt;
</t>
  </si>
  <si>
    <t xml:space="preserve">&lt;p&gt;This is the URL you have for the organization you want to login to. Since most of the orgs are using their own Domain names in guides or examples you will see this "&lt;a href="https://yourinstance.saleforce.com" rel="nofollow noreferrer"&gt;https://yourinstance.saleforce.com&lt;/a&gt;" being used.&lt;/p&gt;
&lt;p&gt;You can simply take it from the URL while logged in Salesforce or go to Setup -&gt; quick search "My Domain" and you will see the domain name. 
It is a good thing to check it from here as the generic URL can also be blocked as a login option.  &lt;/p&gt;
</t>
  </si>
  <si>
    <t xml:space="preserve">&lt;p&gt;I am trying to click on button only if it is enabled, if the button is disabled   i would not click on the button and proceed further.&lt;/p&gt;
&lt;p&gt;When i write the Xpath and check if the webElement is Enabled, resulting in Enabled always and i dont see much difference in html as well to differential between enabled and disabled.&lt;/p&gt;
&lt;p&gt;Help me with writing the xpath which should work only when the element is Enabled.&lt;/p&gt;
&lt;p&gt;I have tried to below xpath :
//button[NOT(@disable) and span[text()='More Steps']]&lt;/p&gt;
&lt;p&gt;Above xpath is not working.&lt;/p&gt;
&lt;p&gt;When the element is Enabled : &lt;/p&gt;
&lt;pre&gt;&lt;code&gt;&amp;lt;button class="slds-button slds-button--neutral showMoreButton uiButton" aria-live="off" type="button" data-aura-rendered-by="2703:0" data-aura-class="uiButton"&amp;gt;&amp;lt;!--render facet: 2704:0--&amp;gt;&amp;lt;span class=" label bBody" dir="ltr" data-aura-rendered-by="2706:0"&amp;gt;More Steps&amp;lt;/span&amp;gt;&amp;lt;!--render facet: 2708:0--&amp;gt;&amp;lt;/button&amp;gt;
&amp;lt;span class=" label bBody" dir="ltr" data-aura-rendered-by="2706:0"&amp;gt;More Steps&amp;lt;/span&amp;gt; 
&lt;/code&gt;&lt;/pre&gt;
&lt;p&gt;When the element is Disabled : &lt;/p&gt;
&lt;pre&gt;&lt;code&gt;&amp;lt;button class="slds-button slds-button--neutral showMoreButton uiButton" aria-live="off" type="button" disabled data-aura-rendered-by="2703:0" data-aura-class="uiButton"&amp;gt;&amp;lt;!--render facet: 2704:0--&amp;gt;&amp;lt;span class=" label bBody" dir="ltr" data-aura-rendered-by="2706:0"&amp;gt;More Steps&amp;lt;/span&amp;gt;&amp;lt;!--render facet: 2708:0--&amp;gt;&amp;lt;/button&amp;gt;
&amp;lt;span class=" label bBody" dir="ltr" data-aura-rendered-by="2706:0"&amp;gt;More Steps&amp;lt;/span&amp;gt; 
&lt;/code&gt;&lt;/pre&gt;
&lt;p&gt;Actual : When the element is not disabled, User is able to click on that but when it is disabled still user is trying to click that&lt;/p&gt;
&lt;p&gt;Expected : User should be able to click on the element only when it is Enabled&lt;/p&gt;
&lt;p&gt;Note : Do not mark the question as duplicate, this is with respect to salesforce tags, please understand.&lt;/p&gt;
&lt;p&gt;THanks in advance for your suggestions/Solutions &lt;/p&gt;
</t>
  </si>
  <si>
    <t xml:space="preserve">&lt;p&gt;So I'm having an issue specifically returning data from a MS Graph call Flow but only at the response/data collection part of the call.&lt;/p&gt;
&lt;p&gt;So I run the flow from PowerApps with a meeting room's id. Once I do that, I make the necessary calls and after manipulating the data, I get a response that looks like the following:&lt;/p&gt;
&lt;pre&gt;&lt;code&gt;[
 {
  "Subject": "Fun Meeting",
  "Start": "1/22/2019 9:00 AM",
  "End": "1/22/2019 12:00 PM"
 },
 {
  "Subject": "Boring Meeting",
  "Start": "1/22/2019 1:00 PM",
  "End": "1/22/2019 4:00 PM"
 }
]
&lt;/code&gt;&lt;/pre&gt;
&lt;p&gt;However, when I Collect this data back in powerapps, it all ends up on one row as an example below.&lt;/p&gt;
&lt;pre&gt;&lt;code&gt;Events                          Time
-----------------------------------------------------------------------
Fun Meeting; Boring Meeting  | 9:00 AM - 12:00PM; 1:00 PM - 4:00 PM; |
-----------------------------------------------------------------------
&lt;/code&gt;&lt;/pre&gt;
&lt;p&gt;The PowerApps documentation states that the collect data source should look like the response above so I'm not sure why it's all being thrown into the same row?&lt;/p&gt;
&lt;p&gt;Am I missing something?&lt;/p&gt;
</t>
  </si>
  <si>
    <t xml:space="preserve">&lt;p&gt;This worked for me.&lt;/p&gt;
&lt;p&gt;Created a PowerApps Flow with response Action
&lt;a href="https://i.stack.imgur.com/nfBwi.png" rel="nofollow noreferrer"&gt;&lt;img src="https://i.stack.imgur.com/nfBwi.png" alt="Flow Returns collection"&gt;&lt;/a&gt; &lt;/p&gt;
&lt;p&gt;The 'Response Body JSON Schema' was created with the given Response.&lt;/p&gt;
&lt;p&gt;In PowerApps I was able to collect the data with&lt;/p&gt;
&lt;pre&gt;&lt;code&gt;ClearCollect(colEvents,LoadCollection.Run())
&lt;/code&gt;&lt;/pre&gt;
&lt;p&gt;Whith leads to this Collection in PowerApps&lt;/p&gt;
&lt;p&gt;&lt;a href="https://i.stack.imgur.com/klZDB.png" rel="nofollow noreferrer"&gt;&lt;img src="https://i.stack.imgur.com/klZDB.png" alt="Collection in Powerapps collected from Flow"&gt;&lt;/a&gt;&lt;/p&gt;
</t>
  </si>
  <si>
    <t xml:space="preserve">&lt;p&gt;I created a Microsoft Powerapp application which has three fields: name, companyororganization and score. These values should be sent to Azure Devops, so I created Azure DevOps integration in PowerApps (there is ready build integration for that).&lt;/p&gt;
&lt;p&gt;Name is mapped into title, score is mapped into Createworkitem_Userenteredfields and company is mapped into Createworkitem_userenterfields_1.&lt;/p&gt;
&lt;p&gt;In Powerapps i'm calling the service with code:
PowerAppsbutton.Run({Score: 100}, "Example name", {Companyororganization: "abc"}, {}, {}, {}, {}, {})&lt;/p&gt;
&lt;p&gt;&lt;em&gt;Empty fields are there because I have created 6 dynamic contents into flow and don't know how to delete extra ones...&lt;/em&gt;&lt;/p&gt;
&lt;p&gt;Code gives me following exception in Flow:
{
  "status": 400,
  "message": "Required parameter: 'workItem' missing for requested operation: 'CreateWorkItem'.\r\nclientRequestId: a5353fe7-59c7-474f-a05f-6a6407d61c80",
  "source": "vsts-we.azconn-we.p.azurewebsites.net"
}&lt;/p&gt;
&lt;p&gt;Here is image of request. For some reason the Companyoroganization, score and name are all unmapped. Is this bug in Azure DevOps connector?&lt;/p&gt;
&lt;p&gt;&lt;a href="https://i.stack.imgur.com/vfwI3.png" rel="nofollow noreferrer"&gt;&lt;img src="https://i.stack.imgur.com/vfwI3.png" alt="enter image description here"&gt;&lt;/a&gt;&lt;/p&gt;
</t>
  </si>
  <si>
    <t xml:space="preserve">&lt;p&gt;I have been trying to export a table to google app maker to sheets using the AMU code and the comment from this previous question. 
&lt;a href="https://stackoverflow.com/a/49481920/10956377"&gt;https://stackoverflow.com/a/49481920/10956377&lt;/a&gt;&lt;/p&gt;
&lt;p&gt;However, I cannot get it to work whatever I try.&lt;/p&gt;
&lt;p&gt;Does anybody have any experience with this. My coding is basic at best but I can vaguely understand other people's.&lt;/p&gt;
&lt;p&gt;Thanks in advance&lt;/p&gt;
</t>
  </si>
  <si>
    <t xml:space="preserve">&lt;p&gt;I have a lightning:datatable which I need to load data when the user scrolls. I found the onloadmore event is fired when the user clicks on a table row and not when the user scrolls on the table.&lt;/p&gt;
&lt;p&gt;Even more, as soon as onloadmore is triggered, it keeps calling until loading all the records in the database.&lt;/p&gt;
&lt;p&gt;Can someone help me to understand why is doing this and a workaround? Any help would be greatly appreciated.&lt;/p&gt;
&lt;p&gt;To check how is called loadMoreData function open a inspector and check the console after clicking on a row.&lt;/p&gt;
&lt;p&gt;Here is an example: &lt;/p&gt;
&lt;p&gt;&lt;strong&gt;testDataTable.cmp&lt;/strong&gt;&lt;/p&gt;
&lt;p&gt;&lt;div class="snippet" data-lang="js" data-hide="false" data-console="true" data-babel="false"&gt;
&lt;div class="snippet-code"&gt;
&lt;pre class="snippet-code-html lang-html prettyprint-override"&gt;&lt;code&gt;&amp;lt;aura:component implements="flexipage:availableForAllPageTypes,flexipage:availableForRecordHome,force:hasRecordId" access="global" controller="ContactController"&amp;gt;
    &amp;lt;aura:attribute name="data" type="Object"/&amp;gt;
    &amp;lt;aura:attribute name="columns" type="List"/&amp;gt;
    &amp;lt;aura:attribute name="rowsToLoad" type="Integer" default="10"/&amp;gt;
    &amp;lt;aura:attribute name="enableInfiniteLoading" type="Boolean" default="false"/&amp;gt;
    &amp;lt;aura:attribute name="loadMoreOffset" type="Integer" default="5"/&amp;gt;
    &amp;lt;aura:attribute name="loadMoreStatus" type="String" default=""/&amp;gt;
    &amp;lt;!-- handlers--&amp;gt;
    &amp;lt;aura:handler name="init" value="{! this }" action="{! c.doInit }"/&amp;gt;
    &amp;lt;lightning:card title="testDataTableCard"&amp;gt;
        &amp;lt;lightning:datatable
          keyField="Id"
          data="{! v.data }"
          columns="{! v.columns }"
          enableInfiniteLoading="{! v.enableInfiniteLoading }"
          onloadmore="{! c.loadMoreData }"/&amp;gt;
    &amp;lt;/lightning:card&amp;gt;
&amp;lt;/aura:component&amp;gt;&lt;/code&gt;&lt;/pre&gt;
&lt;/div&gt;
&lt;/div&gt;
&lt;/p&gt;
&lt;p&gt;&lt;strong&gt;testDataTableController.js&lt;/strong&gt;&lt;/p&gt;
&lt;p&gt;&lt;div class="snippet" data-lang="js" data-hide="false" data-console="true" data-babel="false"&gt;
&lt;div class="snippet-code"&gt;
&lt;pre class="snippet-code-js lang-js prettyprint-override"&gt;&lt;code&gt;({
 doInit : function(component, event, helper) {
  component.set('v.columns', [
            {label: 'Id', fieldName: 'Id', type: 'text'},
         {label: 'LastName', fieldName: 'LastName', type: 'text'}
        ]);
        helper.loadContacts(component, event, helper);
 },
    loadMoreData: function(component, event, helper) {
        console.log('loadMoreData called');
    }
})&lt;/code&gt;&lt;/pre&gt;
&lt;/div&gt;
&lt;/div&gt;
&lt;/p&gt;
&lt;p&gt;&lt;strong&gt;testDataTableHelper.js&lt;/strong&gt;&lt;/p&gt;
&lt;p&gt;&lt;div class="snippet" data-lang="js" data-hide="false" data-console="true" data-babel="false"&gt;
&lt;div class="snippet-code"&gt;
&lt;pre class="snippet-code-js lang-js prettyprint-override"&gt;&lt;code&gt;({
  loadContacts : function(component, event, helper) {
    var action = component.get("c.getContacts");
    action.setStorable();
    action.setCallback(this,function(response) {
        var state = response.getState();
        if (state === "SUCCESS") {
            var records = response.getReturnValue();
            component.set("v.data", records);
            component.set("v.enableInfiniteLoading", true);
        } else {
            console.log('ERROR');
        }
    });
    $A.enqueueAction(action);
  }
})&lt;/code&gt;&lt;/pre&gt;
&lt;/div&gt;
&lt;/div&gt;
&lt;/p&gt;
&lt;p&gt;&lt;strong&gt;ContactController.class&lt;/strong&gt;&lt;/p&gt;
&lt;p&gt;&lt;div class="snippet" data-lang="js" data-hide="false" data-console="true" data-babel="false"&gt;
&lt;div class="snippet-code"&gt;
&lt;pre class="snippet-code-js lang-js prettyprint-override"&gt;&lt;code&gt;public class ContactController {
  @AuraEnabled
  public static List&amp;lt;Contact&amp;gt; getContacts() {
      return[Select Id, LastName From Contact Limit 10];
  }
}&lt;/code&gt;&lt;/pre&gt;
&lt;/div&gt;
&lt;/div&gt;
&lt;/p&gt;
&lt;p&gt;Lightning component library: &lt;a href="https://developer.salesforce.com/docs/component-library/bundle/lightning:datatable/example#lightningcomponentdemo:exampleDatatableInfiniteLoading" rel="nofollow noreferrer"&gt;lightning:datatable infinite loading&lt;/a&gt;&lt;/p&gt;
</t>
  </si>
  <si>
    <t xml:space="preserve">&lt;p&gt;I have a table inside of appmaker that I've added checkboxes to like so:&lt;/p&gt;
&lt;p&gt;&lt;a href="https://i.stack.imgur.com/gO0sX.png" rel="nofollow noreferrer"&gt;&lt;img src="https://i.stack.imgur.com/gO0sX.png" alt="app screenshot showing checkbox in list"&gt;&lt;/a&gt;&lt;/p&gt;
&lt;p&gt;I'd like to get a list of the emails from entires that the user checks. At this point I'm not even able to access the status of a single checkbox. This is the current code snippet I tried adding to a button:&lt;/p&gt;
&lt;p&gt;&lt;code&gt;console.log(widget.parent.parent.parent.children.Panel1.children.Table3Panel.children.Table3.children.Table3Body.children.Table3Row.children.UserSelectionCheckbox.value);&lt;/code&gt;&lt;/p&gt;
&lt;p&gt;I get the error:&lt;/p&gt;
&lt;p&gt;&lt;code&gt;Cannot read property 'children' of undefined
at Home.Panel1.OuSelectPanel1.Button6.onClick:1:133&lt;/code&gt;&lt;/p&gt;
&lt;p&gt;I was able to use the autofill to write this entire statement, why can't it find the child object? Is there any way to reference this list directly without going down the tree from the widget or the app root? &lt;/p&gt;
</t>
  </si>
  <si>
    <t xml:space="preserve">&lt;p&gt;For this type of functionality the autofill (intellisense) will not work for you. You need to address the children differently when you try to get a collection of rows from a table. I would suggest code similar to this for your button onClick event:&lt;/p&gt;
&lt;pre&gt;&lt;code&gt;var rows = widget.root.descendants.Table3Body.children._values;
var emails = [];
for (var i in rows) {
  var value = rows[i].children.Checkbox1.value;  
  if (value) {
    emails.push(rows[i].datasource.item.Email);
  }
}
console.log(emails);
&lt;/code&gt;&lt;/pre&gt;
&lt;p&gt;Again the auto complete code feature simply won't work after you choose the _values, which will return all immediate children of your table body, which is what you want.&lt;/p&gt;
</t>
  </si>
  <si>
    <t xml:space="preserve">&lt;p&gt;I have 2 models: Applicants and Submissions. They have a 1&amp;lt;-&gt;many relationship. When I load a detail page for a single applicant, I have a table with some details of every Submission that they've submitted. I want to change the onClick event for each row so that it navigates to a page with details of that submission. The submission detail page has "Submissions" as its datasource.&lt;/p&gt;
&lt;p&gt;It seems that while the relation is correctly loaded on the Applicant detail page, the app.datasources.Submissions datasource is not loaded so that app.datasources.Submissions.selectKey doesn't work. &lt;/p&gt;
&lt;p&gt;I get confused about when this onClick trick works and when it doesn't. It definitely works if you make a page for, say, all Submissions and use a table to display some of their detail. If you set onClick to a row to navigate to a Submission detail page, the correct data is loaded into that other page. Note that for this simple example, you don't have to do a trick like app.datasources.Submissions.selectKey(widget.datasource.item._key), rather, it just works.&lt;/p&gt;
&lt;p&gt;This situation is different, however, in that the table is full of details from a relation. Again, the Applicant detail page does correctly load the details of the relation. What kind of works is to set the datasource of the Submission detail page to app.datasources.Applicants.item.Submissions. I say "kind of" because it only loads the first item and I don't know how to use the "selectKey" trick above for this workaround.&lt;/p&gt;
&lt;p&gt;What does work is this:
onDataLoad of table: make a query for the Submissions datasource to grab every item that's in the widget(the table) datasource&lt;/p&gt;
&lt;p&gt;onClick of row: app.datasources.Submissions.selectKey(widget.datasource.item._key)
app.showpage(app.pages.View_Submission);&lt;/p&gt;
&lt;p&gt;Submissions detail page: set datasource to just plain old "Submissions"&lt;/p&gt;
&lt;p&gt;This does actually work well, but I'm frustrated that it seems I'm loading the Submissions data twice: once when the relation is loaded and once when I do this trick.&lt;/p&gt;
</t>
  </si>
  <si>
    <t xml:space="preserve">&lt;p&gt;I'm making an app with an advanced search feature which can help users filter data from dropdowns and textboxes (Dropdown to choose column and clause, Textbox for entering search parameter) like this one:&lt;/p&gt;
&lt;p&gt;&lt;strong&gt;Advanced Search page sample:&lt;/strong&gt;
&lt;img src="https://i.stack.imgur.com/D47Zw.png" alt="Advanced Search page sample"&gt;&lt;/p&gt;
&lt;p&gt;I tried to bind the Column's name dropdown to &lt;code&gt;@datasource.query.parameters.Parameter&lt;/code&gt; and changed the Query part of the datasource like this:&lt;/p&gt;
&lt;p&gt;&lt;strong&gt;Datasource's Query Script and Parameters:&lt;/strong&gt;
&lt;img src="https://i.stack.imgur.com/CoWMa.png" alt="Datasource&amp;#39;s Query Script and Parameters"&gt;&lt;/p&gt;
&lt;p&gt;However, I keep getting errors like: &lt;/p&gt;
&lt;blockquote&gt;
  &lt;p&gt;Parameter 'Column' is used in 'where' clause but not defined in property 'parameters'&lt;/p&gt;
&lt;/blockquote&gt;
&lt;p&gt;Could you please tell me how can I resolve this problem? &lt;/p&gt;
</t>
  </si>
  <si>
    <t xml:space="preserve">&lt;p&gt;You literally have to construct your 'Where' clause in this case and then set the parameter of the where clause equal to your parameters. So lets say your first set of parameters is Column1: Name, Query1: contains, Parameter1: John, then your datasource needs to have the following parameters Column1, Query1, and Parameter1 and your bindings on your dropdown1, dropdown2, and textbox1 should be:&lt;/p&gt;
&lt;pre&gt;&lt;code&gt;@datasource.query.parameters.Column1
@datasource.query.parameters.Query1
@datasource.query.parameters.Parameter1
&lt;/code&gt;&lt;/pre&gt;
&lt;p&gt;respectively.&lt;/p&gt;
&lt;p&gt;Then your query script needs to be as follows:&lt;/p&gt;
&lt;pre&gt;&lt;code&gt;if (query.parameters.Field1 === null || query.parameters.Query1 === null) {
  throw new app.ManagedError('Cannot complete query without Parameters!');
}
switch (app.metadata.models.MaintenanceManagement.fields[query.parameters.Field1].type) {
  case 'Number':
    query.parameters.Parameter1 = Number(query.parameters.Parameter1);
    break;
  case 'Date':
    query.parameters.Parameter1 = new Date(query.parameters.Parameter1);
    break;
  case 'Boolean':
    if (query.parameters.Parameter1 === 'True' || query.parameters.Parameter1 === 'true') {
      query.parameters.Parameter1 = true;
    } else {
      query.parameters.Parameter1 = false;
    }
    break;
  default:
    query.parameters.Parameter1 = query.parameters.Parameter1;
}
query.where = query.parameters.Column1 + " " + query.parameters.Query1 + "? :Parameter1";
    return query.run();
&lt;/code&gt;&lt;/pre&gt;
&lt;p&gt;So your where statement essentially becomes a string that reads 'Name contains? :Parameter1'  (i.e. John) that then becomes your query. Hope this makes sense, feel free to ask follow up questions.&lt;/p&gt;
</t>
  </si>
  <si>
    <t xml:space="preserve">&lt;p&gt;I need o build a screen where I show the vehicles position according to the latitude and longitude from the DB.&lt;/p&gt;
&lt;p&gt;I have a div for the map:&lt;/p&gt;
&lt;pre&gt;&lt;code&gt;"&amp;lt;div id='map' style='width:100%; height:100%'&amp;gt;&amp;lt;/div&amp;gt;"
&lt;/code&gt;&lt;/pre&gt;
&lt;p&gt;And the javascript to populate the screen:&lt;/p&gt;
&lt;pre&gt;&lt;code&gt;"&amp;lt;script src='https://maps.googleapis.com/maps/api/js?key=" + Site.GoogleMapAPIKey + 
"&amp;amp;v=3.exp&amp;amp;libraries=geometry, places&amp;amp;language=en&amp;amp;region=UK'&amp;gt;&amp;lt;/script&amp;gt;
&amp;lt;script&amp;gt;
var markers = [];
var events = [];
var map, GPSPath, GPSPathBorder, line, border
function initMap() {
        map = new google.maps.Map(document.getElementById('map'), {
          mapTypeId: 'terrain'
        });
        var Polyline = [];
        if('" + PolylineJson + "')
        {
            Polyline = JSON.parse('" + PolylineJson + "');
        }   
        for (i = 0; i &amp;lt; Polyline.length; i++) 
        {
            var encoded_data = unescape(Polyline[i]);
            var decode = google.maps.geometry.encoding.decodePath(encoded_data);
            border = new google.maps.Polyline({
                                path: decode,
                                strokeColor: getRandomColor(),
                                strokeOpacity: 0.8,
                                strokeWeight: 7,
                                zIndex: 2
                            });
            border.setMap(map);
            line = new google.maps.Polyline({
                                path: decode,
                                strokeColor: getRandomColor(),
                                strokeOpacity: 0.8,
                                strokeWeight: 5,
                                zIndex: 3
                            });
            line.setMap(map);  
        }
        var GPSCoordinates = [" + GPSPolygons + "];
        GPSPathBorder = new google.maps.Polyline({
                                  path: GPSCoordinates,
                                  geodesic: true,
                                  strokeColor: '#BF360C',
                                  strokeOpacity: 0.8,
                                  strokeWeight: 7,
                                  zIndex: 2
        });
        GPSPathBorder.setMap(map);    
        GPSPath = new google.maps.Polyline({
                                  path: GPSCoordinates,
                                  geodesic: true,
                                  strokeColor: '#FF5722',
                                  strokeOpacity: 0.8,
                                  strokeWeight: 5,
                                  zIndex: 3
        });
        GPSPath.setMap(map);
        var Trucks = [" + LastMarker + "];
        for (i = 0; i &amp;lt; Trucks.length; i++) 
        {
            LastPosition = new google.maps.Marker({
                position: new google.maps.LatLng(Trucks[i][0],Trucks[i][1]),
                    icon: {
                            path: '" + Path + "',
                            rotation:Trucks[i][2], 
                            id:Trucks[i][3], 
                            fillColor: '#000000',
                            fillOpacity: 1,
                            scale: .025,
                            anchor: new google.maps.Point(200, 500)
                           },
                    map: map
            });
            LastPositioni = new google.maps.Marker({
                position: new google.maps.LatLng(Trucks[i][0],Trucks[i][1]),
                    icon: {
                            path: '" + PathInside + "',
                            rotation:Trucks[i][2], 
                            id:Trucks[i][3], 
                            fillColor: '" + Site.MainColor + "',
                            fillOpacity: 1,
                            scale: .025,
                            anchor: new google.maps.Point(200, 500)
                    },
                map: map
          });
        }
        var BreakStartCoor = [" + StartBreak + "];
        for (i = 0; i &amp;lt; BreakStartCoor.length; i++) {  
          marker = new google.maps.Marker({
            position: new google.maps.LatLng(BreakStartCoor[i][1], BreakStartCoor[i][2]),
            icon: {
                url : '/Routilogix/img/breakStart.png'
            },
            map: map
          });
        events.push(marker);
        }
        var BreakEndCoor = [" + EndBreak + "];
        for (i = 0; i &amp;lt; BreakEndCoor.length; i++) {  
          marker = new google.maps.Marker({
            position: new google.maps.LatLng(BreakEndCoor[i][1], BreakEndCoor[i][2]),
            icon: {
                url : '/Routilogix/img/breakEnd.png'
            },
            map: map
          });
        events.push(marker);
        }
        var BreakDownCoor = [" + BreakDown + "];
        for (i = 0; i &amp;lt; BreakDownCoor.length; i++) {  
          marker = new google.maps.Marker({
            position: new google.maps.LatLng(BreakDownCoor[i][1], BreakDownCoor[i][2]),
            icon: {
                url : '/Routilogix/img/breakdown.png'
            },
            map: map
          });
        events.push(marker);
        }
        var DelayCoor = [" + Delay + "];
        for (i = 0; i &amp;lt; DelayCoor.length; i++) {  
          marker = new google.maps.Marker({
            position: new google.maps.LatLng(DelayCoor[i][1], DelayCoor[i][2]),
            icon: {
                url : '/Routilogix/img/delay.png'
            },
            map: map
          });
        events.push(marker);
        }
        var TipCoor = [" + Tip + "];
        for (i = 0; i &amp;lt; TipCoor.length; i++) {  
          marker = new google.maps.Marker({
            position: new google.maps.LatLng(TipCoor[i][1], TipCoor[i][2]),
            icon: {
                url : '/Routilogix/img/tip.png'
            },
            map: map
          });
        events.push(marker);
        }
        var infowindow = new google.maps.InfoWindow();
        var marker, i;
        bounds  = new google.maps.LatLngBounds();
        var userCoor = [" + Markers + "];
        for (i = 0; i &amp;lt; userCoor.length; i++) {  
          marker = new google.maps.Marker({
            position: new google.maps.LatLng(userCoor[i][1], userCoor[i][2]),
            icon: {
                path: google.maps.SymbolPath.CIRCLE,
                fillOpacity: 1.0,
                fillColor: userCoor[i][5],
                scale: 5,
                strokeWeight: 2
            },
            map: map
          });
        markers.push(marker);
          markerLbl = new google.maps.Marker ({
            position: new google.maps.LatLng(userCoor[i][1], userCoor[i][2]),
            //label: userCoor[i][3],
            label: {
                    text: userCoor[i][3],
                    color: 'black',
                    fontSize: '10px'
                    },
            map: map
          });
        markers.push(markerLbl)
        loc = new google.maps.LatLng(userCoor[i][1], userCoor[i][2]); 
        bounds.extend(loc);
          google.maps.event.addListener(markerLbl, 'click', (function(markerLbl, i) {
            return function() {
              infowindow.setContent(userCoor[i][0] + '&amp;lt;br&amp;gt;' + '&amp;lt;strong&amp;gt;ETA: &amp;lt;/strong&amp;gt;' + userCoor[i][4]);
              infowindow.open(map, markerLbl);
            }
          })(markerLbl, i));
          google.maps.event.addListener(marker, 'click', (function(marker, i) {
            return function() {
              infowindow.setContent(userCoor[i][0] + '&amp;lt;br&amp;gt;' + '&amp;lt;strong&amp;gt;ETA: &amp;lt;/strong&amp;gt;' + userCoor[i][4]);
              infowindow.open(map, marker);
            }
          })(marker, i));
      }
    map.fitBounds(bounds);
    map.panToBounds(bounds);
}
function toggleMarkers() {
    if (markers[0].getMap() != null) {
        var arg = null;
    } else {
        var arg = map;
    }
    for (var i = 0; i &amp;lt; markers.length; i++) {
        markers[i].setMap(arg);
    }
}
function toggleGPSPath() {
    if (GPSPath.getMap() != null) {
        GPSPath.setMap(null);
        GPSPathBorder.setMap(null);
    } else {
        GPSPath.setMap(map);
        GPSPathBorder.setMap(map);
    }
}
function toggleLine() {
    if (line.getMap() != null) {
        line.setMap(null);
        border.setMap(null);
    } else {
        line.setMap(map);
        border.setMap(map);
    }
}
function toggleEvents() {
    if (events[0].getMap() != null) {
        var arg = null;
    } else {
        var arg = map;
    }
    for (var i = 0; i &amp;lt; events.length; i++) {
        events[i].setMap(arg);
    }
}
function newLocation(newLat,newLng)
{
    map.setCenter({
        lat : newLat,
        lng : newLng
    });
}
function updatePolyline(newLat,newLng, vehicleId)
{
    var pathBorder = GPSPathBorder.getPath();
    var path = GPSPath.getPath();
            pathBorder.push(new google.maps.LatLng(newLat, newLng, vehicleId));
            path.push(new google.maps.LatLng(newLat, newLng, vehicleId));
            GPSPathBorder.setPath(pathBorder);
            GPSPath.setPath(path);
}
function getRandomColor() {
  var letters = '0123456789ABCDEF';
  var color = '#';
  for (var i = 0; i &amp;lt; 6; i++) {
    color += letters[Math.floor(Math.random() * 16)];
  }
  return color;
}
function animatedMove(marker, t, current, latitude, longitude, rotation) {
  var lat = current.lat();
  var lng = current.lng();
  var deltalat = (latitude - current.lat()) / 100;
  var deltalng = (longitude - current.lng()) / 100;
//  var deltalat = (moveto.lat() - current.lat()) / 100;
//  var deltalng = (moveto.lng() - current.lng()) / 100;
  var delay = 10 * t;
  for (var i = 0; i &amp;lt; 100; i++) {
    (function(ind) {
      setTimeout(
        function() {
          var lat = marker.position.lat();
          var lng = marker.position.lng();
          lat += deltalat;
          lng += deltalng;
          latlng = new google.maps.LatLng(lat, lng);
          marker.setPosition(latlng);
          var icon = marker.getIcon();
          icon.rotation = rotation;
          marker.setIcon(icon);
        }, delay * ind
      );
    })(i)
  }
}
initMap()
&amp;lt;/script&amp;gt;"
&lt;/code&gt;&lt;/pre&gt;
&lt;p&gt;I use this function to update the screen from time to time:&lt;/p&gt;
&lt;pre&gt;&lt;code&gt;"&amp;lt;script&amp;gt;
setInterval(
    function () {
        document.getElementById('" + Live.Id + "').click();
    }, 5000);
&amp;lt;/script&amp;gt;"
&lt;/code&gt;&lt;/pre&gt;
&lt;p&gt;And in the end I call the below javascript function to update the position:&lt;/p&gt;
&lt;pre&gt;&lt;code&gt;"updatePolyline(" + Live_GPS.List.Current.GPSCoordinates.Latitude + "," + Live_GPS.List.Current.GPSCoordinates.Longitude + "," + Live_GPS.List.Current.VehicleId.Value + ")"
&lt;/code&gt;&lt;/pre&gt;
&lt;p&gt;My doubt is if I'm creating the objects using VehicleId and calling the update function with the VehicleId correctly, beucase it updates only the position of the last object added to the screen, I believe ignoring the Id.&lt;/p&gt;
&lt;p&gt;LastMarker: &lt;code&gt;"[" + GPSDesc.List[0].GPSCoordinates.Latitude + "," + GPSDesc.List[0].GPSCoordinates.Longitude + "," + GPSDesc.List[0].Heading.Value + ",""" + GetRoutes2.List.Current.RouteVehicle.VehicleId + """]"&lt;/code&gt;&lt;/p&gt;
&lt;p&gt;Obs. I'm using Outsystems.&lt;/p&gt;
</t>
  </si>
  <si>
    <t xml:space="preserve">&lt;p&gt;I'm trying to create an application in Powerapps, that will allow me to scan several barcodes, and then put the output from those scans into a table.&lt;/p&gt;
&lt;p&gt;I have 3 elements that I'm using for testing:&lt;/p&gt;
&lt;p&gt;1) The barcode scanner called MyScanner.&lt;/p&gt;
&lt;p&gt;2) A Label Text Field called Label1.&lt;/p&gt;
&lt;p&gt;3) An edit Form with a Data Card called Datacard1&lt;/p&gt;
&lt;p&gt;When I scan an item, The Text value in Label1 becomes Myscanner.Value&lt;/p&gt;
&lt;p&gt;What I want is for the datacard1 Input to be The text in Label1.&lt;/p&gt;
&lt;p&gt;What I've tried is setting the default field value for datacard1 as Label1.Text
but the card value never changes.&lt;/p&gt;
&lt;p&gt;Am i trying to update the wrong value for the datacard, or is my syntax wrong, &lt;/p&gt;
</t>
  </si>
  <si>
    <t xml:space="preserve">&lt;p&gt;I'm trying to pull purchase order information into Google Sheets from Zoho Books through a Google apps script. &lt;/p&gt;
&lt;p&gt;I'm new to apps script so I've been piecing together some code but its not returning anything, any ideas?&lt;/p&gt;
&lt;pre&gt;&lt;code&gt;function Zoho() {
var ss = SpreadsheetApp.getActiveSpreadsheet(); //get active spreadsheet (bound to this script)
var sheet = ss.getSheetByName('Sheet1'); //The name of the sheet tab where you are sending the info
  var zohoOauthToken = "mytoken";
  var zohoOrganization = "myorg";
 var zohoUrl = [ 
    "https://books.zoho.com/api/v3/salesorders?",
    "organization_id=", zohoOrganization,
    "&amp;amp;authtoken=", zohoOauthToken,
  ].join("");
   try{   
var response = UrlFetchApp.fetch(zohoUrl); // get api endpoint
var json = response.getContentText(); // get the response content as text
var Sheet1 = JSON.parse(json); //parse text into json
Logger.log(Sheet1); //log data to logger
var stats=[]; //create empty array to hold data points
sheet.appendRow(stats);
}
catch (error) {
    Logger.log(error.toString());
  }
}
&lt;/code&gt;&lt;/pre&gt;
</t>
  </si>
  <si>
    <t xml:space="preserve">&lt;p&gt;I've created a AppMaker App for our internal users to facilitate an approval process.
The Master approver has asked for the option to download a CSV file with a bunch of data without saving it to GDrive. (I also didn't want to go with this approach since that would require the Drive permission and the users freak out when they see that the app is requesting for the permission to access their files).&lt;/p&gt;
&lt;p&gt;So, the furthest I got was to use window.open() with the csv data which does download a csv file but without any extension. However, that's not elegant and it makes it more difficult for the person using it to have to rename it to download.csv or to open it from Excel instead of double-clicking it.&lt;/p&gt;
&lt;p&gt;I found online the option of using an anchor with href and the download attribute and happily implemented it only to get the nice error from AppMaker that &lt;strong&gt;Anchor href is not allowed to start with "data:"&lt;/strong&gt;.&lt;/p&gt;
&lt;p&gt;Any ideas? Solutions?&lt;/p&gt;
&lt;p&gt;Thanks!&lt;/p&gt;
</t>
  </si>
  <si>
    <t xml:space="preserve">&lt;p&gt;I implemented the following code for similar functionality, do note however that it only generates data of the items that are currently loaded in the datasource. If you have multiple pages of data then you would need to download each page individually. Note that the download is specifically named with YourFileName.csv.&lt;/p&gt;
&lt;pre&gt;&lt;code&gt;var ds = widget.datasource;
var items = ds.items;
var fields = ds.model.fields._values;
var serialized = '';
var headers = [];
var permit = widget.root.children.Panel1.datasource.item.WR_Number;
fields.forEach(function(fieldname) {
  var header = fieldname.displayName;
  headers.push(header);
});
serialized += headers.join(',') + '\r\n';
items.forEach(function(item) {
  var values = [];
  fields.forEach(function(field) {
    var value = item[field.name];
    var strVal = value === null ? '' : value.toString();
    values.push(strVal);
  });
  serialized += values.join(',') + '\r\n';
});
var file = new Blob([serialized], {type: 'text/csv'});
var link = document.createElement('a');
link.download = permit + '_WaterUseData.csv';
link.href = window.URL.createObjectURL(file);
link.style.display = 'none';
document.body.appendChild(link);
link.click();
document.body.removeChild(link);
&lt;/code&gt;&lt;/pre&gt;
</t>
  </si>
  <si>
    <t xml:space="preserve">&lt;p&gt;I have three different fields/textbox widgets, that rely on querying the same data source to be checked to avoid duplication. For reasons, I do not want to turn on the unique/required for those three fields. &lt;/p&gt;
&lt;p&gt;I put some code to check for validation. My problem is that when I call the form's validate function, it takes some time till the validation comes back with an error message. However the form's validate returns immediately and allows people to click Submit. &lt;/p&gt;
&lt;p&gt;How can I avoid this problem?&lt;/p&gt;
&lt;ol&gt;
&lt;li&gt;Block till validation kicks (setTimeout function?)&lt;/li&gt;
&lt;li&gt;Set a separate invisible field such as working and set the validationError on the field and clear after validations clear? This will probably be a numeric field so that I can wait for all streams in parallel to finish.&lt;/li&gt;
&lt;li&gt;Final question. is Validate a blocking function as it goes through the fields? I am guessing Yes.&lt;/li&gt;
&lt;/ol&gt;
</t>
  </si>
  <si>
    <t xml:space="preserve">&lt;p&gt;I am stuck as a developer trying to explore Salesforce for integrating with my CRM which is used by our clients as SaaS. &lt;/p&gt;
&lt;p&gt;&lt;strong&gt;Background of what i want to achieve in the integration&lt;/strong&gt;&lt;/p&gt;
&lt;p&gt;The idea is that my CRM software allows many features that Salesforce does not and vice-versa. Due to this a typical client who is using my CRM (Saas) ends up using both the softwares. This ends into duplication of efforts where for eg: a customer created in my CRM has to be copied over to Salesforce manually from Salesforce UI. &lt;/p&gt;
&lt;p&gt;The integration that i wish to provide will work like a 2 way integration where a customer created from my CRM gets created as Accounts in Salesforce and vice-versa. Same way sync of edits and deletes across the 2 system should work. &lt;/p&gt;
&lt;p&gt;&lt;strong&gt;Problem that i am having&lt;/strong&gt;&lt;/p&gt;
&lt;p&gt;When i started exploring Salesforce integration, i found that Salesforce allows integration to be done in below ways&lt;/p&gt;
&lt;ul&gt;
&lt;li&gt;&lt;p&gt;&lt;strong&gt;Apex trigger based system&lt;/strong&gt; - I was able to achieve 2 way syncing with Salesforce and my CRM using Apex approach. But the problem is it requires me to access their web api's to send data from my CRM to Salesforce. This feature is only supported in higher pricing plans of Salesforce (Enterprise, Unlimited, Professional - you have to pay extra if you are using professional)&lt;/p&gt;&lt;/li&gt;
&lt;li&gt;&lt;p&gt;&lt;strong&gt;App based approach (eg: Slack)&lt;/strong&gt;: I am looking more towards this approach. As Slack integration works for almost all pricing plans and is supported well. What i could not conclude clearly is - how can i create an App for my CRM and get it listed on Salesforce? How does Salesforce allow an App based access from Slack to submit data into Salesforce system for lower pricing plans. Their documentation says that Api access is only available for higher pricing plans. Then how is this achieved? For eg: you can install Salesforce app into Slack and there after you can send messages to chatter service under individual accounts of Salesforce from Slack. &lt;/p&gt;&lt;/li&gt;
&lt;/ul&gt;
&lt;p&gt;I am really not sure if i have given enough insight into the problem i am having. But i tried explaining as much as possible. In short i want to integrate 2 way with Salesforce and i am looking for possible solution that is supported at lower pricing plans as well. What type of integration should i go forward with?&lt;/p&gt;
</t>
  </si>
  <si>
    <t xml:space="preserve">&lt;p&gt;I have a PowerApps gallery that lists data from 3 different tables and have it normally sorted by the following:&lt;/p&gt;
&lt;pre&gt;&lt;code&gt;SortByColumns(Filter(Personnel, !Dismissed, txtMSSearchBox.Text in MemberName), "MemberName", If(SortDescending1, SortOrder.Descending, SortOrder.Ascending))
&lt;/code&gt;&lt;/pre&gt;
&lt;p&gt;One of the fields is displayed from the below:&lt;/p&gt;
&lt;pre&gt;&lt;code&gt;Last(SortByColumns(Filter(PersonnelEvents, MemberNumber.Id = ThisItem.ID, EventType.Value="Promotion"), "Date", SortOrder.Ascending)).Title
&lt;/code&gt;&lt;/pre&gt;
&lt;p&gt;What I would like to do is sort the gallery by this derived data.  Is this even possible?&lt;/p&gt;
</t>
  </si>
  <si>
    <t xml:space="preserve">&lt;p&gt;I have  code as below&lt;/p&gt;
&lt;pre&gt;&lt;code&gt;var ds = widget.datasource;
ds.item.InvoiceID_fk = 10;
ds.saveChanges();
&lt;/code&gt;&lt;/pre&gt;
&lt;p&gt;InvoiceID_fk is a foreign key field.&lt;/p&gt;
&lt;p&gt;It says "Foreign key usage is deprecated. Please Relation API instead."
How do we use Relation API for above code?&lt;/p&gt;
&lt;p&gt;Thank you&lt;/p&gt;
</t>
  </si>
  <si>
    <t xml:space="preserve">&lt;p&gt;I have a use-case where I need to programmatically add/remove the onClick event associated with a panel. &lt;/p&gt;
&lt;p&gt;I have tried the following solution but receive a &lt;code&gt;cijCell.addEventListener is not a function&lt;/code&gt; error. &lt;/p&gt;
&lt;pre&gt;&lt;code&gt;function cij_enabled(){
  var cijCell = app.pages.Home.descendants.cellFour;
  var index = cijCell.styles.indexOf('disabled-card');
  if (Report.riskOfLoss === 'High') {
    cijCell.styles.splice(index, 1);
    cijCell.addEventListener("click", function() {
      app.popups.Customer.visible = true;      
    });
  } else {
    if (index === -1){
      cijCell.styles.push('disabled-card'); 
      cijCell.removeEventListener("click", function() {
      app.popups.Customer.visible = true;      
    });
    }
  }
}
&lt;/code&gt;&lt;/pre&gt;
&lt;p&gt;How can I achieve the desired outcome? Is adding eventlisteners possible in this fashion through app maker? &lt;/p&gt;
</t>
  </si>
  <si>
    <t xml:space="preserve">&lt;p&gt;You can definitely do so and you got it almost right. The only thing you need to understand is that the appmaker widget is not a native html element hence the error:&lt;/p&gt;
&lt;blockquote&gt;
  &lt;p&gt;cijCell.addEventListener is not a function&lt;/p&gt;
&lt;/blockquote&gt;
&lt;p&gt;Fortunately, AppMaker has a way of getting the native html elements associated to a widget. You need to use the &lt;code&gt;getElement()&lt;/code&gt; method and then you can use the add/remove event listeners methods. So you should change your code from &lt;code&gt;cijCell.addEventListener...&lt;/code&gt; to &lt;code&gt;cijCell.getElement().addEventListener...&lt;/code&gt;&lt;/p&gt;
&lt;p&gt;Reference: &lt;a href="https://developers.google.com/appmaker/scripting/api/widgets#Panel" rel="nofollow noreferrer"&gt;https://developers.google.com/appmaker/scripting/api/widgets#Panel&lt;/a&gt;&lt;/p&gt;
</t>
  </si>
  <si>
    <t xml:space="preserve">&lt;p&gt;Can we use CkEditor in the lightning component, If yes can anyone tell me reference or code&lt;/p&gt;
&lt;p&gt;Reason: I need to use  CKEditor because I want functionality to use 1. Emoji 2.Image or File uploading.&lt;/p&gt;
</t>
  </si>
  <si>
    <t xml:space="preserve">&lt;p&gt;&lt;strong&gt;Context:&lt;/strong&gt; 
We would like to delete multiple records in the Case and its related/child objects. The child objects have few related objects. There are 4 to 5 levels of hierarchy as follows&lt;/p&gt;
&lt;ul&gt;
&lt;li&gt;Case&lt;/li&gt;
&lt;li&gt;--Task&lt;/li&gt;
&lt;li&gt;-----Child1&lt;/li&gt;
&lt;li&gt;--------Child2&lt;/li&gt;
&lt;li&gt;&lt;p&gt;-----------Child3&lt;/p&gt;
&lt;p&gt; 
The related objects are having master-child relationship with cascade delete set to false.&lt;/p&gt;&lt;/li&gt;
&lt;/ul&gt;
&lt;p&gt;Currently the way we are deleting cases in a batch is as follows&lt;/p&gt;
&lt;ol&gt;
&lt;li&gt;Collect all cases in the batch&lt;/li&gt;
&lt;li&gt;Collect all the tasks for all cases in the batch&lt;/li&gt;
&lt;li&gt;Collect all the Child1 records for all Cases in the batch&lt;/li&gt;
&lt;li&gt;Collect all the Child2 records for all Cases in the batch&lt;/li&gt;
&lt;li&gt;Collect all the Child3 records for all Cases in the batch&lt;/li&gt;
&lt;/ol&gt;
&lt;p&gt;Then delete each set of records in batch using bulk delete. The advantage is we will have only 5 deletes per batch and we don't hit governor limits.&lt;/p&gt;
&lt;p&gt;However the down side of this process is, when there is error in deleting in any of the steps above, whole transaction is rolled back.  Though we can get which delete caused he error, we cannot role back objects related to only that particular case.&lt;/p&gt;
&lt;p&gt;&lt;strong&gt;Question:&lt;/strong&gt;&lt;/p&gt;
&lt;ol&gt;
&lt;li&gt;Is there are any better way to handle deleting of records and child
records.  &lt;/li&gt;
&lt;li&gt;Is there a way to rollback only the cases and the child
records which had error&lt;/li&gt;
&lt;/ol&gt;
</t>
  </si>
  <si>
    <t xml:space="preserve">&lt;p&gt;Use bottoms up approach along with batch.&lt;/p&gt;
&lt;p&gt;For example start with Child3. collect all the records that needs to be purged in each related object and case object. Then delete in batch. &lt;/p&gt;
&lt;ul&gt;
&lt;li&gt;Child3&lt;/li&gt;
&lt;li&gt;--Child2&lt;/li&gt;
&lt;li&gt;-----Child1&lt;/li&gt;
&lt;li&gt;--------Task&lt;/li&gt;
&lt;li&gt;-----------Case&lt;/li&gt;
&lt;/ul&gt;
&lt;p&gt;There are 2 ways:&lt;/p&gt;
&lt;ol&gt;
&lt;li&gt;&lt;p&gt;&lt;strong&gt;Declarative method:&lt;/strong&gt;
Use the Process Event and Process Builder/flow field count in each object is less than 350. The advantage of this method is you don't have to write code.&lt;/p&gt;&lt;/li&gt;
&lt;li&gt;&lt;p&gt;&lt;strong&gt;Using Apex class:&lt;/strong&gt;
Write apex code to get all the related objects that needs to be purged/deleted and execute in batch. &lt;/p&gt;
&lt;p&gt;a) Set the batch size of 1 so that any error while deleting, only the related records will be rolled back. &lt;/p&gt;
&lt;p&gt;b) If batch size is set to higher than 1, whole batch will be rolled back. In this case   you need to identify the parent (Case object) id and mark them for error and re-read all the other records which were rolled back as part of the batch and run again. In this method, identifying the failed record (if the records failed in child3) and its root parent (case) id could be challenging.&lt;/p&gt;&lt;/li&gt;
&lt;/ol&gt;
</t>
  </si>
  <si>
    <t xml:space="preserve">&lt;p&gt;I am trying to add global action type of lightning component in line type [tile menu] in lightning community, but it is not visible. I found that only global action is visible whose record type is accessible to user. But in my case, it is not object specific action. is some other configuration needed to achieve this?&lt;/p&gt;
&lt;p&gt;&lt;a href="https://i.stack.imgur.com/qVpot.png" rel="nofollow noreferrer"&gt;&lt;img src="https://i.stack.imgur.com/qVpot.png" alt="enter image description here"&gt;&lt;/a&gt;&lt;/p&gt;
</t>
  </si>
  <si>
    <t xml:space="preserve">&lt;p&gt;Having an issue getting the Record Ids of the selected record in Lightning Datatable. &lt;/p&gt;
&lt;p&gt;Here is my controller&lt;/p&gt;
&lt;p&gt;&lt;/p&gt;
&lt;pre&gt;&lt;code&gt;&amp;lt;!-- attributes --&amp;gt;
&amp;lt;aura:attribute name="dataArr" type="String[]"/&amp;gt;
&amp;lt;aura:attribute name="data" type="Object"/&amp;gt;
&amp;lt;aura:attribute name="columnsStr" type="String"/&amp;gt;
&amp;lt;aura:attribute name="columns" type="List"/&amp;gt;
&amp;lt;aura:attribute name="maxRowSelection" type="Integer" default="1"/&amp;gt;
&amp;lt;aura:attribute name="numOfRowsSelected" type="Integer" default="0"/&amp;gt;
&amp;lt;aura:attribute name="key" type="String" default="Id"/&amp;gt;
&amp;lt;aura:attribute name="recordId" type="String" /&amp;gt;
&amp;lt;aura:attribute name="recordIds" type="String" /&amp;gt;
&amp;lt;!-- handlers--&amp;gt;
&amp;lt;aura:handler name="init" value="{!this }" action="{! c.doInit }"/&amp;gt;
&amp;lt;div style="height: 300px"&amp;gt;
    &amp;lt;lightning:datatable keyField="{!v.key}"
            data="{! v.data }"
            columns="{! v.columns }"
            maxRowSelection="{! v.maxRowSelection }"
            onrowselection="{! c.setRecordId }"
             /&amp;gt;
&amp;lt;/div&amp;gt;
&lt;/code&gt;&lt;/pre&gt;
&lt;p&gt;&lt;/p&gt;
&lt;p&gt;and here is my setRecordId function&lt;/p&gt;
&lt;pre&gt;&lt;code&gt;setRecordId : function(component, event, helper){
    var selectedRows = event.getParam('selectedRows');
    var key = component.get('v.key');
    var recIds = '';
    console.log(selectedRows);
    if(selectedRows){
        if(selectedRows.length === 1){
            console.log(selectedRows.id)
            console.log(selectedRows[key])
            console.log(selectedRows[0][key])
            component.set('v.recordId', selectedRows[0][key]);
        }
        else{
            for(let i = 0; i &amp;lt; selectedRows.length; i++){
                recIds += selectedRows[i][key] + ',';
            }
            component.set('v.recordIds', recIds);
            component.set('v.numOfRowsSelected', selectedRows.length);
        }
    }
},
&lt;/code&gt;&lt;/pre&gt;
&lt;p&gt;Var selectedRows returns the correct selected row as an object within an array but i can't seem to find the correct syntax to access that records ID for some reason. Let me know if any additional information is needed here.
appreciate the help&lt;/p&gt;
</t>
  </si>
  <si>
    <t xml:space="preserve">&lt;p&gt;I have a problem on my app developed in Google AppMaker&lt;/p&gt;
&lt;p&gt;I have big numbers like 109863453 showing in a table.&lt;/p&gt;
&lt;p&gt;I want to format this to show as 1.098.634,53 but in appmaker this format is not possible.&lt;/p&gt;
&lt;p&gt;Does anyone have a solution for this?&lt;/p&gt;
&lt;p&gt;Regards&lt;/p&gt;
</t>
  </si>
  <si>
    <t xml:space="preserve">&lt;p&gt;As far as I know 1.098.634,53 is a number representation for German locale (possible in many others as well).
 If you choose it in App Settings you can use it in a binding like this:&lt;/p&gt;
&lt;pre&gt;&lt;code&gt;@properties.&amp;lt;yourBigNumber&amp;gt;#formatNumber('#,###.00')
&lt;/code&gt;&lt;/pre&gt;
&lt;p&gt;Note that there will be an effect on other widgets as well, say your google map widget will be in German locale too.&lt;/p&gt;
</t>
  </si>
  <si>
    <t xml:space="preserve">&lt;p&gt;Below code throws an error while executing &lt;strong&gt;toastEvent.setParams&lt;/strong&gt; statement. Not sure what I have missed or is it deprecated in spring'19 ?&lt;/p&gt;
&lt;pre&gt;&lt;code&gt;loadContacts : function(cmp) {
    var action = cmp.get("c.getContacts");
    action.setCallback(this, function(response){
        var state = response.getState();
        if (state === 'SUCCESS') {
            cmp.set('v.contacts', response.getReturnValue());
            cmp.set('v.contactList', response.getReturnValue());
            this.updateTotal(cmp);
        }
        console.log('Here');
        var toastEvent = $A.get("e.force:showToast");
        if (state === 'SUCCESS') {
            toastEvent.setParams({
                "title" : 'Success!',
                "message" : 'Your contacts have been loaded successfully.'
            });
        }
        else {
            toastEvent.setParams({
                "title" : "Error!",
                "message" : "Something has gone wrong."
            });
        }
        toastEvent.fire();
    });
    $A.enqueueAction(action);
},
&lt;/code&gt;&lt;/pre&gt;
&lt;p&gt;Here is the screenshot of the error:
&lt;a href="https://i.stack.imgur.com/F18MV.png" rel="nofollow noreferrer"&gt;&lt;img src="https://i.stack.imgur.com/F18MV.png" alt="enter image description here"&gt;&lt;/a&gt;&lt;/p&gt;
</t>
  </si>
  <si>
    <t xml:space="preserve">&lt;p&gt;I've been trying to use the advanced Drive service in Google App Maker.  Specifically using the 'q' parameter within the option arguments to the Drive.Teamdrives.list() method.&lt;/p&gt;
&lt;p&gt;After many many hours of trying to formulate a query that enabled me to filter on the name, I discovered that I have to set useDomainAdminAccess=true for the query to work.  Without that switch I get an error from the query.&lt;/p&gt;
&lt;p&gt;My App Maker application is going to run as User instead of Developer and the intended application will query what Teamdrives the user has access to that have a pling(!) in the name.&lt;/p&gt;
&lt;p&gt;Can domain users use the useDomainAdminAccess switch or is that only domain admins?  Does useDomainAdminAccess give access to all teamdrives in the domain or only teamdrives that the user has access to?&lt;/p&gt;
&lt;p&gt;Why is this switch necessary for the q parameter to work?&lt;/p&gt;
&lt;p&gt;Should I abandon this way of doing things and research another?&lt;/p&gt;
&lt;pre&gt;&lt;code&gt;function myFunction() {
list = Drive.Teamdrives.list({q:"name contains '!'",
                            maxResults:4,
                            useDomainAdminAccess:true});
Logger.log(list);
}
&lt;/code&gt;&lt;/pre&gt;
</t>
  </si>
  <si>
    <t xml:space="preserve">&lt;p&gt;I should have just used the javascript filter() function to filter my array after the team drives have been scanned.&lt;/p&gt;
&lt;pre&gt;&lt;code&gt;  list = Drive.Teamdrives.list({maxResults:100}).items;
  filtered = list.filter(function(obj){
    return obj.name.indexOf('Key') === 0;}
                       );
&lt;/code&gt;&lt;/pre&gt;
&lt;p&gt;The code reads only the teamdrives that the user has access to and therefore does not need the useDomainAdminAccess flag.&lt;/p&gt;
&lt;p&gt;The array filter returns a new array of only those teamdrives that begin with the word 'Key'.&lt;/p&gt;
&lt;p&gt;Answered myself!&lt;/p&gt;
</t>
  </si>
  <si>
    <t xml:space="preserve">&lt;p&gt;I'm trying to setup a data connection from PowerApps to an on-premise SQL Server instance we have. However, I get the following error:&lt;/p&gt;
&lt;blockquote&gt;
  &lt;p&gt;Microsoft SQL: A network-related or instance-specific error occurred
  while establishing a connection to SQL Server. The server was not
  found or was not accessible. Verify that the instance name is correct
  and that SQL Server is configured to allow remote connections.
  (provider: Named Pipes Provider, error: 40 - Could not open a
  connection to SQL Server)&lt;/p&gt;
&lt;/blockquote&gt;
&lt;p&gt;I'm following &lt;a href="https://docs.microsoft.com/en-us/power-bi/service-gateway-onprem#ports" rel="nofollow noreferrer"&gt;this&lt;/a&gt; support article from Microsoft to get it set up.&lt;/p&gt;
&lt;p&gt;Everything I've done so far:&lt;/p&gt;
&lt;ul&gt;
&lt;li&gt;The SQL Server Express instance is setup on a normal Windows 10 Pro machine we have within our domain.&lt;/li&gt;
&lt;li&gt;I've created a service account on the domain to access SQL Server, and added the db_owner role for it on the database we're trying to access. &lt;/li&gt;
&lt;li&gt;I've configured SQL Server to allow external connections with a non-standard port (49172), and tested this using another machine within the domain to connect using the service account, which works great.&lt;/li&gt;
&lt;li&gt;I installed the On-Premise Data Gateway from Microsoft and configured it using my work Microsoft account. That works fine as well, and I can see the gateway in PowerApps listed as Live. HTTPS is enabled (recommended on &lt;a href="https://stackoverflow.com/questions/51885130/connecting-sql-server-on-prem-to-powerapps"&gt;this question&lt;/a&gt;)&lt;/li&gt;
&lt;li&gt;I've added explicit rules allowing all the ports and whitelisted all the IPs suggested by MS in the support article I followed (link above).&lt;/li&gt;
&lt;/ul&gt;
&lt;p&gt;The weird thing is if I change the username/password to something incorrect, it gives me an "invalid credentials" error, so I know it can at least hit the domain/SQL Server to authenticate. Is there a setting I'm missing somewhere in SQL Server?&lt;/p&gt;
</t>
  </si>
  <si>
    <t xml:space="preserve">&lt;p&gt;So, I'm an idiot and had the SQL Server name wrong. In the tutorial I watched the instructor just listed the computer name (which is what I was doing), but I needed to add a backslash and SQLEXPRESS as well.&lt;/p&gt;
&lt;ul&gt;
&lt;li&gt;Old name: DEVPC&lt;/li&gt;
&lt;li&gt;New, correct name: DEVPC\SQLEXPRESS&lt;/li&gt;
&lt;/ul&gt;
&lt;p&gt;Worked like a charm after that.&lt;/p&gt;
</t>
  </si>
  <si>
    <t xml:space="preserve">&lt;p&gt;I'm making a Full-Text Search box to find any records that have the data entered in that box. I tried binding the value of the Search box to &lt;code&gt;@datasource.query.parameters.SearchText&lt;/code&gt;, then assigned &lt;/p&gt;
&lt;p&gt;&lt;div class="snippet" data-lang="js" data-hide="false" data-console="true" data-babel="false"&gt;
&lt;div class="snippet-code"&gt;
&lt;pre class="snippet-code-html lang-html prettyprint-override"&gt;&lt;code&gt;query.keywords = query.parameters.SearchText;
return query.run();&lt;/code&gt;&lt;/pre&gt;
&lt;/div&gt;
&lt;/div&gt;
&lt;/p&gt;
&lt;p&gt;I made a button Search to reload the datasource with search value from the Search box but it continues to show all records, not the records that have the value I want:&lt;/p&gt;
&lt;p&gt;&lt;a href="https://i.stack.imgur.com/eYZBa.png" rel="nofollow noreferrer"&gt;Actual Search Result&lt;/a&gt;&lt;/p&gt;
&lt;p&gt;Am I missing something? What is the right way to implement this function?&lt;/p&gt;
</t>
  </si>
  <si>
    <t xml:space="preserve">&lt;p&gt;I am consuming REST services through API in &lt;code&gt;Mendix&lt;/code&gt; application. But the JSON response received is not in the format I need in &lt;code&gt;Mendix&lt;/code&gt; domain model (&lt;em&gt;for the UI&lt;/em&gt;).&lt;/p&gt;
&lt;p&gt;How can I achieve this conversion?&lt;/p&gt;
&lt;p&gt;Currently I am using import mapping generated automatically using JSON structure to hold the response. And I want to convert this mapping to required structure of domain model.&lt;/p&gt;
&lt;p&gt;Any other solution to capture response and process it to required domain model will also be appreciable.&lt;/p&gt;
</t>
  </si>
  <si>
    <t xml:space="preserve">&lt;p&gt;I am able to show the data source data in google app maker table widget, but I don not know how to show &lt;strong&gt;static values (array of object) to table widgets&lt;/strong&gt; programmatically.
I am new to app maker,I don not know is it possible to add values to table widget programmatically or not.
If any one knows please help me...&lt;/p&gt;
&lt;p&gt;Thank you in advance :)&lt;/p&gt;
</t>
  </si>
  <si>
    <t xml:space="preserve">&lt;p&gt;We are using Zohocrm api v2 for getting currently logged in user. It works fine for most of the logins.&lt;/p&gt;
&lt;p&gt;But we are getting 403 for one of the user account.&lt;/p&gt;
&lt;pre&gt;&lt;code&gt;URL         https://www.zohoapis.com/crm/v2/users?type=CurrentUser
HEADERS     {Authorization=Zoho-oauthtoken 1000.786ecda99xxxx}
&lt;/code&gt;&lt;/pre&gt;
&lt;p&gt;Response                  &lt;/p&gt;
&lt;blockquote&gt;
  &lt;p&gt;{"code":"NO_PERMISSION","details":{"permissions":["Crm_Implied_Api_Access"]},"message":"permission
  denied","status":"error"}&lt;/p&gt;
  &lt;p&gt;Response Code 403&lt;/p&gt;
&lt;/blockquote&gt;
&lt;p&gt;Note: From the same zoho team other 2 users were able to login.&lt;/p&gt;
&lt;p&gt;Please suggest.&lt;/p&gt;
</t>
  </si>
  <si>
    <t xml:space="preserve">&lt;p&gt;There is a PowerApp that collects some data from developers. The most natural place for them to access it would be from Azure Devops, where they spend most of their day so ideally the app shows up right there.&lt;/p&gt;
&lt;p&gt;How can I embed the PowerApp in a dashboard on Azure Devops dashboard?&lt;/p&gt;
&lt;p&gt;The app is a standard PowerApp with a list and an edit form which connect to a SQL Database on Azure.&lt;/p&gt;
</t>
  </si>
  <si>
    <t xml:space="preserve">&lt;p&gt;I never tried this, but an idea.&lt;/p&gt;
&lt;p&gt;Azure DevOps Dashboard allows to Embed web page which is like an iframe with url. &lt;a href="https://docs.microsoft.com/en-us/azure/devops/report/dashboards/widget-catalog?view=azure-devops#embedded-web-page" rel="nofollow noreferrer"&gt;Read more&lt;/a&gt;&lt;/p&gt;
&lt;blockquote&gt;
  &lt;p&gt;Adds a configurable tile to display the contents of a web page. Only webpages that allow iframe embedding are supported.&lt;/p&gt;
&lt;/blockquote&gt;
&lt;p&gt;Use the above webpage tile to embed the canvas app using its url. Canvas PowerApp will have an accessible url just like shown below: &lt;/p&gt;
&lt;pre&gt;&lt;code&gt;https://web.powerapps.com/apps/299d486c5-487hg-47hg-9999-474mdmdn84u
&lt;/code&gt;&lt;/pre&gt;
&lt;p&gt;&lt;a href="https://sachinbansal.blog/2018/06/17/powerapps-canvas-app-how-to-pass-parameter-in-app-url-display-data-based-on-parameter-passed/" rel="nofollow noreferrer"&gt;Reference&lt;/a&gt;&lt;/p&gt;
</t>
  </si>
  <si>
    <t xml:space="preserve">&lt;p&gt;In development environment I tested Flask mailer successfully connecting to personal Gmail account. I switched to Zoho with the same structure of config but it produces following error:&lt;/p&gt;
&lt;pre&gt;&lt;code&gt;&amp;gt;&amp;gt;&amp;gt; send_password_reset_email(user)
&amp;gt;&amp;gt;&amp;gt; Exception in thread Thread-1:
Traceback (most recent call last):
  File "/usr/lib/python2.7/threading.py", line 801, in __bootstrap_inner
    self.run()
  File "/usr/lib/python2.7/threading.py", line 754, in run
    self.__target(*self.__args, **self.__kwargs)
  File "app/email.py", line 8, in send_async_email
    mail.send(msg)
  File "/home/user/.local/lib/python2.7/site-packages/flask_mail.py", line 492, in send
    message.send(connection)
  File "/home/user/.local/lib/python2.7/site-packages/flask_mail.py", line 152, in __exit__
    self.host.quit()
  File "/usr/lib/python2.7/smtplib.py", line 772, in quit
    res = self.docmd("quit")
  File "/usr/lib/python2.7/smtplib.py", line 393, in docmd
    self.putcmd(cmd, args)
  File "/usr/lib/python2.7/smtplib.py", line 341, in putcmd
    self.send(str)
  File "/usr/lib/python2.7/smtplib.py", line 333, in send
    raise SMTPServerDisconnected('please run connect() first')
SMTPServerDisconnected: please run connect() first
&lt;/code&gt;&lt;/pre&gt;
&lt;p&gt;&lt;em&gt;config.py&lt;/em&gt;&lt;/p&gt;
&lt;pre&gt;&lt;code&gt;class Config(object):
    MAIL_SERVER = 'smtp.zoho.com'
    MAIL_PORT = '587'
    MAIL_USE_TLS = '1'
    MAIL_DEFAULT_SENDER = 'admin@mydomain.com'
    MAIL_USERNAME = 'admin@mydomain.com'
    MAIL_PASSWORD = 'mypassword'
    ADMINS = 'admin@mydomain.com'
&lt;/code&gt;&lt;/pre&gt;
&lt;p&gt;&lt;em&gt;routes.py&lt;/em&gt;&lt;/p&gt;
&lt;pre&gt;&lt;code&gt;@app.route('/recover', methods=['GET', 'POST'])
def reset_password_request():
    if current_user.is_authenticated:
        return redirect(url_for('manage'))
    form = ResetPasswordRequestForm()
    if form.validate_on_submit():
        user = User.query.filter_by(email=form.email.data).first()
        if user:
            send_password_reset_email(user)
        flash('Check your email for the instructions to reset your password')
        return redirect(url_for('login'))
    return render_template('recover.html', form=form)
&lt;/code&gt;&lt;/pre&gt;
&lt;p&gt;&lt;em&gt;email.py&lt;/em&gt;&lt;/p&gt;
&lt;pre&gt;&lt;code&gt;def send_async_email(app, msg):
    with app.app_context():
        mail.send(msg)
def send_email(subject, sender, recipients, text_body, html_body):
    msg = Message(subject, sender=sender, recipients=recipients)
    msg.body = text_body
    msg.html = html_body
    Thread(target=send_async_email, args=(app, msg)).start()
   def send_password_reset_email(user):
        with app.app_context(), app.test_request_context(base_url='https://example.com'):
            token = user.get_reset_password_token()
            send_email('[MyDomain] Reset Your Password',
                   sender=app.config['ADMINS'][0],
                   recipients=[user.email],
                   text_body=render_template('email/reset_password.txt', user=user, token=token),
                   html_body=render_template('email/reset_password.html', user=user, token=token))
&lt;/code&gt;&lt;/pre&gt;
&lt;p&gt;Zoho account seems to be configured well (no blacklisted IP's etc.). After my first attempt with this config I received an e-mail from Zoho support alerting me that a &lt;strong&gt;new login&lt;/strong&gt; was made from a new IP address. However, the reset password email has never been sent. &lt;/p&gt;
&lt;p&gt;I tried lots of tweking of config file but the issue might be somewhere else. Any help would be very appreciated. &lt;/p&gt;
&lt;p&gt;&lt;strong&gt;UPDATE:&lt;/strong&gt;&lt;/p&gt;
&lt;p&gt;After wraping the quit function in try-except block, I finally came to a real error that causes the e-mail not to be sent. The complete traceback now looks like:&lt;/p&gt;
&lt;pre&gt;&lt;code&gt;  File "/usr/lib/python2.7/threading.py", line 801, in __bootstrap_inner
    self.run()
  File "/usr/lib/python2.7/threading.py", line 754, in run
    self.__target(*self.__args, **self.__kwargs)
  File "app/custom_mailer.py", line 11, in send_async_email
    mail.send(msg)
  File "/home/user/.local/lib/python2.7/site-packages/flask_mail.py", line 495, in send
    message.send(connection)
  File "/home/user/.local/lib/python2.7/site-packages/flask_mail.py", line 430, in send
    connection.send(self)
  File "/home/user/.local/lib/python2.7/site-packages/flask_mail.py", line 195, in send
    message.rcpt_options)
  File "/usr/lib/python2.7/smtplib.py", line 750, in sendmail
    self.rset()
  File "/usr/lib/python2.7/smtplib.py", line 469, in rset
    return self.docmd("rset")
  File "/usr/lib/python2.7/smtplib.py", line 394, in docmd
    return self.getreply()
  File "/usr/lib/python2.7/smtplib.py", line 368, in getreply
    raise SMTPServerDisconnected("Connection unexpectedly closed")
SMTPServerDisconnected: Connection unexpectedly closed
&lt;/code&gt;&lt;/pre&gt;
&lt;p&gt;Although this error appeared to be solved in some of closed questions here on Stackoverflow, I cannot make this piece of code work ..&lt;/p&gt;
</t>
  </si>
  <si>
    <t xml:space="preserve">&lt;p&gt;I have a table naming Employee in Appmaker. Lets say it contains 3 records.&lt;/p&gt;
&lt;pre&gt;&lt;code&gt;empId empName empAge
1      Abc    29
2      Def    26
3      Xyz   30
&lt;/code&gt;&lt;/pre&gt;
&lt;p&gt;I have 2 forms :-&lt;/p&gt;
&lt;pre&gt;&lt;code&gt;AddEmployee - It has datasource Employee(create) to create new Employee
EditEmployee - It has datasource Employee to edit Employee records.
&lt;/code&gt;&lt;/pre&gt;
&lt;p&gt;I have set the onClick function of the Employee table row to open the record in the EditEmployee form and it works fine. (POST method is used by default)&lt;/p&gt;
&lt;p&gt;However I want to use GET method.
Requirement is to send the URL of a particular record in email to someone such that when the person clicks on the URL that record opens up in the EditEmployee form.&lt;/p&gt;
&lt;p&gt;I tried the below expecting the 2nd record to open but it always opens the tables's first record in the form irrespective of the requestId value.&lt;/p&gt;
&lt;p&gt;&lt;strong&gt;app.datasources.AppSettings.item.AppUrl+'?requestId=2#EditEmployee';&lt;/strong&gt;&lt;/p&gt;
&lt;p&gt;Any suggestions please?&lt;/p&gt;
</t>
  </si>
  <si>
    <t xml:space="preserve">&lt;p&gt;I recommend you to use &lt;a href="https://developers.google.com/apps-script/guides/html/reference/url" rel="nofollow noreferrer"&gt;google.script.url&lt;/a&gt; api. The best thing to do is to include some script in the &lt;strong&gt;onDataLoad&lt;/strong&gt; event of the table. Take the following for example:&lt;/p&gt;
&lt;pre&gt;&lt;code&gt;  google.script.url.getLocation(function(location){
    var rId = location.parameter.requestId;
    var hash = location.hash;
    if(rId &amp;amp;&amp;amp; hash === "EditEmployee"){
      var ds = app.datasources.Employee;
      ds.selectKey(rId);
    }
  });
&lt;/code&gt;&lt;/pre&gt;
&lt;p&gt;The above assumes that the hash #EditEmployee refers to a page named &lt;strong&gt;EditEmployee&lt;/strong&gt;, because if it is a page fragment, the approach changes a bit. Nevertheless, this should give you an idea. Of course, your question is missing required info to help me give you a complete answer so this is the best I can do now.&lt;/p&gt;
</t>
  </si>
  <si>
    <t xml:space="preserve">&lt;p&gt;&lt;a href="https://i.stack.imgur.com/CFQSW.png" rel="nofollow noreferrer"&gt;1&lt;/a&gt;Am Uploading Profile Photo for Community Users in base64 format By Using ConnectApi.UserProfiles.setPhoto Method. But am getting "ConnectApi.ConnectApiException: The file you uploaded doesn't appear to be a valid image" This error, Help me to Fix this issue.&lt;/p&gt;
</t>
  </si>
  <si>
    <t xml:space="preserve">&lt;p&gt;I am trying to use a &lt;strong&gt;calculated model&lt;/strong&gt; in Google App Maker to store data from an external API. I am able to load the data to a model and render it in a table. But now I want to filter the data in the table without calling the external API again. &lt;/p&gt;
&lt;p&gt;For example if I use the Weather (Call REST services) sample code, after the weather is rendered on screen I want to click a button to only show the days with the temperature is below 32F. How would I do that without calling the external APIs again to reload the model.  &lt;/p&gt;
</t>
  </si>
  <si>
    <t xml:space="preserve">&lt;p&gt;I'm trying to insert a range of serial numbers into the SQL Server table.&lt;/p&gt;
&lt;p&gt;I'm using the following code but it inserts only one record:&lt;/p&gt;
&lt;pre&gt;&lt;code&gt;Patch('[dbo].[SerialNos]', Defaults('[dbo].[SerialNos]'),
{Equipment: varEquipNo, 
    SerialNumber: "123456", 
             Loc: varStorLoc
})
&lt;/code&gt;&lt;/pre&gt;
&lt;p&gt;How can I modify it to use a range of serial numbers (ex. From SerialNo - To SerialNo) :&lt;/p&gt;
&lt;p&gt;&lt;a href="https://i.stack.imgur.com/4qMY0.png" rel="nofollow noreferrer"&gt;&lt;img src="https://i.stack.imgur.com/4qMY0.png" alt="Range of Serial Numbers Insertion"&gt;&lt;/a&gt;&lt;/p&gt;
</t>
  </si>
  <si>
    <t xml:space="preserve">&lt;p&gt;&lt;a href="https://i.stack.imgur.com/KmvIB.png" rel="nofollow noreferrer"&gt;&lt;img src="https://i.stack.imgur.com/KmvIB.png" alt="enter image description here"&gt;&lt;/a&gt;&lt;/p&gt;
&lt;p&gt;I have set Path[image] column in the excel sheet as shown in the above image.&lt;/p&gt;
&lt;p&gt;&lt;a href="https://i.stack.imgur.com/IuiYO.png" rel="nofollow noreferrer"&gt;&lt;img src="https://i.stack.imgur.com/IuiYO.png" alt="enter image description here"&gt;&lt;/a&gt;&lt;/p&gt;
&lt;p&gt;I wanted to convert this image path in the excel to an image and display it on the Media Image in Powerapps but the image did not appear. &lt;/p&gt;
&lt;p&gt;Please do help me take a look at the problem I have encountered. &lt;/p&gt;
</t>
  </si>
  <si>
    <t xml:space="preserve">&lt;p&gt;In Salesforce lightning I see a bell icon in the top right corner which displays notifications. I have a custom object and I would like to know if it is possible  to create a notification inside Salesforce when the record value changes.&lt;/p&gt;
</t>
  </si>
  <si>
    <t xml:space="preserve">&lt;p&gt;I'm trying to create a variable so I can use it across my app. I've put the "code" in &lt;code&gt;OnVisible&lt;/code&gt; in my first screen with the following code:&lt;/p&gt;
&lt;pre&gt;&lt;code&gt;Set(LayoutSettings, {
    colorHR : RGBA(55, 207, 177, 1)
})
&lt;/code&gt;&lt;/pre&gt;
&lt;p&gt;To test it, I simply used a rectangle and in &lt;code&gt;Fill&lt;/code&gt; I use have:&lt;/p&gt;
&lt;pre&gt;&lt;code&gt;LayoutSettings.colorHR
&lt;/code&gt;&lt;/pre&gt;
&lt;p&gt;So basically I have:&lt;/p&gt;
&lt;pre&gt;&lt;code&gt;HomeScreen.OnVisible = Set(LayoutSettings, {colorHR : RGBA(55, 207, 177, 1)})
Rectangle.Fill = LayoutSettings.colorHR
&lt;/code&gt;&lt;/pre&gt;
&lt;p&gt;But somehow my rectangle is still black. What am I doing wrong?&lt;/p&gt;
</t>
  </si>
  <si>
    <t xml:space="preserve">&lt;p&gt;I always go to my google drive to click the appmaker project which I want to edit. However, when launching it, appmaker will drop the window automatically right after it shows the main edit panel. Therefore, I cannot edit any things in my project.
&lt;strong&gt;If I use an incognito window to edit my project, everything is fine.&lt;/strong&gt; Fortunately, I do not have this problem for the finished product I released to domain users. Please help me with this issue. How should I do to let appmaker execute properly under a normal window of chrome?&lt;/p&gt;
</t>
  </si>
  <si>
    <t xml:space="preserve">&lt;p&gt;I have a stored procedure on MySQL db that I use to update my records. Based on the inputs, either, add hours to a column, or subtract hours to a column. I call this SP using the Appian smart service for store procedures. My problem is, that if tried to do both, add and subtract (for different rows) then the store procedure doesn't do anything. It runs in my process model fine but the DB is not updated. If I run the PM with a only one input(either add or subtract) then it updates the db accordingly. Could anyone tell me what I'm doing wrong in my SP?
Note: addAttendeeUsername and removeAttendeeUsername inputs are both VARCHAR's strings delimited by commas&lt;/p&gt;
&lt;pre&gt;&lt;code&gt;    BEGIN
    DECLARE startTime datetime;
    DECLARE SQLStateCode varchar(5) DEFAULT '00000';
    DECLARE ErrorNumber int;
    DECLARE MessageText varchar(1000);
    -- insert / update
    set @sql = concat("UPDATE
      XCS_APP_CERTIFICATION
    SET
      COMPLETED_HOURS = COMPLETED_HOURS + ", courseHours , ",
      LAST_MODIFIED_BY = '", lastModifiedBy, "',
      LAST_MODIFIED_ON = NOW()
    WHERE
    XCS_APP_CERTIFICATION.CREATED_BY in (" , addAttendeeUsername , ") AND VALID_START_DATE &amp;lt;= '", offeringEndDateTime, "'
      AND GRACE_PER_END_DATE &amp;gt;= '", offeringEndDateTime,"' ");
    set @sql2 = concat("UPDATE
      XCS_APP_CERTIFICATION
    SET
      COMPLETED_HOURS = COMPLETED_HOURS - ", courseHours, ",
      LAST_MODIFIED_BY = '", lastModifiedBy, "',
      LAST_MODIFIED_ON = NOW()
    WHERE
      CREATED_BY IN (", removeAttendeeUsername, ")  AND VALID_START_DATE &amp;lt;= '", offeringEndDateTime, "'
      AND GRACE_PER_END_DATE &amp;gt;= '", offeringEndDateTime, "' ");
        PREPARE stmt FROM @sql;
        EXECUTE stmt;
        PREPARE stmt2 FROM @sql2;
        EXECUTE stmt2;
    set successFlag = 1;
    -- committing transaction
    COMMIT;
    END
&lt;/code&gt;&lt;/pre&gt;
</t>
  </si>
  <si>
    <t xml:space="preserve">&lt;p&gt;I need to extract the state code and the country code from incoming web-to-lead phone number in Salesforce&lt;/p&gt;
&lt;p&gt;Example if the area code of a phone number is (421)
I need a way to populate the state code and the country code with the appropriate data&lt;/p&gt;
</t>
  </si>
  <si>
    <t xml:space="preserve">&lt;p&gt;I am using MisFit API in my crossplatform Android application which is developed in OutSystem. I am using InAppBrowser for the login process. But due to the Google restriction, I am getting the error "disallowed_useragent". &lt;/p&gt;
&lt;p&gt;I have tried the cordova plugin versions 5.0.1,5.3.3,7.0.0. The issue is not resolved&lt;/p&gt;
&lt;p&gt;I expect a way in which login to Misfit application can be done by clicking the Google Login button &lt;/p&gt;
</t>
  </si>
  <si>
    <t xml:space="preserve">&lt;p&gt;I am trying to use ngl-lookup of the ngl-lightning library
i want to pass an array of type any[] instead of String[],
this is my code: &lt;/p&gt;
&lt;pre&gt;&lt;code&gt; &amp;lt;ngl-lookup [lookup]="lookupManagerUsers" [icon]="true" [image]="'user'" [noResultsText]="'Aucun résultat trouvé'"
            [(pick)]="pickedManagerUser" (pickChange)="managerUserPicked($event)" placeholder="Recherchez un agent..." formControlName="manager_id"
            ngDefaultControl&amp;gt;
            &amp;lt;ng-template nglLookupItem let-item&amp;gt;
              &amp;lt;div class="slds-media__body"&amp;gt;
                &amp;lt;span class="slds-media__figure slds-listbox__option-icon"&amp;gt;
                  &amp;lt;span class="slds-icon_container slds-icon-standard-user"&amp;gt;
                    &amp;lt;svg class="slds-icon slds-icon_small" aria-hidden="true"&amp;gt;
                      &amp;lt;use xmlns:xlink="http://www.w3.org/1999/xlink" xlink:href="/assets/icons/standard-sprite/svg/symbols.svg#user" /&amp;gt;
                    &amp;lt;/svg&amp;gt;
                  &amp;lt;/span&amp;gt;
                &amp;lt;/span&amp;gt;{{item}}
              &amp;lt;/div&amp;gt;
            &amp;lt;/ng-template&amp;gt;
 &amp;lt;/ngl-lookup&amp;gt;
&lt;/code&gt;&lt;/pre&gt;
&lt;p&gt;and this is my method 
&lt;code&gt;pickedManagerUser: string = '';
&lt;/code&gt;&lt;/p&gt;
&lt;pre&gt;&lt;code&gt;lookupManagerUsers = (query: string, source = this.manager_users): any[] =&amp;gt; {
let temp = [];
if (!query) {
  temp = source;
} else {
  const temp2 = source.filter(user =&amp;gt; user.first_name.indexOf(query.toLowerCase()) &amp;gt; -1 || user.last_name.indexOf(query.toLowerCase()) &amp;gt; -1);
  for (const m of temp2) {
    temp.push(m);
  }
}
return temp;}
 managerUserPicked(superhero) {
console.log(superhero); }
&lt;/code&gt;&lt;/pre&gt;
&lt;p&gt;but this is really my problem : 
&lt;a href="https://i.stack.imgur.com/CYjiB.png" rel="nofollow noreferrer"&gt;&lt;img src="https://i.stack.imgur.com/CYjiB.png" alt="enter image description here"&gt;&lt;/a&gt;&lt;/p&gt;
&lt;p&gt;any help please&lt;/p&gt;
</t>
  </si>
  <si>
    <t xml:space="preserve">&lt;p&gt;Try to print a specific property instead of the whole &lt;code&gt;item&lt;/code&gt;, ie {{ item.first_name}} instead of the whole item as {{ item }}.&lt;/p&gt;
</t>
  </si>
  <si>
    <t xml:space="preserve">&lt;p&gt;Objetcive :trying to create a file  in zoho workdrive, using php-curl&lt;/p&gt;
&lt;p&gt;&lt;strong&gt;note:&lt;/strong&gt; i have checked the oauth &amp;amp; i am using right oauth.
    also,  i am using the correct parent id .&lt;/p&gt;
&lt;p&gt;&lt;code&gt;error-recieved : {"errors":[{"id":"F000","title":"General&lt;/code&gt; Exception"}]}&lt;/p&gt;
&lt;p&gt;code used:&lt;/p&gt;
&lt;pre&gt;&lt;code&gt; work_drive_create_file($oauth);
              function work_drive_create_file($oauth){
                $apiUrl = "https://workdrive.zoho.com/api/v1/files";
                $data  ='{
                        "data": { 
                           "attributes": { 
                                "name": "Untitled Spreadsheet", 
                                  "service_type": "zohosheet", 
"parent_id": "0nk78318a1771da934f22939e4a00d8aab225" 
                            }, 
                            "type": "files" 
                            } 
                        }';
     $headers = array(
                    'Content-Type: application/json',
                    'Content-Length: ' . strlen($data),
                    sprintf('Authorization: Zoho-oauthtoken %s', $oauth)
                );
                $ch = curl_init();
                curl_setopt($ch, CURLOPT_URL, $apiUrl);
                curl_setopt($ch, CURLOPT_HTTPHEADER, $headers);
                curl_setopt($ch,CURLOPT_FOLLOWLOCATION,true);
                curl_setopt($ch, CURLOPT_TIMEOUT, 60);
                curl_setopt($ch,CURLOPT_POST,true);
                curl_setopt($ch,CURLOPT_SSL_VERIFYPEER,false);
                curl_setopt($ch,CURLOPT_POSTFIELDS ,$data);
                curl_setopt($ch, CURLOPT_CUSTOMREQUEST, "POST");
                curl_setopt($ch, CURLOPT_RETURNTRANSFER, 1);
                curl_setopt($ch, CURLOPT_CONNECTTIMEOUT, 60);
                $response = curl_exec($ch);
                print_r(json_decode($response));
                 curl_close($ch);
                return $response;
              }
&lt;/code&gt;&lt;/pre&gt;
&lt;p&gt;also i would like to know the value for "service-type" if its a document in place of zohosheet.&lt;/p&gt;
</t>
  </si>
  <si>
    <t xml:space="preserve">&lt;p&gt;@Rishabh Kushwaha You have missed to set  User agent Header in the Rest API. &lt;/p&gt;
&lt;p&gt;As Per &lt;a href="http://svn.tools.ietf.org/svn/wg/httpbis/specs/rfc7231.html#header.user-agent" rel="nofollow noreferrer"&gt;RFC 7231&lt;/a&gt;:&lt;/p&gt;
&lt;blockquote&gt;
  &lt;p&gt;A user agent SHOULD send a User-Agent field in each request unless
  specifically configured not to do so.&lt;/p&gt;
&lt;/blockquote&gt;
&lt;p&gt;You could use a simple user agent header like User-Agent:  “PHP 5.7.1”. Try with proper user agent header and rest api will work as expected. This should be useful to monitor the source of request originates and also make it easy to find your tests in the access stats log. &lt;/p&gt;
</t>
  </si>
  <si>
    <t xml:space="preserve">&lt;p&gt;I'm currently working on a registration form for a conference. I made a form for the SharePoint list using the PowerApps link in SharePoint (web). I published the form, and now I can't find it on the PowerApps site when I go to open applications for editing. I can edit the form using the edit link in my SharePoint list, but I'm unable to find it anywhere on the PowerApps website... Any ideas? &lt;/p&gt;
</t>
  </si>
  <si>
    <t xml:space="preserve">&lt;p&gt;Did you use the "Customize forms" option or "Create an App"?
If you used the former, then your app will not be listed if you try accessing it through the Powerapps site or Mobile App.
There is a difference between these two. Customize form is specific to the list while create an app creates a new app for you on powerapps using the Sharepoint list as the datasource&lt;/p&gt;
</t>
  </si>
  <si>
    <t xml:space="preserve">&lt;p&gt;I am trying to validate a field in my model driven app form using regex.
But so far I am unable to find any resource regarding that.&lt;/p&gt;
&lt;p&gt;Is it possible? &lt;/p&gt;
</t>
  </si>
  <si>
    <t xml:space="preserve">&lt;p&gt;There is no Out-of-Box support for regex validations. But you can do it using JavaScript web resource on change of that attribute from entity form.&lt;/p&gt;
&lt;p&gt;&lt;a href="https://docs.microsoft.com/en-us/powerapps/developer/model-driven-apps/client-scripting" rel="nofollow noreferrer"&gt;Apply business logic using client scripting in model-driven apps using JavaScript&lt;/a&gt;&lt;/p&gt;
</t>
  </si>
  <si>
    <t xml:space="preserve">&lt;p&gt;I created this class to be make working with zoho easier and as far as I can tell everything is correct&lt;/p&gt;
&lt;pre class="lang-php prettyprint-override"&gt;&lt;code&gt;&amp;lt;?
    class ZohoWebAPI {
        private $credentials = array(
            "authtoken" =&amp;gt; ''
        );
        private $URLS = array(
            "Base" =&amp;gt; "https://crm.zoho.com/crm/private/xml/",
            "Contacts" =&amp;gt; "Contacts/",
            "Leads" =&amp;gt; "Leads/"
        );
        private $methods = array(
            "Insert" =&amp;gt; "insertRecords",
            "Update" =&amp;gt; "updateRecords",
            "Get" =&amp;gt; "getRecords"
        );
        function GetNewAuthToken($loginInfo){
            $url = "https://accounts.zoho.com/apiauthtoken/nb/create?SCOPE=ZohoCRM/crmapi&amp;amp;EMAIL_ID=".$loginInfo['Email']."&amp;amp;PASSWORD=".$loginInfo['Password']."&amp;amp;DISPLAY_NAME=" . $loginInfo['Display_Name'];
            $ch = curl_init($url);
            # Setting our options
            curl_setopt($ch, CURLOPT_POST, 1);
            curl_setopt($ch, CURLOPT_RETURNTRANSFER, true);
            # Get the response
            $response = curl_exec($ch);
            curl_close($ch);
            $returnArray = explode(" ",$response);
            $res = explode("=",$returnArray[5]);
            $stripToken = str_replace("RESULT","",$res[1]);
            return array(
                "AuthToken" =&amp;gt; $stripToken,
                "Result" =&amp;gt; $res[2]
            );
        }
        function SetAuthToken($token){
            $this-&amp;gt;credentials["authtoken"] = $token;
        }
        function GenerateXML($path,$dataArray){
            $path = strtolower($path);
            $xmlData = '';
            switch($path){
                case "contacts":
                    $xmlData .= "&amp;lt;Contacts&amp;gt;";
                    break;
                case "leads":
                    $xmlData .= "&amp;lt;Leads&amp;gt;";
                    break;
            }
            $xmlData .= "&amp;lt;row no='1'&amp;gt;";
            for($i = 0; $i &amp;lt; count($dataArray);$i++){
                $xmlData .= "&amp;lt;FL val='".$dataArray[$i][0]."'&amp;gt;".$dataArray[$i][1]."&amp;lt;/FL&amp;gt;";
            }
            $xmlData .= "&amp;lt;/row&amp;gt;";
            switch($path){
                case "contacts":
                    $xmlData .= "&amp;lt;/Contacts&amp;gt;";
                    break;
                case "leads":
                    $xmlData .= "&amp;lt;/Leads&amp;gt;";
                    break;
            }
            return $xmlData;
        }
        function CreateNewContact($xmlData){
            $apiUrl = $URLS["Base"] . $URLS["Contacts"] . $methods["Insert"];
            $postData = "authtoken" . $credentials["authtoken"] . "&amp;amp;scope=crmapi&amp;amp;xmldata=" . $xmlData;
            return $this-&amp;gt;SendDataToZoho($apiUrl,$postData);
        }
        function SendDataToZoho($apiUrl,$postData){
            $ch = curl_init($apiUrl);
            # Setting our options
            curl_setopt($ch, CURLOPT_POST, 1);
            curl_setopt($ch, CURLOPT_POSTFIELDS, $postData);
            curl_setopt($ch, CURLOPT_RETURNTRANSFER, true);
            # Get the response
            $response = curl_exec($ch);
            curl_close($ch);
            return $response;
        }
    }
?&amp;gt;
&lt;/code&gt;&lt;/pre&gt;
&lt;p&gt;Using this new class I have another file that looks like this&lt;/p&gt;
&lt;pre class="lang-php prettyprint-override"&gt;&lt;code&gt;&amp;lt;?
    require_once("zohoapiwrapper.php");
    $zoho = new ZohoWebAPI();
    $zoho-&amp;gt;SetAuthToken("a9xxxxxxxxxxxxxxxxxxxxxxxxxxx");
    $dataArray = array(
        array("FirstName","Joseph"),
        array("Last Name","Williamson"),
        array("Email","Testemail@gamilll.com")
    );
    $xml = $zoho-&amp;gt;GenerateXML("contacts",$dataArray);
    $result = $zoho-&amp;gt;CreateNewContact($xml);
    $responseData = simplexml_load_string($result);
    var_dump($responseData);
?&amp;gt;
&lt;/code&gt;&lt;/pre&gt;
&lt;p&gt;When running the code it says &lt;code&gt;(bool)false&lt;/code&gt; which does not make sense from what I understand going through the method of adding a contact into the crm the url returns a xml document which would be stored in the &lt;code&gt;$response&lt;/code&gt; in the class &lt;code&gt;SendDataToZoho()&lt;/code&gt;&lt;/p&gt;
&lt;p&gt;So on the line &lt;code&gt;return $this-&amp;gt;SendDataToZoho($apiUrl,$postData);&lt;/code&gt; I am expecting a xml reponse that could then be parsed to see weather the data has been successfully inserted into zoho or not. However I do not understand where &lt;code&gt;(bool)flase&lt;/code&gt; is coming from because if I put the url in a browser and run the generatedXML to it I recieved a xml response from the browser&lt;/p&gt;
&lt;p&gt;I am confused and unaware of why it is behaving in this fashion&lt;/p&gt;
&lt;p&gt;EDIT:&lt;/p&gt;
&lt;p&gt;Changing my &lt;code&gt;SendToZoho&lt;/code&gt; function to this&lt;/p&gt;
&lt;pre class="lang-php prettyprint-override"&gt;&lt;code&gt;function SendDataToZoho($apiUrl,$postData){
            $ch = curl_init($apiUrl);
            # Setting our options
            curl_setopt($ch, CURLOPT_POST, 1);
            curl_setopt($ch, CURLOPT_POSTFIELDS, $postData);
            curl_setopt($ch, CURLOPT_RETURNTRANSFER, true);
            # Get the response
            $response = curl_exec($ch);
            $oh1 = curl_error($ch);
            $oh2 = curl_errno($ch);
            curl_close($ch);
            var_dump($oh1 . " " . $oh2);
            return $response;
        }
&lt;/code&gt;&lt;/pre&gt;
&lt;p&gt;This is the output
&lt;code&gt;string(17) " malformed 3" bool(false)&lt;/code&gt;&lt;/p&gt;
</t>
  </si>
  <si>
    <t xml:space="preserve">&lt;p&gt;Try to replace the next function:&lt;/p&gt;
&lt;pre&gt;&lt;code&gt;function CreateNewContact($xmlData){
    $apiUrl = $URLS["Base"] . $URLS["Contacts"] . $methods["Insert"];
    $postData = "authtoken" . $credentials["authtoken"] . "&amp;amp;scope=crmapi&amp;amp;xmldata=" . $xmlData;
    return $this-&amp;gt;SendDataToZoho($apiUrl,$postData);
}
&lt;/code&gt;&lt;/pre&gt;
&lt;p&gt;with this:&lt;/p&gt;
&lt;pre&gt;&lt;code&gt;function CreateNewContact($xmlData){
    $apiUrl = $this-&amp;gt;URLS["Base"] . $this-&amp;gt;URLS["Contacts"] . $this-&amp;gt;methods["Insert"];
    $postData = "authtoken" . $this-&amp;gt;credentials["authtoken"] . "&amp;amp;scope=crmapi&amp;amp;xmldata=" . $xmlData;
    return $this-&amp;gt;SendDataToZoho($apiUrl,$postData);
}
&lt;/code&gt;&lt;/pre&gt;
&lt;p&gt;The problem is if you want to refer to an object's property - you should use &lt;code&gt;$this&lt;/code&gt; - the reference to your object.&lt;/p&gt;
</t>
  </si>
  <si>
    <t xml:space="preserve">&lt;p&gt;This might be simple but i could not figure out. 
My issues is: I have cascading drop down with name
Project code and project name.
I have used combox for both so that i can select multiple items.
problem here is, if i select one items in project code, project name combo box shows the items but when i select multiple items in project code. Project name combo does not shows items for both multiple items.&lt;/p&gt;
&lt;p&gt;formula i have used are: 
project code&lt;/p&gt;
&lt;pre&gt;&lt;code&gt;Items: Code.Activeprojectcode
update: ComboProjectCode.Selected.Activeprojectcode
&lt;/code&gt;&lt;/pre&gt;
&lt;p&gt;Project Name&lt;/p&gt;
&lt;pre&gt;&lt;code&gt;Items: Distinct(Filter(Code,Title=ComboProjectCode.Selected.Activeprojectcode),Projectname)
update: ComboProjectName.Selected.Result 
&lt;/code&gt;&lt;/pre&gt;
&lt;p&gt;Any suggestion would be great&lt;/p&gt;
&lt;p&gt;&lt;a href="https://i.stack.imgur.com/iHp5u.jpg" rel="nofollow noreferrer"&gt;Cascading Dropdown image&lt;/a&gt;&lt;/p&gt;
</t>
  </si>
  <si>
    <t xml:space="preserve">&lt;p&gt;Upon clicking the "submit" button on this form (which is functional), I need to split some text from one text-field and send that value to another column in my SharePoint list. &lt;/p&gt;
&lt;p&gt;User will enter an email in the email text-field, and I need to take the value in the string before the @ sign to create a username for the user. &lt;/p&gt;
&lt;p&gt;Unfortunately, I'm not having any luck finding a solution for this one. Any help would be great. Thanks! &lt;/p&gt;
</t>
  </si>
  <si>
    <t xml:space="preserve">&lt;p&gt;You can try this.
Create a Username column on the SharePoint List, add the field to the form you are submitting.
Then put the formula below on the Default property of the Textbox in the Datacard of the Username.&lt;/p&gt;
&lt;pre&gt;&lt;code&gt;Left(TextInput1.Text, Find("@", TextInput1.Text) -1)
&lt;/code&gt;&lt;/pre&gt;
&lt;p&gt;Where TextInput1 is the name of the Textbox of the datacard for the Email address.
You can then disable and hide the Datacard of the Username if you don't want it displayed on the form.&lt;/p&gt;
&lt;p&gt;Let me know if you have any other questions.
Thanks&lt;/p&gt;
</t>
  </si>
  <si>
    <t xml:space="preserve">&lt;p&gt;I want to make a trigger that update another record where specific field contains a string in google app maker sql. How to do that? help me please.&lt;/p&gt;
&lt;p&gt;Here is my first table called "User" (Id,Code,Fname,Lname), when I insert something there, I want to update another table called "History" (Id, User, dateUpdate, &lt;em&gt;Counter&lt;/em&gt;). Here is my script on 'onAfterCreate' event on "User" events.&lt;/p&gt;
&lt;pre&gt;&lt;code&gt;var query = app.models.History.newQuery();
query.filters.User._equals = Session.getActiveUser().getEmail().toString();
var records = query.run();
//console.log("Found " + records.length + " Users.");
if(records.length &amp;gt; 0){
  var nilBaru = Math.round(records[0].Count)+1;
  //I want to get "History" field that contains specific string and if exist i want to update it's records.
}else{
     var sejarah = app.models.History.newRecord();
    var userEmail = Session.getActiveUser().getEmail().toString();
    var update = new Date();
    sejarah.User = userEmail;
    sejarah.Update = update;
    sejarah.Count = 1;
    app.saveRecords([sejarah]);
   }
&lt;/code&gt;&lt;/pre&gt;
&lt;p&gt;Thank you.. &lt;/p&gt;
</t>
  </si>
  <si>
    <t xml:space="preserve">&lt;p&gt;I am testing out Zoho desk API. I have set up a dummy client in zoho console dashboard and using the self client option to generate a oauth_token. However when I try to use it, it always return an error code 401 with error code "INVALID_OAUTH". 
I have checked for characters, and using it before even one minute of generation. Can somebody please help me with this?&lt;/p&gt;
&lt;pre&gt;&lt;code&gt;    {   
url = "https://desk.zoho.in/api/v1/organizations"
payload = ""
headers = {
'Authorization': "Zoho-oauthtoken 1000.XXXXXabdbd925112
 4ff.44d3eccd1e1a03bd25db1016f0f13322"
   }
}
&lt;/code&gt;&lt;/pre&gt;
&lt;p&gt;Response&lt;/p&gt;
&lt;pre&gt;&lt;code&gt;{
"errorCode": "INVALID_OAUTH",
"message": "The OAuth Token you provided is invalid."
&lt;/code&gt;&lt;/pre&gt;
&lt;p&gt;}&lt;/p&gt;
</t>
  </si>
  <si>
    <t xml:space="preserve">&lt;p&gt;I have a model in &lt;strong&gt;manual save mode&lt;/strong&gt; and a form in &lt;strong&gt;create&lt;/strong&gt; mode. Once I add details and click on submit it should create the record and 
alert something like 'Your request is registered with id=7' where id is the id (primary key).&lt;/p&gt;
&lt;p&gt;Note the primary key is in auto increment and generated dynamically.&lt;/p&gt;
&lt;p&gt;In manual save mode I am using &lt;strong&gt;saveChanges&lt;/strong&gt; to save the record but seeing error:&lt;/p&gt;
&lt;blockquote&gt;
  &lt;p&gt;SEVERE: Record RecordKey{key=private$2, model
  key=1ymdoCYoHKEGpumlXveKKZh_57jUjd9OY|7LyXBUY46K9Jl6GRCy1DeL32kXmnGHis}
  already deleted.Failed: getProperty   at  Object.
  (UserCreationRequest:12:37)   at  createUCR (UserCreationRequest:11:19)
    at 
  UserCreationRequest.Container.UserCreationRequestPanel.UserCreationRequestPanelFooter.UserCreationRequestPanelSubmitButton.onClick:1:1&lt;/p&gt;
&lt;/blockquote&gt;
&lt;p&gt;(In error 12:37 points to record._key)&lt;/p&gt;
&lt;p&gt;&lt;strong&gt;Code:&lt;/strong&gt; (executed OnClick of submit button)&lt;/p&gt;
&lt;pre&gt;&lt;code&gt;   widget.datasource.saveChanges(function(record) {
   alert('Your request is registered with id='+record._key);
   }
&lt;/code&gt;&lt;/pre&gt;
&lt;p&gt;Can someone please advise how to get the primary key on saving in manual mode?&lt;/p&gt;
&lt;p&gt;Additional Info Reference:&lt;/p&gt;
&lt;p&gt;The above code has worked for me in some other place for some other model. But not working for the current model, is it because the current model has a relation?&lt;/p&gt;
&lt;p&gt;I added a new datasource in the Datasources section of the current model
and by using that its working fine. But why is not working fine with the original one?&lt;/p&gt;
&lt;p&gt;Also FYI, &lt;a href="https://stackoverflow.com/questions/46067509/google-app-maker-record-key-value"&gt;this&lt;/a&gt; is a similar issue but it did not help as it's a different approach. I'm keen to save using the widget itself.&lt;/p&gt;
</t>
  </si>
  <si>
    <t xml:space="preserve">&lt;p&gt;I have created a table in powerapps that collects the individual strings from a text input box.  The table is working and as users type in the text box it creates new items down the column.  Now I am trying to Filter a Gallery to only display items that match any of the values in the table.&lt;/p&gt;
&lt;p&gt;I am trying to filter by a multi-line text field.  If a single word in the block of text matches, I would like it to display.  The table will eventually be hidden from view, but as I look at it now, whenever words are typed in the text box, then separated with a space, it creates a new entry in the table.&lt;/p&gt;
&lt;p&gt;This is the code for items on the table that works.&lt;/p&gt;
&lt;pre&gt;&lt;code&gt;AddColumns(Split(SearchBox.Text," "),"Words",Result)
&lt;/code&gt;&lt;/pre&gt;
&lt;p&gt;This is my attempted code for items on the gallery.  &lt;/p&gt;
&lt;pre&gt;&lt;code&gt;Filter(Projects,Details in DataTable1.Result)
&lt;/code&gt;&lt;/pre&gt;
&lt;p&gt;Projects is the name of my data and Details is the name of the column with the multiline text I want searched.&lt;/p&gt;
&lt;p&gt;I get an error saying the 'Result' name isn't valid.  I can't find what expression to put in the second part of the Filter code.  Actual results, my Gallery displays nothing when there are words typed. Expected results I want it to display all items that match at least one word from Details and the searchbox. &lt;/p&gt;
&lt;p&gt;Thank you,
Ryan Stewart&lt;/p&gt;
</t>
  </si>
  <si>
    <t xml:space="preserve">&lt;p&gt;There is no direct way to do what you want, but we can create an expression that could get to that. It will be something along the lines of:&lt;/p&gt;
&lt;pre&gt;&lt;code&gt;Filter(
    Projects,
    Sum(
        ForAll(
            Filter(Split(SearchBox.Text, " "), Len(Trim(Result)) &amp;gt; 0),
            If(Result in Details, 1, 0)),
        Value) &amp;gt; 0)
&lt;/code&gt;&lt;/pre&gt;
&lt;p&gt;Let's go through it. This sub-expression:&lt;/p&gt;
&lt;pre&gt;&lt;code&gt;Filter(Split(SearchBox.Text, " "), Len(Trim(Result)) &amp;gt; 0)
&lt;/code&gt;&lt;/pre&gt;
&lt;p&gt;It &lt;a href="https://docs.microsoft.com/powerapps/maker/canvas-apps/functions/function-split" rel="nofollow noreferrer"&gt;splits&lt;/a&gt; down your search text box into words, and also removes any empty words which you would get if you had two spaces between the words or leading or trailing spaces.&lt;/p&gt;
&lt;p&gt;Then, &lt;a href="https://docs.microsoft.com/powerapps/maker/canvas-apps/functions/function-forall" rel="nofollow noreferrer"&gt;for all&lt;/a&gt; words that were split, we see &lt;a href="https://docs.microsoft.com/powerapps/maker/canvas-apps/functions/function-if" rel="nofollow noreferrer"&gt;if&lt;/a&gt; that word is contained in the &lt;code&gt;Details&lt;/code&gt; column of your list; if so we get the value 1, and 0 otherwise. The result of the &lt;a href="https://docs.microsoft.com/powerapps/maker/canvas-apps/functions/function-forall" rel="nofollow noreferrer"&gt;&lt;code&gt;ForAll&lt;/code&gt;&lt;/a&gt; sub-expression is a list of values corresponding to each the items in &lt;code&gt;Projects&lt;/code&gt;. We then &lt;a href="https://docs.microsoft.com/powerapps/maker/canvas-apps/functions/function-aggregates" rel="nofollow noreferrer"&gt;Sum&lt;/a&gt; those values. If any of the words from the search box were present in the details, then the sum will be greater than 0.&lt;/p&gt;
&lt;p&gt;Finally we can filter the &lt;code&gt;Projects&lt;/code&gt; based on that value, which should give you the result you want.&lt;/p&gt;
</t>
  </si>
  <si>
    <t xml:space="preserve">&lt;p&gt;In the admin console, you can see the total number of Google Docs, Sheets, Slides, and Drawings a user has. This number updates instantly when native Google files are added to a user's Drive.&lt;/p&gt;
&lt;p&gt;&lt;a href="https://i.stack.imgur.com/4vbDO.png" rel="nofollow noreferrer"&gt;&lt;img src="https://i.stack.imgur.com/4vbDO.png" alt="screenshot of user data counts in the admin console"&gt;&lt;/a&gt;&lt;/p&gt;
&lt;p&gt;The Gmail API and the Drive API both have easy ways to get the total storage used in GBs - but native Google Drive file types like Sheets, Slides, and Docs don't count toward a users' storage quota, so a user with zero non-Google files and hundreds of Google Docs files would appear to have an empty Drive if you only checked the size of the account in GBs.&lt;/p&gt;
&lt;p&gt;I haven't found an easy way to get the total number of documents for a user, other than doing a search, and that can be performance-intensive for large numbers of users. I'm using the App Script API from an App Maker project if that matters.&lt;/p&gt;
&lt;p&gt;&lt;a href="https://stackoverflow.com/questions/31725883/get-count-of-user-documents-in-google-drive"&gt;This answer&lt;/a&gt; references an API that no longer exists.&lt;/p&gt;
</t>
  </si>
  <si>
    <t xml:space="preserve">&lt;p&gt;Is there an easy way to get all the records of a model at once in a serverside script, or at least all keys ?&lt;/p&gt;
</t>
  </si>
  <si>
    <t xml:space="preserve">&lt;p&gt;To get all records:&lt;/p&gt;
&lt;pre&gt;&lt;code&gt;var allRecords = app.models.MODELNAME.newQuery().run();
&lt;/code&gt;&lt;/pre&gt;
&lt;p&gt;To get all records keys:&lt;/p&gt;
&lt;pre&gt;&lt;code&gt;var allRecordsKeys = app.models.MODELNAME.newQuery().run().map(function(item){return item._key;});
&lt;/code&gt;&lt;/pre&gt;
&lt;p&gt;Reference: &lt;a href="https://developers.google.com/appmaker/scripting/server#querying_records" rel="nofollow noreferrer"&gt;https://developers.google.com/appmaker/scripting/server#querying_records&lt;/a&gt;&lt;/p&gt;
</t>
  </si>
  <si>
    <t xml:space="preserve">&lt;p&gt;Not able to get the event's original source on LWC. &lt;/p&gt;
&lt;p&gt;Hi,
We are migrating an Aura component to LWC. We have a USE CASE,  is being used in an iteration. 
On click of , we are showing . The data in  is dynamically retrieved based on record-id of . 
In Aura, this was fairly simple because when  fires an event, we can inject the data through method from grand parent to event.getSource().
But in LWC, the event is getting re-targeted on every parent-level bubbling. So finally event.target is returning the  instead of .
Hence we are not able to inject data dynamically through event. What is the best approach for this scenario?&lt;/p&gt;
&lt;pre&gt;&lt;code&gt;&amp;lt;!--c-todo-app&amp;gt;
&amp;lt;c-todo-item&amp;gt;
    &amp;lt;div&amp;gt;
        &amp;lt;!--Dynamic Iteration--Starts&amp;gt;
        &amp;lt;c-todo-line-item&amp;gt;
            &amp;lt;c-sub-item&amp;gt;
        &amp;lt;c-todo-line-item&amp;gt;
            &amp;lt;c-subitem&amp;gt;
       -- 
        ...
        ...
        ...
        --
        &amp;lt;c-todo-line-item&amp;gt;
            &amp;lt;c-subitem&amp;gt;
        &amp;lt;!--Dynamic Iteration--Ends&amp;gt;
    &amp;lt;/div&amp;gt;
&amp;lt;/c-todo-item&amp;gt;
&lt;/code&gt;&lt;/pre&gt;
&lt;p&gt;&lt;/p&gt;
&lt;p&gt;Event.target OR event.currentTarget should give the source component but instead gives the top-most component below the handling component. In above example- event is fired in  and handled in . Component returned is  BUT we need &lt;/p&gt;
</t>
  </si>
  <si>
    <t xml:space="preserve">&lt;p&gt;I've made a serverside script, that is updating my contacts, but it seems the job is working in the background, even if appmaker is closed, how can I stop that job ?&lt;/p&gt;
</t>
  </si>
  <si>
    <t xml:space="preserve">&lt;p&gt;I am using this code in Apps script &lt;/p&gt;
&lt;pre&gt;&lt;code&gt;function getUserObjByEmail(email){
    // Same as using AdminDirectory class.
    var apiUrl = "https://www.googleapis.com/admin/directory/v1/users/"+email+"?fields=id";
    var token = ScriptApp.getOAuthToken();
    var header = {"Authorization":"Bearer " + token};
    var options = {
        "method": "GET",
        "headers": header
    };
    var response = JSON.parse(UrlFetchApp.fetch(apiUrl, options));
    return response;
}
&lt;/code&gt;&lt;/pre&gt;
&lt;p&gt;which I run as a function from App Maker project. Things go smoothly when I use the app since I have an admin role( I guess, not sure ) but the problem arises when other normal users in our domain start using the deployed app maker app. I checked the server logs and its full of this message: &lt;/p&gt;
&lt;pre&gt;&lt;code&gt;Exception: Request failed for 
https://www.googleapis.com/admin/directory/v1/users/email@domain.com?fields=id 
returned code 403. 
Truncated server response: { "error": { "errors": [ { "domain": "global",
"reason": "forbidden", "message": "Not Authorized to access this
resource/api" ... (use muteHttpExceptions option to examine full response)
&lt;/code&gt;&lt;/pre&gt;
&lt;p&gt;Any idea how to fix this? I have manually added the required scopes for the apps script library, I added the following:&lt;/p&gt;
&lt;pre&gt;&lt;code&gt;"https://www.googleapis.com/auth/script.external_request",
"https://www.googleapis.com/auth/admin.directory.user"
&lt;/code&gt;&lt;/pre&gt;
</t>
  </si>
  <si>
    <t xml:space="preserve">&lt;p&gt;In the &lt;a href="https://developers.google.com/appmaker/templates/project-tracker/" rel="nofollow noreferrer"&gt;Project Tracker template&lt;/a&gt; there is a feature where statistics for a certain project's items are displayed. You can filter the project items, but the statistics will only show those statistics for all the project items, i.e. the filters do not affect the statistics.&lt;/p&gt;
&lt;p&gt;I would like to add the feature of filters affecting those statistics in a similar implementation of mine. My current solution passes the keys of those project items (affected by filters, too) to a calculated data source, which then calculates the statistics using those item keys, essentially applying the filters used in the page.&lt;/p&gt;
&lt;p&gt;My issue is that my calculations are restricted by the query page size. For example, if I apply filters that limit the number of items to 15 records, but the page size is 10 records, I will only have statistics of those first 10 items, which is not useful. I'd need to have the statistics on all the records that are left after filtering.&lt;/p&gt;
&lt;p&gt;One way to solve this would be to get rid of the query page size and leave it at 0. However, similarly to the Project Tracker template, I'm displaying the project items on the page in a table, and if I do that, the page becomes too heavy.&lt;/p&gt;
&lt;p&gt;How can I circumvent the query page size? I'm thinking I could&lt;/p&gt;
&lt;ul&gt;
&lt;li&gt;limit the items displayed in the page by some other way than query page size (i.e. hiding items from the UI)&lt;/li&gt;
&lt;li&gt;use a different datasource for the statistics, but in some way copying the filters used in the datasource that is displaying the project items&lt;/li&gt;
&lt;/ul&gt;
&lt;p&gt;Both of these ways I could think of, I can't seem to implement. I don't know how I could hide items from the UI to make it less heavy, as query page size pretty much does it. I have also tried copying the filters from a datasource to a similar one, but that does not seem to work.&lt;/p&gt;
&lt;p&gt;EDIT: I might have come up with a way to solve this myself, but I still need to implement it. Now I'm using the page size restricted Items Ds to apply the filters on, and the statistics are build from this data source. If instead, I use a non-restricted Ds called AllItems, and apply the filters on it, and then pass the item keys to a page size restricted Ds (to show the items in UI) AND to a calculated Ds (for the stats). Will make a response once I've verified it works.&lt;/p&gt;
</t>
  </si>
  <si>
    <t xml:space="preserve">&lt;p&gt;I solved the issue myself.&lt;/p&gt;
&lt;p&gt;To produce (refreshable) statistics subject to filtering but not restricted by page size, I used the following datasource structure:&lt;/p&gt;
&lt;p&gt;&lt;a href="https://i.stack.imgur.com/jntbx.png" rel="nofollow noreferrer"&gt;&lt;img src="https://i.stack.imgur.com/jntbx.png" alt="enter image description here"&gt;&lt;/a&gt;&lt;/p&gt;
&lt;p&gt;In this structure, the filters practically flow to the data sources below, as they are passed the ItemKeys that fit the filter. What this completes is that my Statistics (used in piegraphs etc.) can be filtered dynamically and account for all the records that fit the filter, while the UI does not get crowded over too many records, as the data source used in UI has a query page size limitation.&lt;/p&gt;
</t>
  </si>
  <si>
    <t xml:space="preserve">&lt;p&gt;I have a problem of the following nature.&lt;/p&gt;
&lt;p&gt;I need to click on the menu item to go to the submenu without leaving the current screen, like in the screen below:&lt;/p&gt;
&lt;p&gt;&lt;a href="https://i.stack.imgur.com/SrFFE.png" rel="nofollow noreferrer"&gt;&lt;img src="https://i.stack.imgur.com/SrFFE.png" alt="Screen"&gt;&lt;/a&gt;&lt;/p&gt;
&lt;p&gt;Here is the tree view with the controls:&lt;/p&gt;
&lt;p&gt;&lt;a href="https://i.stack.imgur.com/3qTDl.png" rel="nofollow noreferrer"&gt;&lt;img src="https://i.stack.imgur.com/3qTDl.png" alt="Tree view"&gt;&lt;/a&gt;&lt;/p&gt;
&lt;p&gt;The data is obtained from Sharepoint.&lt;/p&gt;
&lt;p&gt;&lt;a href="https://i.stack.imgur.com/9g0NL.png" rel="nofollow noreferrer"&gt;&lt;img src="https://i.stack.imgur.com/9g0NL.png" alt="SharePoint data"&gt;&lt;/a&gt;&lt;/p&gt;
&lt;p&gt;In Gallery the Items property has currently this value:&lt;/p&gt;
&lt;pre&gt;&lt;code&gt;Filter(Objects;'Parent'="0")
&lt;/code&gt;&lt;/pre&gt;
</t>
  </si>
  <si>
    <t xml:space="preserve">&lt;p&gt;You can implement that logic by storing the value of the "current parent" in a context (or global) variable, and every time you select the button to go "to a different folder", you would update that variable to point to the new ID.&lt;/p&gt;
&lt;p&gt;Those are some of the properties to update:&lt;/p&gt;
&lt;pre&gt;&lt;code&gt;App.OnStart: Set(CurrentParent; 0)
Gallery.Items: Filter(Objects; 'Parent' = CurrentParent)
NextArrow.OnSelect: Set(CurrentParent; ThisItem.ID)
NextArrow.Visible: !IsBlank(LookUp(Objects; 'Parent' = ThisItem.ID))
BackButton.OnSelect: Set(CurrentParent; LookUp(Objects; ID = CurrentParent; 'Parent'))
BackButton.Visible: CurrentParent &amp;lt;&amp;gt; 0
&lt;/code&gt;&lt;/pre&gt;
&lt;p&gt;You can see this logic in the app from &lt;a href="https://carlosfigueira.blob.core.windows.net/public/StackOverflow54822913.msapp" rel="nofollow noreferrer"&gt;https://carlosfigueira.blob.core.windows.net/public/StackOverflow54822913.msapp&lt;/a&gt;; to open it, download it locally, then go to &lt;a href="https://create.powerapps.com" rel="nofollow noreferrer"&gt;https://create.powerapps.com&lt;/a&gt;, select Open, Browse and choose the file that you downloaded.&lt;/p&gt;
</t>
  </si>
  <si>
    <t xml:space="preserve">&lt;ul&gt;
&lt;li&gt;I have added Google Directory Admin API in the Advanced Services of App Settings in App maker.&lt;/li&gt;
&lt;li&gt;Enabled Admin Directory for my project in cloud console.&lt;/li&gt;
&lt;/ul&gt;
&lt;p&gt;Still Admin Directory does not show up on code completion in the server side script in Appmaker.&lt;/p&gt;
&lt;p&gt;Note: Its showing up in Appscript&lt;/p&gt;
&lt;p&gt;Any clues why its not working in Appmaker?&lt;/p&gt;
</t>
  </si>
  <si>
    <t xml:space="preserve">&lt;p&gt;I searched high and low and cannot find a specific answer that works. I need to add a button to a form in App Maker to record a timestamp, not a date, when clicked. So far the only thing that I've managed to get to work is &lt;/p&gt;
&lt;pre&gt;&lt;code&gt;widget.datasource.item.Timestamp_OUT = new Date();
&lt;/code&gt;&lt;/pre&gt;
&lt;p&gt;I've also tried&lt;/p&gt;
&lt;pre&gt;&lt;code&gt;var timestamp = getTimeStamp();
&lt;/code&gt;&lt;/pre&gt;
&lt;p&gt;But keep getting an error "ReferenceError: "getTimeStamp" is not defined". I'm probably missing the obvious as it shouldn't be this difficult to do something this simple. Any help is appreciated, thanks. &lt;/p&gt;
</t>
  </si>
  <si>
    <t xml:space="preserve">&lt;p&gt;Based on your comment:&lt;/p&gt;
&lt;p&gt;You got almost everything right with a couple of exceptions. So your getTimeStamp function should look like this:&lt;/p&gt;
&lt;pre&gt;&lt;code&gt;function getTimeStamp(){
    var timestamp = + new Date();
    return timestamp;
}
&lt;/code&gt;&lt;/pre&gt;
&lt;p&gt;That is, because you have to return a value. The other problem is that when you are assigning the value to the datasource item, you don't have to use the keyword &lt;code&gt;new&lt;/code&gt;; therefore, it should be like this:&lt;/p&gt;
&lt;pre&gt;&lt;code&gt;var timestamp = getTimeStamp();
widget.datasource.item.Timestamp_IN = timestamp;
&lt;/code&gt;&lt;/pre&gt;
&lt;p&gt;The above is basic javascript. I recommend you to dig into javascript before moving forward with appmaker.&lt;/p&gt;
</t>
  </si>
  <si>
    <t xml:space="preserve">&lt;p&gt;I am trying to develop an interface that binds to a complex backend model. What I need is a way for scripting to enable me to have a page load different page fragments based on what list row a user clicks on.  As an example, on the left side of the page there would be a vertical list displaying different sections in a large assessment 'document' (mental health assessment)  (each section would be it's own data model [e.g. presenting problems family history, trauma history, etc...). In the main section of the page to the right, you would have room for a page fragment or some type of container that would contain the actual page or page fragments associated with each  section listed in the list on the left. When you click on the section name in the list to the left, scripting would be able to have the correct page fragment or page loaded inside the container. 
The data model needs to be this complex because there are multiple types of "documents' and the system needs to be able to dynamically load a list of document sections and allow the user to load the form for each section type.&lt;/p&gt;
</t>
  </si>
  <si>
    <t xml:space="preserve">&lt;p&gt;I'm creating some PowerApps to extend D365 Talent functionality. &lt;/p&gt;
&lt;p&gt;For some reason, none of the Date and Time fields with Behaviour 'Time zone independent' are available in Powerapps...&lt;/p&gt;
&lt;p&gt;Here's an example of a custom entity with 2 Date and Time fields. One is User Local, and appears in the list of fields in Power Apps, the other is Time zone independent and isn't visible.&lt;/p&gt;
&lt;p&gt;Here's some images that show one example of this behaviour:&lt;/p&gt;
&lt;p&gt;&lt;strong&gt;Entity Fields list&lt;/strong&gt;
&lt;a href="https://i.stack.imgur.com/0fdf7.png" rel="nofollow noreferrer"&gt;&lt;img src="https://i.stack.imgur.com/0fdf7.png" alt="Entity Fields list"&gt;&lt;/a&gt;&lt;/p&gt;
&lt;p&gt;&lt;strong&gt;Time zone independent Field&lt;/strong&gt;
&lt;a href="https://i.stack.imgur.com/yDU9l.png" rel="nofollow noreferrer"&gt;&lt;img src="https://i.stack.imgur.com/yDU9l.png" alt="Time zone independent Field"&gt;&lt;/a&gt;&lt;/p&gt;
&lt;p&gt;&lt;strong&gt;User Local Field&lt;/strong&gt;
&lt;a href="https://i.stack.imgur.com/QQQA3.png" rel="nofollow noreferrer"&gt;&lt;img src="https://i.stack.imgur.com/QQQA3.png" alt="User Local Field"&gt;&lt;/a&gt;&lt;/p&gt;
&lt;p&gt;&lt;strong&gt;List of Fields in PowerApps&lt;/strong&gt;
&lt;a href="https://i.stack.imgur.com/ScDGR.png" rel="nofollow noreferrer"&gt;&lt;img src="https://i.stack.imgur.com/ScDGR.png" alt="List of Fields in PowerApps"&gt;&lt;/a&gt;&lt;/p&gt;
&lt;p&gt;I have logic in my PowerApp that is dependent on these values. Does anyone know a workaround, or fix? &lt;/p&gt;
</t>
  </si>
  <si>
    <t xml:space="preserve">&lt;p&gt;I'm having an issue with a global Variable in MS PowerApps. 
I built an App and now want to have two groups of people. Admins(who can do everything) and normal Users(who can read every post and edit theire own ones but not everything of it).
Therefor I made up a Sharepoint list(cause the posts are stored in a Sharepoint list aswell) to save the users name that are Admins. All other users are standard users.&lt;/p&gt;
&lt;p&gt;&lt;code&gt;Set(
    Admin,If(
            IsEmpty(
                Filter(
                  'Prototype App Admin',Username=User().FullName
                )
            ), false, true
        )
    );&lt;/code&gt;&lt;/p&gt;
&lt;p&gt;OnStart of the App I initialize the variable Admin on true if the Users name is included in the list(it does not give me any error here).&lt;/p&gt;
&lt;p&gt;&lt;code&gt;If(
  User().FullName=ThisItem.'Author', true, false
) ||
If(
  Admin=true, true, false
)&lt;/code&gt;&lt;/p&gt;
&lt;p&gt;(I put in this code in the visibility field of my gallery where the posts are shown of)
Now I check if the User, who is using the App right know is the author of the post or if it is an admin who is watching.&lt;/p&gt;
&lt;p&gt;The column Author includes the FullName of the Author.
PowerApps gives me a "Name isn't valid" back but I also have imported the Sharpoint list. I don't get any Error massage on the Admin-function but I also can't see the posts.&lt;/p&gt;
&lt;p&gt;Can you tell me what I'm doing wrong?&lt;/p&gt;
</t>
  </si>
  <si>
    <t xml:space="preserve">&lt;p&gt;If someone has the same issue, I've solved mine.
You just have to work in the "Items" field of your gallery and combine the two tasks within a SortByColumns statement.&lt;/p&gt;
&lt;p&gt;&lt;code&gt;SortByColumns(
    Filter(
        'Prototype App',If(
                          Admin=true,true,User().FullName=Author
                        )
    ),"Author"
)&lt;/code&gt;&lt;/p&gt;
</t>
  </si>
  <si>
    <t xml:space="preserve">&lt;p&gt;I am trying to connect Google App Maker with Google Cloud Storage using Cloud Storage JSON API&lt;/p&gt;
&lt;p&gt;I'm using a service account but the response is: &lt;/p&gt;
&lt;p&gt;"domain": "global",&lt;/p&gt;
&lt;p&gt;"reason": "authError",&lt;/p&gt;
&lt;p&gt;"message": "Invalid Credentials"&lt;/p&gt;
&lt;p&gt;How I can do that?&lt;/p&gt;
</t>
  </si>
  <si>
    <t xml:space="preserve">&lt;p&gt;I have a radio button . If my radio button is Yes then it should show me text box &lt;/p&gt;
</t>
  </si>
  <si>
    <t xml:space="preserve">&lt;p&gt;When I run a test GET call in postman I get back the following json&lt;/p&gt;
&lt;pre&gt;&lt;code&gt;"code": 0,
    "message": "success",
    "packages": [
        {
            "package_id": "1041677000009727045",
            "salesorder_id": "1041677000009727003",
            "shipment_id": "",
            "customer_id": "1041677000007872931",
            "customer_name": "TEST",
            "status": "not_shipped",
            "package_number": "PKG-00005",
            "tracking_number": "",
            "is_tracking_enabled": false,
            "shipping_charge": 0,
            "date": "2019-02-26",
            "quantity": 1,
            "salesorder_number": "SO-00023",
            "created_time": "2019-02-26T16:13:11-0500",
            "delivery_method": "",
            "last_modified_time": "2019-02-26T16:13:11-0500",
            "shipment_date": "",
            "is_carrier_shipment": false,
            "associated_packages_count": 0
        },
         ],
    "page_context": {
        "page": 1,
        "per_page": 200,
        "has_more_page": false,
        "report_name": "zom.common.Packages",
        "applied_filter": "Status.All",
        "custom_fields": [],
        "sort_column": "created_time",
        "sort_order": "D"
    }
}
&lt;/code&gt;&lt;/pre&gt;
&lt;p&gt;My issue is that the API request does not show &lt;code&gt;line_items&lt;/code&gt; as shown in the documentation (&lt;a href="https://www.zoho.com/inventory/api/v1/#Packages" rel="nofollow noreferrer"&gt;https://www.zoho.com/inventory/api/v1/#Packages&lt;/a&gt;). &lt;/p&gt;
&lt;p&gt;Does anyone know if the line_items exist but it just can't be seen as a json (e.g. I can update them but postman just cant view them?)&lt;/p&gt;
&lt;p&gt;Had a support ticket in with Zoho but they haven't replied.&lt;/p&gt;
</t>
  </si>
  <si>
    <t xml:space="preserve">&lt;p&gt;Thanks for you read my question.
I know the define of Client script and Server script.&lt;/p&gt;
&lt;p&gt;[Client script]
Contains JavaScript that the browser’s JavaScript engine runs.&lt;/p&gt;
&lt;p&gt;[Server script]
Contains JavaScript that a JavaScript engine on the App Maker server runs.&lt;/p&gt;
&lt;p&gt;But I have no idea to know a function will run on browser’s JavaScript engine or on App Maker server.&lt;/p&gt;
&lt;p&gt;Are there some effective and obvious methods to distinguish a function is client script or server script?&lt;/p&gt;
&lt;p&gt;Thanks a lot.&lt;/p&gt;
</t>
  </si>
  <si>
    <t xml:space="preserve">&lt;p&gt;I am working on PowerApp, I got the below error when i added few columns in the sharepoint list.&lt;/p&gt;
&lt;p&gt;&lt;strong&gt;The query cannot be completed because the number of lookup columns it contains exceeds the lookup column threshold&lt;/strong&gt;&lt;/p&gt;
&lt;p&gt;&lt;a href="https://i.stack.imgur.com/2nYtm.png" rel="nofollow noreferrer"&gt;&lt;img src="https://i.stack.imgur.com/2nYtm.png" alt="enter image description here"&gt;&lt;/a&gt;&lt;/p&gt;
&lt;p&gt;I have read some article those says that sharepoint online 2013 supports only 12 lookup columns &lt;a href="https://blogs.msdn.microsoft.com/spses/2013/12/02/sharepoint-20102013-list-view-lookup-threshold-uncovered/" rel="nofollow noreferrer"&gt;Here the link&lt;/a&gt;.&lt;/p&gt;
&lt;p&gt;My List contains almost 15 People picker fields which causes this issue.
How should I removed this error. Any solution will be appreciated.&lt;/p&gt;
</t>
  </si>
  <si>
    <t xml:space="preserve">&lt;p&gt;I am building an app in Google App Maker and I am wondering how I can secure specific fields of a record to only make them visible to specific users / roles. Let's say for example that I have an Employee table containing the employee's name, surname, email and salary. I want all users to be able to see the name, surname and email but only admins to be able to see the employee salary. I can use the user roles to secure the UI, however my problem is that even when the employee salary does not appear in the UI it is still fetched from the server, therefore someone could still access it if they were determined enough (ex. by observing requests / responses).
Is there a way to secure specific fields of a relation based on user roles?&lt;/p&gt;
</t>
  </si>
  <si>
    <t xml:space="preserve">&lt;p&gt;Using calculated model (based on a server side script) is the best option here. That way, only the data that you need to show will be fetched. So in your case, as an example we can use a calculated model called &lt;strong&gt;EmployeeInfo&lt;/strong&gt; with the fields &lt;strong&gt;name&lt;/strong&gt; and &lt;strong&gt;salary&lt;/strong&gt;. The Server Script of that datasource can contain something like this:&lt;/p&gt;
&lt;pre&gt;&lt;code&gt;return getEmployeeInfo();
&lt;/code&gt;&lt;/pre&gt;
&lt;p&gt;Then on your server script you can have something like this:&lt;/p&gt;
&lt;pre&gt;&lt;code&gt;function getEmployeeInfo(){
  var userRoles = app.getActiveUserRoles(); 
  var query = app.models.Employees.newQuery();
  var allEmployees = query.run();
  var allRecs = [];
  for(var i=0; i&amp;lt;allEmployees.length; i++){
    var empInfo = app.models.EmployeeInfo.newRecord();
    var employee = allEmployees[i];
    empInfo.name = employee.name;
    if(userRoles.indexOf("Admins") &amp;gt; -1){
      empInfo.salary = employee.salary;
    }
    allRecs.push(userInfo);
  }
  return allRecs;
}
&lt;/code&gt;&lt;/pre&gt;
&lt;p&gt;That way you control if the salary will be returned only if it is an admin.&lt;/p&gt;
</t>
  </si>
  <si>
    <t xml:space="preserve">&lt;p&gt;I have a custom formula field &lt;strong&gt;Client name&lt;/strong&gt; and I am using the below sample formula to navigate to the external URL in the community.&lt;/p&gt;
&lt;pre&gt;&lt;code&gt;HYPERLINK('http://salesforce.com', 'Salesforce', '_self')
&lt;/code&gt;&lt;/pre&gt;
&lt;p&gt;It is opening in a new window instead of the current one, but I want it to open in the same window. &lt;/p&gt;
&lt;p&gt;I tried &lt;code&gt;_top&lt;/code&gt; and &lt;code&gt;_parent&lt;/code&gt; as well, but it didn't work for me. In internal salesforce, it is working as expected.&lt;/p&gt;
&lt;pre&gt;&lt;code&gt;IF(
AND(ISPICKVAL( Enrollment_Method__c , 'Online Enrollment'), 
NOT(Plan_Selection_Complete__c), 
ISPICKVAL(Status__c , 'Not Submitted') 
),
HYPERLINK("https://planconfirmationdev.benefitmall.com/planConfirmation/640338/0",Client_Link__c,"_self"),
IF(
AND(ISPICKVAL( Enrollment_Method__c , 'Online Enrollment'),
Plan_Selection_Complete__c,
ISPICKVAL(Status__c , 'Not Submitted')
),
HYPERLINK("https://bmall-enrollments.azurewebsites.net//canvas/ExternalLogin?enrollment_Id="+Id,Client_Link__c, "_self"),
IF(
OR(ISPICKVAL( Enrollment_Method__c , 'Manual Enrollment'),
ISPICKVAL(Status__c , 'Not Submitted') 
),
HYPERLINK("/s/enrollment/"+ Id+"/"+Name,Client_Link__c ),
HYPERLINK("/s/enrollment/"+ Id+"/"+Name,Client_Link__c )
)))
&lt;/code&gt;&lt;/pre&gt;
</t>
  </si>
  <si>
    <t xml:space="preserve">&lt;p&gt;I got the answer from Salesforce regarding the above issue. We need to activate a critical update to use Hyperlinks at the lightning platform.&lt;/p&gt;
&lt;p&gt;Go to &lt;code&gt;Setup &amp;gt;&amp;gt; Critical Update &amp;gt;&amp;gt; Lightning Experience Honors Target Values for Hyperlinks in Formula Fields &amp;gt;&amp;gt; Activate.&lt;/code&gt;&lt;/p&gt;
</t>
  </si>
  <si>
    <t xml:space="preserve">&lt;p&gt;I am working on a date problem.&lt;/p&gt;
&lt;p&gt;So, in the app I have a table that have some user records that includes a date of birth field (datetime sql type). The problem is that for some users whose date of birth is prior to 1954, the date is not properly reflected. &lt;/p&gt;
&lt;p&gt;For example, I have a user whose date of birth is &lt;strong&gt;11/08/1920&lt;/strong&gt; but when I set the date of birth via server script, it ends up with the value &lt;strong&gt;11/07/1920 23:23:24&lt;/strong&gt;.&lt;/p&gt;
&lt;p&gt;I am getting the date value from a spreadsheet and the server script looks like this: &lt;/p&gt;
&lt;pre&gt;&lt;code&gt;function importDOBs(){
  var allRecs = [];
  var ss = SpreadsheetApp.openById("adfsasdfasdfasdfasdfasdf");
  var sheet = ss.getActiveSheet();
  var data = sheet.getRange(2,4,sheet.getLastRow(),2).getValues();
  for(var i=0; i&amp;lt;5; i++){
    var row = data[i];
    var date = row[0];
    var oldMrn = row[1];
    var query = app.models.purgedRecords.newQuery();
    query.filters.oldMrn._equals = oldMrn;
    var record = query.run()[0];
    if(record){
      var dob = new Date(date);
      record.dateOfBirth = dob;
      allRecs.push(record);
    }
  }
  app.saveRecords(allRecs);
}
&lt;/code&gt;&lt;/pre&gt;
&lt;p&gt;These are the values in the spreadsheet (they are strings, not dates):&lt;/p&gt;
&lt;pre&gt;&lt;code&gt;1954-03-04T00:00:00
2014-03-01T00:00:00
1951-10-20T00:00:00
1920-11-08T00:00:00
1938-09-27T00:00:00
&lt;/code&gt;&lt;/pre&gt;
&lt;p&gt;However, somehow I'm always getting this:&lt;/p&gt;
&lt;p&gt;&lt;a href="https://i.stack.imgur.com/0tIy6.png" rel="nofollow noreferrer"&gt;&lt;img src="https://i.stack.imgur.com/0tIy6.png" alt="enter image description here"&gt;&lt;/a&gt;&lt;/p&gt;
&lt;p&gt;As you see, there is a discrepancy on the dates that are prior to 1954. So far, I have tried other things such as changing this part:&lt;/p&gt;
&lt;pre&gt;&lt;code&gt;if(record){
  var dob = new Date(date);
  record.dateOfBirth = dob;
  allRecs.push(record);
}
&lt;/code&gt;&lt;/pre&gt;
&lt;p&gt;to this:&lt;/p&gt;
&lt;pre&gt;&lt;code&gt;if(record){
  var dob = Utilities.formatDate(new Date(date),"GMT","yyyy-MM-dd'T'HH:mm:ss'Z'");
  var birthDate = new Date(dob);
  record.dateOfBirth = birthDate;
  allRecs.push(record);
}
&lt;/code&gt;&lt;/pre&gt;
&lt;p&gt;and the above resulted in the same thing. I have tried other dates after 1954 and they also seem wrong. For example &lt;strong&gt;05/19/1968&lt;/strong&gt; reflects &lt;strong&gt;05/18/1968 23:00:00&lt;/strong&gt;. So my best guess so far this has to do something with the daylight savings, perhaps?&lt;/p&gt;
</t>
  </si>
  <si>
    <t xml:space="preserve">&lt;p&gt;I have a question around connecting PowerApps to an Azure API Management which is in ASE. Also the ASE is internal and not exposed to Internet. The PowerApps application we want to develop is also for our Internal use only and need not be exposed externally. &lt;/p&gt;
&lt;p&gt;So my question is that can we have a PowerApps application connecting to an API Management which is Internal?&lt;/p&gt;
</t>
  </si>
  <si>
    <t xml:space="preserve">&lt;p&gt;If I understand correctly, you could create another VNET, add APIM into that VNET using internal mode (this will block access to APIM from outside of VNET), and setup peering between APIM's VNET and ASE's VNET. Then your whole infrastructure will not be accessible from outside, but APIM will be able to talk to ASE and other way around.&lt;/p&gt;
</t>
  </si>
  <si>
    <t xml:space="preserve">&lt;p&gt;Does anyone know how to pass checked value to checkbox in Lightning Web Component? &lt;/p&gt;
&lt;p&gt;My code looks like:&lt;/p&gt;
&lt;p&gt;&lt;div class="snippet" data-lang="js" data-hide="false" data-console="true" data-babel="false"&gt;
&lt;div class="snippet-code"&gt;
&lt;pre class="snippet-code-js lang-js prettyprint-override"&gt;&lt;code&gt;import { LightningElement, track } from 'lwc';
export default class MyComponent extends LightningElement {
    @track isChecked;
    constructor() {
        super();
        isChecked = false;
    }   
}&lt;/code&gt;&lt;/pre&gt;
&lt;pre class="snippet-code-html lang-html prettyprint-override"&gt;&lt;code&gt;&amp;lt;template&amp;gt;
    &amp;lt;lightning-card title="My Card" icon-name="custom:custom9"&amp;gt;
        &amp;lt;div class="slds-m-around_medium"&amp;gt;
                &amp;lt;lightning-input type="checkbox" label="my checkbox" name="input1" checked="{isChecked}"&amp;gt;&amp;lt;/lightning-input&amp;gt;
        &amp;lt;/div&amp;gt;
    &amp;lt;/lightning-card&amp;gt;    
&amp;lt;/template&amp;gt;&lt;/code&gt;&lt;/pre&gt;
&lt;/div&gt;
&lt;/div&gt;
&lt;/p&gt;
&lt;p&gt;and it doesn't work.&lt;/p&gt;
</t>
  </si>
  <si>
    <t xml:space="preserve">&lt;p&gt;The data source in PowerApps gallery was a SQL View.&lt;/p&gt;
&lt;pre&gt;&lt;code&gt;Search('[dbo].[vwCandidate]', textSearchCandidate.Text, "NameLast", "NameFirst", "MiscellaneousTags", "EmailAddress", "PhoneNumber")
&lt;/code&gt;&lt;/pre&gt;
&lt;p&gt;The selected record populated a global variable for the form item.&lt;/p&gt;
&lt;pre&gt;&lt;code&gt;Set(varCandidate, gallerySearchResults.Selected)
&lt;/code&gt;&lt;/pre&gt;
&lt;p&gt;Everything works as expected.  Then, I changed the data source to use a stored procedure to move the search from PowerApps to SQL server. After doing so I received the error message &lt;/p&gt;
&lt;blockquote&gt;
  &lt;p&gt;"Incompatible Type. We can't evaluate your formula because the context
  variable types are incompatible with the types of the values in other
  places in your app"&lt;/p&gt;
&lt;/blockquote&gt;
&lt;p&gt;I cannot revert back to the view that was working without getting the same error. I'm hoping my only option is NOT to use a new variable and change every occurrence in the form/App. I'd like to avoid this if possible.&lt;/p&gt;
&lt;p&gt;I cannot view the form so I'm not sure how to debug properly. My hunch is the date fields being returned via Flow are causing the problem. They are 'smalldatetime' types and the Flow is returning a string '&lt;code&gt;yyyy-mm-ddThh:mm:ss.000&lt;/code&gt;' even though 'date' is being requested.&lt;/p&gt;
&lt;pre&gt;&lt;code&gt;"PhoneNumber": {
  "type": "string"
},
"CandidateStatus": {
  "type": "string"
},
"DateApplied": {
  "type": "string",
  "format": "date"
},
&lt;/code&gt;&lt;/pre&gt;
&lt;p&gt;Flow JSON here does not seem to like any of the other 'date' format types.&lt;/p&gt;
&lt;p&gt;Are there any workarounds from Flow?  Should I reformat the date values when I am setting the global variable?  Advice?&lt;/p&gt;
</t>
  </si>
  <si>
    <t xml:space="preserve">&lt;p&gt;Turns out, I was on the right track thinking that the DATE data type coming from Flow as a string.  Here's why:&lt;/p&gt;
&lt;p&gt;A new record was created using a Patch function while setting the global variable:&lt;/p&gt;
&lt;pre&gt;&lt;code&gt;Set(varCandidate, Patch('[dbo].[candidate]', Defaults('[dbo].[candidate]'), {DateApplied: DateTimeValue(Text(Now())), CreatedDate:DateTimeValue(Text(Now())), CreatedBy:varUser.Email}))
&lt;/code&gt;&lt;/pre&gt;
&lt;p&gt;The "DateApplied" field was a "DATE" type in the SQL table and it was coming from Flow as a string "2019-03-13T17:40:52.000".  The recordset from Flow was being set to the same global variable when I wanted to edit the record&lt;/p&gt;
&lt;pre&gt;&lt;code&gt;Set(varCandidate, gallerySearchResults.Selected)
&lt;/code&gt;&lt;/pre&gt;
&lt;p&gt;The error "Incompatible Type" (see question for full error message) was due to this field being a "Date Value" in a new record and a "string" in an edit record.&lt;/p&gt;
&lt;p&gt;My fix is to remove this "Date" type fields from the patch and modify the Flow to retrieve the newly created record record by ID.&lt;/p&gt;
</t>
  </si>
  <si>
    <t xml:space="preserve">&lt;p&gt;I am trying to find documentation on this topic with no luck yet. I recently started a new position where I do a little of salesforce. My employer wants to terminate a contract with a third party (monetate), and they would like me to remove the monetate salesforce integration.&lt;/p&gt;
&lt;p&gt;Does anybody knows how to delete a cartridge in Salesforce? or where I can find decent documentation?&lt;/p&gt;
&lt;p&gt;Regards,
Natalia&lt;/p&gt;
</t>
  </si>
  <si>
    <t xml:space="preserve">&lt;p&gt;I have inherited a PowerApps Canvas app that uses SQL Server as it's data source. The tables involved are Customer, Project and Work Order. &lt;/p&gt;
&lt;p&gt;I’m building a Create Work Order Screen that requires the Customer ID, Project ID and Work Order Item IDs. The tables have foreign key relationships. How do I add all required tables as a collective data source?  It seems that Canvas PowerApps are limited to single entities but need to confirm this. &lt;/p&gt;
</t>
  </si>
  <si>
    <t xml:space="preserve">&lt;p&gt;Looks like by enabling some Experimental switch, you can achieve this.&lt;/p&gt;
&lt;p&gt;Basically you have to add extra screens, Data sources and then simple formula will do the trick for you to set/filter/choose the related records.&lt;/p&gt;
&lt;blockquote&gt;
  &lt;p&gt;Reversing the Relationship: One-to-Many&lt;br&gt;
  For every Many-to-One relationship, there is a corresponding One-to-Many when coming from the other direction.  Making the One-to-Many relationship easily accessible is the feature we are introducing this week.&lt;br&gt;
  To get started, go to the File menu, App settings, Advanced settings, scroll to end of the list, and turn this switch on:&lt;/p&gt;
  &lt;p&gt;&lt;a href="https://i.stack.imgur.com/sDbNf.png" rel="nofollow noreferrer"&gt;&lt;img src="https://i.stack.imgur.com/sDbNf.png" alt="enter image description here"&gt;&lt;/a&gt;&lt;/p&gt;
&lt;/blockquote&gt;
&lt;p&gt;&lt;a href="https://powerapps.microsoft.com/en-us/blog/one-to-many-relationships-for-canvas-apps/" rel="nofollow noreferrer"&gt;One-to-Many Relationships for Canvas apps&lt;/a&gt; &lt;/p&gt;
</t>
  </si>
  <si>
    <t xml:space="preserve">&lt;p&gt;I have an error and i cant seem to resolve it:&lt;/p&gt;
&lt;pre&gt;&lt;code&gt;Type mismatch: element at [0] should be string, but was: undefined Error: 
Type mismatch: element at [0] should be string, but was: undefined at 
datasources.SitesByld.script:1
Executing query for datasource SitesByld: (Error) : Type mismatch: element 
at [0] should be string, but was: undefined
at datasources.SitesByld.script:1
at Object.success (AppStart:11:14)
Executing query for datasource SitesByld failed.
var record = 
app.models.Sites.getRecord(query.parameters.SitesId);
if (record !== null) {
return [record];
}
return [];
&lt;/code&gt;&lt;/pre&gt;
&lt;p&gt;I am fairly new to coding so forgive me if this is simple&lt;/p&gt;
</t>
  </si>
  <si>
    <t xml:space="preserve">&lt;p&gt;This is a call for advice as I'm not sure how to tackle the brief issue I have. I've created a basic time-logging app in App Maker, link to previous notes on it here:&lt;/p&gt;
&lt;p&gt;&lt;a href="https://stackoverflow.com/questions/54829314/google-app-maker-add-a-button-for-timestamp-collection-in-the-onclick-method/54867905#54867905"&gt;Stack Overflow Link&lt;/a&gt;&lt;/p&gt;
&lt;p&gt;Attached here also is the main user interface (screenshot) to give an idea of how the user interacts with it:&lt;/p&gt;
&lt;p&gt;&lt;a href="https://i.stack.imgur.com/Yy9kg.jpg" rel="nofollow noreferrer"&gt;Gate Pass App&lt;/a&gt;&lt;/p&gt;
&lt;p&gt;My initial issue is that the app is intended to log both the time the user logs out (to leave the workplace to run an errand) and the time in (when the user returns to the workplace). As the buttons timestamp when pressed, if the user is away for an extended period (a few hours) and the app is minimised, they cannot enter their return time on the same record.&lt;/p&gt;
&lt;p&gt;I'm not sure if this is easily solved with some scripting, or the approach to how to the app is used is wrong for the app maker platform? Advice/help is most welcome!&lt;/p&gt;
</t>
  </si>
  <si>
    <t xml:space="preserve">&lt;p&gt;For anyone interested, I solved this over on the Google Groups page, link here &lt;a href="https://groups.google.com/forum/#!topic/appmaker-users/zwEruzuGTNY" rel="nofollow noreferrer"&gt;Google Groups - App Maker Users&lt;/a&gt;&lt;/p&gt;
</t>
  </si>
  <si>
    <t xml:space="preserve">&lt;p&gt;I try to add record to lead, and its work fine, but inserted record not updated a created_by and modified_by name.&lt;/p&gt;
&lt;pre&gt;&lt;code&gt;$bulkStatus = ZohoCrm::addLeadsRecord([
                'Email' =&amp;gt; $model-&amp;gt;email,
                'First_Name' =&amp;gt; $model-&amp;gt;full_name,
                'Description' =&amp;gt; $model-&amp;gt;message,
                'Phone' =&amp;gt; $model-&amp;gt;phone,
                'Country' =&amp;gt; $model-&amp;gt;country,
                'Last_Name' =&amp;gt; $model-&amp;gt;full_name,
                'Created_By' =&amp;gt; ["name" =&amp;gt; "Hadi", "id" =&amp;gt; "xxxxxxxxxxxxxxxxxx"],
                'Modified_By' =&amp;gt; ["name" =&amp;gt; "Hadi", "id" =&amp;gt; "xxxxxxxxxxxxxxxxxx"],
                '$gclid' =&amp;gt; isset($_POST['zc_gad']) ? $_POST['zc_gad'] : 'Undefined!',
                "Owner" =&amp;gt; [
                        "id" =&amp;gt; "xxxxxxxxxxxxxxxxxx",
                        "name" =&amp;gt; "Hadi"
],
"Lookup" =&amp;gt; [
        "id" =&amp;gt; "xxxxxxxxxxxxxxxxxx",
        "name" =&amp;gt; "Hadi"
],
&lt;/code&gt;&lt;/pre&gt;
&lt;p&gt;Note: I try this too but not work too&lt;/p&gt;
&lt;pre&gt;&lt;code&gt;'Created_By' =&amp;gt; "xxxxxxxxxxxxxxxxxx",
'Modified_By' =&amp;gt; "xxxxxxxxxxxxxxxxxx",
&lt;/code&gt;&lt;/pre&gt;
</t>
  </si>
  <si>
    <t xml:space="preserve">&lt;p&gt;3 Standard Objects: A, B, C&lt;/p&gt;
&lt;ol&gt;
&lt;li&gt;A has a field f1 lookup with B object.&lt;/li&gt;
&lt;li&gt;B has a field f2 lookup with C object.&lt;/li&gt;
&lt;li&gt;C has a field f3 which is a text.&lt;/li&gt;
&lt;/ol&gt;
&lt;p&gt;How to access f3 field value through Object A?&lt;/p&gt;
</t>
  </si>
  <si>
    <t xml:space="preserve">&lt;p&gt;I have a python script running with Drive v3 and i was playing around with the Google AppMaker tool, I am actually running the advanced services on it which I just found out it runs on v2 (?!) which breaks my previous setup. Do you know if there's any possibility to run it on v3 somehow?&lt;/p&gt;
</t>
  </si>
  <si>
    <t xml:space="preserve">&lt;p&gt;What I'm currently doing is that on the Property Editor of my dropdown widget, on the Event Section using the &lt;code&gt;onValueEdit&lt;/code&gt; function,  I'm trying to create a custom action script which will give a value to my textbox (using &lt;strong&gt;widget.root.descendants.NameOfMyTextbox.value&lt;/strong&gt;) depending on the selected value of my dropdown.&lt;/p&gt;
&lt;p&gt;The values of my dropdown are the IDs stored in my MySql database table &lt;strong&gt;Process&lt;/strong&gt;, for example: &lt;code&gt;ID = 1, name = Assembly, manager = George&lt;/code&gt;. For the textbox, I would like to get another table field value depending on the selected value of my dropdown through a &lt;strong&gt;select&lt;/strong&gt; statement (like getting the manager value). What kind of app maker queries or functions should be useful in this case? &lt;/p&gt;
</t>
  </si>
  <si>
    <t xml:space="preserve">&lt;p&gt;If your dropdown option binding is &lt;code&gt;@datasources.Process.items&lt;/code&gt; then your &lt;code&gt;onValueEdit&lt;/code&gt; event simply needs to be:&lt;/p&gt;
&lt;pre&gt;&lt;code&gt;widget.root.descendants.NameOfMyTextbox.value = newValue.manager;
&lt;/code&gt;&lt;/pre&gt;
&lt;p&gt;This would be the only way to set this up however, because this way the options are pointing to your entire record in the Process table and upon selection you can get any other field from that record using &lt;code&gt;newValue.YourField&lt;/code&gt;.&lt;/p&gt;
</t>
  </si>
  <si>
    <t xml:space="preserve">&lt;p&gt;I am working with a lightning:treegrid component.
The onrowselection attribute of lightning:treegrid invokes a method on js controller whenever a row is selected/deselected.
I am able to fetch the currently selected rows using the getSelectedRows() method.
But if I deselect a row, I am not able to find its Id or row data (which is deselected) in the js controller.&lt;/p&gt;
&lt;p&gt;Aura:&lt;/p&gt;
&lt;pre&gt;&lt;code&gt;&amp;lt;lightning:treeGrid columns="{!v.gridColumns}"
                                data="{!v.gridData}"
                                keyField="idRef"
                                aura:id="productTree"
                                expandedRows="{! v.gridExpandedRows }"
                                onrowselection="{! c.getSelectedRows}"
                                ontoggle = "{!c.handleToggle}"
                                selectedRows = "{!v.selectedIds}"
                                isLoading="{! v.isLoading }"
                                /&amp;gt;
&lt;/code&gt;&lt;/pre&gt;
&lt;p&gt;JS:&lt;/p&gt;
&lt;pre&gt;&lt;code&gt;getSelectedRows: function(cmp, event, helper) {
   //get selected rows
    var curRows = event.getParam('selectedRows');
   //how to get the row that is deselected
}
&lt;/code&gt;&lt;/pre&gt;
&lt;p&gt;Can anyone please help?&lt;/p&gt;
</t>
  </si>
  <si>
    <t xml:space="preserve">&lt;p&gt;I'm creating a custom function in zoho books that will create a record in zoho creator using payment record information from zoho books.  I've been able to successfully create a record in zoho creator but I'm unable to get the invoice_id from the customer_payment map.&lt;/p&gt;
&lt;p&gt;Unfortunately, there's no error being thrown.&lt;/p&gt;
&lt;p&gt;Below is the code:&lt;/p&gt;
&lt;pre&gt;&lt;code&gt;paymentMap = Map();
//set order to payment invoice id - this is not working
paymentMap.put("Order",customer_payment.get("invoices[0].invoice_id"));
paymentMap.put("Description",customer_payment.get("card_type"));
paymentMap.put("Payment_ZB_ID",customer_payment.get("payment_id"));
response = zoho.creator.createRecord("XXXXX","XX","Payment",paymentMap);
info response;
&lt;/code&gt;&lt;/pre&gt;
&lt;p&gt;Below is the map that is available:&lt;/p&gt;
&lt;pre&gt;&lt;code&gt;customer_payment
{
 "payment_id": "11111111111111111",
 "payment_number": "1",
 "payment_number_prefix": "",
 "payment_number_suffix": "1",
 "documents": [],
 "customer_id": "11111111111111111",
 "customer_name": "John Doe",
 "payment_mode": "Stripe",
 "card_type": "visa",
 "card_type_formatted": "Visa",
 "date": "2019-03-04",
 "date_formatted": "03/04/2019",
 "account_id": "11111111111111111",
 "account_name": "Stripe Clearing",
 "account_type": "payment_clearing",
 "account_type_formatted": "Payment Clearing Account",
 "currency_id": "11111111111111111",
 "currency_code": "USD",
 "exchange_rate": 1,
 "exchange_rate_formatted": "$1.00",
 "amount": 1,
 "amount_formatted": "$1.00",
 "unused_amount": 0,
 "unused_amount_formatted": "$0.00",
 "bank_charges": 0.33,
 "bank_charges_formatted": "$0.33",
 "tax_account_id": "",
 "is_client_review_settings_enabled": false,
 "tax_account_name": "",
 "tax_amount_withheld": 0,
 "tax_amount_withheld_formatted": "$0.00",
 "discount_amount": 0,
 "discount_amount_formatted": "$0.00",
 "description": "Stripe processing fees : $0.33 ",
 "reference_number": "12345",
 "online_transaction_id": "12345",
 "settlement_status": "",
 "settlement_status_formatted": "",
 "invoices": [
  {
   "invoice_number": "11111111111111111",
   "invoice_payment_id": "11111111111111111",
   "invoice_id": "11111111111111111",
   "amount_applied": 1,
   "amount_applied_formatted": "$1.00",
   "tax_amount_withheld": 0,
   "tax_amount_withheld_formatted": "$0.00",
   "discount_amount": 0,
   "discount_amount_formatted": "$0.00",
   "total": 1,
   "total_formatted": "$1.00",
   "balance": 0,
   "balance_formatted": "$0.00",
   "date": "2019-03-04",
   "date_formatted": "03/04/2019",
   "due_date": "2019-03-04",
   "due_date_formatted": "03/04/2019",
   "price_precision": 2,
   "apply_date": "",
   "apply_date_formatted": ""
  }
 ],
 "payment_refunds": [],
 "last_four_digits": "1234",
 "template_id": "11111111111111111",
 "template_name": "Elite Template",
 "page_width": "8.27in",
 "page_height": "11.69in",
 "orientation": "portrait",
 "template_type": "elite",
 "template_type_formatted": "Elite",
 "attachment_name": "",
 "can_send_in_mail": true,
 "can_send_payment_sms": false,
 "is_payment_details_required": true,
 "custom_fields": [],
 "custom_field_hash": {},
 "imported_transactions": []
}
&lt;/code&gt;&lt;/pre&gt;
</t>
  </si>
  <si>
    <t xml:space="preserve">&lt;p&gt;Lightning Component:
I have component which is showing Account list upto 50 records in each page using pagination and also i am doing inline editing of account records to save records at once.I have one show contacts action button so
when i click on show contacts action button it must return contact list of that particular account record based on account Id but it is not returning why???&lt;/p&gt;
&lt;pre&gt;&lt;code&gt;&amp;lt;aura:component implements="force:appHostable,flexipage:availableForAllPageTypes" access="global" controller="AccountList1Controller"&amp;gt;
&amp;lt;aura:attribute name="data" type="Object"/&amp;gt;
&amp;lt;aura:attribute name="columns" type="List"/&amp;gt;
&amp;lt;aura:attribute name="pageNumber" type="Integer" default="1"/&amp;gt;
&amp;lt;aura:attribute name="pageSize" type="Integer" default="50"/&amp;gt;
&amp;lt;aura:attribute name="isLastPage" type="Boolean" default="false"/&amp;gt;
&amp;lt;aura:attribute name="dataSize" type="Integer" default="0"/&amp;gt; 
&amp;lt;aura:attribute name="recordId" type="String"/&amp;gt;
&amp;lt;!-- This attribute will hold the update records from data table--&amp;gt;
&amp;lt;aura:attribute name="updatedRecord" type="Object[]" /&amp;gt;  
&amp;lt;aura:handler name="init" action="{!c.doInit}" value="{!this}"/&amp;gt;
&amp;lt;div class="slds-m-around_xx-large"&amp;gt;
    &amp;lt;div class="slds-clearfix"&amp;gt;
        &amp;lt;div class="slds-page-header" role="banner"&amp;gt;
            &amp;lt;p class="slds-page-header__title"&amp;gt;Accounts&amp;lt;/p&amp;gt;
        &amp;lt;/div&amp;gt;
    &amp;lt;/div&amp;gt;
      &amp;lt;lightning:card title="Account Editable Datatable"&amp;gt;
    &amp;lt;lightning:datatable aura:id = "accDT"
                         columns = "{!v.columns}"
                         maxRowSelection="{!v.maxRowSelection}"
                         data = "{!v.data}"
                         keyField = "Id"
                         selectedRows = "{!v.selectedRowList}"                             
                         onsave ="{!c.onSave}"
                         onrowaction="{!c.handleRowAction}"
                         hideCheckboxColumn="true"/&amp;gt;
     &amp;lt;/lightning:card&amp;gt;
    &amp;lt;div class="slds-clearfix"&amp;gt;
        &amp;lt;div class="slds-page-header" role="banner"&amp;gt;
            &amp;lt;div class="slds-float_right"&amp;gt;            
                &amp;lt;lightning:button label="Prev" iconName="utility:chevronleft" iconPosition="left"
                                  onclick="{!c.handlePrev}" disabled="{! v.pageNumber == 1}"/&amp;gt;
                &amp;lt;lightning:button label="Next" iconName="utility:chevronright" iconPosition="right"
                                  disabled="{! v.isLastPage}" onclick="{!c.handleNext}"/&amp;gt;
            &amp;lt;/div&amp;gt;
            &amp;lt;p class="slds-page-header__title"&amp;gt;Page {!v.pageNumber} | Showing records from {! ((v.pageNumber-1)*v.pageSize)+' to '+((v.pageNumber-1)*v.pageSize+v.dataSize)}&amp;lt;/p&amp;gt;
        &amp;lt;/div&amp;gt;
    &amp;lt;/div&amp;gt;
&amp;lt;/div&amp;gt;
&lt;/code&gt;&lt;/pre&gt;
&lt;p&gt;&lt;/p&gt;
&lt;p&gt;Controller.js&lt;/p&gt;
&lt;pre&gt;&lt;code&gt;({
doInit : function(component, event, helper) {        
    helper.getColumnAndAction(component);
    helper.getAccounts(component, helper);
},
/*
 * This function is calling saveDataTable helper function
 * to save modified records
 * */
onSave : function (component, event, helper) {
  //  debugger;
    helper.saveDataTable(component, event,helper);
},
handleNext : function(component, event, helper) { 
    var pageNumber = component.get("v.pageNumber");
    component.set("v.pageNumber", pageNumber+1);
    helper.getAccounts(component, helper);
},
handlePrev : function(component, event, helper) {        
    var pageNumber = component.get("v.pageNumber");
    component.set("v.pageNumber", pageNumber-1);
    helper.getAccounts(component, helper);
},
handleRowAction: function (component, event, helper) {
    var action = event.getParam('action');
    switch (action.name) {
        case 'edit':
            helper.editRecord(component, event);
            break;
          case 'Show Contacts':
            helper.showPopup(component, event);
            break;  
    }
}
})
&lt;/code&gt;&lt;/pre&gt;
&lt;p&gt;Helper.js&lt;/p&gt;
&lt;pre&gt;&lt;code&gt; ({
 getColumnAndAction : function(component) {
    var actions = [
        {label: 'Edit', name: 'edit'},           
        {label: 'Show Contacts', title: 'Show Contacts' , 
         variant:"brand" ,onclick:"{!c.openModel}" }
    ];
    component.set('v.columns', [
        {label: 'Name', fieldName: 'Name', editable:'true', type: 'text'},
        {label: 'Billing Address', fieldName: 'BillingCity',editable:'true', type: 'text'},            
        {type: 'action', typeAttributes: { rowActions: actions } } 
    ]);
},
  getAccounts : function(component, helper) {
    var action = component.get("c.getAccounts");
    var pageSize = component.get("v.pageSize").toString();
    var pageNumber = component.get("v.pageNumber").toString();
    action.setParams({
        'pageSize' : pageSize,
        'pageNumber' : pageNumber
    });
    action.setCallback(this,function(response) {
        var state = response.getState();
        if (state === "SUCCESS") {
            var resultData = response.getReturnValue();
            if(resultData.length &amp;lt; component.get("v.pageSize")){
                component.set("v.isLastPage", true);
            } else{
                component.set("v.isLastPage", false);
            }
            component.set("v.dataSize", resultData.length);
            component.set("v.data", resultData);
        }
    });
    $A.enqueueAction(action);
},
  /*
 * This function get called when user clicks on Save button
 * user can get all modified records
 * and pass them back to server side controller
 * */
saveDataTable : function(component, event, helper) {
  //  debugger;
    var editedRecords =  component.find("accDT").get("v.draftValues");
   // var editedRecords = component.get("v.data");
    var totalRecordEdited = editedRecords.length;
    var action = component.get("c.updateAccounts");
    console.log("action",editedRecords);
    action.setParams({
        'editedAccountList' : editedRecords
    });
    console.log("totalRecordEdited" ,totalRecordEdited);
    action.setCallback(this,function(response) {
        var state = response.getState();
        if (state === "SUCCESS") {
            //if update is successful
            if(response.getReturnValue() === true){
                helper.showToast({
                    "title": "Record Update",
                    "type": "success",
                    "message": totalRecordEdited+" Account Records Updated"
                });
                helper.reloadDataTable();
            } else{ //if update got failed
                helper.showToast({
                    "title": "Error!!",
                    "type": "error",
                    "message": "Error in update"
                });
            }
        }
    });
    $A.enqueueAction(action);
},
 /*
 * Show toast with provided params
 * */
showToast : function(params){
    var toastEvent = $A.get("e.force:showToast");
    if(toastEvent){
        toastEvent.setParams(params);
        toastEvent.fire();
    } else{
        alert(params.message);
    }
},
/*
 * reload data table
 * */
reloadDataTable : function(){
var refreshEvent = $A.get("e.force:refreshView");
    if(refreshEvent){
        refreshEvent.fire();
    }
}, 
editRecord : function(component, event) {
    var row = event.getParam('row');
    var recordId = row.Id;
    var editRecordEvent = $A.get("e.force:editRecord");
    editRecordEvent.setParams({
        "recordId": recordId
    });
    editRecordEvent.fire();
},    
  gotoList : function (component, event, helper) {
   var row = event.getParam('row');
    var recordId = row.Id;
var action = component.get("c.contactList");
action.setCallback(this, function(response){
    var state = response.getState();
    if (state === "SUCCESS") {
        var listviews = response.getReturnValue();
      //  var navEvent = $A.get("e.force:navigateToList");
       // navEvent.setParams({
          //  "listViewId": listviews.Id,
         ////   "listViewName": null,/
         //   "scope": "Contact"
     //   });
       // navEvent.fire();
    }
});
$A.enqueueAction(action);
},
showPopup : function(component, event, helper){
    var cmpTarget = component.find('Modalbox');
    var cmpBack = component.find('Modalbackdrop');
    $A.util.addClass(cmpTarget, 'slds-fade-in-open');
    $A.util.addClass(cmpBack, 'slds-backdrop--open'); 
    var rowRecord = event.getSource().get('v.value');
    console.log('rowRecord---&amp;gt;&amp;gt;&amp;gt; ' + JSON.stringify(rowRecord));        
    //component.set('v.accdata',rowRecord);
    var action = component.get('c.fetchCon');
    action.setParams({rid : rowRecord.Id});
    action.setCallback(this, function(response){
        var state = response.getState();
        if(state === "SUCCESS"){
            var allValues = response.getReturnValue();
            console.log("allValues---&amp;gt;&amp;gt;&amp;gt; " + allValues);
            component.set('v.mydata1', allValues);
        }
        else if(state === "ERROR") {
            var errors = response.getError();
            if(errors){
                if(errors[0] &amp;amp;&amp;amp; errors[0].message){
                    console.log("Error Message: " + errors[0].message);
                }
            }
            else{
                console.log("Unknown Error");
            }
        }
    });
    $A.enqueueAction(action);
}
  })
&lt;/code&gt;&lt;/pre&gt;
&lt;p&gt;Apex Code:&lt;/p&gt;
&lt;pre&gt;&lt;code&gt;public class AccountList1Controller {
 //Get Account Records
@AuraEnabled
public static List&amp;lt;Account&amp;gt; getAccounts(String pageSize, String pageNumber){
    Integer psize = Integer.valueOf(pageSize);
    Integer pnumber = Integer.valueOf(pageNumber)-1;
    List&amp;lt;Account&amp;gt; accList = [SELECT Id, Name, BillingCity
                              FROM Account LIMIT :Integer.valueOf(psize) 
 OFFSET :(psize*pnumber)];
    return accList;
}
@AuraEnabled
public static boolean updateAccounts(List&amp;lt;Account&amp;gt; editedAccountList){
    try{
        update editedAccountList;
        return true;
    } catch(Exception e){
        return false;
    }
}
//Delete Account
@AuraEnabled
public static void deleteAccount(Account acc){
    Delete acc;
} 
@AuraEnabled
public static List&amp;lt;Contact&amp;gt;  fetchCon(String rid){
   return [SELECT Id, Name, Phone FROM Contact WHERE accountId=:rid];
}
 }
&lt;/code&gt;&lt;/pre&gt;
</t>
  </si>
  <si>
    <t xml:space="preserve">&lt;p&gt;I have this code:&lt;/p&gt;
&lt;p&gt;Client script:&lt;/p&gt;
&lt;pre&gt;&lt;code&gt;function sendMessage() {  
var page = app.pages.PAGE1.root.descendants;
  google.script.run
  .sendDate(page.date.value);
}
&lt;/code&gt;&lt;/pre&gt;
&lt;p&gt;Server script:&lt;/p&gt;
&lt;pre&gt;&lt;code&gt;function sendDate(date) {
  var doc=DocumentApp.create('document');
  doc.getBody().appendParagraph('TEXT ' +date);
  doc.saveAndClose();
  var url=doc.getUrl();    
  var email=Session.getActiveUser().getEmail();
  MailApp.sendEmail(email, doc.getName(), 'Link to your  doc: ' +doc.getUrl()); 
}
&lt;/code&gt;&lt;/pre&gt;
&lt;p&gt;But, when I run I have an error.&lt;/p&gt;
&lt;p&gt;Please help me.&lt;/p&gt;
</t>
  </si>
  <si>
    <t xml:space="preserve">&lt;p&gt;I recently ran into a problem using Charts JS in Lightning web components. I wanted to share a solution I found for those who run into problems&lt;/p&gt;
&lt;p&gt;How to manually handle data changes in a child component when they are updated on the parent. This will work with everything but I was trying to update the Chartsjs example they show.&lt;/p&gt;
</t>
  </si>
  <si>
    <t xml:space="preserve">&lt;p&gt;I'm trying to achieve a wall-like view using Accordion. I have items that have a date and I would like to achieve this display :&lt;/p&gt;
&lt;pre&gt;&lt;code&gt;TODAY
Item A
Item B
Item C
THIS WEEK
Item D
Item E
PAST
Item F
Item G
&lt;/code&gt;&lt;/pre&gt;
&lt;p&gt;I used Accordion List to successfully display all my days with their dates:&lt;/p&gt;
&lt;pre&gt;&lt;code&gt;Date A
Item A
Date B
Item B
...
&lt;/code&gt;&lt;/pre&gt;
&lt;p&gt;I would like now to display &lt;strong&gt;Date B&lt;/strong&gt; only if &lt;strong&gt;Date B&lt;/strong&gt; &amp;lt;&gt; &lt;strong&gt;Date A&lt;/strong&gt; so that I can achieve a grouping by date. The previous example becomes: &lt;/p&gt;
&lt;pre&gt;&lt;code&gt;Date A
Item A
Item B
&lt;/code&gt;&lt;/pre&gt;
&lt;p&gt;But I can't figure out how to reach the value of &lt;strong&gt;Date A&lt;/strong&gt; from &lt;strong&gt;Date B&lt;/strong&gt; as they are in different items.&lt;/p&gt;
&lt;p&gt;I tried with itemIndex but I can't manage to get the previous value. &lt;a href="https://developers.google.com/appmaker/ui/layout-widgets#accordion" rel="nofollow noreferrer"&gt;Google App Maker doc&lt;/a&gt; says that: &lt;/p&gt;
&lt;blockquote&gt;
  &lt;p&gt;The accordion is a ListPanel with a detailed view that expands below the selected row. This detailed view is edited as a prototype, like the main row view. During runtime, one row is shown per item in the accordion's datasource. The datasource for that row is a special single item datasource pointing to the corresponding item in the Accordion's datasource. The detail row is also given this special datasource. This allows the prototype row to access the current row's item with the '@datasource.item' syntax.&lt;/p&gt;
&lt;/blockquote&gt;
&lt;p&gt;But I can't get to navigate trough the item list at all. Any thought?&lt;/p&gt;
</t>
  </si>
  <si>
    <t xml:space="preserve">&lt;p&gt;I am building an area chart using the D3 Library, and I used their &lt;a href="https://observablehq.com/@d3/area-chart" rel="nofollow noreferrer"&gt;area chart&lt;/a&gt; example to help me construct it. However, I am not using dates as along the x-axis, instead I am using Strings, so I tried using their &lt;a href="https://observablehq.com/@d3/bar-chart" rel="nofollow noreferrer"&gt;bar chart&lt;/a&gt; example to help me handle the xAxis and its values.&lt;/p&gt;
&lt;p&gt;Due to this, though, my x axis tick marks are "centered" between two value points, rather than being left aligned (see image below).&lt;/p&gt;
&lt;p&gt;&lt;a href="https://i.stack.imgur.com/SGEr1.png" rel="nofollow noreferrer"&gt;&lt;img src="https://i.stack.imgur.com/SGEr1.png" alt="Sample Area Chart"&gt;&lt;/a&gt;&lt;/p&gt;
&lt;p&gt;When I tried using the area chart example to construct the xAxis, I was not seeing any area being filled or any data points along the xAxis. &lt;/p&gt;
&lt;p&gt;How can I move the tick marks to be aligned directly on the data point rather than centered between two different data points?&lt;/p&gt;
&lt;p&gt;Here is what my code looks like when constructing the graph":&lt;/p&gt;
&lt;pre&gt;&lt;code&gt;    sampleAreaData = [
        {"month": "Jun. 2018", "value": "2"},
        {"month": "Jul. 2018", "value": "12"},
        {"month": "Aug. 2018", "value": "33"},
        {"month": "Sept. 2018", "value": "100"},
        {"month": "Oct. 2018", "value": "150"},
        {"month": "Nov. 2018", "value": "368"},
        {"month": "Dec. 2018", "value": "404"},
        {"month": "Jan. 2019", "value": "482"},
        {"month": "Feb. 2019", "value": "559"},
    ]
    initializeSampleAreaGraph() {
        // Variables
        const svg = d3.select(this.template.querySelector('svg.sampleAreaGraph'));
        const width = this.svgSampleAreaWidth;
        const height = this.svgSampleAreaHeight;
        const margin = ({top: 20, right: 20, bottom: 30, left: 30});
        const x = d3.scaleBand()
            .domain(this.sampleAreaData.map(d =&amp;gt; d.month))
            .range([margin.left, width - margin.right])
        const y = d3.scaleLinear()
            .domain([0, d3.max(this.sampleAreaData, d =&amp;gt; d.value)]).nice()
            .range([height - margin.bottom, margin.top]);
        const xAxis = g =&amp;gt; g
            .attr("transform", `translate(0,${height - margin.bottom})`)
            .call(d3.axisBottom(x).ticks(width / 80).tickSizeOuter(0));
        const yAxis = g =&amp;gt; g
            .attr("transform", `translate(${margin.left},0)`)
            .call(d3.axisLeft(y))
            .call(g =&amp;gt; g.select(".domain").remove())
            .call(g =&amp;gt; g.select(".tick:last-of-type text").clone()
                .attr("x", 3)
                .attr("text-anchor", "start")
                .attr("font-weight", "bold")
                .text(this.sampleAreaData.month));
        const area = d3.area()
            .x(d =&amp;gt; x(d.month))
            .y0(y(0))
            .y1(d =&amp;gt; y(d.value));
        // SVG Construction
        svg.append("path")
            .attr("fill", "steelblue")
            .datum(this.sampleAreaData)
            .attr("d", area)
        svg.append("g")
            .call(xAxis);
        svg.append("g")
            .call(yAxis);
        return svg.node();
    }
&lt;/code&gt;&lt;/pre&gt;
</t>
  </si>
  <si>
    <t xml:space="preserve">&lt;p&gt;I'm try to get all user state from office365User&lt;/p&gt;
&lt;pre&gt;&lt;code&gt;Office365Users.UserProfileV2(Office365Users.MyProfile().Id).state
&lt;/code&gt;&lt;/pre&gt;
&lt;p&gt;However, it's not a solution because it will retrieve my information only. 
as I would like to get all stats of our 365 users on combo box.&lt;/p&gt;
&lt;p&gt;thanks for your help in advanced  &lt;/p&gt;
</t>
  </si>
  <si>
    <t xml:space="preserve">&lt;p&gt;I've looked extensively and tried to modify multiple sample sets of codes found on different posts in Stack Overflow as well as template documents in Google App Maker, but cannot for the life of me get an export and en email function to work. &lt;/p&gt;
&lt;p&gt;&lt;strong&gt;UserRecords table:&lt;/strong&gt;  &lt;/p&gt;
&lt;p&gt;&lt;img src="https://i.stack.imgur.com/wmc06.jpg" alt="UserRecords table"&gt;&lt;/p&gt;
&lt;p&gt;This is the area where the data is collected and reviewed, the &lt;strong&gt;&lt;em&gt;populated table&lt;/em&gt;&lt;/strong&gt;: &lt;/p&gt;
&lt;p&gt;&lt;img src="https://i.stack.imgur.com/ASL0o.jpg" alt="Populated table"&gt;&lt;/p&gt;
&lt;p&gt;These are the &lt;strong&gt;&lt;em&gt;data fields&lt;/em&gt;&lt;/strong&gt; I am working with:   &lt;/p&gt;
&lt;p&gt;&lt;img src="https://i.stack.imgur.com/MGnXY.jpg" alt="Data Fields"&gt;&lt;/p&gt;
&lt;p&gt;This is what the &lt;strong&gt;&lt;em&gt;exported Sheet&lt;/em&gt;&lt;/strong&gt; looks like when I go through the motions and do an export through the Deployment tab:    &lt;/p&gt;
&lt;p&gt;&lt;img src="https://i.stack.imgur.com/kcJyz.jpg" alt="Export Sheet"&gt;&lt;/p&gt;
&lt;p&gt;Lastly, this is the &lt;strong&gt;&lt;em&gt;email page&lt;/em&gt;&lt;/strong&gt; that I've built based on tutorials and examples I've seen:  &lt;/p&gt;
&lt;p&gt;&lt;img src="https://i.stack.imgur.com/U6dlp.jpg" alt="Email Page"&gt;&lt;/p&gt;
&lt;p&gt;What I've learned so far (based on the circles I'm going round in):&lt;/p&gt;
&lt;ol&gt;
&lt;li&gt;&lt;p&gt;Emails seem mostly straight forward, but I don't need to send a message, just an attachment with a subject, similar to using the code:&lt;/p&gt;
&lt;pre&gt;&lt;code&gt;function sendEmail_(to, subject, body) {
 var emailObj = {
 to: to,
 subject: subject,
 htmlBody: body,
 noReply: true
 };
MailApp.sendEmail(emailObj);
}
&lt;/code&gt;&lt;/pre&gt;&lt;/li&gt;
&lt;/ol&gt;
&lt;p&gt;Not sure how to change the "body" to the exported document&lt;/p&gt;
&lt;ol start="2"&gt;
&lt;li&gt;To straight up export and view the Sheet from a button click, the closest I've found to a solution is in &lt;a href="https://developers.google.com/appmaker/samples/document/" rel="nofollow noreferrer"&gt;Document Sample&lt;/a&gt; but the references in the code speak to components on the page only. I'm not sure how to modify this to use the table, and also what to change to get it as a sheet  instead of a doc.&lt;/li&gt;
&lt;/ol&gt;
&lt;p&gt;This may seem trivial to some but I'm a beginner and am struggling to wrap my head around what I'm doing wrong. I've been looking at this for nearly a week. Any help will be greatly appreciated.&lt;/p&gt;
</t>
  </si>
  <si>
    <t xml:space="preserve">&lt;p&gt;In it's simplest form you can do a Google sheet export with the following server script (this is based on a model called employees):&lt;/p&gt;
&lt;pre&gt;&lt;code&gt;function exportEmployeeTable() {
  //if only certain roles or individuals can perform this action include proper validation here
  var query = app.models.Employees.newQuery();
  var results = query.run();
  var fields = app.metadata.models.Employees.fields;
  var data = [];
  var header = [];
  for (var i in fields) {
    header.push(fields[i].displayName);
  }
  data.push(header);
  for (var j in results) {
    var rows = [];
    for (var k in fields) {
      rows.push(results[j][fields[k].name]);
    }
    data.push(rows);
  }
  if (data.length &amp;gt; 1) {
    var ss = SpreadsheetApp.create('Employee Export');
    var sheet = ss.getActiveSheet();
    sheet.getRange(1,1,data.length,header.length).setValues(data);
    //here you could return the URL for your spreadsheet back to your client by setting up a successhandler and failure handler
    return ss.getUrl();
  } else {
    throw new app.ManagedError('No Data to export!');
  }
}
&lt;/code&gt;&lt;/pre&gt;
</t>
  </si>
  <si>
    <t xml:space="preserve">&lt;p&gt;I'd like to create a trigger in a spreadsheet, and write code, to add a record in app maker, and get back the id created by this record... is there a way to do that?&lt;/p&gt;
</t>
  </si>
  <si>
    <t xml:space="preserve">&lt;p&gt;I am using a simple 2-column Excel file as the data source for a gallery inserted on every screen for a navigation bar.  The columns are "Name" (to be displayed on nav bar buttons as text) and "TableRef" (will be used in Navigate() function for name of screen to display).  The text on the buttons is working, displaying the contents of the Excel file column "Name" on each one. &lt;/p&gt;
&lt;p&gt;I am setting the Text for each button to "ThisItem.Name" and it is working. However, I cannot use "Navigate(ThisItem.TableRef, Fade)" for the button's OnSelect. &lt;/p&gt;
&lt;p&gt;What am I missing?  Any recommendations are greatly appreciated.&lt;/p&gt;
</t>
  </si>
  <si>
    <t xml:space="preserve">&lt;p&gt;Objective: I am trying to integrate creator-form-data with google-sheet using google-sheet-api-v4.&lt;/p&gt;
&lt;p&gt;I am able to create an empty sheet(data params being empty ) at google spreadsheets.
but i don't know ,how to create sheet with data-params , to either-&lt;/p&gt;
&lt;p&gt;(1) assign title ,to spreadsheet , or
(2) write any data, to spreadsheet&lt;/p&gt;
&lt;p&gt;error received : using deluge to perform task no. ( 1 ), the error thrown is :&lt;/p&gt;
&lt;p&gt;Invalid JSON payload received. Unexpected token&lt;/p&gt;
&lt;p&gt;Note:
(1)Oauth credentials are checked and correct,
  google access token is also valid, confirming via 
&lt;a href="https://developers.google.com/oauthplayground/" rel="nofollow noreferrer"&gt;Google-oauth-playground&lt;/a&gt;&lt;/p&gt;
&lt;p&gt;(2) i am able to assign title and data from google-try-api-platform,but no success from deluge side.
&lt;a href="https://developers.google.com/sheets/api/reference/rest/v4/spreadsheets/create?apix=true" rel="nofollow noreferrer"&gt;google-sheet-try-api&lt;/a&gt;&lt;/p&gt;
&lt;p&gt;&lt;a href="https://i.stack.imgur.com/JQmc5.png" rel="nofollow noreferrer"&gt;&lt;img src="https://i.stack.imgur.com/JQmc5.png" alt="enter image description here"&gt;&lt;/a&gt;&lt;/p&gt;
</t>
  </si>
  <si>
    <t xml:space="preserve">&lt;p&gt;And I have something like in a &lt;code&gt;onClick&lt;/code&gt;:&lt;/p&gt;
&lt;pre&gt;&lt;code&gt;alert ("Formulario: "+widget.datasource.item.TipoTareas.Formulario);
app.showPage("app.pages."+widget.datasource.item.TipoTareas.Formulario);
&lt;/code&gt;&lt;/pre&gt;
&lt;p&gt;The first sentence gives me the correct answer. But the second gives me an error:&lt;/p&gt;
&lt;blockquote&gt;
  &lt;p&gt;TypeError: VCan not read $d property of undefined&lt;/p&gt;
&lt;/blockquote&gt;
&lt;p&gt;Is there any way to do this?&lt;/p&gt;
&lt;p&gt;Thanks in advance.&lt;/p&gt;
</t>
  </si>
  <si>
    <t xml:space="preserve">&lt;p&gt;Probably such a basic question but having some issues.  I'm not a big developer; most of the stuff I've done has been in things like FileMaker or Salesforce where it's more limited coding.  I'm messing with Google App Maker and it seems really straightforward but I'm having issues with a basic function that I can't seem to find help on.  Everything else I have working fine.&lt;/p&gt;
&lt;p&gt;Super basic example, let's say I have a table called Accounts, and then a related table called Contacts.  One Account can have many Contacts.  On the Account page I have a table that shows all the Contacts related to that Account.&lt;/p&gt;
&lt;p&gt;From the Account page I have a button that opens a popup with another page to Create a Contact.  I'm just not clear on how I set it to relate that Contact to that Account and don't want to reinvent the wheel.  If I put the "Account" lookup field on the new Contact page, and manually select the Account when making the Contact, it of course works.  However if I'm on an Account page already, and I'm creating a Contact, I want that Contact to automatically be linked to that Account without having to manually select it.  Super straightforward, I'm just not clear on if there's a way to do this built in, or if I would be doing it as a custom action when using the OnClick event for the "Save" button on the new Contact window etc.  Or if I (hopefully not) have to do it via coding like under scripts.&lt;/p&gt;
&lt;p&gt;Hope that makes sense, been reading guides and checking samples but thought I'd post instead.&lt;/p&gt;
</t>
  </si>
  <si>
    <t xml:space="preserve">&lt;p&gt;Using REST API for Salesforce, I am trying to insert/update a contact into my business org where 'MailingAddress' is one of the fields with some set data, though in response I am getting this error message 'Cannot deserialize instance of MailingAddress from VALUE_STRING', the same response also resulting in 'OtherAddress'. &lt;/p&gt;
&lt;p&gt;To my understanding, I think this is due to the reason that 'MailingAddress' and 'OtherAddress' are not actual fields that contains some String data, rather they take a dynamic address which resulting in filling up all other related fields like - 'MailingCity, MailingStreet, etc'.&lt;/p&gt;
&lt;p&gt;So I have 2 questions:&lt;/p&gt;
&lt;p&gt;&lt;strong&gt;1.&lt;/strong&gt; How can I set 'MailingAddress' and 'OtherAddress' fields using API parameter only?&lt;/p&gt;
&lt;p&gt;&lt;strong&gt;2.&lt;/strong&gt; Is there any manual/documentation for this reference? As I am also having trouble with 'OtherLatitude' and 'OtherLogitude' fields.&lt;/p&gt;
</t>
  </si>
  <si>
    <t xml:space="preserve">&lt;p&gt;Address and geolocation fields are compound fields.&lt;/p&gt;
&lt;p&gt;You need to provide the value for the different components of the field, so for example, for MailingAddress you would need to provide MailingStreet, MailingCity, MailingState or MailingStateCode, etc. And for OtherAddress you would provide OtherStreet, OtherCity, etc.&lt;/p&gt;
&lt;p&gt;For more information on compound fields: &lt;a href="https://developer.salesforce.com/docs/atlas.en-us.object_reference.meta/object_reference/compound_fields.htm" rel="nofollow noreferrer"&gt;https://developer.salesforce.com/docs/atlas.en-us.object_reference.meta/object_reference/compound_fields.htm&lt;/a&gt;&lt;/p&gt;
</t>
  </si>
  <si>
    <t xml:space="preserve">&lt;p&gt;I have started a new project of data gestion.
I have Created a server script to create new tables with sql queries on my google cloud sql database. I want with a script display these tables on a table widget on a page of AppMaker but it's seems that it's not possible to do that automaticaly.&lt;/p&gt;
&lt;p&gt;Is there a way to update the datasource of a widget with script?&lt;/p&gt;
</t>
  </si>
  <si>
    <t xml:space="preserve">&lt;p&gt;I have an Employees model with &lt;code&gt;first_name&lt;/code&gt; and &lt;code&gt;last_name&lt;/code&gt; string fields (I'll use John Doe for the example).  I'd like to have each line of a drop-down widget read "Doe, John" using the Employees datasource.  I can bind the names array of a drop-down widget to one field or the other pretty easily by editing the "names" field of the widget:&lt;/p&gt;
&lt;p&gt;&lt;code&gt;=@datasources.Employees.item.last_name&lt;/code&gt; yields Doe, and 
&lt;code&gt;=@datasources.Employees.item.first_name&lt;/code&gt; yields John in the dropdown's first list item, respectively.&lt;/p&gt;
&lt;p&gt;Concatenating a static string to the field also works:&lt;/p&gt;
&lt;p&gt;&lt;code&gt;=@datasources.Employees.item.last_name + "-test"&lt;/code&gt; yields Doe-test in the drop-down&lt;/p&gt;
&lt;p&gt;However, when I try to modify this binding to combine the two fields, it doesn't work:&lt;/p&gt;
&lt;p&gt;&lt;code&gt;=@datasources.Employees.item.last_name + ", " + @datasource.item.Employees.first_name&lt;/code&gt; yields just Doe&lt;/p&gt;
&lt;p&gt;Even dumping both fields into an array and joining them:&lt;/p&gt;
&lt;p&gt;&lt;code&gt;=[@datasources.Employees.item.last_name, @datasources.Employees.item.first_name].join(", ")&lt;/code&gt; yields just Doe&lt;/p&gt;
&lt;p&gt;The only way I've found to get the values of two different fields from a record together on the same line in a drop-down widget is to use client scripting to populate the names array of the widget during the onDataLoad event:&lt;/p&gt;
&lt;pre&gt;&lt;code&gt;app.datasources.Employees.load(function() {
  app.datasources.Employees.items.forEach(
    item =&amp;gt; widget.names.push([item.last_name, item.first_name].join(", "))
  );
});
&lt;/code&gt;&lt;/pre&gt;
&lt;p&gt;Is this the best/only way to do this, or am I just missing something on the names binding dialog?  Thanks!&lt;/p&gt;
</t>
  </si>
  <si>
    <t xml:space="preserve">&lt;p&gt;In your dropdown names binding do the following:&lt;/p&gt;
&lt;pre&gt;&lt;code&gt;(@datasources.Employees.items).map(function(i) { return i.last_name + ', ' + i.first_name; })
&lt;/code&gt;&lt;/pre&gt;
&lt;p&gt;That will do what you want.&lt;/p&gt;
</t>
  </si>
  <si>
    <t xml:space="preserve">&lt;p&gt;I have on a AppMaker page a button who execute a function on the client side&lt;/p&gt;
&lt;pre&gt;&lt;code&gt;function showall(){
  app.pages.ProjectComposant.children.Html1.html = google.script.run.showhtml();
}
&lt;/code&gt;&lt;/pre&gt;
&lt;p&gt;and the function on the server side is&lt;/p&gt;
&lt;pre&gt;&lt;code&gt;function showhtml(){
  return "&amp;lt;p&amp;gt;test&amp;lt;/p&amp;gt;";
}
&lt;/code&gt;&lt;/pre&gt;
&lt;p&gt;but the server not return the string. I have try to use the &lt;code&gt;withSuccessHandler()&lt;/code&gt; but there is no onSucess handler on the client side script&lt;/p&gt;
&lt;p&gt;There is another way to get a returned value from the server ? 
tanks&lt;/p&gt;
</t>
  </si>
  <si>
    <t xml:space="preserve">&lt;p&gt;in server side&lt;/p&gt;
&lt;pre&gt;&lt;code&gt;function showhtml(){
  return JSON.Stringify("&amp;lt;p&amp;gt;test&amp;lt;/p&amp;gt;");
}
&lt;/code&gt;&lt;/pre&gt;
&lt;p&gt;in client side&lt;/p&gt;
&lt;pre&gt;&lt;code&gt;    function showall(){
    google.script.run.withSuccessHandler(
function(returned_result){ 
app.pages.ProjectComposant.children.Html1.html = JSON.Parse(returned_result); 
})
    .showhtml();
    }
&lt;/code&gt;&lt;/pre&gt;
</t>
  </si>
  <si>
    <t xml:space="preserve">&lt;p&gt;I am looking how to create basic queries from Cloud SQL using App Script.&lt;/p&gt;
&lt;pre&gt;&lt;code&gt;q1: "SELECT id FROM users WHERE name = 'some name';"
q2: "UPDATE users SET name = 'other name' WHERE id = 1;"
q3: "DELETE FROM users WHERE id = 1;"
&lt;/code&gt;&lt;/pre&gt;
&lt;p&gt;I can read the entire table and insert data, however i cannot find the documentation on the google docs site for these types of queries.&lt;/p&gt;
&lt;p&gt;I have tried using the query filter however it returns a bool not the ID INT, I am looking for.&lt;/p&gt;
&lt;pre&gt;&lt;code&gt;var id =app.datasources.Users.query.filters.name._equals == "some name";
app.Pages.Page1.decendents.label1.text = id;
:&amp;gt;&amp;gt; Type mismatch: Cannot set type Boolean for property text. Type String is expected
&lt;/code&gt;&lt;/pre&gt;
&lt;p&gt;Note: Users table sql equivelent (id INT AUTO_INCREMENT, name VARCHAR(64), PRIMARY KEY(id))&lt;/p&gt;
</t>
  </si>
  <si>
    <t xml:space="preserve">&lt;p&gt;Your query server script syntax is wrong. Try    &lt;/p&gt;
&lt;pre&gt;&lt;code&gt;var query =  app.models.Users.newQuery(); //new query
query.filters.name._equals = "some name"; //Note single`=`; 
var records = query.run(); //run the query
app.Pages.Page1.decendents.label1.text = records[0].id;
&lt;/code&gt;&lt;/pre&gt;
&lt;h3&gt;To Read:&lt;/h3&gt;
&lt;ul&gt;
&lt;li&gt;&lt;a href="https://developers.google.com/appmaker/scripting/api/server#Query" rel="nofollow noreferrer"&gt;Query#run&lt;/a&gt;&lt;/li&gt;
&lt;/ul&gt;
</t>
  </si>
  <si>
    <t xml:space="preserve">&lt;p&gt;&lt;strong&gt;What I have Tried&lt;/strong&gt;&lt;/p&gt;
&lt;p&gt;Am having a cshtml page where there is a input type textbox and a button, I have created a event click function for the button and am trying to get the textbox value on button click, am getting undefined&lt;/p&gt;
&lt;p&gt;&lt;strong&gt;Code&lt;/strong&gt;&lt;/p&gt;
&lt;pre&gt;&lt;code&gt;&amp;lt;input type="button" onclick="javascript:mybuttonclick()" /&amp;gt;
function mybuttonclick() {
    var sdf = $("#myText").val();
    alert(sdf);
}
&lt;/code&gt;&lt;/pre&gt;
&lt;p&gt;&lt;strong&gt;Lightning Component&lt;/strong&gt;&lt;/p&gt;
&lt;pre&gt;&lt;code&gt;&amp;lt;input type="text" id="myText" value="Mickey"/&amp;gt;
&lt;/code&gt;&lt;/pre&gt;
&lt;p&gt;Please help me to resolve this issue, sorry if this is a duplicate question&lt;/p&gt;
</t>
  </si>
  <si>
    <t xml:space="preserve">&lt;p&gt;I'm working on a page with a long scrollable background image of the road. The page is intended for mobile devices primarily. I need to align several items (containers with text and images) according to the background so that those items would be located near certain points on the road.&lt;/p&gt;
&lt;p&gt;The problem is that my background image width and height is changing depending on the mobile device screen, while the items preserve their position, and thus not aligned with the road anymore.&lt;/p&gt;
&lt;p&gt;How can I fix this issue using SASS/CSS?   &lt;/p&gt;
</t>
  </si>
  <si>
    <t xml:space="preserve">&lt;p&gt;Suppose we have a table &lt;code&gt;mealbookingtable&lt;/code&gt; to store all meal booking made. We also have &lt;code&gt;foodItem&lt;/code&gt; table to store all available food item. What we are trying to achieve is that to remove any food item that had already been booked on that specific flight date and flight no., hence the form will just show any food that had not yet booked for that date and flight no. The logic look almost like following and the return wil be display to the drop-down widget.&lt;/p&gt;
&lt;pre&gt;&lt;code&gt;var checkfood = 
    select fooditem from mealbookingtable 
    where flightdate = &amp;lt;flightdate&amp;gt;
    and flightno = &amp;lt;flightno&amp;gt;;
if (checkfood === null){
    //return all food item list to dropdown widget
} else {
    //exclude fooditem from food item list
    //only then return the food item list to dropdown widget
}
&lt;/code&gt;&lt;/pre&gt;
&lt;p&gt;Following is how the form looks like to give better understanding about it where the &lt;code&gt;&amp;lt;fligthdate&amp;gt;&lt;/code&gt; &amp;amp; &lt;code&gt;&amp;lt;fligthno&amp;gt;&lt;/code&gt; are parameters passed from the form widget.&lt;/p&gt;
&lt;p&gt;&lt;a href="https://i.stack.imgur.com/URF2M.png" rel="nofollow noreferrer"&gt;&lt;img src="https://i.stack.imgur.com/URF2M.png" alt="enter image description here"&gt;&lt;/a&gt;&lt;/p&gt;
&lt;p&gt;I am not really sure whether we can do this and how to accomplish this in AppMaker but if anyone had any idea and mind to share some syntax that can be used in the server script that will be just great!&lt;/p&gt;
</t>
  </si>
  <si>
    <t xml:space="preserve">&lt;p&gt;we use the autocomplete component from RichWidgets and we get extra back-slash in the javascript which causes a bug in the autocomplete.&lt;/p&gt;
&lt;p&gt;autocomplete JavaScript code tries to split the bulk of rows into items in the autocomplete list but the extra back-slash interrupt the split (js method from functioning well.&lt;/p&gt;
&lt;p&gt;although we use the same component in another module (where it works perfectly without the extra back-slash) referencing to same RichWidgets but we still&lt;/p&gt;
&lt;hr&gt;
&lt;p&gt;update:
this is only when we use Arabic language, it works fine in english.&lt;/p&gt;
&lt;p&gt;&lt;a href="https://i.stack.imgur.com/l4FgN.png" rel="nofollow noreferrer"&gt;&lt;img src="https://i.stack.imgur.com/l4FgN.png" alt="enter image description here"&gt;&lt;/a&gt;&lt;/p&gt;
</t>
  </si>
  <si>
    <t xml:space="preserve">&lt;p&gt;I am struggling all day to find a solution for the following problem:&lt;/p&gt;
&lt;pre&gt;&lt;code&gt;SortByColumns(Filter(LogisticsHelpdesk,And(If(Dropdown1.Selected.Value="All",(Status.Value="Open" || Status.Value="Closed"), (Status.Value=Dropdown1.Selected.Value)),StartsWith(Text(ID), SearchBox.Text))),SortField, sortOrder)
&lt;/code&gt;&lt;/pre&gt;
&lt;p&gt;where SortField and sortOrder are variables set as follows:&lt;/p&gt;
&lt;pre&gt;&lt;code&gt;UpdateContext({SortOrignatorDescending: !SortOrignatorDescending, SortField: "Originator"});Set(sortOrder, If(SortOrignatorDescending, Descending, Ascending))
&lt;/code&gt;&lt;/pre&gt;
&lt;p&gt;Variable is updated in three places, one is with the Title column, the other two are Person columns. For the Title column the above code works fine but for the Person column does not work. &lt;/p&gt;
&lt;p&gt;I found out that the problem is the SortByColumns and Sort functions does not know by which property to sort the Person column. Any idea how to provide dynamically the column name along with the DisplayName property to the Sort/SortByColumns functions?&lt;/p&gt;
&lt;p&gt;So far I've tested to pass the DisplayName property with the column name as a string:&lt;/p&gt;
&lt;pre&gt;&lt;code&gt;UpdateContext({SortAllocatedToDescending: !SortAllocatedToDescending, SortField:"AllocatedTo.DisplayName"});Set(sortOrder, If(SortAllocatedToDescending, Descending, Ascending))
&lt;/code&gt;&lt;/pre&gt;
&lt;p&gt;and did try to set the variable to the column itself:&lt;/p&gt;
&lt;pre&gt;&lt;code&gt;UpdateContext({SortAllocatedToDescending: !SortAllocatedToDescending, SortField:AllocatedTo});Set(sortOrder, If(SortAllocatedToDescending, Descending, Ascending))
&lt;/code&gt;&lt;/pre&gt;
&lt;p&gt;But got an error in the designer that it got incompatible type. I assume columns could not directly be passed through variables.&lt;/p&gt;
&lt;p&gt;Also did try to use both functions(Sort and SortByColumns) interchangeably but to no avail.&lt;/p&gt;
&lt;p&gt;The main goal is to have sorting, filtering and searching for specific string at the same time for multiple columns and to be easy to add more criteria/columns to the formula without adding one and the same statement multiple times.&lt;/p&gt;
&lt;p&gt;Thank you in advance for any help you could provide.&lt;/p&gt;
</t>
  </si>
  <si>
    <t xml:space="preserve">&lt;p&gt;I have 4 labels defined like this,&lt;/p&gt;
&lt;pre&gt;&lt;code&gt;Cat10
Cat21
Cat32
Cat45
&lt;/code&gt;&lt;/pre&gt;
&lt;p&gt;and I have 4 corresponding text inputs defined as,&lt;/p&gt;
&lt;pre&gt;&lt;code&gt;TextInput 10  (Takes only a number)
TextInput 21  (Takes only a number)
TextInput 32  (Takes only a number)
TextInput 45  (Takes only a number)
&lt;/code&gt;&lt;/pre&gt;
&lt;p&gt;The User manually inputs the TextInputs and I want to do a bar graph of these numbers against the corresponding category while he is entering. How do I go about it. I did some research it says creating a collection is the only way. But couldn't solve it on my own. Kindly help me with this.&lt;/p&gt;
&lt;p&gt;For example my collection will have 4 rows,&lt;/p&gt;
&lt;pre&gt;&lt;code&gt;Category    Value
Cat10       10
Cat21       12
Cat32       21
Cat45       30
&lt;/code&gt;&lt;/pre&gt;
&lt;p&gt;The number of rows will not increase, every time the user changes a value it will always update the existing one.&lt;/p&gt;
</t>
  </si>
  <si>
    <t xml:space="preserve">&lt;p&gt;The ClearCollect function should cover your need. &lt;/p&gt;
&lt;p&gt;With the information you offered please try the below-listed formula&lt;/p&gt;
&lt;pre&gt;&lt;code&gt;ClearCollect(
CustomCollection,
{
    Category: "Cat10",
    Value: TextInput10.Text
},
{
    Category: "Cat12",
    Value: TextInput12.Text
},
{
    Category: "Cat21",
    Value: TextInput21.Text
},
{
    Category: "Cat45",
    Value: TextInput45.Text
})
&lt;/code&gt;&lt;/pre&gt;
&lt;p&gt;CustomCollection is the name of the collection you would like to store. So, you can, of course, go for a different name! &lt;/p&gt;
&lt;p&gt;You can find more information about the ClearCollect function on the official Microsoft help page. 
&lt;a href="https://docs.microsoft.com/en-gb/powerapps/maker/canvas-apps/functions/function-clear-collect-clearcollect" rel="nofollow noreferrer"&gt;Click here&lt;/a&gt;&lt;/p&gt;
</t>
  </si>
  <si>
    <t xml:space="preserve">&lt;p&gt;I currently use the following onBeforeCreate to get a users email automatically logged into my data tables:&lt;/p&gt;
&lt;pre&gt;&lt;code&gt;record.Email = Session.getActiveUser().getEmail();
&lt;/code&gt;&lt;/pre&gt;
&lt;p&gt;Is there a simple way to do this in onBeforeCreate event for the user name? I use the Directory Data Model to get my organisations user details. I've looked through various forum posts but can't seem to find what I need. Any help is greatly appreciated.&lt;/p&gt;
</t>
  </si>
  <si>
    <t xml:space="preserve">&lt;p&gt;I had write one Trigger in my App maker project.
This trigger call one function.
In this function i have write one filter to get data from google cloud SQL and send mail to different user.
I am using MailApp.SendMail() function to send email.&lt;/p&gt;
&lt;p&gt;In this trigger i am written script for sending mail once in a day.&lt;/p&gt;
&lt;p&gt;This is my Triggers code:-&lt;/p&gt;
&lt;pre&gt;&lt;code&gt;function Triggercreate()
{
        ScriptApp.newTrigger('filtterFunction') 
       .timeBased() 
       .everyDays(1)
       .create();          
}
&lt;/code&gt;&lt;/pre&gt;
&lt;p&gt;This Triggercreate() call inside button Click event.
I had deploy this project and share with my another user in same domain.
and set run this deployment as user Account&lt;/p&gt;
&lt;p&gt;After deploying and sharing this app, I had open deployed project with user account and click this button to creating trigger.
Now regularly trigger is runs but it send mail from both user and developer Email address
But i want to send mail from only my user Email Address.
please give me solution for this problem...&lt;/p&gt;
&lt;p&gt;I had purchased Business G-suit for my both Emails.
I have already set setting as mention in - &lt;a href="https://developers.google.com/appmaker/security/identity" rel="nofollow noreferrer"&gt;https://developers.google.com/appmaker/security/identity&lt;/a&gt;&lt;/p&gt;
</t>
  </si>
  <si>
    <t xml:space="preserve">&lt;p&gt;I'm trying to run an application on powerapps using Microsoft azure cognitive services. This is a sentimental analysis application where in it gives a sentimental analysis score between 0 to 1 where 1 being positive and 0 being negative based on the sentence we enter. But how much I try and execute I'm not able to handle this error:&lt;/p&gt;
&lt;p&gt;TextAnalytics.DetectLanguage failed: &lt;/p&gt;
&lt;pre&gt;&lt;code&gt;{
  "code": "BadRequest",
  "message": "Invalid request",
  "innerError": {
    "code": "InvalidRequestQueryString",
    "message": "Request contains a query string. Request content should be placed in the request body, not in the url as a query string."
  }
}
&lt;/code&gt;&lt;/pre&gt;
&lt;p&gt;If anybody has any idea regarding this error and knows how to handle it. Please do help me out to execute this code.&lt;/p&gt;
</t>
  </si>
  <si>
    <t xml:space="preserve">&lt;p&gt;My App Maker project was working perfectly earlier. Suddenly, I am not able to open one of my projects, and progress spinner keeps on running.  After some time It is giving Unexpected client error.&lt;/p&gt;
&lt;p&gt;I can open other projects and create new project, but this one is not opening the project what I want. &lt;/p&gt;
&lt;p&gt;Screenshots:&lt;/p&gt;
&lt;p&gt;The error toast:&lt;/p&gt;
&lt;p&gt;&lt;a href="https://i.stack.imgur.com/PPNyd.png" rel="nofollow noreferrer"&gt;&lt;img src="https://i.stack.imgur.com/PPNyd.png" alt="enter image description here"&gt;&lt;/a&gt;&lt;/p&gt;
&lt;p&gt;Progress spinner:&lt;/p&gt;
&lt;p&gt;&lt;a href="https://i.stack.imgur.com/U9p2K.png" rel="nofollow noreferrer"&gt;&lt;img src="https://i.stack.imgur.com/U9p2K.png" alt="screenshot2 progress spinner"&gt;&lt;/a&gt;&lt;/p&gt;
&lt;p&gt;Browswer log:&lt;/p&gt;
&lt;p&gt;&lt;a href="https://i.stack.imgur.com/niVhn.png" rel="nofollow noreferrer"&gt;&lt;img src="https://i.stack.imgur.com/niVhn.png" alt="screenshot3 browser log"&gt;&lt;/a&gt;&lt;/p&gt;
</t>
  </si>
  <si>
    <t xml:space="preserve">&lt;p&gt;I need to bind and refresh two distinct datasources to one single dropdown.&lt;/p&gt;
&lt;p&gt;Datasources:&lt;/p&gt;
&lt;ul&gt;
&lt;li&gt;device_info&lt;/li&gt;
&lt;li&gt;device_measurements&lt;/li&gt;
&lt;/ul&gt;
&lt;p&gt;Dropdown:&lt;/p&gt;
&lt;ul&gt;
&lt;li&gt;device_list&lt;/li&gt;
&lt;/ul&gt;
&lt;p&gt;As the selected item should serve as parameter for querying the datasources, the first difficulty I encountered was that I couldn't managed to bind the dropdown's value to the two datasources.&lt;/p&gt;
&lt;p&gt;So did what follows.&lt;/p&gt;
&lt;p&gt;Dropdown's value is set to &lt;code&gt;@models.device_info.datasources.device_info.properties.deviceId&lt;/code&gt;&lt;/p&gt;
&lt;p&gt;Dropdown's onValueChange event is set to &lt;code&gt;loadDeviceInformationDataSources();&lt;/code&gt;&lt;/p&gt;
&lt;p&gt;loadDeviceInformation definition is&lt;/p&gt;
&lt;pre&gt;&lt;code&gt;function loadDeviceInformationDataSources() {
  app.datasources.device_info.load();
}
&lt;/code&gt;&lt;/pre&gt;
&lt;p&gt;Each datasource has a parameter called deviceId (type String) and references a query script:&lt;/p&gt;
&lt;ul&gt;
&lt;li&gt;device_info's query script is &lt;code&gt;return getDeviceInformation(query);&lt;/code&gt;&lt;/li&gt;
&lt;li&gt;device_measurements's query script is &lt;code&gt;return getDeviceMeasurements(query);&lt;/code&gt;&lt;/li&gt;
&lt;/ul&gt;
&lt;p&gt;And finally, the scripts are:&lt;/p&gt;
&lt;pre&gt;&lt;code&gt;function getDeviceInformation(query) {
  var deviceId = query.parameters.deviceId;
  console.log('Get device information for:', deviceId);
  var deviceInfo = firestore.getDocument('devices/' + deviceId);
  var record = app.models.device_info.newRecord();
  record.name = deviceInfo.fields.name;
  record.online = deviceInfo.fields.online;
  record.type = deviceInfo.fields.type;
  record.brightness = deviceInfo.fields['state'].brightness;
  record.on = deviceInfo.fields['state'].on;
  var records = [];
  records.push(record);
  // Load measurements
  var measurementsQuery = app.models.device_measurements.newQuery();
  measurementsQuery.where = 'deviceId = :deviceId';
  measurementsQuery.parameters.deviceId = deviceId;
  measurementsQuery.run();
  return records;
}
function getDeviceMeasurements(query) {
  var deviceId = query.parameters.deviceId || 'device-01' ;
  var records = [];
  var deviceMeasurements = firestore.getDocuments('devices/' + deviceId + '/measurements');
  deviceMeasurements.map(function(measure) {
    var record = app.models.device_measurements.newRecord();
    record.timestamp = measure.fields.timestamp;
    record.intensity = measure.fields.intensity;
    records.push(record);
  });
  return records;
}
&lt;/code&gt;&lt;/pre&gt;
&lt;p&gt;To display data I use one table per datasource.&lt;/p&gt;
&lt;p&gt;The datasource device_info is correctly loaded each time I select a device in the dropdown list and the related table gets refreshed.&lt;/p&gt;
&lt;p&gt;As to the datasource device_measurements, the datasource gets loaded each time I select a device in the dropdown (I can see that when logging to the console) BUT the related table does not get refreshed (like if the programmatic &lt;code&gt;measurementsQuery.run();&lt;/code&gt; would not tell the table to refresh).&lt;/p&gt;
&lt;p&gt;Questions:&lt;/p&gt;
&lt;ol&gt;
&lt;li&gt;Am I doing something wrong?&lt;/li&gt;
&lt;li&gt;Is there a better way to achieve that?&lt;/li&gt;
&lt;/ol&gt;
&lt;p&gt;** UDPATE **
&lt;a href="https://i.stack.imgur.com/StBa3.jpg" rel="nofollow noreferrer"&gt;&lt;img src="https://i.stack.imgur.com/StBa3.jpg" alt="enter image description here"&gt;&lt;/a&gt;&lt;/p&gt;
</t>
  </si>
  <si>
    <t xml:space="preserve">&lt;p&gt;I want to use Google Tag Manager to send data to our Salesforce org for certain events on our website (user signup, conversion etc). After some research, I realized &lt;a href="https://jsforce.github.io" rel="nofollow noreferrer"&gt;JSforce&lt;/a&gt; would be the easiest way to achieve this. I created a new connected app in Salesforce, tried out the Salesforce API using &lt;a href="https://www.getpostman.com" rel="nofollow noreferrer"&gt;Postman&lt;/a&gt; and successfully managed to create a new user account via the API. Then I moved on to try and achieve the same thing in Google Tag Manager. I read JSforce's &lt;a href="https://jsforce.github.io/start/" rel="nofollow noreferrer"&gt;docs&lt;/a&gt; and attempted to implement everything. But, after multiple hours of troubleshooting and Google searching, I can't seem to make it work.&lt;/p&gt;
&lt;p&gt;Here is my current code, which is in a 'tag' in Google Tag Manager that triggers on all pages (just for testing):&lt;/p&gt;
&lt;p&gt;&lt;a href="https://jsforce.github.io/start/#web-browser" rel="nofollow noreferrer"&gt;https://jsforce.github.io/start/#web-browser&lt;/a&gt;&lt;/p&gt;
&lt;pre&gt;&lt;code&gt;&amp;lt;script src="//cdnjs.cloudflare.com/ajax/libs/jsforce/1.9.1/jsforce.min.js"&amp;gt;&amp;lt;/script&amp;gt;
&amp;lt;script&amp;gt;
    jsforce.browser.init({
      clientId: '&amp;lt;MYCLIENTID&amp;gt;',
      redirectUri: 'https://cuttersclub.com'
    });
&lt;/code&gt;&lt;/pre&gt;
&lt;p&gt;&lt;a href="https://jsforce.github.io/document/#access-token" rel="nofollow noreferrer"&gt;https://jsforce.github.io/document/#access-token&lt;/a&gt;&lt;/p&gt;
&lt;pre&gt;&lt;code&gt;    var jsforce = require('jsforce');
    var conn = new jsforce.Connection({
      instanceUrl : 'https://um5.salesforce.com',
      accessToken : '&amp;lt;MYACCESSTOKEN&amp;gt;',
    });
&lt;/code&gt;&lt;/pre&gt;
&lt;p&gt;&lt;a href="https://jsforce.github.io/document/#create" rel="nofollow noreferrer"&gt;https://jsforce.github.io/document/#create&lt;/a&gt;&lt;/p&gt;
&lt;pre&gt;&lt;code&gt;    conn.sobject("Account").create({ Name : 'My Account #1' }, function(err, ret) {
      if (err || !ret.success) { return console.error(err, ret); }
      console.log("Created record id : " + ret.id);
    });
&amp;lt;/script&amp;gt;
&lt;/code&gt;&lt;/pre&gt;
&lt;p&gt;I'm getting this error in the browser console:&lt;/p&gt;
&lt;pre&gt;&lt;code&gt;Uncaught ReferenceError: require is not defined
&lt;/code&gt;&lt;/pre&gt;
&lt;p&gt;EDIT: Removing &lt;code&gt;var jsforce = require('jsforce');&lt;/code&gt; solved this problem and accounts are being created in Salesforce. But, now I am getting the following error in the browser console:&lt;/p&gt;
&lt;pre&gt;&lt;code&gt;Access to XMLHttpRequest at '&amp;lt;URL&amp;gt;' from origin '&amp;lt;CALLBACKURL&amp;gt;' has been blocked by CORS policy: No 'Access-Control-Allow-Origin' header is present on the requested resource.
&lt;/code&gt;&lt;/pre&gt;
&lt;p&gt;As mentioned in the JSforce docs, I think it may be something to do with proxy servers: &lt;a href="https://github.com/jsforce/jsforce-ajax-proxy" rel="nofollow noreferrer"&gt;https://github.com/jsforce/jsforce-ajax-proxy&lt;/a&gt;&lt;/p&gt;
</t>
  </si>
  <si>
    <t xml:space="preserve">&lt;p&gt;I don't know that much about salesforce, but "require" is something from node.js, not a function that is implemented in the browser.&lt;/p&gt;
&lt;p&gt;If I understand the documentation correctly, then for a browser project it should be enough to call the jsforce script via a script tag. You should not need any way to "require" files after that, since the jsforce script already contains everything you need. So you should be fine if you just remove the offending lines (i.e. all references to "require('jsforce');").&lt;/p&gt;
</t>
  </si>
  <si>
    <t xml:space="preserve">&lt;p&gt;I am building an application in Zoho Creator that retrieves information from an external membership database.&lt;/p&gt;
&lt;p&gt;I have a GET request which retrieves the memberships of a person. A person can have multiple memberships which result in multiple JSON objects being returned, for example:&lt;/p&gt;
&lt;pre&gt;&lt;code&gt; [
  {
    "id": 76397,
    "membership_level_id": 395,
    "start_date": "2019-03-04",
    "end_date": "2020-03-03",
    "state": "partial",
    "created_at": "2019-01-07T19:13:16+1100",
    "adult_members": [
      {
        "contact_id": 5389
      }
    ],
    "child_members": [],
    "contact_id": 5389
  },
  {
    "id": 8728,
    "membership_level_id": 937,
    "start_date": "2019-01-07",
    "end_date": "2019-02-06",
    "state": "expired",
    "created_at": "2019-01-07T20:09:12+1100",
    "adult_members": [
      {
        "contact_id": 5389
      }
    ],
    "child_members": [],
    "contact_id": 5389
  }
]
&lt;/code&gt;&lt;/pre&gt;
&lt;p&gt;What I am attempting to achieve, is that for every membership that is returned (in the above sample, there is two), a record in the &lt;code&gt;Memberships&lt;/code&gt; form is created.&lt;/p&gt;
&lt;p&gt;In the above instance, there should be two records created in the &lt;code&gt;Memberships&lt;/code&gt; form with their associated key-value pairs.&lt;/p&gt;
&lt;p&gt;I have tried converting the JSON response to a &lt;code&gt;.toJSONlist();&lt;/code&gt; but can't seem to pull out the information.&lt;/p&gt;
&lt;p&gt;Any idea on how I can create a new record in a form, for every membership that is returned in the response?&lt;/p&gt;
</t>
  </si>
  <si>
    <t xml:space="preserve">&lt;p&gt;I am new Power Apps, I have a SharePoint List, a Collection and items on my Table is indexed, I want when an user click on the any index, the item on that row(record) should be displayed  on a new screen. 
I have tried "On-click" it only navigating to the new screen but the items on the row is not displaying. How can I do this?&lt;/p&gt;
</t>
  </si>
  <si>
    <t xml:space="preserve">&lt;p&gt;I have a long script which is designed to edit a specific row in the Cloud SQL table. The code is long so i will shorten it.&lt;/p&gt;
&lt;p&gt;Client Side:&lt;/p&gt;
&lt;pre&gt;&lt;code&gt;function build_profile(){
var cbid = sessionStorage.getItem("client_id");
var self = this;
var createSuccess = function(data){
  var statuse = ["Active", "Wiating", "Discharged"];
  if(data !== false){
    data = data.split(",");
    var dec = app.pages.Profile.descendants;
    dec.fname.text = data[1];
    dec.sname.text = data[3];
    sessionStorage.setItem("school_id", data[9]);
    app.popups.Loading.visible = false;
  }
  };
var init = function() {google.script.run.withSuccessHandler(createSuccess).get_user_data(cbid);};
app.popups.Loading.visible = true;
init();
}
function save_profile() {
var createSuccess = function(data){
var dec = app.pages.Profile.descendants;
console.log(data);
if(data !== -1){
  var ds = app.datasources.Clients;
  ds.load(function(){
    ds.selectIndex(data);
    console.log("editing:"+ds.item.CBID);
    ds.item.fname = dec.fname_edit.value;
    ds.item.sname = dec.sname_edit.value;
    ds.load(function(){build_profile();});
  });
}
}};
var init = function() {google.script.run.withSuccessHandler(createSuccess).update_client(sessionStorage.getItem("client_id"));};
init();
}
&lt;/code&gt;&lt;/pre&gt;
&lt;p&gt;Server Side:&lt;/p&gt;
&lt;pre&gt;&lt;code&gt;function get_user_data(cbid){
try{
var query = app.models.Clients.newQuery();
query.filters.CBID._equals = parseInt(cbid);
var results = query.run();
if(results.length &amp;gt; 0){
  var arr = [
    results[0].Id, //0
    results[0].fname, //1
    results[0].sname //3
      ];
    return arr.join(",");
  }else{
    return false;
  }
  }catch(e){
  console.error(e);
  console.log("function get_user_data");
  return false;
  }
}
function update_client(cbid) {
  try{
    var ds = app.models.Clients;
    var query = ds.newQuery();
    query.filters.CBID._equals = parseInt(cbid);
    var results = query.run();
    if(results.length &amp;gt; 0){
      var id = results[0]._key;
      return id+1;
    }else{
      return -1;
    }
  }catch(e){
    console.error(e);
    return -1;
  }
}
&lt;/code&gt;&lt;/pre&gt;
&lt;p&gt;This gets the Clients table and updates the row for the selected client, then rebuilds the profile with the new information.&lt;/p&gt;
&lt;p&gt;EDIT: I have managed to get to a point where its telling me that i cannot run the query (ds.load()) while processing its results. There does not seem to be a manual check to see if it has processed?&lt;/p&gt;
&lt;p&gt;Note: datasource.saveChanges() does not work as it saves automatically.&lt;/p&gt;
</t>
  </si>
  <si>
    <t xml:space="preserve">&lt;p&gt;I have 2 pages in my app.  Page 1 allows the user to select a pupil and then the app shows Page 2.&lt;/p&gt;
&lt;p&gt;On Page 2 I have a Drive Picker widget that allows the user to choose images that will be copied to a specific folder (depends on what was selected on Page 1).
If the user closes the picker on Page 2 after picking files and then opens it again without visiting Page 1 first, the Drive Picker remembers which specific folder they had navigated to and allows them to continue.&lt;/p&gt;
&lt;p&gt;If the user visits Page 1 again first to select a different pupil and then comes back to Page 2 and uses the Picker, it seems as if the Picker gets reset and shows the user the root of their Drive again.  I want to avoid this behaviour so that the user can continue to select files from their last visit (in the same session) to Page 2.&lt;/p&gt;
&lt;p&gt;Is there anyway to access the last visited folder of the picker and store that say in a page property and then make the picker use that property the next time it is opened?&lt;/p&gt;
&lt;p&gt;I have become a little confused as well with the options that are available to the widget and the options that are surfaced through the result object.  I confess that I've tried to search stack overflow for more information on how to use result object, but cannot surface much so all of my scripts use the widget.selectedDocuments way.&lt;/p&gt;
</t>
  </si>
  <si>
    <t xml:space="preserve">&lt;p&gt;I am trying to install and use the &lt;a href="https://www.lightningdesignsystem.com/" rel="nofollow noreferrer"&gt;Salesforce Lightning Design System&lt;/a&gt; for my apps styles. But it just doesn't work. My steps (I am using vue-cli 3.4.0 + typescript):&lt;/p&gt;
&lt;p&gt;&lt;code&gt;npm install @salesforce-ux/design-system --save&lt;/code&gt;&lt;/p&gt;
&lt;p&gt;At first I imported it into the styles of my &lt;code&gt;App.vue&lt;/code&gt;&lt;/p&gt;
&lt;pre&gt;&lt;code&gt;&amp;lt;template&amp;gt;
  &amp;lt;div id="app"&amp;gt;
    &amp;lt;router-view/&amp;gt;
  &amp;lt;/div&amp;gt;
&amp;lt;/template&amp;gt;
&amp;lt;style&amp;gt;
@import url("/node_modules/@salesforce-ux/design-system/assets/styles/salesforce-lightning-design-system.min.css");
body {
  background-color: #ffffff;
  background-image: url("data:image/svg+xml,%3Csvg xmlns='http://www.w3.org/2000/svg' width='100' height='100' viewBox='0 0 100 100'%3E%3Cg stroke='%23CCC' stroke-width='0' %3E%3Crect fill='%23F5F5F5' x='-60' y='-60' width='110' height='240'/%3E%3C/g%3E%3C/svg%3E");
}
&amp;lt;/style&amp;gt;
&lt;/code&gt;&lt;/pre&gt;
&lt;p&gt;Then I added the classes to a simple button:&lt;/p&gt;
&lt;pre&gt;&lt;code&gt;&amp;lt;button class="slds-button slds-button_brand" @click="createTask"&amp;gt;Save&amp;lt;/button&amp;gt;
&lt;/code&gt;&lt;/pre&gt;
&lt;p&gt;This does nothing. Classes are applied, but no styling.&lt;/p&gt;
&lt;p&gt;I tried adding it to my main.ts:&lt;/p&gt;
&lt;pre&gt;&lt;code&gt;import Vue from 'vue';
import App from './App.vue';
import router from './router';
import store from './store';
import '../node_modules/@salesforce-ux/design-system/assets/styles/salesforce-lightning-design-system.min.css'
Vue.config.productionTip = false;
new Vue({
  router,
  store,
  render: (h) =&amp;gt; h(App),
}).$mount('#app');
&lt;/code&gt;&lt;/pre&gt;
&lt;p&gt;This makes the whole build fail because it says it can't resolve the module:&lt;/p&gt;
&lt;pre&gt;&lt;code&gt;./src/main.ts
Module not found: Error: Can't resolve '../node_modules/@salesforce-ux/design-system/assets/styles/salesforce-lightning-design-system.min.css' in '/usr/src/app/src'
&lt;/code&gt;&lt;/pre&gt;
&lt;p&gt;This happens even though the dependency is in my &lt;code&gt;package.json&lt;/code&gt; and the autocomplete in vscode shows me the relative path. I've tried diferent relative paths and none of them work. What's going on here?&lt;/p&gt;
</t>
  </si>
  <si>
    <t xml:space="preserve">&lt;p&gt;I have used a flow to return my list of locations with their co-ordinates in a collection and Now i am trying to display them on to a map using BingMaps.   "Mylist" is the collection name, but i am not sure on the correct syntax to get them to display required parametres. &lt;/p&gt;
&lt;pre&gt;&lt;code&gt;BingMaps.GetMap("CanvasLight",15,Location.Latitude,Location.Longitude,
{pushpin: Concat(mylist.Lat&amp;amp;","&amp;amp; mylist.Long,";37",";\r\n")})
&lt;/code&gt;&lt;/pre&gt;
&lt;p&gt;My collection in powerapps looks like this.&lt;br&gt;
&lt;a href="https://i.stack.imgur.com/pf0wk.png" rel="nofollow noreferrer"&gt;powerapps collection&lt;/a&gt;&lt;/p&gt;
&lt;p&gt;here is a link to the syntax for pushpin: &lt;a href="https://docs.microsoft.com/en-us/bingmaps/rest-services/common-parameters-and-types/pushpin-syntax-a" rel="nofollow noreferrer"&gt;https://docs.microsoft.com/en-us/bingmaps/rest-services/common-parameters-and-types/pushpin-syntax-a&lt;/a&gt;...&lt;/p&gt;
</t>
  </si>
  <si>
    <t xml:space="preserve">&lt;p&gt;I am following the Microsoft blog (link here - &lt;a href="https://powerbi.microsoft.com/en-us/blog/embedding-a-power-bi-report-into-salesforce/" rel="nofollow noreferrer"&gt;https://powerbi.microsoft.com/en-us/blog/embedding-a-power-bi-report-into-salesforce/&lt;/a&gt;) to embed a power bi report into a visual force page in salesforce. However, the end users do not have a Microsoft account (they will have a salesforce account) and I will be using a different Microsoft account (lets say impersonation account) to connect to Power BI via Azure AD.&lt;/p&gt;
&lt;p&gt;When I open the visual force page from salesforce it first goes to the Microsoft login screen and once I enter the impersonation account username and password only then embeds the entire report in salesforce. Is there a way to directly log into Microsoft using the impersonation account from salesforce? (the end users will not have a Microsoft account). Any help is much appreciated.&lt;/p&gt;
</t>
  </si>
  <si>
    <t xml:space="preserve">&lt;p&gt;I am trying to send a mail using &lt;strong&gt;Firebase Functions&lt;/strong&gt; from an onCreate trigger using &lt;strong&gt;nodemailer&lt;/strong&gt; and &lt;strong&gt;Zoho&lt;/strong&gt; mail account. This is the entire function&lt;/p&gt;
&lt;pre&gt;&lt;code&gt;export const mailFunc = functions.database.ref('/data/{messageId}')
.onCreate((snapshot, context) =&amp;gt; {
    const data = snapshot.val();
    const transporter = nodemailer.createTransport({
        service: "Zoho",
        auth: {
            user: 'name@mydomain.in',
            pass: 'passwordgoeshere'
        }
    });
    const mailOptions: nodemailer.SendMailOptions = {
        from: 'name@mydomain.in',
        to: 'someone@gmail.com',
        subject: 'Here goes the subject',
        text: `${data.message}\n\n${data.name}`
    };
    return transporter.sendMail(mailOptions)
});
&lt;/code&gt;&lt;/pre&gt;
&lt;p&gt;The thing is when I run this function with an invalid username or password it gives &lt;code&gt;Error: Invalid login&lt;/code&gt; and when I try it with the correct username and password it gives the below error log&lt;/p&gt;
&lt;pre&gt;&lt;code&gt;Error: getaddrinfo ENOTFOUND smtp.zoho.com
    at errnoException (dns.js:28:10)
    at GetAddrInfoReqWrap.onlookup [as oncomplete] (dns.js:76:26)
&lt;/code&gt;&lt;/pre&gt;
&lt;p&gt;&lt;strong&gt;For reference&lt;/strong&gt;&lt;/p&gt;
&lt;ul&gt;
&lt;li&gt;Using Firebase free plan (Spark Plan)&lt;/li&gt;
&lt;li&gt;Haven't connected the custom domain yet&lt;/li&gt;
&lt;li&gt;Using Zoho Free Plan&lt;/li&gt;
&lt;li&gt;The password contains special characters(it's mandatory in Zoho)&lt;/li&gt;
&lt;li&gt;Haven't changed any settings in the Zoho account other than the initial setup(Mail is working properly)&lt;/li&gt;
&lt;/ul&gt;
&lt;p&gt;I am just getting started with Firebase and Node. I think the reference points may help. I am really stuck please help.&lt;/p&gt;
</t>
  </si>
  <si>
    <t xml:space="preserve">&lt;p&gt;I'm developing an App Maker app and from a &lt;a href="https://developers.google.com/appmaker/scripting/client" rel="nofollow noreferrer"&gt;client-side script&lt;/a&gt;, I have to make calls to server side functions - suppose function &lt;code&gt;a&lt;/code&gt; and function &lt;code&gt;b&lt;/code&gt; - that are dependent on each other.&lt;/p&gt;
&lt;p&gt;The first (native) solution in client-side script was the following, which uses callbacks:&lt;/p&gt;
&lt;pre&gt;&lt;code&gt;function doB(s) {
    google.script.run.withSuccessHandler(function(result) { // async workload
        console.log(result);
    }).withFailureHandler(function(error) {
        console.log(error);
    }).b(s);
}
function aThenB(s) {
    google.script.run.withSuccessHandler(function(result) { // async workload
        console.log(result);
        doB(result); // call b
    }).withFailureHandler(function(error) {
        console.log(error);
    }).a(s);
}
&lt;/code&gt;&lt;/pre&gt;
&lt;p&gt;But if you have to then call function &lt;code&gt;c&lt;/code&gt;, and then &lt;code&gt;d&lt;/code&gt;, etc, with the results of these related function executions, this becomes very unwieldy. I read &lt;a href="http://ramblings.mcpher.com/Home/excelquirks/gassnips/googlescriptruntidy" rel="nofollow noreferrer"&gt;this article&lt;/a&gt;, which describes converting from callback to Promise, e.g.:&lt;/p&gt;
&lt;pre&gt;&lt;code&gt;function runnerToPromise(f) {
    var runArgs = Array.prototype.slice.call(arguments).slice(1);
    return new Promise(function(resolve, reject) { // executor
        google.script.run.withSuccessHandler(function(result) {
            resolve(result); // resolve promise
        }).withFailureHandler(function(error) {
            reject(error); // reject promise
        })[f].apply(this, runArgs); // async
    });
}
&lt;/code&gt;&lt;/pre&gt;
&lt;p&gt;Which would make the above code look like:&lt;/p&gt;
&lt;pre&gt;&lt;code&gt;function aThenB(s) {
    return runnerToPromise('a', s).then(
        function(result) {
            return runnerToPromise('b', result);
        }
    );
}
function runAThenB(s) {
    aThenB(s).then(function(result) {
        console.log('SUCCESS: ' + result);
    }).catch(function(error) {
        console.log(error);
    });
}
&lt;/code&gt;&lt;/pre&gt;
&lt;p&gt;&lt;strong&gt;This solution works properly if you use Apps Script and &lt;code&gt;HtmlService&lt;/code&gt;, and deploy the script as "Web App."&lt;/strong&gt;&lt;/p&gt;
&lt;p&gt;However, in App Maker, it throws an error that I cannot understand:&lt;/p&gt;
&lt;blockquote&gt;
  &lt;p&gt;TypeError: Cannot read property 'withLogger' of undefined.&lt;/p&gt;
&lt;/blockquote&gt;
&lt;p&gt;How can I resolve this App Maker-only error?&lt;/p&gt;
&lt;hr&gt;
&lt;h2&gt;UPDATE&lt;/h2&gt;
&lt;p&gt;I made a new test app with App Maker to reproduce the problem.&lt;/p&gt;
&lt;p&gt;The app just does that: it copies, in two steps, the data from a spreadsheet to another spreadsheet.&lt;/p&gt;
&lt;p&gt;I ran the code in App Maker and I also deployed the code as a Web Application made with Apps Script.&lt;/p&gt;
&lt;p&gt;No problem with the Web Application made with Apps Script; in App Maker only the solution that uses callbacks works properly.&lt;/p&gt;
&lt;p&gt;Server side script:&lt;/p&gt;
&lt;pre&gt;&lt;code&gt;function serverStepOne() {
    console.log('serverStepOne fn called!');
    return SpreadsheetApp
        .openById('XXX') // Spreadsheet A
        .getSheetByName('A')
        .getDataRange()
        .getValues();
}
function serverStepTwo(grid) {
    console.log('serverStepTwo fn called!');
    SpreadsheetApp
        .openById('YYY') // Spreadsheet B
        .getSheetByName('A').getRange(1, 1, grid.length, grid[0].length).setValues(grid); // all rows have the same number of cells
        return 'copy done!';
}
&lt;/code&gt;&lt;/pre&gt;
&lt;p&gt;Client side script:&lt;/p&gt;
&lt;pre&gt;&lt;code&gt;function copyData() { // messy one... works like a charm in App Maker
    google.script.run.withSuccessHandler(function(result) {
        google.script.run.withSuccessHandler(function(result) {console.log(result);}).withFailureHandler(function(error) {console.log(error);}).serverStepTwo(result);
    }).withFailureHandler(function(error) {console.log(error);}).serverStepOne();
}
function runnerToPromise(f) {
    var runArgs = Array.prototype.slice.call(arguments).slice(1);
    return new Promise(function(resolve, reject) {
        google.script.run.withSuccessHandler(function(result) {
            resolve(result);
        }).withFailureHandler(function(error) {
            reject(error);
        })[f].apply(this, runArgs);
    });
}
function copyDataPromise() { // tidy one... doesn't work in App Maker; works in Apps Script Web App
    return runnerToPromise('serverStepOne').then(
    function(result) {
        return runnerToPromise('serverStepTwo', result);
    });
}
function runCopyDataPromise() {
    copyDataPromise().then(function(result) {console.log(result);}).catch(function(error) {console.log(error);});
}
&lt;/code&gt;&lt;/pre&gt;
&lt;p&gt;App Maker, when the copyDataPromise fn is called, produces the following log in the browser's console:&lt;/p&gt;
&lt;pre&gt;&lt;code&gt;com.google.apps.appmaker.AppMakerGwt-0.js:7706 Uncaught (in promise) TypeError: Cannot read property 'withLogger' of undefined
at n.(n-omfqufplv3inu3qxlfsar7h6wn2rogznri3mjoq-0lu-script.googleusercontent.com/anonymous function) (com.google.apps.appmaker.AppMakerGwt-0.js:7706:182)
at clientScriptsContext.js:14
at &amp;lt;anonymous&amp;gt;:26:11
at new Promise (&amp;lt;anonymous&amp;gt;)
at runnerToPromise (&amp;lt;anonymous&amp;gt;:16:10)
at copyDataPromise (&amp;lt;anonymous&amp;gt;:32:10)
at COMPONENT_EVENT_1sVF9N7aiAUX2sXc4qZ90Ben2JowEfeez_0_1142335744_onClick (&amp;lt;anonymous&amp;gt;:48:1)
at window.am_exit (clientScriptsContext.js:22)
at UZ (com.google.apps.appmaker.AppMakerGwt-0.js:6651)
at LZ (com.google.apps.appmaker.AppMakerGwt-0.js:4950)
at NZ (com.google.apps.appmaker.AppMakerGwt-0.js:6043)
at Qgb (com.google.apps.appmaker.AppMakerGwt-0.js:6803)
at QTb.RTb [as sc] (com.google.apps.appmaker.AppMakerGwt-0.js:7738)
at ozd.pzd [as xd] (com.google.apps.appmaker.AppMakerGwt-0.js:7746)
at wCd (com.google.apps.appmaker.AppMakerGwt-0.js:7328)
at oCd (com.google.apps.appmaker.AppMakerGwt-0.js:6718)
at Id (com.google.apps.appmaker.AppMakerGwt-0.js:1394)
at Wyd (com.google.apps.appmaker.AppMakerGwt-0.js:6732)
at Kd (com.google.apps.appmaker.AppMakerGwt-0.js:6025)
at PHc.Vd [as dc] (com.google.apps.appmaker.AppMakerGwt-0.js:7728)
at pue (com.google.apps.appmaker.AppMakerGwt-0.js:5477)
at HTMLButtonElement.Vve (com.google.apps.appmaker.AppMakerGwt-0.js:4828)
at Drd (com.google.apps.appmaker.AppMakerGwt-0.js:2887)
at Grd (com.google.apps.appmaker.AppMakerGwt-0.js:6717)
at HTMLButtonElement.eval (com.google.apps.appmaker.AppMakerGwt-0.js:4677)
n.(anonymous function) @ com.google.apps.appmaker.AppMakerGwt-0.js:7706
(anonymous) @ clientScriptsContext.js:14
(anonymous) @ VM28:26
runnerToPromise @ VM28:16
copyDataPromise @ VM28:32
COMPONENT_EVENT_1sVF9N7aiAUX2sXc4qZ90Ben2JowEfeez_0_1142335744_onClick @ VM38:48
window.am_exit @ clientScriptsContext.js:22
UZ @ com.google.apps.appmaker.AppMakerGwt-0.js:6651
LZ @ com.google.apps.appmaker.AppMakerGwt-0.js:4950
NZ @ com.google.apps.appmaker.AppMakerGwt-0.js:6043
Qgb @ com.google.apps.appmaker.AppMakerGwt-0.js:6803
RTb @ com.google.apps.appmaker.AppMakerGwt-0.js:7738
pzd @ com.google.apps.appmaker.AppMakerGwt-0.js:7746
wCd @ com.google.apps.appmaker.AppMakerGwt-0.js:7328
oCd @ com.google.apps.appmaker.AppMakerGwt-0.js:6718
Id @ com.google.apps.appmaker.AppMakerGwt-0.js:1394
Wyd @ com.google.apps.appmaker.AppMakerGwt-0.js:6732
Kd @ com.google.apps.appmaker.AppMakerGwt-0.js:6025
Vd @ com.google.apps.appmaker.AppMakerGwt-0.js:7728
pue @ com.google.apps.appmaker.AppMakerGwt-0.js:5477
Vve @ com.google.apps.appmaker.AppMakerGwt-0.js:4828
Drd @ com.google.apps.appmaker.AppMakerGwt-0.js:2887
Grd @ com.google.apps.appmaker.AppMakerGwt-0.js:6717
(anonymous) @ com.google.apps.appmaker.AppMakerGwt-0.js:4677
Promise.then (async)
copyDataPromise @ VM28:32
COMPONENT_EVENT_1sVF9N7aiAUX2sXc4qZ90Ben2JowEfeez_0_1142335744_onClick @ VM38:48
window.am_exit @ clientScriptsContext.js:22
UZ @ com.google.apps.appmaker.AppMakerGwt-0.js:6651
LZ @ com.google.apps.appmaker.AppMakerGwt-0.js:4950
NZ @ com.google.apps.appmaker.AppMakerGwt-0.js:6043
Qgb @ com.google.apps.appmaker.AppMakerGwt-0.js:6803
RTb @ com.google.apps.appmaker.AppMakerGwt-0.js:7738
pzd @ com.google.apps.appmaker.AppMakerGwt-0.js:7746
wCd @ com.google.apps.appmaker.AppMakerGwt-0.js:7328
oCd @ com.google.apps.appmaker.AppMakerGwt-0.js:6718
Id @ com.google.apps.appmaker.AppMakerGwt-0.js:1394
Wyd @ com.google.apps.appmaker.AppMakerGwt-0.js:6732
Kd @ com.google.apps.appmaker.AppMakerGwt-0.js:6025
Vd @ com.google.apps.appmaker.AppMakerGwt-0.js:7728
pue @ com.google.apps.appmaker.AppMakerGwt-0.js:5477
Vve @ com.google.apps.appmaker.AppMakerGwt-0.js:4828
Drd @ com.google.apps.appmaker.AppMakerGwt-0.js:2887
Grd @ com.google.apps.appmaker.AppMakerGwt-0.js:6717
(anonymous) @ com.google.apps.appmaker.AppMakerGwt-0.js:4677
&lt;/code&gt;&lt;/pre&gt;
&lt;p&gt;There are no errors at all in Stackdriver.&lt;/p&gt;
&lt;hr&gt;
&lt;h2&gt;UPDATE 2&lt;/h2&gt;
&lt;p&gt;I've modified the code a little, adding named function expressions.&lt;/p&gt;
&lt;pre&gt;&lt;code&gt;function runnerToPromise(f) {
    var runArgs = Array.prototype.slice.call(arguments).slice(1);
    return new Promise(function myExecutor(resolve, reject) {
        google.script.run.withSuccessHandler(function myWithSuccessHandler(result) {
            resolve(result);
        }).withFailureHandler(function myWithFailureHandler( error) {
            reject(error);
        })[f].apply(null, runArgs);
    });
}
function copyDataPromise() { // tidy one... doesn't work at all in App Maker; works with Apps Script (Web App)
    return runnerToPromise('serverStepOne').then(
        function myFirstPromiseThen(result) {
            return runnerToPromise('serverStepTwo', result);
        });
    }
    function runCopyDataPromise() {
        copyDataPromise().then(function myLastPromiseThen(result) {console.log(result);}).catch(function myFinalCatch(error) {console.log(error);});
}
&lt;/code&gt;&lt;/pre&gt;
&lt;p&gt;Console log:&lt;/p&gt;
&lt;pre&gt;&lt;code&gt;com.google.apps.appmaker.AppMakerGwt-0.js:formatted:57540 Uncaught (in promise) TypeError: Cannot read property 'withLogger' of undefined
    at n.(n-omfqufplv3inu3qxlfsar7h6wn2rogznri3mjoq-0lu-script.googleusercontent.com/anonymous function) (com.google.apps.appmaker.AppMakerGwt-0.js:7706:182)
    at clientScriptsContext.js:14
    at myExecutor (&amp;lt;anonymous&amp;gt;:26:11)
    at new Promise (&amp;lt;anonymous&amp;gt;)
    at runnerToPromise (&amp;lt;anonymous&amp;gt;:16:10)
    at copyDataPromise (&amp;lt;anonymous&amp;gt;:32:10)
    at COMPONENT_EVENT_1sVF9N7aiAUX2sXc4qZ90Ben2JowEfeez_0_1142335744_onClick (&amp;lt;anonymous&amp;gt;:48:1)
    at window.am_exit (clientScriptsContext.js:22)
    at UZ (com.google.apps.appmaker.AppMakerGwt-0.js:formatted:36031)
    at LZ (com.google.apps.appmaker.AppMakerGwt-0.js:formatted:20165)
    at NZ (com.google.apps.appmaker.AppMakerGwt-0.js:formatted:29107)
    at Qgb (com.google.apps.appmaker.AppMakerGwt-0.js:formatted:38046)
    at QTb.RTb [as sc] (com.google.apps.appmaker.AppMakerGwt-0.js:formatted:77339)
    at ozd.pzd [as xd] (com.google.apps.appmaker.AppMakerGwt-0.js:formatted:93227)
    at wCd (com.google.apps.appmaker.AppMakerGwt-0.js:formatted:46855)
    at oCd (com.google.apps.appmaker.AppMakerGwt-0.js:formatted:36933)
    at Id (com.google.apps.appmaker.AppMakerGwt-0.js:formatted:3853)
    at Wyd (com.google.apps.appmaker.AppMakerGwt-0.js:formatted:37133)
    at Kd (com.google.apps.appmaker.AppMakerGwt-0.js:formatted:28919)
    at PHc.Vd [as dc] (com.google.apps.appmaker.AppMakerGwt-0.js:formatted:61727)
    at pue (com.google.apps.appmaker.AppMakerGwt-0.js:formatted:23899)
    at HTMLButtonElement.Vve (com.google.apps.appmaker.AppMakerGwt-0.js:formatted:19342)
    at Drd (com.google.apps.appmaker.AppMakerGwt-0.js:formatted:9567)
    at Grd (com.google.apps.appmaker.AppMakerGwt-0.js:formatted:36910)
    at HTMLButtonElement.eval (com.google.apps.appmaker.AppMakerGwt-0.js:formatted:18425)
n.(anonymous function) @ com.google.apps.appmaker.AppMakerGwt-0.js:formatted:57540
(anonymous) @ clientScriptsContext.js:14
myExecutor @ VM28:26
runnerToPromise @ VM28:16
copyDataPromise @ VM28:32
COMPONENT_EVENT_1sVF9N7aiAUX2sXc4qZ90Ben2JowEfeez_0_1142335744_onClick @ VM72:48
window.am_exit @ clientScriptsContext.js:22
UZ @ com.google.apps.appmaker.AppMakerGwt-0.js:formatted:36031
LZ @ com.google.apps.appmaker.AppMakerGwt-0.js:formatted:20165
NZ @ com.google.apps.appmaker.AppMakerGwt-0.js:formatted:29107
Qgb @ com.google.apps.appmaker.AppMakerGwt-0.js:formatted:38046
RTb @ com.google.apps.appmaker.AppMakerGwt-0.js:formatted:77339
pzd @ com.google.apps.appmaker.AppMakerGwt-0.js:formatted:93227
wCd @ com.google.apps.appmaker.AppMakerGwt-0.js:formatted:46855
oCd @ com.google.apps.appmaker.AppMakerGwt-0.js:formatted:36933
Id @ com.google.apps.appmaker.AppMakerGwt-0.js:formatted:3853
Wyd @ com.google.apps.appmaker.AppMakerGwt-0.js:formatted:37133
Kd @ com.google.apps.appmaker.AppMakerGwt-0.js:formatted:28919
Vd @ com.google.apps.appmaker.AppMakerGwt-0.js:formatted:61727
pue @ com.google.apps.appmaker.AppMakerGwt-0.js:formatted:23899
Vve @ com.google.apps.appmaker.AppMakerGwt-0.js:formatted:19342
Drd @ com.google.apps.appmaker.AppMakerGwt-0.js:formatted:9567
Grd @ com.google.apps.appmaker.AppMakerGwt-0.js:formatted:36910
(anonymous) @ com.google.apps.appmaker.AppMakerGwt-0.js:formatted:18425
Promise.then (async)
copyDataPromise @ VM28:32
COMPONENT_EVENT_1sVF9N7aiAUX2sXc4qZ90Ben2JowEfeez_0_1142335744_onClick @ VM72:48
window.am_exit @ clientScriptsContext.js:22
UZ @ com.google.apps.appmaker.AppMakerGwt-0.js:formatted:36031
LZ @ com.google.apps.appmaker.AppMakerGwt-0.js:formatted:20165
NZ @ com.google.apps.appmaker.AppMakerGwt-0.js:formatted:29107
Qgb @ com.google.apps.appmaker.AppMakerGwt-0.js:formatted:38046
RTb @ com.google.apps.appmaker.AppMakerGwt-0.js:formatted:77339
pzd @ com.google.apps.appmaker.AppMakerGwt-0.js:formatted:93227
wCd @ com.google.apps.appmaker.AppMakerGwt-0.js:formatted:46855
oCd @ com.google.apps.appmaker.AppMakerGwt-0.js:formatted:36933
Id @ com.google.apps.appmaker.AppMakerGwt-0.js:formatted:3853
Wyd @ com.google.apps.appmaker.AppMakerGwt-0.js:formatted:37133
Kd @ com.google.apps.appmaker.AppMakerGwt-0.js:formatted:28919
Vd @ com.google.apps.appmaker.AppMakerGwt-0.js:formatted:61727
pue @ com.google.apps.appmaker.AppMakerGwt-0.js:formatted:23899
Vve @ com.google.apps.appmaker.AppMakerGwt-0.js:formatted:19342
Drd @ com.google.apps.appmaker.AppMakerGwt-0.js:formatted:9567
Grd @ com.google.apps.appmaker.AppMakerGwt-0.js:formatted:36910
(anonymous) @ com.google.apps.appmaker.AppMakerGwt-0.js:formatted:18425
&lt;/code&gt;&lt;/pre&gt;
&lt;p&gt;&lt;a href="https://i.stack.imgur.com/uSIBV.png" rel="nofollow noreferrer"&gt;&lt;img src="https://i.stack.imgur.com/uSIBV.png" alt="image 1"&gt;&lt;/a&gt;&lt;/p&gt;
&lt;hr&gt;
&lt;h2&gt;UPDATE 3&lt;/h2&gt;
&lt;p&gt;I've tried the code below. It works in an Apps Script Web App. It doesn't work in App Maker. In App Maker it throws the same error: &lt;strong&gt;Cannot read property 'withLogger' of undefined&lt;/strong&gt;&lt;/p&gt;
&lt;pre&gt;&lt;code&gt;/*jshint esnext:true*/
const runnerToPromiseSpread = (fn, ...args) =&amp;gt; {
      return new Promise((resolve, reject) =&amp;gt; {
        let task = google.script.run
          .withSuccessHandler(resolve)
          .withFailureHandler(reject);
        if (task[fn] === undefined) {
          reject("'" + fn + "' is not a global function in your Apps Script project");
        } else {
          task[fn].apply(null, args);
        }
      });
    };
    function copyDataPromiseSpread() {
      return runnerToPromiseSpread('serverStepOne')
        .then((result) =&amp;gt; {
          return runnerToPromiseSpread('serverStepTwo', result);
        });
    }
    function runCopyDataPromiseSpread() {
      copyDataPromiseSpread().then((result) =&amp;gt; {
        console.log(result);
      }).catch((error) =&amp;gt; {
        console.log(error);
      });
    }
&lt;/code&gt;&lt;/pre&gt;
&lt;p&gt;In the browser's console:&lt;/p&gt;
&lt;pre&gt;&lt;code&gt;TypeError: Cannot read property 'withLogger' of undefined
at n.(n-omfqufplv3inu3qxlfsar7h6wn2rogznri3mjoq-0lu-script.googleusercontent.com/anonymous function) (com.google.apps.appmaker.AppMakerGwt-0.js:7706:182)
at clientScriptsContext.js:14
at &amp;lt;anonymous&amp;gt;:21:16
at new Promise (&amp;lt;anonymous&amp;gt;)
at runnerToPromiseSpread (&amp;lt;anonymous&amp;gt;:7:10)
at copyDataPromiseSpread (&amp;lt;anonymous&amp;gt;:28:10)
at runCopyDataPromiseSpread (&amp;lt;anonymous&amp;gt;:39:5)
at COMPONENT_EVENT_1sVF9N7aiAUX2sXc4qZ90Ben2JowEfeez_0_1142335744_onClick (&amp;lt;anonymous&amp;gt;:86:1)
at window.am_exit (clientScriptsContext.js:22)
at UZ (com.google.apps.appmaker.AppMakerGwt-0.js:formatted:36031)
at LZ (com.google.apps.appmaker.AppMakerGwt-0.js:formatted:20165)
at NZ (com.google.apps.appmaker.AppMakerGwt-0.js:formatted:29107)
at Qgb (com.google.apps.appmaker.AppMakerGwt-0.js:formatted:38046)
at QTb.RTb [as sc] (com.google.apps.appmaker.AppMakerGwt-0.js:formatted:77339)
at ozd.pzd [as xd] (com.google.apps.appmaker.AppMakerGwt-0.js:formatted:93227)
at wCd (com.google.apps.appmaker.AppMakerGwt-0.js:formatted:46855)
at oCd (com.google.apps.appmaker.AppMakerGwt-0.js:formatted:36933)
at Id (com.google.apps.appmaker.AppMakerGwt-0.js:formatted:3853)
at Wyd (com.google.apps.appmaker.AppMakerGwt-0.js:formatted:37133)
at Kd (com.google.apps.appmaker.AppMakerGwt-0.js:formatted:28919)
at PHc.Vd [as dc] (com.google.apps.appmaker.AppMakerGwt-0.js:formatted:61727)
at pue (com.google.apps.appmaker.AppMakerGwt-0.js:formatted:23899)
at HTMLButtonElement.Vve (com.google.apps.appmaker.AppMakerGwt-0.js:formatted:19342)
at Drd (com.google.apps.appmaker.AppMakerGwt-0.js:formatted:9567)
at Grd (com.google.apps.appmaker.AppMakerGwt-0.js:formatted:36910)
at HTMLButtonElement.eval (com.google.apps.appmaker.AppMakerGwt-0.js:formatted:18425)
&lt;/code&gt;&lt;/pre&gt;
</t>
  </si>
  <si>
    <t xml:space="preserve">&lt;p&gt;I have a TABLE in google app maker, with two numbers, and a result: result= number1/number2&lt;/p&gt;
&lt;p&gt;Number1 value is &lt;code&gt;datasource.item.Number1#formatNumber('#.00')&lt;/code&gt;&lt;/p&gt;
&lt;p&gt;Number2 value is &lt;code&gt;datasource.item.Number2#formatNumber('#.00')&lt;/code&gt;&lt;/p&gt;
&lt;p&gt;The result is &lt;code&gt;(@datasource.item.Number1/@datasource.item.Number2)#formatNumber('#.00')&lt;/code&gt;&lt;/p&gt;
&lt;p&gt;But , when I run this app, I have this error:&lt;/p&gt;
&lt;blockquote&gt;
  &lt;p&gt;Syntax Error: Unterminated statement at return
  (_arg0/_arg1)#formatNumber('#.00')&lt;/p&gt;
&lt;/blockquote&gt;
&lt;p&gt;I want that result to show in the table but with only 2 decimals.&lt;/p&gt;
&lt;p&gt;How I can to do that?&lt;/p&gt;
</t>
  </si>
  <si>
    <t xml:space="preserve">&lt;p&gt;I'm quite new to Google App Maker and programming in general, I'm making an app where when a "+" button is clicked (onClick event) fields are added (kinda like a new row in a table with every click). I'm trying to make a counter to keep track of how many "rows" are being created. The thing is that since in App Maker all the code apparently has to be made inside the onClick event, i can't set a global variable and every time the button is clicked the counter restarts, therefore always being 1. &lt;/p&gt;
&lt;p&gt;I tried with localStorage but i don't exactly know how to make it work, since it still will always save the same value. How can i fix this?&lt;/p&gt;
&lt;pre&gt;&lt;code&gt;  var count = 0;
  count = count +1;
  localStorage.setItem('counter', JSON.stringify(parseFloat(count)));
  textArea.className = 'app-TextArea';
  textArea.style.margin = '8px';
  textArea.setAttribute("placeholder", "Follow up # " + localStorage.getItem('counter');
  widget.root.descendants.Panel1.getElement().appendChild(textArea);
&lt;/code&gt;&lt;/pre&gt;
</t>
  </si>
  <si>
    <t xml:space="preserve">&lt;p&gt;You should get data from &lt;code&gt;localStorage&lt;/code&gt; first, then increment it and finally set the new value the &lt;code&gt;localStorage&lt;/code&gt;.&lt;/p&gt;
&lt;pre&gt;&lt;code&gt;var count = parseInt(localStorage('counter')) || 0; // Get value from localStorage 
count = count + 1;
localStorage.setItem('counter', count); // Set new value to localStorage
textArea.className = 'app-TextArea';
textArea.style.margin = '8px';
textArea.setAttribute("placeholder", "Follow up # " + count); // Use new value
widget.root.descendants.Panel1.getElement().appendChild(textArea);
&lt;/code&gt;&lt;/pre&gt;
</t>
  </si>
  <si>
    <t xml:space="preserve">&lt;p&gt;I want to create multiple records at the same time using client script. This is what I'm doing:&lt;/p&gt;
&lt;pre&gt;&lt;code&gt;var ceateDatasource = app.datasources.Reservation.modes.create;
var newItem = ceateDatasource.item;
newItem.User = user; //'eric'
newItem.Description = description; //'000'
newItem.Location_Lab_fk = lab.value.Id; //'T'
newItem.Area_fk = area.value.Id; //'L'
newItem.Equipment_fk = equipment.value.Id; //'S'
for(var i = 0 ; i &amp;lt; 3; i ++) {
  newItem.Start_Date = startDate;
  newItem.Start_Hours = '03';
  newItem.Start_Minutes = '00';
  newItem.End_Date = startDate;
  newItem.End_Hours = '23';
  newItem.End_Minutes = '30';
  // Create the new item
  ceateDatasource.createItem();
}
&lt;/code&gt;&lt;/pre&gt;
&lt;p&gt;But the result I'm getting is this one:
&lt;a href="https://i.stack.imgur.com/EMORM.png" rel="nofollow noreferrer"&gt;&lt;img src="https://i.stack.imgur.com/EMORM.png" alt="enter image description here"&gt;&lt;/a&gt;&lt;/p&gt;
&lt;p&gt;The three records are created but the only the first one has data. The other two records have empty values on their fields. How can I achieve this?&lt;/p&gt;
&lt;p&gt;Thanks.   &lt;/p&gt;
&lt;p&gt;&lt;hr&gt;&lt;hr&gt;&lt;/p&gt;
&lt;p&gt;Update(2019-3-27):&lt;/p&gt;
&lt;p&gt;I was able to make it work by putting everything inside the &lt;em&gt;for loop&lt;/em&gt; block. However, I have another question.&lt;/p&gt;
&lt;p&gt;Is there any method like the below sample code?&lt;/p&gt;
&lt;pre&gt;&lt;code&gt;var recordData = [Data1, Data2, Data3] 
var ceateDatasource;
var newItem = new Array(recordData.length) ;
for(var i = 0 ; i &amp;lt; recordData.length; i ++) {
  ceateDatasource = app.datasources.Reservation.modes.create;
  newItem[i] = ceateDatasource.item;
  newItem[i].User            = recordData[i].user;
  newItem[i].Description     = recordData[i].Description;
  newItem[i].Location_Lab_fk = recordData[i].Location_Lab_fk;
  newItem[i].Area_fk         = recordData[i].Area_fk;
  newItem[i].Equipment_fk    = recordData[i].Equipment_fk;
  newItem[i].Start_Date    = recordData[i].Start_Date;
  newItem[i].Start_Hours   = recordData[i].Start_Hours;
  newItem[i].Start_Minutes = recordData[i].Start_Minutes;
  newItem[i].End_Date    = recordData[i].End_Date;
  newItem[i].End_Hours   = recordData[i].End_Hours;
  newItem[i].End_Minutes = recordData[i].End_Minutes;
}
// Create the new item
ceateDatasource.createItem();
&lt;/code&gt;&lt;/pre&gt;
&lt;p&gt;First, it prepares an array 'newItem' and only calls 'ceateDatasource.createItem()' one time to save all new records(or items).
I try to use this method, but it only saves the last record 'newItem[3]'.&lt;/p&gt;
&lt;p&gt;I need to write a callback function in 'ceateDatasource.createItem()' but Google App Maker always show a warning "Don't make functions within a loop". So, are there any methods to call 'createItem()' one time to save several records? Or are there some functions like 'array.push' which can be used? &lt;/p&gt;
&lt;p&gt;Thanks.  &lt;/p&gt;
</t>
  </si>
  <si>
    <t xml:space="preserve">&lt;p&gt;As per AppMaker's &lt;a href="https://developers.google.com/appmaker/scripting/api/client#CreateDataSource" rel="nofollow noreferrer"&gt;official documentation&lt;/a&gt;:&lt;/p&gt;
&lt;blockquote&gt;
  &lt;p&gt;A create datasource is a datasource used to create items in a particular data source. Its &lt;strong&gt;item&lt;/strong&gt; property is always populated by a &lt;strong&gt;draft item&lt;/strong&gt; which can be bound to or set programmatically. &lt;/p&gt;
&lt;/blockquote&gt;
&lt;p&gt;What you are trying to do is create three items off the same draft item. That why you see the result you get. If you want to create multiple items, you need to create a draft item for each one, hence all you need to do is put all your code inside the for loop.&lt;/p&gt;
&lt;pre&gt;&lt;code&gt;for(var i = 0 ; i &amp;lt; 3; i ++) {
  var ceateDatasource = app.datasources.Reservation.modes.create;
  var newItem = ceateDatasource.item;
  newItem.User = user; //'eric'
  newItem.Description = description; //'000'
  newItem.Location_Lab_fk = lab.value.Id; //'T'
  newItem.Area_fk = area.value.Id; //'L'
  newItem.Equipment_fk = equipment.value.Id; //'S'
  newItem.Start_Date = startDate;
  newItem.Start_Hours = '03';
  newItem.Start_Minutes = '00';
  newItem.End_Date = startDate;
  newItem.End_Hours = '23';
  newItem.End_Minutes = '30';
  // Create the new item
  ceateDatasource.createItem();
}
&lt;/code&gt;&lt;/pre&gt;
&lt;p&gt;If you want to save several records at the same time using client script, then what you are looking for is the &lt;a href="https://developers.google.com/appmaker/models/datasources#manual_save_mode" rel="nofollow noreferrer"&gt;&lt;strong&gt;Manual Save Mode&lt;/strong&gt;&lt;/a&gt;. So all you have to do is go to your model's datasource and click on the checkbox "Manual Save Mode".&lt;/p&gt;
&lt;p&gt;&lt;a href="https://i.stack.imgur.com/ydq1O.png" rel="nofollow noreferrer"&gt;&lt;img src="https://i.stack.imgur.com/ydq1O.png" alt="enter image description here"&gt;&lt;/a&gt;&lt;/p&gt;
&lt;p&gt;Then use the same code as above. The only difference is that in order to persist the changes to the server, you need to explicitly save changes. So all you have to do is add the following after the &lt;em&gt;for loop&lt;/em&gt; block:&lt;/p&gt;
&lt;pre&gt;&lt;code&gt;app.datasources.Reservation.saveChanges(function(){
     //TODO: Callback handler
});
&lt;/code&gt;&lt;/pre&gt;
</t>
  </si>
  <si>
    <t xml:space="preserve">&lt;p&gt;Looking for a solution to pick times without using 2 drop down menus and an Autocomplete search box.&lt;/p&gt;
&lt;p&gt;The autocomplete box example: &lt;a href="https://www.w3schools.com/howto/howto_js_autocomplete.asp" rel="nofollow noreferrer"&gt;W3 Schools Autocomplete&lt;/a&gt;&lt;/p&gt;
&lt;p&gt;The Time Picker Example: &lt;a href="https://weareoutman.github.io/clockpicker/" rel="nofollow noreferrer"&gt;Clock Picker for jQuery&lt;/a&gt;&lt;/p&gt;
&lt;p&gt;I am looking for a way i can use both of these and also get the values back out. I am having some issues with not being able to select the element past the HTML widget and non of the JS seems to work.&lt;/p&gt;
&lt;p&gt;I dont have anything i can show here other than the copy paste code and a few errors.&lt;/p&gt;
&lt;p&gt;Error 1: HTML widget -&gt; autocomplete input onclick cannot find function&lt;/p&gt;
&lt;p&gt;Error 2: ClockPicker will not work at all. No errors reported. probably as the element cannot be found or the click function not firing.&lt;/p&gt;
</t>
  </si>
  <si>
    <t xml:space="preserve">&lt;p&gt;Create a new blank application in Google App Maker then please follow the step by step guide below to achieve the same effect as &lt;a href="https://i.stack.imgur.com/kFznK.gif" rel="nofollow noreferrer"&gt;demonstrated here&lt;/a&gt;.&lt;/p&gt;
&lt;hr&gt;
&lt;p&gt;--- &lt;strong&gt;The Auto Complete Input&lt;/strong&gt; ---&lt;/p&gt;
&lt;p&gt;1). Create a client script and paste the following code:&lt;/p&gt;
&lt;pre&gt;&lt;code&gt;function autocomplete(inp, arr) {
  /*the autocomplete function takes two arguments,
  the text field element and an array of possible autocompleted values:*/
  var currentFocus;
  /*execute a function when someone writes in the text field:*/
  inp.addEventListener("input", function(e) {
    var a, b, i, val = this.value;
    /*close any already open lists of autocompleted values*/
    closeAllLists();
    if (!val) { return false;}
    currentFocus = -1;
    /*create a DIV element that will contain the items (values):*/
    a = document.createElement("DIV");
    a.setAttribute("id", this.id + "autocomplete-list");
    a.setAttribute("class", "autocomplete-items");
    /*append the DIV element as a child of the autocomplete container:*/
    this.parentNode.appendChild(a);
    /*for each item in the array...*/
    for (i = 0; i &amp;lt; arr.length; i++) {
      /*check if the item starts with the same letters as the text field value:*/
      if (arr[i].substr(0, val.length).toUpperCase() == val.toUpperCase()) {
        /*create a DIV element for each matching element:*/
        b = document.createElement("DIV");
        /*make the matching letters bold:*/
        b.innerHTML = "&amp;lt;strong&amp;gt;" + arr[i].substr(0, val.length) + "&amp;lt;/strong&amp;gt;";
        b.innerHTML += arr[i].substr(val.length);
        /*insert a input field that will hold the current array item's value:*/
        b.innerHTML += "&amp;lt;input type='hidden' value='" + arr[i] + "'&amp;gt;";
        /*execute a function when someone clicks on the item value (DIV element):*/
        b.addEventListener("click", function(e) {
          /*insert the value for the autocomplete text field:*/
          inp.value = this.getElementsByTagName("input")[0].value;
          /*close the list of autocompleted values,
              (or any other open lists of autocompleted values:*/
          closeAllLists();
        });
        a.appendChild(b);
      }
    }
  });
  /*execute a function presses a key on the keyboard:*/
  inp.addEventListener("keydown", function(e) {
    var x = document.getElementById(this.id + "autocomplete-list");
    if (x) x = x.getElementsByTagName("div");
    if (e.keyCode == 40) {
      /*If the arrow DOWN key is pressed,
        increase the currentFocus variable:*/
      currentFocus++;
      /*and and make the current item more visible:*/
      addActive(x);
    } else if (e.keyCode == 38) { //up
      /*If the arrow UP key is pressed,
        decrease the currentFocus variable:*/
      currentFocus--;
      /*and and make the current item more visible:*/
      addActive(x);
    } else if (e.keyCode == 13) {
      /*If the ENTER key is pressed, prevent the form from being submitted,*/
      e.preventDefault();
      if (currentFocus &amp;gt; -1) {
        /*and simulate a click on the "active" item:*/
        if (x) x[currentFocus].click();
      }
    }
  });
  function addActive(x) {
    /*a function to classify an item as "active":*/
    if (!x) return false;
    /*start by removing the "active" class on all items:*/
    removeActive(x);
    if (currentFocus &amp;gt;= x.length) currentFocus = 0;
    if (currentFocus &amp;lt; 0) currentFocus = (x.length - 1);
    /*add class "autocomplete-active":*/
    x[currentFocus].classList.add("autocomplete-active");
  }
  function removeActive(x) {
    /*a function to remove the "active" class from all autocomplete items:*/
    for (var i = 0; i &amp;lt; x.length; i++) {
      x[i].classList.remove("autocomplete-active");
    }
  }
  function closeAllLists(elmnt) {
    /*close all autocomplete lists in the document,
    except the one passed as an argument:*/
    var x = document.getElementsByClassName("autocomplete-items");
    for (var i = 0; i &amp;lt; x.length; i++) {
      if (elmnt != x[i] &amp;amp;&amp;amp; elmnt != inp) {
        x[i].parentNode.removeChild(x[i]);
      }
    }
  }
  /*execute a function when someone clicks in the document:*/
  document.addEventListener("click", function (e) {
    closeAllLists(e.target);
  });
}
&lt;/code&gt;&lt;/pre&gt;
&lt;p&gt;2). Drop a TextBox widget inside the only page you have in the app and add some width to it.&lt;/p&gt;
&lt;p&gt;3). Add the following code to the &lt;strong&gt;onAttach&lt;/strong&gt; event handler of the TextBox widget you just inserted in the UI:&lt;/p&gt;
&lt;pre&gt;&lt;code&gt;var countries = ["Afghanistan","Albania","Algeria","Andorra","Angola","Anguilla","Antigua &amp;amp;amp; Barbuda","Argentina","Armenia","Aruba","Australia","Austria","Azerbaijan","Bahamas","Bahrain","Bangladesh","Barbados","Belarus","Belgium","Belize","Benin","Bermuda","Bhutan","Bolivia","Bosnia &amp;amp;amp; Herzegovina","Botswana","Brazil","British Virgin Islands","Brunei","Bulgaria","Burkina Faso","Burundi","Cambodia","Cameroon","Canada","Cape Verde","Cayman Islands","Central Arfrican Republic","Chad","Chile","China","Colombia","Congo","Cook Islands","Costa Rica","Cote D Ivoire","Croatia","Cuba","Curacao","Cyprus","Czech Republic","Denmark","Djibouti","Dominica","Dominican Republic","Ecuador","Egypt","El Salvador","Equatorial Guinea","Eritrea","Estonia","Ethiopia","Falkland Islands","Faroe Islands","Fiji","Finland","France","French Polynesia","French West Indies","Gabon","Gambia","Georgia","Germany","Ghana","Gibraltar","Greece","Greenland","Grenada","Guam","Guatemala","Guernsey","Guinea","Guinea Bissau","Guyana","Haiti","Honduras","Hong Kong","Hungary","Iceland","India","Indonesia","Iran","Iraq","Ireland","Isle of Man","Israel","Italy","Jamaica","Japan","Jersey","Jordan","Kazakhstan","Kenya","Kiribati","Kosovo","Kuwait","Kyrgyzstan","Laos","Latvia","Lebanon","Lesotho","Liberia","Libya","Liechtenstein","Lithuania","Luxembourg","Macau","Macedonia","Madagascar","Malawi","Malaysia","Maldives","Mali","Malta","Marshall Islands","Mauritania","Mauritius","Mexico","Micronesia","Moldova","Monaco","Mongolia","Montenegro","Montserrat","Morocco","Mozambique","Myanmar","Namibia","Nauro","Nepal","Netherlands","Netherlands Antilles","New Caledonia","New Zealand","Nicaragua","Niger","Nigeria","North Korea","Norway","Oman","Pakistan","Palau","Palestine","Panama","Papua New Guinea","Paraguay","Peru","Philippines","Poland","Portugal","Puerto Rico","Qatar","Reunion","Romania","Russia","Rwanda","Saint Pierre &amp;amp;amp; Miquelon","Samoa","San Marino","Sao Tome and Principe","Saudi Arabia","Senegal","Serbia","Seychelles","Sierra Leone","Singapore","Slovakia","Slovenia","Solomon Islands","Somalia","South Africa","South Korea","South Sudan","Spain","Sri Lanka","St Kitts &amp;amp;amp; Nevis","St Lucia","St Vincent","Sudan","Suriname","Swaziland","Sweden","Switzerland","Syria","Taiwan","Tajikistan","Tanzania","Thailand","Timor L'Este","Togo","Tonga","Trinidad &amp;amp;amp; Tobago","Tunisia","Turkey","Turkmenistan","Turks &amp;amp;amp; Caicos","Tuvalu","Uganda","Ukraine","United Arab Emirates","United Kingdom","United States of America","Uruguay","Uzbekistan","Vanuatu","Vatican City","Venezuela","Vietnam","Virgin Islands (US)","Yemen","Zambia","Zimbabwe"];
autocomplete(widget.getElement().children[1], countries);
&lt;/code&gt;&lt;/pre&gt;
&lt;p&gt;4). Go to the style editor and paste the following css in the &lt;strong&gt;Page Style&lt;/strong&gt; section:&lt;/p&gt;
&lt;pre&gt;&lt;code&gt;.autocomplete-items {
  position: absolute;
  border: 1px solid #d4d4d4;
  border-bottom: none;
  border-top: none;
  z-index: 99;
  /*position the autocomplete items to be the same width as the container:*/
  top: 100%;
  left: 0;
  right: 0;
}
.autocomplete-items div {
  padding: 10px;
  cursor: pointer;
  background-color: #fff; 
  border-bottom: 1px solid #d4d4d4; 
}
.autocomplete-items div:hover {
  /*when hovering an item:*/
  background-color: #e9e9e9; 
}
.autocomplete-active {
  /*when navigating through the items using the arrow keys:*/
  background-color: DodgerBlue !important; 
  color: #ffffff; 
}
&lt;/code&gt;&lt;/pre&gt;
&lt;p&gt;5). Optional: Add a placeholder value: &lt;strong&gt;Type to autocomplete&lt;/strong&gt;&lt;/p&gt;
&lt;hr&gt;
&lt;p&gt;--- &lt;strong&gt;The Jquery Clock Picker&lt;/strong&gt; ---&lt;/p&gt;
&lt;p&gt;1). Make sure that you have the required javascript and css external resources added in your app and in the correct order: (First &lt;em&gt;jquery-min.js&lt;/em&gt;, then &lt;em&gt;jquery-clockpicker.min.js&lt;/em&gt;)&lt;/p&gt;
&lt;p&gt;&lt;a href="https://i.stack.imgur.com/26hFj.png" rel="nofollow noreferrer"&gt;&lt;img src="https://i.stack.imgur.com/26hFj.png" alt="enter image description here"&gt;&lt;/a&gt;&lt;/p&gt;
&lt;blockquote&gt;
  &lt;p&gt;In the above image I'm using the resources hosted on my server. Make
  sure you host your own or get a CDN cause I might delete them. The
  external resources MUST be served via HTTPS.&lt;/p&gt;
&lt;/blockquote&gt;
&lt;p&gt;2). Drop another TextBox widget in the UI and add some width. &lt;/p&gt;
&lt;p&gt;3). On the &lt;strong&gt;onAttach&lt;/strong&gt; event handler of this TextBox widget, add the following: &lt;/p&gt;
&lt;pre&gt;&lt;code&gt;$('.clockpicker').clockpicker({
    donetext: 'Done'
});
&lt;/code&gt;&lt;/pre&gt;
&lt;p&gt;4). Finally, make sure that you add both of these style classes to this TextBox widget: &lt;/p&gt;
&lt;p&gt;&lt;a href="https://i.stack.imgur.com/YL7Jy.png" rel="nofollow noreferrer"&gt;&lt;img src="https://i.stack.imgur.com/YL7Jy.png" alt="enter image description here"&gt;&lt;/a&gt;&lt;/p&gt;
&lt;p&gt;5). Optional: Add a placeholder value: &lt;strong&gt;Pick Time&lt;/strong&gt;&lt;/p&gt;
</t>
  </si>
  <si>
    <t xml:space="preserve">&lt;p&gt;A newbie is trying to import &lt;a href="http://www.2vsk.liepaja.edu.lv/Stundu_izmainas2.php" rel="nofollow noreferrer"&gt;the following existing URL with curriculum changes&lt;/a&gt;. The page needs to open onLoad, instead of user clicking. 
So far, I have tried:&lt;/p&gt;
&lt;ol&gt;
&lt;li&gt;Link widget - only works, when one clicks on the link. Does not suit.&lt;/li&gt;
&lt;li&gt;HTML widget - throws an error.  &lt;/li&gt;
&lt;li&gt;Fixed panel. Thought it was analogous to iframe. It isn't.&lt;/li&gt;
&lt;li&gt;Tried adding a script &lt;br /&gt;
&lt;code&gt;function openWebsite() {
window.open('http://www.2vsk.liepaja.edu.lv/Stundu_izmainas2.php','_blank');
}&lt;/code&gt; &lt;br/&gt;No errors, but the screen is blank.&lt;/li&gt;
&lt;/ol&gt;
</t>
  </si>
  <si>
    <t xml:space="preserve">&lt;p&gt;I have one table in google app maker. The table has  two numbers and one result and the values are binded as follows:&lt;/p&gt;
&lt;p&gt;number1 = &lt;code&gt;@datasource.item.number1&lt;/code&gt;&lt;/p&gt;
&lt;p&gt;number2 = &lt;code&gt;@datasource.item.number&lt;/code&gt;2&lt;/p&gt;
&lt;p&gt;result = &lt;code&gt;@datasource.item.number1+@datasource.item.number2&lt;/code&gt;&lt;/p&gt;
&lt;p&gt;When I export the data to sheets, app maker export only number1 and number2. I don't Know how I can to export result to sheets?&lt;/p&gt;
&lt;p&gt;I am using AMU function to export data.&lt;/p&gt;
</t>
  </si>
  <si>
    <t xml:space="preserve">&lt;p&gt;my case is similar to this case: Click &lt;a href="https://stackoverflow.com/questions/54751381/powerapps-splitting-search-text-into-individual-strings-now-i-need-to-display" title="Powerapps: Splitting search text into individual strings, now I need to display on the gallery only items that include one of the strings"&gt;here&lt;/a&gt;!&lt;/p&gt;
&lt;p&gt;I have a gallery which displays items from a Collection. I already added a Textinput.Text to give customers the opportunity to search for items.&lt;/p&gt;
&lt;p&gt;But, what I am struggling with is to implement a "full-text" search. &lt;/p&gt;
&lt;p&gt;The solution @carlosfigueira offered in the above-mentioned question works perfectly to split the search text but I would like to have display items on the gallery only that includes all individual strings. &lt;/p&gt;
&lt;p&gt;This is my code for items on the gallery&lt;/p&gt;
&lt;pre&gt;&lt;code&gt;Filter(
    CustomListIssues;
    Sum(
        ForAll(
            Filter(
                Split(
                    InpSearchString.Text;
                    " "
                );
                Len(Trim(Result)) &amp;gt; 0
            );
            If(
                Result in 'Title EN';
                1;
                0
            ) &amp;amp;&amp;amp; "Unresolved" = Status &amp;amp;&amp;amp; If(
                !IsEmpty(lbSearchDepartment.SelectedItems.Result);
                lbSearchDepartment.Selected.Value = Departement;
                "" in Departement
            )
        );
        Value
    ) &amp;gt; 0
)
&lt;/code&gt;&lt;/pre&gt;
&lt;p&gt;CustomListIssues: A collection where I store all list items&lt;/p&gt;
&lt;p&gt;InpSearchString.Text: Search TextInput.Text&lt;/p&gt;
&lt;p&gt;'Title EN': The column I would like to search in based on the given search string&lt;/p&gt;
&lt;p&gt;&lt;strong&gt;Overview App:&lt;/strong&gt;&lt;/p&gt;
&lt;p&gt;Image below to give you an overview of how it looks/works at the moment&lt;/p&gt;
&lt;p&gt;&lt;a href="https://i.stack.imgur.com/fugjb.png" rel="nofollow noreferrer"&gt;&lt;img src="https://i.stack.imgur.com/fugjb.png" alt="enter image description here"&gt;&lt;/a&gt;&lt;/p&gt;
&lt;ol&gt;
&lt;li&gt;Given search string&lt;/li&gt;
&lt;li&gt;Trim(InpSearchString.Text)&lt;/li&gt;
&lt;li&gt;The gallery which displays items from a Collection&lt;/li&gt;
&lt;/ol&gt;
&lt;p&gt;&lt;strong&gt;Expected result:&lt;/strong&gt;&lt;/p&gt;
&lt;p&gt;I would like to have display items on the gallery only that includes all individual strings&lt;/p&gt;
&lt;p&gt;Thanks in advance&lt;/p&gt;
&lt;p&gt;Sascha Dornig&lt;/p&gt;
</t>
  </si>
  <si>
    <t xml:space="preserve">&lt;p&gt;If you want to have all strings instead of one of them, you can slightly change the logic of the expression. Before it would sum 1 if a word is in the title, and check that the result is more than 0 (so if any is present, then the item would be returned). In this modified expression below, we're adding 1 if each word &lt;strong&gt;is not&lt;/strong&gt; in the title, and at the end we compare the sum with 0 - if it's not zero, then at least one word was not found, and we don't return the record.&lt;/p&gt;
&lt;pre&gt;&lt;code&gt;Filter(
    CustomListIssues;
    Sum(
        ForAll(
            Filter(
                Split(
                    InpSearchString.Text;
                    " "
                );
                Len(Trim(Result)) &amp;gt; 0
            );
            If(
                Result in 'Title EN';
                0;
                1
            ) &amp;amp;&amp;amp; "Unresolved" = Status &amp;amp;&amp;amp; If(
                !IsEmpty(lbSearchDepartment.SelectedItems.Result);
                lbSearchDepartment.Selected.Value = Departement;
                "" in Departement
            )
        );
        Value
    ) = 0
)
&lt;/code&gt;&lt;/pre&gt;
</t>
  </si>
  <si>
    <t xml:space="preserve">&lt;p&gt;We are new to Salesforce and we are trying to implement Quick action buttons in HTML Email templates of Salesforce.&lt;/p&gt;
&lt;p&gt;&lt;strong&gt;Our scenario is&lt;/strong&gt; -&lt;br&gt;
 When an opportunity is submitted for approval, we are sending an email to approvers. This email is generated using an Email Template, which has some text and a couple of links. Approvers receive this email and clicks on the reply button and then reply with 'Approved' or 'Rejected' words which are sent to Salesforce and opportunity is approved or rejected accordingly.&lt;/p&gt;
&lt;p&gt;&lt;strong&gt;What we are trying to achieve?&lt;/strong&gt; -&lt;br&gt;
Instead of approvers replying by typing 'Approved' or 'Rejected' manually, we want to have Quick action buttons on the bottom of the email, upon clicking on them, it should type the text automatically as the reply. Please see the screenshot.&lt;a href="https://i.stack.imgur.com/VQHMp.png" rel="nofollow noreferrer"&gt;&lt;img src="https://i.stack.imgur.com/VQHMp.png" alt="This is how it works in Gmail."&gt;&lt;/a&gt;&lt;/p&gt;
&lt;p&gt;What we have already tried? - In our Salesforce email approval HTML template, we have added the HTML code for buttons and applied Javascript in them to create a response, the code is below. We are getting error - Refused to execute inline event handler because it violates the following Content Security Policy directive: "script-src xyz.com 'self'". Either the 'unsafe-inline' keyword, a hash ('sha256-...'), or a nonce ('nonce-...') is required to enable inline execution.&lt;/p&gt;
&lt;pre&gt;&lt;code&gt;&amp;lt;input type="button" style=" font: bold 11px Arial;
      background-color: #4BCA81;
      color: white;
      padding: 5px 6px 5px 6px;
      border-top: 1px solid #CCCCCC;
      border-right: 1px solid #333333;
      border-bottom: 1px solid #333333;
      border-left: 1px solid #CCCCCC;" 
      class="button" value="Approve" onclick="generateReply('Approved')"/&amp;gt;
&amp;lt;input type="button" style=" font: bold 11px Arial;
      text-decoration: none;
      background-color: #E1553C;
      color: white;
      padding: 5px 6px 5px 6px;
      border-top: 1px solid #CCCCCC;
      border-right: 1px solid #333333;
      border-bottom: 1px solid #333333;
      border-left: 1px solid #CCCCCC;" href="https://cgdstudios2017-- 
      pdg.lightning.force.com/apex/RejectDeal?id={!Opportunity.Id}" 
      class="button" value="Reject" onclick="generateReply('Rejected')"/&amp;gt;`
&lt;/code&gt;&lt;/pre&gt;
&lt;p&gt;The output that we are able to generate as Email is &lt;/p&gt;
&lt;p&gt;&lt;a href="https://i.stack.imgur.com/6VfPl.png" rel="nofollow noreferrer"&gt;&lt;img src="https://i.stack.imgur.com/6VfPl.png" alt="This is our email template output, we want the buttons to be functional."&gt;&lt;/a&gt;&lt;/p&gt;
&lt;p&gt;Please let us know if anyone has any idea about it. Thanks in advance.&lt;/p&gt;
</t>
  </si>
  <si>
    <t xml:space="preserve">&lt;p&gt;I'm trying to implement switchable themes for a project, it's a Mendix project, but let's suppose it's a website. &lt;/p&gt;
&lt;ul&gt;
&lt;li&gt;There are many different pages, and different elements on each page.     &lt;/li&gt;
&lt;li&gt;All styles for them are written in SASS. The pages and elements use values from one separate SASS file with variables - &lt;strong&gt;variables-1&lt;/strong&gt;.&lt;/li&gt;
&lt;li&gt;I have a second SASS file with the same variables but different values - &lt;strong&gt;variables-2&lt;/strong&gt;.&lt;/li&gt;
&lt;/ul&gt;
&lt;p&gt;&lt;strong&gt;Problem:&lt;/strong&gt;&lt;br&gt;
I need to change the color theme of the website on a button click. So basically I need all the elements to take colors from the different set of variables when I click a button.&lt;/p&gt;
&lt;hr&gt;
&lt;p&gt;I see two options here:  &lt;/p&gt;
&lt;ol&gt;
&lt;li&gt;&lt;p&gt;Compile 2 css files and switch between them: link all sass files to &lt;strong&gt;variables-1&lt;/strong&gt;, compile CSS file, then link all sass files to &lt;strong&gt;variables-2&lt;/strong&gt;, compile second css file. Switch between them on a button click.&lt;/p&gt;
&lt;p&gt;In this option, colors won't be assigned dynamically, and every time when I make changes I will have to manually link each sass file to different variables, or change variables values, and recompile everything. Also I won't be able to continue working on the project and switch themes at the same time.&lt;/p&gt;&lt;/li&gt;
&lt;li&gt;&lt;p&gt;Predefine color themes in mixins, compile css classes for each theme like in &lt;a href="https://medium.com/@dmitriy.borodiy/easy-color-theming-with-scss-bc38fd5734d1" rel="nofollow noreferrer"&gt;this article&lt;/a&gt;, and use some custom js logic to assign corresponding classes to the elements.&lt;/p&gt;
&lt;p&gt;Most likely won't work, since there are too many elements in the project, and would be too complicated to change class for each one.&lt;/p&gt;&lt;/li&gt;
&lt;/ol&gt;
&lt;p&gt;How can I solve this problem?   &lt;/p&gt;
</t>
  </si>
  <si>
    <t xml:space="preserve">&lt;p&gt;&lt;strong&gt;I am uable to set a person field to the current user in a PowerApp.&lt;/strong&gt; I have followed the tutorial below but the dropdown control is not set to current user. This approach seems to be the general consensus on how to do this. I must be missing a step.&lt;/p&gt;
&lt;p&gt;&lt;a href="http://www.codeovereasy.com/2017/07/powerapps-set-sharepoint-person-field-to-current-user/" rel="nofollow noreferrer"&gt;http://www.codeovereasy.com/2017/07/powerapps-set-sharepoint-person-field-to-current-user/&lt;/a&gt;&lt;/p&gt;
&lt;p&gt;&lt;strong&gt;OnVisible property of my screen:&lt;/strong&gt;&lt;/p&gt;
&lt;pre&gt;&lt;code&gt;//Here I am setting the person field record to a variable 'myself' with current user values
Collect(Collection1, {Pressed: Button1.Pressed});
 UpdateContext({ 
  myself: { 
   '@odata.type': "#Microsoft.Azure.Connectors.SharePoint.SPListExpandedUser",
    Claims:"i:0#.f|membership|" &amp;amp; Lower(User().Email),   
    Department:"", 
    DisplayName:User().FullName,
    Email:User().Email, 
    JobTitle:".", 
    Picture:"."
  },
  manager: Office365Users.ManagerV2(Office365Users.MyProfile().Id).mail,
  varAlwaysTrueForTest: true})
&lt;/code&gt;&lt;/pre&gt;
&lt;p&gt;&lt;strong&gt;Default property of person field dropdown control:&lt;/strong&gt;&lt;/p&gt;
&lt;pre&gt;&lt;code&gt;//This should show the current user in the dropdown control after the screen becomes visible
If(varAlwaysTrueForTest, myself, Parent.Default)
&lt;/code&gt;&lt;/pre&gt;
&lt;p&gt;&lt;strong&gt;Update property of person field DataCard:&lt;/strong&gt;&lt;/p&gt;
&lt;pre&gt;&lt;code&gt;//DataCardValue6 is my person dropdown control
If(varAlwaysTrueForTest, myself, DataCardValue6.Selected)
&lt;/code&gt;&lt;/pre&gt;
&lt;p&gt;&lt;strong&gt;Result - should be populated with current user&lt;/strong&gt;&lt;/p&gt;
&lt;p&gt;&lt;a href="https://i.stack.imgur.com/9u6ej.png" rel="nofollow noreferrer"&gt;&lt;img src="https://i.stack.imgur.com/9u6ej.png" alt="blank person field"&gt;&lt;/a&gt;&lt;/p&gt;
</t>
  </si>
  <si>
    <t xml:space="preserve">&lt;p&gt;I discovered the answer in the post below. The root issue is the property that needs to be set on the dropdown control. It should be the &lt;strong&gt;DefaultSelectedItems.&lt;/strong&gt; Also, the record being passed to the control only requires the &lt;code&gt;DisplayName&lt;/code&gt; and &lt;code&gt;Claims&lt;/code&gt; properties.&lt;/p&gt;
&lt;p&gt;&lt;a href="https://powerusers.microsoft.com/t5/General-Discussion/How-to-set-a-defaul-value-for-a-person-fields-in-a-SharePoint/m-p/188290#M61575" rel="nofollow noreferrer"&gt;https://powerusers.microsoft.com/t5/General-Discussion/How-to-set-a-defaul-value-for-a-person-fields-in-a-SharePoint/m-p/188290#M61575&lt;/a&gt;&lt;/p&gt;
&lt;p&gt;&lt;strong&gt;OnVisible event of screen&lt;/strong&gt;&lt;/p&gt;
&lt;pre&gt;&lt;code&gt;UpdateContext({ myself: 
 { 
    Claims:"i:0#.f|membership|" &amp;amp; Lower(User().Email), 
    DisplayName:User().FullName 
 }
})
&lt;/code&gt;&lt;/pre&gt;
&lt;p&gt;&lt;strong&gt;DefaultSelectedItems&lt;/strong&gt;&lt;/p&gt;
&lt;pre&gt;&lt;code&gt;If(varAlwaysTrueForTest, myself, Parent.Default)
&lt;/code&gt;&lt;/pre&gt;
</t>
  </si>
  <si>
    <t xml:space="preserve">&lt;h1&gt;Summary&lt;/h1&gt;
&lt;p&gt;I am fairly new to AppMaker and this question centres on hierarchies. I have a Taxonomy table with a straight forward parent has children hierarchical relationship.&lt;/p&gt;
&lt;p&gt;TaxonomyGroup -&gt; has many Features -&gt; has many Values&lt;/p&gt;
&lt;p&gt;I've been working on a way to traverse this hierarchy using &lt;strong&gt;tile/grid widget&lt;/strong&gt;.&lt;/p&gt;
&lt;p&gt;When I reach the last node of the tree-structure I display this as a set of radio-buttons, representing the permitted options.&lt;/p&gt;
&lt;h3&gt;Example&lt;/h3&gt;
&lt;p&gt;Starting group is: &lt;em&gt;Car&lt;/em&gt;&lt;/p&gt;
&lt;p&gt;a Car has the following &lt;em&gt;features:&lt;/em&gt;&lt;/p&gt;
&lt;p&gt;-&lt;em&gt;Colour&lt;/em&gt;
    -Red
    -Blue
    -Silver
    -Green&lt;/p&gt;
&lt;p&gt;-&lt;em&gt;Transmission&lt;/em&gt;
    -Automatic
    -Manual&lt;/p&gt;
&lt;p&gt;-&lt;em&gt;Fuel&lt;/em&gt;
    -Petrol
    -Hybrid
    -Electric&lt;/p&gt;
&lt;p&gt;If the parent group was Motorcycle, I would have a different set of features and options (permitted values).&lt;/p&gt;
&lt;p&gt;A user selects the following for a Car: &lt;/p&gt;
&lt;p&gt;+Colour
    -Silver&lt;/p&gt;
&lt;p&gt;+Trans 
    -Automatic &lt;/p&gt;
&lt;p&gt;+Fuel 
    -Electric &lt;/p&gt;
&lt;h2&gt;Issue&lt;/h2&gt;
&lt;p&gt;While I can capture Silver, Automatic, Electric as the options selected, I cannot pick up the ID or any other fields of the record represented by the radio button selected.&lt;/p&gt;
&lt;h3&gt;Grid widget set-up&lt;/h3&gt;
&lt;blockquote&gt;
  &lt;p&gt;Taxonomy Grid Panel.....   parent layer DS = Taxonomy (table) Id In [list]&lt;/p&gt;
  &lt;p&gt;Taxonomy Grid Child panel 'child' layer DS = TaxonomyChildren, ParentId = :parent&lt;/p&gt;
  &lt;blockquote&gt;
    &lt;blockquote&gt;
      &lt;p&gt;Radio button list DS = TaxonomyChildren: SubGroups (relation)&lt;/p&gt;
    &lt;/blockquote&gt;
  &lt;/blockquote&gt;
&lt;/blockquote&gt;
&lt;p&gt;NB the radio button list sits within the Taxonomy Grid Child panel, so the list of options changes, based on the feature.&lt;/p&gt;
&lt;h3&gt;Radio button code onValueEdit event&lt;/h3&gt;
&lt;pre&gt;&lt;code&gt;// provides the row index of the selected Feature. e.g 'Transmission'
var rowIndex = widget.root.descendants.TaxonomyChildGridPanel.selectedIndex;
if (rowIndex === 0 ){   
 widget.root.descendants.Feature1.ID = widget.datasource.item.Id;
} else if rowIndex ===1 { 
 widget.root.descendants.Feature2.ID = widget.datasource.item.Id;
  }
: //etc etc   
}
&lt;/code&gt;&lt;/pre&gt;
&lt;h3&gt;Radio button widget issue&lt;/h3&gt;
&lt;blockquote&gt;
  &lt;blockquote&gt;
    &lt;p&gt;&lt;em&gt;widget.datasource.item.Id&lt;/em&gt; &lt;/p&gt;
    &lt;blockquote&gt;
      &lt;p&gt;returns only the ID for the 1st item in the radio button list.&lt;/p&gt;
    &lt;/blockquote&gt;
  &lt;/blockquote&gt;
&lt;/blockquote&gt;
&lt;p&gt;E.g. record ID 117 representing the option 'Petrol' not Electric as the radio button option selected. &lt;/p&gt;
&lt;p&gt;I need to be able to capture the record behind the radio button selection, representing the node (called values) of the tree structure. In particular the ID of the record. Then store it against the creation of a new record, in this example a new Car record.&lt;/p&gt;
&lt;p&gt;At present: onValueEdit event: the wrong record_ID is provided and it is always the 1st option in the radio-button list, irrespective of which option was chosen.&lt;/p&gt;
&lt;p&gt;&lt;strong&gt;Screen shots&lt;/strong&gt;&lt;/p&gt;
&lt;p&gt;&lt;a href="https://i.stack.imgur.com/hPSBQ.png" rel="nofollow noreferrer"&gt;Grid panels for hierarchy levels 1 &amp;amp; 2, Radio buttons represent values&lt;/a&gt;&lt;/p&gt;
&lt;p&gt;&lt;a href="https://i.stack.imgur.com/HbaJr.png" rel="nofollow noreferrer"&gt;Hierarchy view with data&lt;/a&gt;&lt;/p&gt;
</t>
  </si>
  <si>
    <t xml:space="preserve">&lt;p&gt;I'm dipping my toe into Mendix Typescript SDK and followed the instructions on &lt;a href="https://docs.mendix.com/apidocs-mxsdk/mxsdk/setting-up-your-development-environment" rel="nofollow noreferrer"&gt;https://docs.mendix.com/apidocs-mxsdk/mxsdk/setting-up-your-development-environment&lt;/a&gt;.&lt;/p&gt;
&lt;p&gt;I then followed &lt;a href="https://docs.mendix.com/apidocs-mxsdk/mxsdk/creating-your-first-script" rel="nofollow noreferrer"&gt;https://docs.mendix.com/apidocs-mxsdk/mxsdk/creating-your-first-script&lt;/a&gt; to create a script to try it out.&lt;/p&gt;
&lt;p&gt;However, I'm getting the following error to the code &lt;code&gt;script.ts&lt;/code&gt; suggested on this page:&lt;/p&gt;
&lt;pre&gt;&lt;code&gt;error TS2554: Expected 1-2 arguments, but got 0.
30     return dm.load();
      ~~~~~~~~~
node_modules/mendixmodelsdk/dist/gen/domainmodels.d.ts:583:14
583         load(callback: (element: DomainModel) =&amp;gt; void, forceRefresh?: boolean): void;
             ~~~~~~~~~~~~~~~~~~~~~~~~~~~~~~~~~~~~~~~~
An argument for 'callback' was not provided.
Found 1 error.
return dm.load();
&lt;/code&gt;&lt;/pre&gt;
&lt;p&gt;I'm not NodeJS savvy - but I can tell the parameter passed in to &lt;code&gt;load()&lt;/code&gt; is incorrect - just doesn't exists although &lt;code&gt;load()&lt;/code&gt; is defined to take a parameter. But then, why the error to a script on the suggested setup? I'll attack this issue. But need help on where to start. &lt;/p&gt;
&lt;p&gt;This "feels" like a version difference/setup error. But I've seen no errors anywhere else while I was setting it up.&lt;/p&gt;
&lt;p&gt;What am i missing?&lt;/p&gt;
</t>
  </si>
  <si>
    <t xml:space="preserve">&lt;p&gt;I don't have experience in making that particular example script work; it might as well be out of date. In my own script, I'm loading the data model with the &lt;code&gt;loadAsPromise&lt;/code&gt; function, as indicated in the script in the article &lt;a href="https://docs.mendix.com/apidocs-mxsdk/mxsdk/generating-code-from-the-model" rel="nofollow noreferrer"&gt;Generate Code from the Model&lt;/a&gt;.&lt;/p&gt;
&lt;pre&gt;&lt;code&gt;async function serializeToJs() {
    const workingCopy = await project.createWorkingCopy();
    const domainModelInterface = workingCopy.model().allDomainModels().filter(dm =&amp;gt; dm.containerAsModule.name === moduleName)[0];
    try {
        const domainModel = await loadAsPromise(domainModelInterface);
        console.log(JavaScriptSerializer.serializeToJs(domainModel)); //print out the generated JavaScript
        console.log("success!")
    } catch (error) {
        console.log(`error: ${error}`);
    }
}
&lt;/code&gt;&lt;/pre&gt;
</t>
  </si>
  <si>
    <t xml:space="preserve">&lt;p&gt;I am new to SalesForce and I am trying to call the SalesForce API from the ASP.Net Web Application. I am trying to get some records from the Salesforce in to our Application.&lt;/p&gt;
&lt;p&gt;&lt;a href="https://i.stack.imgur.com/8PMNf.jpg" rel="nofollow noreferrer"&gt;Connected App Settings&lt;/a&gt;&lt;/p&gt;
&lt;p&gt;I am creating the connected App and I am little confused what will be the call back URL, because the asp.net application I am building doesn't have an URL yet. Can we give the Salesforce URL for this. &lt;/p&gt;
</t>
  </si>
  <si>
    <t xml:space="preserve">&lt;p&gt;We are having a Google App Maker app using Google Cloud SQL tables. Our location is Prague, Central Europe and saving one record takes incredible 240ms at minimum.&lt;/p&gt;
&lt;p&gt;It looks like Google App Maker has a proxy just close to my location (latency ~20ms). However our instance set up in US-Central1 (which is recommened by Google to provide Google App Maker apps with the best performance) shows ~120ms ping.&lt;/p&gt;
&lt;p&gt;We have tried many things including changing the instance location to Frankfurt, Germany (~25 ms). In this case, it took even longer (500ms per record). Our queries seemed to be round-tripping this complicated way:
Our location (proxy) → US (Google App Maker master) → Frankfurt (SQL instance)&lt;/p&gt;
&lt;p&gt;We are quite desperate as we cannot afford to migrate away from Google App Maker at the moment. And I strongly believe this has some solution either now or in the future.&lt;/p&gt;
&lt;p&gt;My resources:
db-f1-micro (vCPUs: 1), Memory: 614.4 MB, Storage capacity: 10 GB
Database version: MySQL 2nd Gen 5.7, Instance zone: us-central1-a
Connectivity: Public IP, My location: Prague, Czech Republic&lt;/p&gt;
&lt;pre&gt;&lt;code&gt;function serverSaveData() {  
  var recordData = [];
  recordData[0] = ['NewField_String']
  recordData[1] = ['NewField1_String'];
  for (var i = 0 ; i &amp;lt; recordData.length; i ++) {
    var newProduct = app.models.testDB.newRecord();
    newProduct.NewField = recordData[i][0];
    newProduct.NewField1 = recordData[i][1];
    var time = new Date().toString();
    app.saveRecords([newProduct]);
    console.log('Product saved: ' + time);
  }
}
&lt;/code&gt;&lt;/pre&gt;
&lt;p&gt;We need the speed to be maximum ~25ms per record (one tenth of the actual speed). We have 10000 products and importing should not take more than several minutes.&lt;/p&gt;
&lt;p&gt;Would you guys please see any solution, or is there a way to save records to the database in bulk? Thank you so much!&lt;/p&gt;
</t>
  </si>
  <si>
    <t xml:space="preserve">&lt;p&gt;App Maker has ups and downs and you just need to find workarounds for the downs. I just dealt with the import of a huge database that contained over a half million records and it was quite a challenge. &lt;/p&gt;
&lt;p&gt;In your case, I'd recommend to save items in batches to speed up the process. I think that saving records in batches of 2000 should be enough. &lt;/p&gt;
&lt;p&gt;You can do something like this:&lt;/p&gt;
&lt;pre&gt;&lt;code&gt;function saveData(){
    //get the data
    var data = getData();
    var totalRecords = data.length;
    var batchLimit = 2000;
    var totalRounds = Math.ceil(totalRecords / batchLimit);
    var round = 1;
    var roundlimit = batchLimit;
    var currentItem = 0;
    do{
        var recordsToSave = [];
        for(var i=currentItem; i&amp;lt;roundlimit; i++){
            var recordData = data[i];
            var newProduct = app.models.testDB.newRecord();
            newProduct.newField = recordData.newFielddData;
            newProduct.newFiled2 = recordData.newField2Data;
            recordsToSave.push(newProduct);
        }
        if(recordsToSave.length){
            app.saveRecords(recordsToSave);
        }
        currentItem += batchLimit;
        roundlimit += batchLimit;
        round++;
    } while(round &amp;lt;= totalRounds);
}
&lt;/code&gt;&lt;/pre&gt;
&lt;p&gt;I used a similar solution like the one above to complete the import of 680,000+ records to appmaker. It might need a little bit more of tweaking but you get the idea. As for the latency with the connection, sorry I can't help. Hopefully a Google App Maker engineer can pitch in but as far as I see now, this is your best shot. &lt;/p&gt;
</t>
  </si>
  <si>
    <t xml:space="preserve">&lt;p&gt;I have two models, &lt;strong&gt;Country&lt;/strong&gt; and &lt;strong&gt;City&lt;/strong&gt; and a one-to-many relationship between them. One country can have many cities and a city can only have one country. App Maker generates a &lt;strong&gt;Country_fk&lt;/strong&gt; field in the &lt;strong&gt;City&lt;/strong&gt; model.&lt;/p&gt;
&lt;p&gt;Now when I create a Create form and drop a form bound to the City model and include the related Country field App Maker creates a dropdown with the following:&lt;/p&gt;
&lt;p&gt;options: &lt;code&gt;@datasources.Country.items&lt;/code&gt;&lt;/p&gt;
&lt;p&gt;value: &lt;code&gt;@datasource.item.Country&lt;/code&gt;&lt;/p&gt;
&lt;p&gt;Which, if I compare it with some example apps looks absolutely fine. However, I only get the Id of the related Country field not the country name field.&lt;/p&gt;
&lt;p&gt;This has happened so many times with different models. I did once manage to create a relationship that worked, and it used the same datasource options and value values, but I can't for the life of me see why something so simple as this is so hard to do. it is so basic newbie stuff I'm beginning to give up on App maker.&lt;/p&gt;
</t>
  </si>
  <si>
    <t xml:space="preserve">&lt;p&gt;I am trying to make a microflow for integration of IBM Watson chatbot but getting problem figuring it out. can you just give me kick start??&lt;/p&gt;
&lt;p&gt;I have tried using service credentials but can't figure out how they are supposed to go in there.&lt;/p&gt;
&lt;pre&gt;&lt;code&gt;Skill Details
Skill Name: *skill name*
Skill ID:*skill ID*
Workspace ID:*Workspace ID*
Legacy v1 Workspace URL:https://gateway.watsonplatform.net/assistant/api...
Service Credentials
Service Credentials Name:*serivice credentials name*
Username:*userName*
Password:*password*
&lt;/code&gt;&lt;/pre&gt;
&lt;p&gt;I'm not getting the right way to put the credentials to make a config file for the microflow i'm tryna make for the chatbot&lt;/p&gt;
</t>
  </si>
  <si>
    <t xml:space="preserve">&lt;p&gt;I want to create a file with google AppMaker using DriveApp. First i have created a String with the content of my file and then i use &lt;/p&gt;
&lt;pre&gt;&lt;code&gt;var file = DriveApp.createFile("file.scl",content,MimeType.PLAIN_TEXT);
&lt;/code&gt;&lt;/pre&gt;
&lt;p&gt;All content is generated like that &lt;/p&gt;
&lt;pre&gt;&lt;code&gt;var content = "";
content = content + "First line \r\n";
content = content + "Second line \r\n";
content = content + "End";
&lt;/code&gt;&lt;/pre&gt;
&lt;p&gt;The problem is when i open the created file the word "undefined" is added to the start of the first line. The content of the file:&lt;/p&gt;
&lt;pre&gt;&lt;code&gt;undefinedFirst line
Second line
End
&lt;/code&gt;&lt;/pre&gt;
&lt;p&gt;I have tried to remove the extension (.scl), replace with another extension, create a blob, change the MimeType, remove special char like "\r\n" but the "undefined" does not want to leave.&lt;/p&gt;
&lt;p&gt;I d'ont know when and why this "undefined" is added to the file and i did not find any issue on the web.&lt;/p&gt;
&lt;p&gt;Anyone have a suggestion ?&lt;/p&gt;
&lt;p&gt;thanks.&lt;/p&gt;
</t>
  </si>
  <si>
    <t xml:space="preserve">&lt;p&gt;I found the solution. My final content string is a concatenation of many string and one string was not initialized as a string. (
Yes, just that) &lt;/p&gt;
&lt;p&gt;I have just add &amp;lt;&amp;lt; = "" &gt;&gt; to make &amp;lt;&amp;lt; var aString = "";&gt;&gt;&lt;/p&gt;
</t>
  </si>
  <si>
    <t xml:space="preserve">&lt;p&gt;I am planning to integrate fedex api in my salesforce e-commerce project. The requirement is if the customer lost the return label. They will reach out us to generate for them. &lt;/p&gt;
&lt;p&gt;Is it possible to retrieve the label information by sending the tracking/order number in the request.&lt;/p&gt;
&lt;p&gt;I went through the latest fedex webservice documentation but I couldn't find the exact scenario what I am looking for. I found a section "Print return label" but it looks the API is to create a return shipment in that response I am getting a label. &lt;/p&gt;
&lt;p&gt;Please correct me If my understanding is wrong. Any help is highly appreciated. &lt;/p&gt;
</t>
  </si>
  <si>
    <t xml:space="preserve">&lt;p&gt;I want to print all content of a table but only shows the content at the first page, if the table occupies more than one page dont print all the content.&lt;/p&gt;
&lt;p&gt;How I can print all content without losing pages bindings?&lt;/p&gt;
&lt;p&gt;Option 1:&lt;/p&gt;
&lt;pre&gt;&lt;code&gt;$(document).ready(function() {
  $('.nonPrintable').hide();
  window.print();
  $('.nonPrintable').show();
});
&lt;/code&gt;&lt;/pre&gt;
&lt;p&gt;Option 2 (Using printJS library):&lt;/p&gt;
&lt;pre&gt;&lt;code&gt;printJS({
    printable: 'table',
    type: 'html',
    targetStyles: ['*'],
    maxWidth: 1500
});
&lt;/code&gt;&lt;/pre&gt;
&lt;p&gt;Option 3 (This print all content without CSS):&lt;/p&gt;
&lt;pre&gt;&lt;code&gt;var divElement = document.getElementById('table').innerHTML;
var printWindow = window.open("", "_blank", "");
printWindow.document.open();
printWindow.document.write('&amp;lt;html&amp;gt;&amp;lt;body&amp;gt;');
printWindow.document.write(divElement);
printWindow.document.write('&amp;lt;/body&amp;gt;&amp;lt;/html&amp;gt;');
printWindow.document.close();
printWindow.focus();
printWindow.print();
&lt;/code&gt;&lt;/pre&gt;
</t>
  </si>
  <si>
    <t xml:space="preserve">&lt;p&gt;I have a form which contains a suggest box. When I click on submit one of the requirement is to not submit the form if the value is not selected from the options.&lt;/p&gt;
&lt;p&gt;The problem occurs when we select a value and then clear it and then enter a text not chosen from the options. (Scenario quite possible as some users may not know that value is only to be chosen from the options etc)
In this case the value is still the old one and so the validation does not show any error thus creating an illusion for the user that the text which he entered is accepted as the value.&lt;/p&gt;
&lt;p&gt;How do we restrict this?&lt;/p&gt;
</t>
  </si>
  <si>
    <t xml:space="preserve">&lt;p&gt;I'm developing a system which, when submitting a form through Google Forms, a script will take the data from the sheet which the data is submitted to and then set up a project in a project management software (Zoho projects), and also create Google folder structures based on the information provided.&lt;/p&gt;
&lt;p&gt;In other words, a google form is the one location from which all project infrastructure will be created in their corresponding locations and software.&lt;/p&gt;
&lt;p&gt;In order for this system to work properly, I need every user who has access to the form to be able to perform the same actions on every software which the script is tied to, regardless of their permissions level for each.&lt;/p&gt;
&lt;p&gt;This necessitates the script using only one set of credentials for the 3rd party API which is authorized at a high level, and having all users of the form access only those credentials in order to get the consistent results that are needed.&lt;/p&gt;
&lt;p&gt;The problem with this is that I cannot (or at least I don't think I can,) use the OAuth2.0 library for GAS, as user authentication would be to access only the data which the user operating the software has; this would produce many errors in the code because utilizing credentials of different authority levels while attempting to perform the same tasks which require high levels of authority would yield many errors, and lead to inconsistent functionality with the script. On top of this, because I'm referencing a 3rd party API, there's no "Service Account" that I can use to act on behalf of highly authorized users.&lt;/p&gt;
&lt;p&gt;To resolve this issue, I've built my own wrapper library for this API in Google Apps Script and built my own authentication system in which user credentials are automatically renewed and managed using the PropertiesService capabilities. I have established access to a highly-authorized user's data through this system. I access this data in my script instead of authenticating with the OAuth2 library for Google Apps Script in order to allow consistent results from the software.&lt;/p&gt;
&lt;p&gt;I've found my own method that works for this scenario, but after all the work I've went through, am wondering if I have reinvented the wheel. Is there any other more established way to have multiple users interface with one set of credentials of a 3rd party API through Google Apps Script? Or is this a unique situation that required the solution that I came up with?&lt;/p&gt;
&lt;p&gt;Thanks in advance!&lt;/p&gt;
</t>
  </si>
  <si>
    <t xml:space="preserve">&lt;p&gt;I need to perform something like &lt;code&gt;app.showPage(app.pages.%PAGENAME%)&lt;/code&gt;but open the page in new tab.&lt;/p&gt;
&lt;p&gt;Is it even possible in appmaker?&lt;/p&gt;
&lt;p&gt;I am not opening an external link, I need to open the page of the app in a new tab.&lt;/p&gt;
</t>
  </si>
  <si>
    <t xml:space="preserve">&lt;p&gt;Client property &lt;code&gt;app.buildUrl().__gwt_instance.a;&lt;/code&gt; contains app's URL.&lt;/p&gt;
&lt;p&gt;Not sure if a good practice, however it fulfilled my needs&lt;/p&gt;
</t>
  </si>
  <si>
    <t xml:space="preserve">&lt;h2&gt;Background:&lt;/h2&gt;
&lt;p&gt;I have a JSON object and I would like to bind it's values to a List Widget using a Dynamic Page Property. I am trying to set a dynamic page properties "value" to be a JSON Object, however I am not sure how to access that JSON's Approver's Elements.&lt;/p&gt;
&lt;h2&gt;Setting the Page Property "Value"&lt;/h2&gt;
&lt;p&gt;As I understand the dynamic page property should be able to accept a JSON object. In the below sample I do just that.&lt;/p&gt;
&lt;pre&gt;&lt;code&gt;var jsonObject = {
    "Approvers": [{
        "Approver_Name": "John Doe",
        "Approver_Email": "jdoe@email.com,",
        "Approver_Status": "Pending"
    }, {
        "Approver_Name": "Jane Doe",
        "Approver_Email": "jdoe2@email.com,",
        "Approver_Status": "Pending"
    }]
}
    app.pages.editSubmission.properties.Approver_Details = jsonObject;
&lt;/code&gt;&lt;/pre&gt;
&lt;h2&gt;Accessing values in Page Property&lt;/h2&gt;
&lt;p&gt;I have read the documentation regarding properties and bindings. &lt;a href="https://developers.google.com/appmaker/properties" rel="nofollow noreferrer"&gt;https://developers.google.com/appmaker/properties&lt;/a&gt;. I have tried the standard method of binding the List Widget's datasource to be Dynamic Page Property. (I am still not sure how access the elements of Approvers.)&lt;/p&gt;
&lt;p&gt;Unfortunately the documentation doesn't cover dynamic properties. (Or I missed it.) If anyone can point me to some documentation or another stack overflow post covering this topic it would be greatly appropriated.&lt;/p&gt;
</t>
  </si>
  <si>
    <t xml:space="preserve">&lt;p&gt;A &lt;a href="https://developers.google.com/appmaker/scripting/api/widgets#List" rel="nofollow noreferrer"&gt;List Widget&lt;/a&gt; expects its datasource to be an array of items, but you are providing a json object; hence it's not working. Instead of using a &lt;code&gt;dynamic property&lt;/code&gt; use a &lt;code&gt;&amp;lt;List&amp;gt;String&lt;/code&gt; property. That way you can do something like this:&lt;/p&gt;
&lt;pre&gt;&lt;code&gt;var jsonObject = {
    "Approvers": [{
        "Approver_Name": "John Doe",
        "Approver_Email": "jdoe@email.com",
        "Approver_Status": "Pending"
    }, {
        "Approver_Name": "Jane Doe",
        "Approver_Email": "jdoe2@email.com",
        "Approver_Status": "Pending"
    }]
}
app.pages.editSubmission.properties.Approver_Details = jsonObject.Approvers;
&lt;/code&gt;&lt;/pre&gt;
&lt;p&gt;Then, when binding the values to your list, you can use three different labels inside the list row and each label has to be binded to the corresponding value:&lt;/p&gt;
&lt;pre&gt;&lt;code&gt;@datasource.item["Approver_Name"]
@datasource.item["Approver_Email"]
@datasource.item["Approver_Status"]
&lt;/code&gt;&lt;/pre&gt;
</t>
  </si>
  <si>
    <t xml:space="preserve">&lt;p&gt;I am trying to use google app maker to enter data. I want to export that data to a google docs template and create a PDF.&lt;/p&gt;
&lt;p&gt;I have tried this link &lt;/p&gt;
&lt;p&gt;&lt;a href="https://stackoverflow.com/questions/49146043/document-merge-with-google-app-maker"&gt;Document Merge with Google App Maker&lt;/a&gt;
But I get an error&lt;/p&gt;
&lt;pre&gt;&lt;code&gt;Creating new record: (Error) : Invalid argument: replacement at 
models.Clients.onAfterCreateEvent:13
at NewPage.Form1.Form1Header.Form1CreateButton.onClick:2:19
Wed Apr 03 10:27:12 GMT-500 2019
Creating new record failed.
Wed Apr 03 10:27:12 GMT-500 2019
(Error) : Invalid argument: replacement'
&lt;/code&gt;&lt;/pre&gt;
&lt;p&gt;'''
There is another form post link &lt;a href="https://stackoverflow.com/questions/52919137/google-app-maker-creating-a-contract-methods-to-use/55499304#55499304"&gt;Google App Maker - Creating a contract. Methods to use?&lt;/a&gt; 
So I know its possible but I am new to making scripts and can't figure it out.&lt;/p&gt;
&lt;p&gt;I have tried multiple different scripts Found here on Stackoverflow.&lt;/p&gt;
&lt;p&gt;I want to be able to enter Data in App from APP maker. Than export to Google doc template. 
I am new to App Script and any help would be greatly appreciated
Thank you&lt;/p&gt;
&lt;p&gt;'''&lt;/p&gt;
&lt;pre&gt;&lt;code&gt;var templateId = 'your template ID';
var filename = 'Document for Customer ' + record.ClientName + new Date();
var copyFile = DriveApp.getFileById(templateId).makeCopy(filename);
var copyDoc = DocumentApp.openById(copyFile.getId());
var copyBody = copyDoc.getBody();
var fields = app.metadata.models.Clients.fields;
for (var i in fields) {
var text = '&amp;lt;&amp;lt;' + fields[i].name + '&amp;gt;&amp;gt;';
var data = record[fields[i].name];
copyBody.replaceText(text, data);
}
&lt;/code&gt;&lt;/pre&gt;
&lt;p&gt;'''&lt;/p&gt;
&lt;p&gt;I am trying to get App maker data to import into a google doc template and than create a PDF of that doc with the imputed values in place of the placeholder.&lt;/p&gt;
&lt;p&gt;I got it to link to the Google Docs but it comes back with a value of undefined. I am using SQL database&lt;/p&gt;
&lt;pre&gt;&lt;code&gt;var templateId = '1IbbrRJhYSnfEmgUD1GYrjxEHeyseGtQFx-G3CzEC4mI';
var filename = 'Document for Customer ' + record.ClientName + new Date();
var copyFile = DriveApp.getFileById(templateId).makeCopy(filename);
var copyDoc = DocumentApp.openById(copyFile.getId());
var copyBody = copyDoc.getBody();
var fields = app.metadata.models.Clients.fields;
for (var i in fields) {
var text = '&amp;lt;&amp;lt;' + fields[i].name.valueOf() + '&amp;gt;&amp;gt;';
var data = record[fields[i].item];
copyBody.replaceText(text, data);
}
copyDoc.saveAndClose();
&lt;/code&gt;&lt;/pre&gt;
</t>
  </si>
  <si>
    <t xml:space="preserve">&lt;p&gt;I have an input in a form built with aura (Salesforce JS framework):&lt;/p&gt;
&lt;pre&gt;&lt;code&gt;&amp;lt;input class=" input uiInput uiInputText uiInput--default uiInput--input" type="text" aria-describedby="5284:0" placeholder="" id="7:4790;a" data-aura-rendered-by="17:4790;a" data-aura-class="uiInput uiInputText uiInput--default uiInput--input" data-interactive-lib-uid="54" aria-required="true"&amp;gt;
&lt;/code&gt;&lt;/pre&gt;
&lt;p&gt;I need to change the value of this input using javascript.
However, when doing:&lt;/p&gt;
&lt;pre&gt;&lt;code&gt;document.getElementById("7:4790;a").value = "random value";
&lt;/code&gt;&lt;/pre&gt;
&lt;p&gt;Visually, it changes the value in the input, but it is not taken into account when saving as if I didn't change anything.&lt;/p&gt;
&lt;p&gt;How can I achieve this ?
Do I need to trigger a specific event so that aura takes notice of the new data ?&lt;/p&gt;
</t>
  </si>
  <si>
    <t xml:space="preserve">&lt;p&gt;I am writing a Patch but before patching I need to check some textfield's and dropdowns are NOT blank. I can't get the syntax to work and below is my code&lt;/p&gt;
&lt;p&gt;&lt;code&gt;If(!IsBlank(TextInput5_1.Text), "true", "true"), Patch(BookingTest,
{ Title: title, EventDate: TextInput5_1.Text });&lt;/code&gt;&lt;/p&gt;
&lt;p&gt;I need to Patch only if input or selection field/s are not blank.&lt;/p&gt;
</t>
  </si>
  <si>
    <t xml:space="preserve">&lt;p&gt;I am using the ZOHO email server for sending emails through my application. But it gives following error -
"The SMTP server requires a secure connection or the client was not authenticated. The server response was: 5.5.1 Authentication Required."&lt;/p&gt;
&lt;pre&gt;&lt;code&gt;            MailMessage msg = new MailMessage();
            msg.To.Add(new MailAddress("xxx@xx.com"));
            msg.Bcc.Add(new MailAddress("xxx@xx.com"));
            msg.From = new MailAddress("xxx@xx.com", "Test mail");
            msg.Subject = "send mail";
            msg.Body = "test MAIL....";
            msg.IsBodyHtml = true;
            SmtpClient client = new SmtpClient();
            client.Host = "smtp.zoho.com";
            client.Credentials = new System.Net.NetworkCredential("xx@xx.com", "XXX");
            client.Port = 587;
            client.EnableSsl = true;
            client.Send(msg);
&lt;/code&gt;&lt;/pre&gt;
</t>
  </si>
  <si>
    <t xml:space="preserve">&lt;p&gt;I am pulling JSON data from an API URL. The problem: Under FL there are duplicate KEYS: "val" and "content". I only need to pull specific KEYS.&lt;/p&gt;
&lt;p&gt;Please excuse me if my formatting is not correct to SO standards.*&lt;/p&gt;
&lt;p&gt;My question is posted below the json and code.&lt;/p&gt;
&lt;h2&gt;JSON FROM URL&lt;/h2&gt;
&lt;pre&gt;&lt;code&gt;{
    "response": {
        "result": {
            "Leads": {
                "row": [
                    {
                        "no": "1",
                        "FL": [
                            {
                                "val": "LEADID",
                                "content": "123"
                            },
                            {
                                "val": "SMOWNERID",
                                "content": "3232"
                            },
                            {
                                "val": "Lead Owner",
                                "content": "Cassie"
                            },
                            {
                                "val": "First Name",
                                "content": "Bobby"
                            },
                            {
                                "val": "Last Name",
                                "content": "Something"
                            },
                            {
                                "val": "Email",
                                "content": "email@gmail.com"
                            },
                            {
                                "val": "Mobile",
                                "content": "1111111111"
                            },
                            {
                                "val": "SMCREATORID",
                                "content": "0000003213"
                            },
                            {
                                "val": "Created By",
                                "content": "Cassie"
                            },
                            {
                                "val": "Created Time",
                                "content": "2019-04-03 15:14:05"
                            },
                            {
                                "val": "Modified Time",
                                "content": "2019-04-03 17:13:58"
                            },
                            {
                                "val": "Full Name",
                                "content": "Bobby Something"
                            },
                            {
                                "val": "Street",
                                "content": "123 Fake Rd"
                            },
                            {
                                "val": "City",
                                "content": "Fakecity"
                            },
                            {
                                "val": "State",
                                "content": "FK"
                            },
                            {
                                "val": "Zip Code",
                                "content": "11111"
                            },
                            {
                                "val": "Email Opt Out",
                                "content": "false"
                            },
                            {
                                "val": "Salutation",
                                "content": "Mr."
                            },
                            {
                                "val": "Last Activity Time",
                                "content": "2019-04-03 17:13:58"
                            },
                            {
                                "val": "Tag",
                                "content": "Tag"
                            },
                            {
                                "val": "Account Name",
                                "content": "Something"
                            },
                            {
                                "val": "Territory Manager",
                                "content": "Michael Something"
                            },
                            {
                                "val": "Territory Manager_ID",
                                "content": "321237000000291111"
                            },
                            {
                                "val": "Classification",
                                "content": "Something"
                            },
                            {
                                "val": "Area",
                                "content": "Zone 1"
                            },
                            {
                                "val": "Account Number",
                                "content": "32345"
                            }
                        ]
                    }
                ]
            }
        },
        "uri": "/crm/private/json/Leads/getRecords"
    }
}
&lt;/code&gt;&lt;/pre&gt;
&lt;h2&gt;PHP CODE&lt;/h2&gt;
&lt;pre&gt;&lt;code&gt;$url = 'URL';
$data = file_get_contents($url);
$parsed = json_decode($data, true);
$eachEntry = $parsed['response']['result']['Leads']['row'];
foreach ($eachEntry as $entry) {
    $FL = $entry['no'];
    //printf('%s'.PHP_EOL, $FL);
    printf("\n");
    $entries = $entry['FL'];
    foreach ($entries as $value) {
        $val = $value['val'];
        $content = $value['content'];
        $out = $val." ".$content;
        printf('%s'.PHP_EOL, $out);
        printf("\n");
    } 
}
&lt;/code&gt;&lt;/pre&gt;
&lt;h2&gt;RESULTS&lt;/h2&gt;
&lt;pre&gt;&lt;code&gt;LEADID 123
SMOWNERID 3232
Lead Owner Cassie
First Name Bobby
Last Name Something
Email email@gmail.com
Mobile 1111111111
SMCREATORID 0000003213
Created By Cassie
Created Time 2019-04-03 15:14:05
Modified Time 2019-04-03 17:13:58
Full Name Bobby Something
Street 123 Fake Rd
City Fakecity
State FK
Zip Code 11111
Email Opt Out false
Salutation Mr.
Last Activity Time 2019-04-03 17:13:58
Tag Tag
Account Name Something
Territory Manager Michael Something
Territory Manager_ID 321237000000291111
Classification Something
Area Zone 1
Account Number 32345
&lt;/code&gt;&lt;/pre&gt;
&lt;h2&gt;QUESTION&lt;/h2&gt;
&lt;p&gt;How can I pull only the fields I have listed below in the example? And do not pull every field.&lt;/p&gt;
&lt;h2&gt;EXAMPLE&lt;/h2&gt;
&lt;pre&gt;&lt;code&gt;"val": "First Name",
"content": "Bobby"
,
"val": "Last Name",
"content": "Something"
,
"val": "Street",
"content": "123 Fake Rd"
,
"val": "City",
"content": "Fakecity"
,
"val": "State",
"content": "FK"
,
"val": "Zip Code",
"content": "11111"
&lt;/code&gt;&lt;/pre&gt;
&lt;h2&gt;EXPECTED OUTPUT&lt;/h2&gt;
&lt;pre&gt;&lt;code&gt;First Name Bobby
Last Name Bobby
Street 123 Fake Rd
City Fakecity
State FK
Zip Code 11111
&lt;/code&gt;&lt;/pre&gt;
&lt;h2&gt;Set JSON from URL into HTML Table&lt;/h2&gt;
&lt;p&gt;&lt;a href="https://stackoverflow.com/questions/55523177/php-json-to-array-values-into-html-table"&gt;PHP JSON To Array Values Into HTML Table&lt;/a&gt;&lt;/p&gt;
</t>
  </si>
  <si>
    <t xml:space="preserve">&lt;p&gt;Just write the code to do what you describe. Simply don't print them if they're not in the list of fields you want.&lt;/p&gt;
&lt;pre&gt;&lt;code&gt;$valuesIWant = ["First Name", "Last Name", "Street", "City", "State", "Zip Code"];
foreach ($eachEntry as $entry) {
    $FL = $entry['no'];
    //printf('%s'.PHP_EOL, $FL);
    printf("\n");
    $entries = $entry['FL'];
    foreach ($entries as $value) {
        $val = $value['val'];
        $content = $value['content'];
        if (in_array($val, $valuesIWant)) {
            $out = $val." ".$content;
            printf('%s'.PHP_EOL, $out);
            printf("\n");
        }
    } 
}
&lt;/code&gt;&lt;/pre&gt;
</t>
  </si>
  <si>
    <t xml:space="preserve">&lt;p&gt;So I need to essentially create a PowerApp which would make appointments in Dynamics CRM. All data gets sent to CRM - except the case regarding the appointment.&lt;/p&gt;
&lt;p&gt;Originally, I was using the normal &lt;code&gt;SubmitForm()&lt;/code&gt; but switched over to the &lt;code&gt;Patch()&lt;/code&gt; function. I have set the &lt;code&gt;_regardingobjectid_value&lt;/code&gt; to a valid case GUID. The problem lies with &lt;code&gt;_regardingobjectid_type&lt;/code&gt; - as for some reason, I cannot set the entity name. In this case, the entity name would be "incident", but it keeps throwing an error that states that it needs another GUID. I really don't know what to do anymore. &lt;/p&gt;
&lt;p&gt;This is the code I am using:&lt;/p&gt;
&lt;pre&gt;&lt;code&gt;Patch(
      Appointments;  
      Defaults(Appointments); 
      {
         Subject: txtSubject.Text; 
         'Start Time': DateTimeValue(_selectedStartTime); 
         'End Time': DateTimeValue(_selectedEndTime);
          Description:txtDescription.Text;
          _regardingobjectid_value: _regarding;
          _regardingobjectid_type: incident 
       }
)
&lt;/code&gt;&lt;/pre&gt;
&lt;p&gt;So to clarify, I would just really like to have my appointment have the specified case regarded to it. 
At the moment I am getting an error stating that incident "name is invalid". If I remove the type, I get an ambigious error. And when I set the case id to the type, it does input my record into Dynamics, however with no case (understandably so). &lt;/p&gt;
</t>
  </si>
  <si>
    <t xml:space="preserve">&lt;p&gt;I need to open the new navigation tab in navigation bar in Lightning Experience in Non Console App environment.Tab should have record name pre-populated as label.&lt;/p&gt;
&lt;p&gt;Tried following approach:
Created custom tab for target lightning component&lt;/p&gt;
&lt;p&gt;In Source Component:&lt;/p&gt;
&lt;p&gt;Created Page Reference with type as standard__navItemPage.
for attributes specified custom tab name for target component.
Using navigation service redirected the control to new URL.&lt;/p&gt;
&lt;p&gt;In Target Component:
Using interface isUrlAddressable to retrieve the page param.&lt;/p&gt;
&lt;pre&gt;&lt;code&gt;var pageReference = {
                    type: 'standard__navItemPage',
                    attributes: {
                        apiName: 'Product_Overview',
                    },
                    state: {
                        c__productId: itemId,
                        c__isfavourite : isfavourite,
                        c__isSourceSearchResultCmp : false                            
                    }
                };   
         var navService = component.find("navService");
         navService.generateUrl(pageReference)
         .then($A.getCallback(function(url) {
             console.log('Using Navigate'+url);
             navService.navigate(pageReference);
         }), $A.getCallback(function(error) {
             console.log(error);
         }));
&lt;/code&gt;&lt;/pre&gt;
&lt;p&gt;The issue is , the navigation tab which is getting open is not having details like record name and I could not find any API or methods the same.&lt;/p&gt;
&lt;p&gt;Any guidance here would be appreciated.&lt;/p&gt;
</t>
  </si>
  <si>
    <t xml:space="preserve">&lt;p&gt;We can use variables in aura components to concatenate some expression, we have to use variable name itself in &lt;code&gt;lwc components&lt;/code&gt;, while looping how to change the &lt;code&gt;lwc comp variable&lt;/code&gt; in js file. &lt;/p&gt;
&lt;p&gt;I tried to access the &lt;code&gt;dom&lt;/code&gt; using this.template.querySelector(); but this one is only giving the value if I use a rendered callback.&lt;/p&gt;
&lt;pre&gt;&lt;code&gt;&amp;lt;template for:each={documentLinks} for:item="item"&amp;gt;
&lt;/code&gt;&lt;/pre&gt;
&lt;p&gt;//here I need to pass the item.ContentDocument.LatestPublishedVersionId to the end of a URL string&lt;/p&gt;
&lt;pre&gt;&lt;code&gt;&amp;lt;img src={item.srcUrl} alt="PDF"/&amp;gt;
&lt;/code&gt;&lt;/pre&gt;
&lt;p&gt;we can modify the returned data from apex but the data is proxy we cannot modify it.&lt;/p&gt;
</t>
  </si>
  <si>
    <t xml:space="preserve">&lt;p&gt;I'm using Google Appmaker to produce an internal dashboard.  The dash requires that a series of page fragments (designed as 'cards') be cycled through using a pager.&lt;/p&gt;
&lt;p&gt;I'm a little unsure on how to do this - my thinking is that I'd need to set up a data source for the pager as an array of the page fragments I want to display, but I could be thinking about that all wrong.&lt;/p&gt;
&lt;p&gt;I need to be able to reliably use page fragments as reusable UI elements and display them on the page in a way that can be 'thumbed' through using the pager controls.&lt;/p&gt;
&lt;p&gt;Would I need to do this in a single fragment? Looking for guidance here.&lt;/p&gt;
</t>
  </si>
  <si>
    <t xml:space="preserve">&lt;p&gt;I am salesforce developer, but not good with managed packages and need some help.&lt;/p&gt;
&lt;p&gt;We have one managed package we push it to our customer. We need to delete a few unused classes from the managed package and reupload the new version.
When we try to push the package to our existing customer we get the error below.&lt;/p&gt;
&lt;blockquote&gt;
  &lt;p&gt;you need the deleted class because it still refer in our old package which we already push to the client &lt;/p&gt;
&lt;/blockquote&gt;
&lt;p&gt;Now the issue is we can't create the the unused class with same name, so we can't push to anyone with our new update.&lt;/p&gt;
</t>
  </si>
  <si>
    <t xml:space="preserve">&lt;p&gt;Want to calculate the years left on a lease&lt;/p&gt;
&lt;p&gt;In plain English the calc is:&lt;/p&gt;
&lt;pre&gt;&lt;code&gt;Var today = the current Year (eg. 2019)
Var year = the current record LeaseYear (eg. 1995)
Var term = the current record LeaseTerm (eg. 125)
&lt;/code&gt;&lt;/pre&gt;
&lt;p&gt;So that:&lt;/p&gt;
&lt;p&gt;left = term-(today-year)&lt;/p&gt;
&lt;p&gt;or&lt;/p&gt;
&lt;p&gt;left = 125-(2019-1995)&lt;/p&gt;
&lt;p&gt;I am at the learning stage when i appreciate what i need to do (either using an expression in the binding area of the page field, or calling a script) but I am not very good with the syntax.&lt;/p&gt;
&lt;p&gt;Would really appreciate a pointer here where I can then do more complicated things with this lesson.&lt;/p&gt;
&lt;p&gt;Thanks&lt;/p&gt;
</t>
  </si>
  <si>
    <t xml:space="preserve">&lt;p&gt;IF OR formula works until I add a date that checks to see if selected date occurs after 15 days from today.&lt;/p&gt;
&lt;pre&gt;&lt;code&gt;// Works w/o date
If(Or( IsBlank(txtClientNameSignature), !IsNumeric(txtNumDocsToSign.Text) ), DisplayMode.Disabled, DisplayMode.Edit)
&lt;/code&gt;&lt;/pre&gt;
&lt;p&gt;However, once I add a date formula, it does not correctly evaluate the date.&lt;/p&gt;
&lt;pre&gt;&lt;code&gt;// Does NOT Work Due to Date Forumala
If(Or( IsBlank(txtClientNameSignature), !IsNumeric(txtNumDocsToSign.Text), dpkrDueDateSignature.SelectedDate &amp;lt; Today()+15 ), DisplayMode.Disabled, DisplayMode.Edit)
&lt;/code&gt;&lt;/pre&gt;
&lt;p&gt;Any recommendations are appreciated.&lt;/p&gt;
</t>
  </si>
  <si>
    <t xml:space="preserve">&lt;p&gt;I want to remove the styling  back and forth on button click  but when i try to resize now the map is  rendering all over the screen but without any background, only the markers that were on it.&lt;/p&gt;
&lt;p&gt;So basically i want to remove the styling and hide the list element and only display the map element on one click and on the next one to display again the list and to resize the map  how it was initially.&lt;/p&gt;
&lt;p&gt;any ideas ? &lt;/p&gt;
&lt;pre&gt;&lt;code&gt;**Updated**
  **aura component** 
&amp;lt;aura:component &amp;gt;
&amp;lt;aura:attribute name="map" type="Object"/&amp;gt;
&amp;lt;aura:attribute name="buttonstate" type="Boolean" default="false"/&amp;gt;
&amp;lt;div aura:id= "screen"&amp;gt;        
 &amp;lt;div id="map" aura:id="mapSize" class="mapSize" style="position:relative;"&amp;gt;   
        &amp;lt;lightning:button class="button" aura:id="buttonList" label="Button" onclick="{!c.handleClick}" /&amp;gt;
 &amp;lt;/div&amp;gt;
&amp;lt;/div&amp;gt;
   &amp;lt;div  aura:id="listDiv" class ="listDiv"&amp;gt;
   &amp;lt;c:List  /&amp;gt;
    &amp;lt;/div&amp;gt;        
  &amp;lt;/div&amp;gt;       
&amp;lt;/aura:component&amp;gt;
**CSS**
   .cAccountMap .mapSize{
   width: 100%;
   height: 80%; 
}
.cAccountMap .mapTestSize{
    height: 100%;
}
.THIS .listDiv{
 height: 20%;
}
}
**Javascript** 
   handleClick : function(component,event,helper){
      var buttonName = event.getSource();
      var elements = document.getElementsByClassName("listDiv");
     var buttonstate = component.get('v.buttonstate');
    var cmpTarget = component.find('mapSize');
    if(buttonstate==false){
        buttonName.set('v.label', 'LALA');
        elements[0].style.display = 'none';
        $A.util.removeClass(cmpTarget, 'mapSize');
        $A.util.addClass(cmpTarget, 'mapTestSize');      
    }else{
        buttonName.set('v.label', 'gogo');
        elements[0].style.display = '';
        $A.util.addClass(cmpTarget, 'mapSize');
        $A.util.removeClass(cmpTarget, 'mapTestSize');  
    }
    component.set('v.buttonstate', !buttonstate);
}
&lt;/code&gt;&lt;/pre&gt;
</t>
  </si>
  <si>
    <t xml:space="preserve">&lt;pre&gt;&lt;code&gt;After multiple tries  i managed to find the solution 
aura component is the same
css 
.cAccountMap .mapSize{
  width: 100%;
  height: 65%; 
}
.THIS .listDiv{
 height: 35%;
}
.THIS .listHideDiv{
 height: 0%;
}
&lt;/code&gt;&lt;/pre&gt;
&lt;p&gt;Javascript &lt;/p&gt;
&lt;pre&gt;&lt;code&gt; handleClick : function(component,event,helper){
    var changeViewButton = event.getSource();
    var listDiv = document.getElementsByClassName("listDiv");
    var mapDiv = document.getElementsByClassName("mapSize");
    var buttonstate = component.get('v.buttonstate');
    var cmpList = component.find('listDiv');
    if(buttonstate==false){
        changeViewButton.set('v.label', 'lala');
        listDiv[0].style.display = 'none';
        mapDiv[0].style.height = '100%';
        $A.util.addClass(cmpList, 'listHideDiv');
    }else{
        changeViewButton.set('v.label', 'gogo');
        $A.util.removeClass(cmpList, 'listHideDiv');
        listDiv[0].style.display = '';
        mapDiv[0].style.height = '65%';
    }
    component.set('v.buttonstate', !buttonstate);
}
&lt;/code&gt;&lt;/pre&gt;
&lt;p&gt;So basically the map height style was changed from javascript &lt;/p&gt;
</t>
  </si>
  <si>
    <t xml:space="preserve">&lt;p&gt;I have a strange problem whereby any REST APIs relating to SharePoint versions work when testing at design time but generate a 403 Forbidden error at runtime.  What is also odd is that all other REST API calls work fine at both design time and runtime and all the parameters are identical to the ones that don't work (headers etc.) and I've done a cut and paste on everything, but still anything relating to versions isn't working, although that might just be a red herring?&lt;/p&gt;
&lt;p&gt;The app can successfully delete files and overwrite them, check in and out, etc. so seemingly there are no permission issues.  I have also tried checking a file out before reading the version information just in case (as check out is forced before any actions can be carried out on this site) but that didn't work either.&lt;/p&gt;
&lt;p&gt;This is an example of one of the calls that is causing the error:&lt;/p&gt;
&lt;p&gt;&lt;a href="https://mycompany.SharePoint.com/sites/" rel="nofollow noreferrer"&gt;https://mycompany.SharePoint.com/sites/&lt;/a&gt;{SiteName}/_api/web/GetFileByServerRelativeUrl('/sites/{SiteName}/Shared%20Documents/{FilenameAndPath}')/version&lt;/p&gt;
</t>
  </si>
  <si>
    <t xml:space="preserve">&lt;p&gt;I have been trying to insert files using Salesforce Chatter &lt;a href="https://developer.salesforce.com/docs/atlas.en-us.api_rest.meta/api_rest/dome_sobject_insert_update_blob.htm" rel="nofollow noreferrer"&gt;REST API&lt;/a&gt; but its been documented for curl. I am unable to find how to do the same in Angularjs using $http with visualforce. I am not able to set the request header and body properly. Please provide the header and body contents for the request, if this has to be done using javascript rather than curl.&lt;/p&gt;
&lt;h3&gt;Example for creating a new Document&lt;/h3&gt;
&lt;pre&gt;&lt;code&gt;curl https://yourInstance.salesforce.com/services/data/v23.0/sobjects/Document/ 
-H "Authorization: Bearer token"
-H "Content-Type: multipart/form-data;boundary=\"boundary_string\""
--data-binary @newdocument.json
&lt;/code&gt;&lt;/pre&gt;
&lt;h3&gt;Example request body for creating a new Document&lt;/h3&gt;
&lt;p&gt;This code is the contents of &lt;code&gt;newdocument.json&lt;/code&gt;. The binary data for the PDF content has been omitted for brevity and replaced
with “Binary data goes here.” An actual request contains the full binary content.&lt;/p&gt;
&lt;pre&gt;&lt;code&gt;--boundary_string
Content-Disposition: form-data; name="entity_document";
Content-Type: application/json
{
"Description" : "Marketing brochure for Q1 2011",
"Keywords" : "marketing,sales,update",
"FolderId" : "005D0000001GiU7",
"Name" : "Marketing Brochure Q1",
"Type" : "pdf"
}
--boundary_string
Content-Type: application/pdf
Content-Disposition: form-data; name="Body"; filename="2011Q1MktgBrochure.pdf"
Binary data goes here.
--boundary_string--
&lt;/code&gt;&lt;/pre&gt;
</t>
  </si>
  <si>
    <t xml:space="preserve">&lt;p&gt;I have two data sources &lt;/p&gt;
&lt;ol&gt;
&lt;li&gt;&lt;p&gt;Assets&lt;/p&gt;&lt;/li&gt;
&lt;li&gt;&lt;p&gt;Locations&lt;/p&gt;&lt;/li&gt;
&lt;/ol&gt;
&lt;p&gt;Assets has a One to Many relation with Locations&lt;/p&gt;
&lt;p&gt;Assets has a query builder data source, AssetLocFiltered, that is set with the following:&lt;/p&gt;
&lt;pre&gt;&lt;code&gt;ParentLocationKey =:ParentLocationKey
&lt;/code&gt;&lt;/pre&gt;
&lt;p&gt;ParentLocationKey is the relation field for the locations table.&lt;/p&gt;
&lt;p&gt;On the home page you select a location and then click a button that passes the location ID to a parameter on the ShopPageDemo page. with the following code&lt;/p&gt;
&lt;pre&gt;&lt;code&gt;app.pages.ShopPageDemo.properties.ParentLocationKey = 
widget.datasource.item.Id;
console.log(widget.datasource.item.Id);
app.showPage(app.pages.ShopPageDemo);
&lt;/code&gt;&lt;/pre&gt;
&lt;p&gt;One the ShopPageDemo Page there is a table view of the AssetLocFiltered that sets the query parameter in the ondataload event with the following code:&lt;/p&gt;
&lt;pre&gt;&lt;code&gt;widget.root.datasource.query.parameters.ParentLocationKey = 
widget.root.properties.ParentLocationKey;
widget.root.datasource.load();
&lt;/code&gt;&lt;/pre&gt;
&lt;p&gt;This works great. The problem is when i hit the browser refresh it seems like it clears the property in ShopPageDemo. How do I handle this browser refresh issue? I am not really sure where to start.&lt;/p&gt;
</t>
  </si>
  <si>
    <t xml:space="preserve">&lt;p&gt;I have created a combo-box in LWC for which, I want to default a value.The options for the LWC are fetched from controller. I tried the following &amp;amp; it dint work. I have removed the "placeholder="-Select-", but still OOB i see a place holder "Select a value". I want to remove the OOB placeholder &amp;amp; also default it to a particular value on load.&lt;/p&gt;
&lt;pre&gt;&lt;code&gt;                  &amp;lt;lightning-combobox required
                        label="Values"
                        class="value"  
                        value={choosenValue}
                        options={choosenValueOptions}
                        onchange={handleValueChange} &amp;gt;
                    &amp;lt;/lightning-combobox&amp;gt;
&lt;/code&gt;&lt;/pre&gt;
&lt;p&gt;TIA,
Sunil&lt;/p&gt;
</t>
  </si>
  <si>
    <t xml:space="preserve">&lt;p&gt;I am using the wire service  along with an apex controller to initially fetch the data.&lt;/p&gt;
&lt;p&gt;Like this: &lt;code&gt;@wire (fetchAccounts)parameters&lt;/code&gt;&lt;/p&gt;
&lt;p&gt;I would like to be able to view the newly created account on the datatable as&lt;/p&gt;
&lt;pre class="lang-html prettyprint-override"&gt;&lt;code&gt;    &amp;lt;lightning-datatable 
       key-field="id"
       data={parameters.data}
       onrowaction={handleRowAction}
       row-number-offset={rowOffset}
       hide-checkbox-column="true"
       columns={columns}&amp;gt;
    &amp;lt;/lightning-datatable&amp;gt;
&lt;/code&gt;&lt;/pre&gt;
&lt;p&gt;Could you please advise me on the right approach?&lt;/p&gt;
</t>
  </si>
  <si>
    <t xml:space="preserve">&lt;p&gt;In order to achieve this, the documentation can be found here: &lt;a href="https://developer.salesforce.com/docs/component-library/documentation/lwc/lwc.apex#data_apex__refresh_cache" rel="nofollow noreferrer"&gt;https://developer.salesforce.com/docs/component-library/documentation/lwc/lwc.apex#data_apex__refresh_cache&lt;/a&gt;. &lt;/p&gt;
&lt;p&gt;So that would look like this:&lt;/p&gt;
&lt;pre class="lang-js prettyprint-override"&gt;&lt;code&gt;
// add this import statement
import { refreshApex } from '@salesforce/apex';
&lt;/code&gt;&lt;/pre&gt;
&lt;pre class="lang-js prettyprint-override"&gt;&lt;code&gt;
    @track parameters;
    @track error;
    /** Wired Apex result so it can be refreshed programmatically */
    _wiredResult;
    @wire(fetchAccounts)
    wiredCallback(result) {
        this._wiredResult = result;
        if (result.data) {
            this.parameters = result.data;
            this.error = undefined;
        } else if (result.error) {
            this.error = result.error;
            this.parameters = undefined;
        }
    }
    // in order to refresh your data, execute this function:
    refreshData() {
        return refreshApex(this._wiredResult);
    }
&lt;/code&gt;&lt;/pre&gt;
&lt;p&gt;And change your HTML to:&lt;/p&gt;
&lt;pre class="lang-html prettyprint-override"&gt;&lt;code&gt;
&amp;lt;lightning-datatable 
   key-field="id"
   data={parameters}
   onrowaction={handleRowAction}
   row-number-offset={rowOffset}
   hide-checkbox-column="true"
   columns={columns}&amp;gt;
&amp;lt;/lightning-datatable&amp;gt;
&lt;/code&gt;&lt;/pre&gt;
&lt;p&gt;If you want to read a nice sample for this, you can find that here: &lt;a href="https://github.com/trailheadapps/lwc-recipes/blob/master/force-app/main/default/lwc/ldsDeleteRecord/ldsDeleteRecord.js" rel="nofollow noreferrer"&gt;https://github.com/trailheadapps/lwc-recipes/blob/master/force-app/main/default/lwc/ldsDeleteRecord/ldsDeleteRecord.js&lt;/a&gt;&lt;/p&gt;
</t>
  </si>
  <si>
    <t xml:space="preserve">&lt;p&gt;I have a calculated table that uses a join statement SQL query as its data source. good. Works fine.&lt;/p&gt;
&lt;p&gt;But then I'm trying to add in the use of :Parameters and my attempts to create a default if it equals null are not working.&lt;/p&gt;
&lt;p&gt;I tried this (In the onLoad client script):&lt;/p&gt;
&lt;pre&gt;&lt;code&gt;if (app.datasources.Relations.query.parameters.x== null){
  console.log("No xfound,using &amp;gt;");
  app.datasources.Relations.query.parameters.x= "&amp;gt;";}
&lt;/code&gt;&lt;/pre&gt;
&lt;p&gt;It works, but not on the initial load (it appears to apply AFTER the first load).&lt;/p&gt;
&lt;p&gt;So I decided to try and bake it into the sql statement that makes the table like this, but all three of these iterations failed with "check your version of mysql" errors.&lt;/p&gt;
&lt;pre&gt;&lt;code&gt;AND b.CSI_Code REGEXP select if(:x= null, "&amp;lt;",:x)
AND b.CSI_Code REGEXP select if(:x== null, "&amp;lt;",:x)
AND b.CSI_Code REGEXP select if(:x=== null, "&amp;lt;",:x)
&lt;/code&gt;&lt;/pre&gt;
&lt;p&gt;I've got a workaround going where I set my parameters to the APP onload rather than the datasource onload,but ultimately I think it would be cleaner if I could get the SQL if nul set to default ("&gt;") part working.&lt;/p&gt;
</t>
  </si>
  <si>
    <t xml:space="preserve">&lt;p&gt;If you have access to the Google Cloud Platform where your database is hosted, it lists the database version in the instance information (see picture). &lt;a href="https://cloud.google.com/sql/faq#version" rel="nofollow noreferrer"&gt;Per the FAQ&lt;/a&gt;, the options are currently MySQL 5.5, 5.6, or 5.7. If you click into the instance, and go to the Databases tab, each app has its own database with a name like "Wc7cVzeGEvbPjxj4". To confirm which database your app uses, the name should be listed in your Google App Maker app under (Your app in the developer GUI) &gt; Settings Cog Icon &gt; Database &gt; Database Key.&lt;/p&gt;
&lt;p&gt;&lt;a href="https://i.stack.imgur.com/Lwmkt.png" rel="nofollow noreferrer"&gt;&lt;img src="https://i.stack.imgur.com/Lwmkt.png" alt="Google Cloud Platform SQL Instances"&gt;&lt;/a&gt;&lt;/p&gt;
</t>
  </si>
  <si>
    <t xml:space="preserve">&lt;p&gt;I have the requirement to get the image of the dashboard to reproduce it in the another app connected to Salesforce. How can I able to get the image? Is there any API for that?&lt;/p&gt;
&lt;p&gt;I have searched in the workbench for the similar API to meet my requirement. But I can't able to find anything that meets my requirement.&lt;/p&gt;
&lt;p&gt;Thanks in advance&lt;/p&gt;
</t>
  </si>
  <si>
    <t xml:space="preserve">&lt;p&gt;The API you need to interact with Salesforce reporting is the &lt;a href="https://developer.salesforce.com/docs/atlas.en-us.api_analytics.meta/api_analytics/sforce_analytics_rest_api_intro.htm" rel="nofollow noreferrer"&gt;Reports and Dashboards REST API&lt;/a&gt;.&lt;/p&gt;
&lt;p&gt;This API does not provide functionality to produce an image file. However, you can get the &lt;a href="https://developer.salesforce.com/docs/atlas.en-us.api_analytics.meta/api_analytics/analytics_api_dashboard_get_results.htm" rel="nofollow noreferrer"&gt;dashboard results&lt;/a&gt;, which your application can then interpret and render. Note that the "fact map" data structure returned by Salesforce is fairly complex.&lt;/p&gt;
</t>
  </si>
  <si>
    <t xml:space="preserve">&lt;p&gt;lightning-map is useful however I found multiple limitations and I would like to implement my own version, someone knows where I can find an example of how to implement the library of google maps in LWC.&lt;/p&gt;
&lt;p&gt;Implementing google maps is simple however in LWC third-party libraries must be loaded as a static resource for security when doing this I begin to have security errors.&lt;/p&gt;
&lt;p&gt;I think salesforce uses a proxy to work &lt;a href="https://maps.a.forceusercontent.com/lightningmaps/mapsloader?resource=primitiveMap&amp;amp;version=222" rel="nofollow noreferrer"&gt;https://maps.a.forceusercontent.com/lightningmaps/mapsloader?resource=primitiveMap&amp;amp;version=222&lt;/a&gt;, unfortunately the code of this component is not available to study if someone has the code of how to implement google maps and LWC would appreciate your guidance&lt;/p&gt;
</t>
  </si>
  <si>
    <t xml:space="preserve">&lt;p&gt;I am using HTML tables to display values, if the table has more than 100 rows it becomes slow how to do infinite loading in HTML table in salesforce ?&lt;/p&gt;
</t>
  </si>
  <si>
    <t xml:space="preserve">&lt;p&gt;[like in the image we want that date difference will come in the new field.Actually we want to calculate number of the days in which a particular case is in the particular status. Can we use windowing function in this but i dont think so we can do that. Any other work around? &lt;/p&gt;
&lt;p&gt;So that out data will be like &lt;/p&gt;
&lt;p&gt;for
row 1 case1   casehistory1    2020-01-22    new                    daysdiff(2020-03-03 - 2020-01-22)
row2   casehistory2    2020-03-03    pending with agent      &lt;/p&gt;
&lt;p&gt;so we will have days for the particular status in which a case is in]&lt;a href="https://i.stack.imgur.com/luDZv.png" rel="nofollow noreferrer"&gt;1&lt;/a&gt;&lt;/p&gt;
</t>
  </si>
  <si>
    <t xml:space="preserve">&lt;p&gt;I have created an new joiner onboarding app for my team in PowerApps. I am using an excel connector to add data in a collection. This collection is then used to create a list of to-do-tasks. I am giving user the option to mark a task as completed (i.e. patch the relevant row in my collection). I am not updating records in my excel file because that is a common data source for all new joinees.&lt;/p&gt;
&lt;p&gt;Now, everytime the user exits and restarts the app, the collection gets loaded from scratch and all the progress (tasks completed are reset). &lt;/p&gt;
&lt;p&gt;Is there a way to save the progress of these tasks per user basis?&lt;/p&gt;
&lt;p&gt;PS: I know one way is to create outlook tasks (by using o365 user profile) from the powerapps and load it everytime. But I don't want to use Outlook tasks.&lt;/p&gt;
</t>
  </si>
  <si>
    <t xml:space="preserve">&lt;p&gt;I am trying to properly decode a Base64 string from Power Apps to an audio file. The point is: I do decode it and I can play it. But as soon as I try to &lt;strong&gt;convert&lt;/strong&gt; it using ffmpeg or any website, all kind of errors are thrown. I have tried changing the formats too (aac, weba, m4a, wav, mp3, ogg, 3gp, caf), but none of them could be converted to another format.&lt;/p&gt;
&lt;p&gt;&lt;strong&gt;PS: If I decode the string (which is too big to post here) directly using a website, then the audio file can finally be converted, indicating that the issue is in the code or even in the Python library.&lt;/strong&gt; &lt;/p&gt;
&lt;p&gt;&lt;strong&gt;===============
CODE ===============&lt;/strong&gt;&lt;/p&gt;
&lt;pre&gt;&lt;code&gt;import os
import base64
mainDir = os.path.dirname(__file__)
audioFileOGG = os.path.join(mainDir, "myAudio.ogg")
audioFile3GP = os.path.join(mainDir, "myAudio.3gp")
audioFileAAC = os.path.join(mainDir, "myAudio.aac")
binaryFileTXT = os.path.join(mainDir, 'binaryData.txt')
with open(binaryFileTXT, 'rb') as f:
    audioData = f.readlines()
    audioData = audioData[0]
with open(audioFileAAC, "wb") as f:
    f.write(base64.b64decode(audioData))
&lt;/code&gt;&lt;/pre&gt;
&lt;p&gt;&lt;strong&gt;Result: the audio file is playable, but it cannot be converted to any other format (I need *.wav).
What am I missing here?&lt;/strong&gt;&lt;/p&gt;
</t>
  </si>
  <si>
    <t xml:space="preserve">&lt;p&gt;Happy Thursday!&lt;/p&gt;
&lt;p&gt;I added  2 Checkbox controls inside the TypeOfPerson field data card. Trying to figure out to display the value of the checkbox on both Display Mode = View  | Display Mode = Edit &lt;br&gt;&lt;/p&gt;
&lt;p&gt;TypeOfPErson is a Column Type =  Choice in SharePoint&lt;/p&gt;
&lt;p&gt;Hope i explain myself clearly &lt;/p&gt;
&lt;p&gt;[![enter image description here][1]][1]&lt;/p&gt;
&lt;p&gt;&lt;a href="https://i.stack.imgur.com/vHorF.png" rel="nofollow noreferrer"&gt;&lt;img src="https://i.stack.imgur.com/vHorF.png" alt="Form"&gt;&lt;/a&gt;&lt;/p&gt;
&lt;p&gt;&lt;a href="https://i.stack.imgur.com/s9cay.png" rel="nofollow noreferrer"&gt;&lt;img src="https://i.stack.imgur.com/s9cay.png" alt="Edit Form"&gt;&lt;/a&gt;&lt;/p&gt;
</t>
  </si>
  <si>
    <t xml:space="preserve">&lt;p&gt;You are using two separate forms (&lt;code&gt;Form1&lt;/code&gt; and &lt;code&gt;Form2&lt;/code&gt;) which is unnecessary here. You might try adding a HomeScreen then with two options "New Item" and "Search Items":&lt;/p&gt;
&lt;p&gt;&lt;strong&gt;New record workflow:&lt;/strong&gt;&lt;/p&gt;
&lt;ul&gt;
&lt;li&gt;From HomeScreen, user clicks "New Item" button&lt;/li&gt;
&lt;li&gt;&lt;code&gt;OnSelect&lt;/code&gt; of the "New Item" button:
&lt;ul&gt;
&lt;li&gt;&lt;code&gt;NewForm(Form1)&lt;/code&gt;&lt;/li&gt;
&lt;li&gt;&lt;code&gt;Navigate(FormScreen, Fade)&lt;/code&gt;&lt;/li&gt;
&lt;/ul&gt;&lt;/li&gt;
&lt;li&gt;User fills in all required fields and hits "Submit" button&lt;/li&gt;
&lt;li&gt;User taken to SuccessScreen then back to HomeScreen&lt;/li&gt;
&lt;/ul&gt;
&lt;p&gt;&lt;strong&gt;Search record workflow:&lt;/strong&gt;&lt;/p&gt;
&lt;ul&gt;
&lt;li&gt;From HomeScreen, user clicks "Search Items" button&lt;/li&gt;
&lt;li&gt;&lt;code&gt;OnSelect&lt;/code&gt; of the "Edit Item" button:
&lt;ul&gt;
&lt;li&gt;&lt;code&gt;Navigate(SearchScreen, Fade)&lt;/code&gt;&lt;/li&gt;
&lt;/ul&gt;&lt;/li&gt;
&lt;li&gt;&lt;code&gt;OnVisible&lt;/code&gt; of SearchScreen
&lt;ul&gt;
&lt;li&gt;&lt;code&gt;ClearCollect(colItems, Filter(dataSource, status=smart))&lt;/code&gt;&lt;/li&gt;
&lt;/ul&gt;&lt;/li&gt;
&lt;li&gt;Gallery control on this screen with &lt;code&gt;Items&lt;/code&gt; property set to &lt;code&gt;colItems&lt;/code&gt;&lt;/li&gt;
&lt;li&gt;User clicks a "Right Arrow" icon within the Gallery to select a specific record from your data source to edit&lt;/li&gt;
&lt;li&gt;&lt;p&gt;&lt;code&gt;OnSelect&lt;/code&gt; of the "Right Arrow"&lt;/p&gt;
&lt;ul&gt;
&lt;li&gt;&lt;code&gt;EditForm(Form1)&lt;/code&gt; //notice, its the SAME FORM&lt;/li&gt;
&lt;li&gt;&lt;code&gt;Navigate(FormScreen, Fade)&lt;/code&gt;&lt;/li&gt;
&lt;/ul&gt;&lt;/li&gt;
&lt;li&gt;&lt;p&gt;Set the &lt;code&gt;Item&lt;/code&gt; property of &lt;code&gt;Form1&lt;/code&gt; to:&lt;/p&gt;
&lt;ul&gt;
&lt;li&gt;&lt;code&gt;If(Form1.Mode &amp;lt;&amp;gt; FormMode.New, gallery.Selected)&lt;/code&gt;&lt;/li&gt;
&lt;/ul&gt;&lt;/li&gt;
&lt;/ul&gt;
&lt;p&gt;You then set the &lt;code&gt;Default&lt;/code&gt; values of Form1 controls to something like:
- &lt;code&gt;If(Form1.Mode = FormMode.New, Blank(), Parent.Default&lt;/code&gt;&lt;/p&gt;
&lt;p&gt;This is all from memory, so might need some minor tweaks, but the logic is there.&lt;/p&gt;
</t>
  </si>
  <si>
    <t xml:space="preserve">&lt;p&gt;How to change the Date format as DD-MM-YYYY in lightning data table ?&lt;/p&gt;
&lt;p&gt;The Result is 1936-06-12&lt;/p&gt;
&lt;p&gt;I Want the result as 12-06-1936&lt;/p&gt;
&lt;p&gt;Please help....&lt;/p&gt;
&lt;p&gt;code snippet &lt;/p&gt;
&lt;p&gt;{label: 'Contact Name', fieldName: 'Name', type: 'text',sortable:true},&lt;br&gt;
{label: 'Birthdate', fieldName: 'Birthdate', type: 'Date',sortable: true,typeAttributes{day:'numeric',month:'short',year:'numeric'}},
{label: 'Email', fieldName: 'Email', type: 'email',sortable:true}&lt;/p&gt;
&lt;p&gt;Thanks in Advance.&lt;/p&gt;
</t>
  </si>
  <si>
    <t xml:space="preserve">&lt;p&gt;I use the Ribbon Workbench to add a custom search button to the Contact entity ribbon. This button is supposed to use a JavaScript WebResource to open a side panel, but I run into errors saying &lt;code&gt;window.SearchComponent is undefined Session Id:...&lt;/code&gt;. This open side panel method is a member of a React based Power Apps Component Framework (PCF) Custom Control.&lt;/p&gt;
&lt;p&gt;&lt;a href="https://i.stack.imgur.com/Bshsj.png" rel="nofollow noreferrer"&gt;&lt;img src="https://i.stack.imgur.com/Bshsj.png" alt="enter image description here"&gt;&lt;/a&gt;&lt;/p&gt;
&lt;p&gt;&lt;a href="https://i.stack.imgur.com/bWw4U.png" rel="nofollow noreferrer"&gt;&lt;img src="https://i.stack.imgur.com/bWw4U.png" alt="enter image description here"&gt;&lt;/a&gt;&lt;/p&gt;
&lt;p&gt;This is my Web Resource that fires once the Search button in the ribbon is clicked.&lt;/p&gt;
&lt;pre&gt;&lt;code&gt;function main() {
    console.log("Opening Search...");
    console.log(window.SearchComponent);
    window.SearchComponent.ribbonWorkBenchOpenPanel();
}
&lt;/code&gt;&lt;/pre&gt;
&lt;p&gt;In the constructor of my PCF Custom Control I am using &lt;code&gt;window.SearchComponent = this;&lt;/code&gt; to register my component with the global window object so that I can call &lt;code&gt;window.SearchComponent.ribbonWorkBenchOpenPanel();&lt;/code&gt; from my WebResource. Running &lt;code&gt;window.SearchComponent.ribbonWorkBenchOpenPanel();&lt;/code&gt; on the browser developer tools command line works as expected. Yet when I call this same method in my Web Resource I get a &lt;code&gt;window.SearchComponent is undefined Session Id:...&lt;/code&gt; error.&lt;/p&gt;
&lt;pre&gt;&lt;code&gt;constructor(props: any) {
    super(props);               
    window.SearchComponent = this;
}  
&lt;/code&gt;&lt;/pre&gt;
</t>
  </si>
  <si>
    <t xml:space="preserve">&lt;p&gt;Salesforce has two different UIs and in accordance with it, it has the possibility to store attached files differently.
Two files were uploaded via the classic UI and they are marked as 'attachments'. Other files were uploaded through the new UI and they are marked as 'files'.
I want to upload all of these files using REST API. I cannot find the proper documentation. Can somebody help me with this?&lt;/p&gt;
</t>
  </si>
  <si>
    <t xml:space="preserve">&lt;p&gt;That's not 100% true. In SF Classic UI you were able to upload Files too. It's "just" about knowing the right API name of the table and you'll find lots of examples online.&lt;/p&gt;
&lt;p&gt;&lt;code&gt;Attachment&lt;/code&gt; and &lt;code&gt;Document&lt;/code&gt; objects have exactly same API names, you can view their definitions in &lt;a href="https://developer.salesforce.com/docs/atlas.en-us.api.meta/api/sforce_api_objects_attachment.htm" rel="nofollow noreferrer"&gt;SOAP API definition&lt;/a&gt; or in REST API explorer (there was something which you can still see in screenshot in &lt;a href="https://salesforce.stackexchange.com/questions/292654/using-salesforce-api-explorer-for-documenting-apex-rest-services"&gt;here&lt;/a&gt;, seems to be down now, maybe they're moving it to another area in documentation...)&lt;/p&gt;
&lt;p&gt;The Files (incl. "Chatter Files") are stored in &lt;code&gt;ContentDocument&lt;/code&gt; and &lt;code&gt;ContentVersion&lt;/code&gt; object. The name is unexpected because long time ago SF purchased another company's product and it was called "Salesforce Content". In beginning it was bit of mess, now it's better integrated into whole platform but still some things lurk like File folders can be called Libraries sometimes in documentation but actual API name is &lt;code&gt;ContentWorkspace&lt;/code&gt;. The entity relationship diagram can help a bit: &lt;a href="https://developer.salesforce.com/docs/atlas.en-us.api.meta/api/sforce_api_erd_content.htm" rel="nofollow noreferrer"&gt;https://developer.salesforce.com/docs/atlas.en-us.api.meta/api/sforce_api_erd_content.htm&lt;/a&gt;&lt;/p&gt;
&lt;p&gt;&lt;code&gt;ContentDocument&lt;/code&gt; is a header to which many places in SF link (imagine file wasting space on disk only once but being cross-linked from multiple records). It can have at least 1 version and if you need to update the document - you'd upload new version but all links in org wouldn't change, they'd still link to header.&lt;/p&gt;
&lt;p&gt;So, how to use it? &lt;/p&gt;
&lt;ul&gt;
&lt;li&gt;REST API guide: &lt;a href="https://developer.salesforce.com/docs/atlas.en-us.api_rest.meta/api_rest/dome_sobject_insert_update_blob.htm" rel="nofollow noreferrer"&gt;https://developer.salesforce.com/docs/atlas.en-us.api_rest.meta/api_rest/dome_sobject_insert_update_blob.htm&lt;/a&gt;&lt;/li&gt;
&lt;li&gt;or maybe Chatter API guide (you tagged it with chatter so chances are you already use it): &lt;a href="https://developer.salesforce.com/docs/atlas.en-us.chatterapi.meta/chatterapi/connect_resources_files.htm" rel="nofollow noreferrer"&gt;https://developer.salesforce.com/docs/atlas.en-us.chatterapi.meta/chatterapi/connect_resources_files.htm&lt;/a&gt;&lt;/li&gt;
&lt;li&gt;some of my answers here might help (shameless plug). They're about upload and reading data too and one is even about data loader... but you might experiment with exporting files first, get familiar with structure before you load?
&lt;ul&gt;
&lt;li&gt;&lt;a href="https://stackoverflow.com/a/48668673/313628"&gt;https://stackoverflow.com/a/48668673/313628&lt;/a&gt;&lt;/li&gt;
&lt;li&gt;&lt;a href="https://stackoverflow.com/a/56268939/313628"&gt;https://stackoverflow.com/a/56268939/313628&lt;/a&gt;&lt;/li&gt;
&lt;li&gt;&lt;a href="https://stackoverflow.com/a/60284736/313628"&gt;https://stackoverflow.com/a/60284736/313628&lt;/a&gt;&lt;/li&gt;
&lt;/ul&gt;&lt;/li&gt;
&lt;/ul&gt;
</t>
  </si>
  <si>
    <t xml:space="preserve">&lt;p&gt;I am new to Powerapps, How can I call rest API in powerapps portal application?&lt;/p&gt;
</t>
  </si>
  <si>
    <t xml:space="preserve">&lt;p&gt;I want to retrieve Zoho mails in Node js.
I have got Zoho Access Token.
Using the Access Token and the api &lt;a href="http://mail.zoho.com/api/accounts" rel="nofollow noreferrer"&gt;http://mail.zoho.com/api/accounts&lt;/a&gt; I have retrieved the Zoho Account Id. 
After that using Account Id and the api &lt;a href="https://mail.zoho.com/api/accounts/accountId/folders" rel="nofollow noreferrer"&gt;https://mail.zoho.com/api/accounts/accountId/folders&lt;/a&gt; I have retrieved all the folderId.
The Zoho api documentation says using the api &lt;a href="http://mail.zoho.com/api/accounts/accountId/messages/view" rel="nofollow noreferrer"&gt;http://mail.zoho.com/api/accounts/accountId/messages/view&lt;/a&gt; I can retrieve the mails of a folder by passing the folderId in body. But when I do so, it gives error "Invalid_token". 
So, how can I retrieve the mails from zoho?&lt;/p&gt;
&lt;p&gt;Here is the snippet of teh last Api code-&lt;/p&gt;
&lt;p&gt;&lt;div class="snippet" data-lang="js" data-hide="false" data-console="true" data-babel="false"&gt;
&lt;div class="snippet-code"&gt;
&lt;pre class="snippet-code-js lang-js prettyprint-override"&gt;&lt;code&gt; const option = {
             url: ' http://mail.zoho.com/api/accounts/' + accountId + '/messages/view',
             body: { "folderId": folderId }
               };
 Request(option, (err, response) =&amp;gt; {
               if (err) console.log(err)
               else {
                   console.log(JSON.parse(response.body))
                  }
                  &lt;/code&gt;&lt;/pre&gt;
&lt;/div&gt;
&lt;/div&gt;
&lt;/p&gt;
</t>
  </si>
  <si>
    <t xml:space="preserve">&lt;p&gt;I have two entities in PowerApps
1.client 
2.project&lt;/p&gt;
&lt;p&gt;there are two screen 
1.client (in this all the details of the client are stored like client id, name, website, etc)
2.project (in this all the details of the Project are stored like client id, client name, project name, project id, etc)
the client id is the primary id in both entities.&lt;/p&gt;
&lt;p&gt;My problem is that 
In the project entity, I want dropdown where all the client name are stored
so when I select the client name from the dropdown the client id automatically
fetch in the project entity from the client entity.&lt;/p&gt;
</t>
  </si>
  <si>
    <t xml:space="preserve">&lt;p&gt;We implement Lightning Sync for Google Suite for both contact and event (calendar)&lt;/p&gt;
&lt;p&gt;The synchronization works as my Salesforce contacts go to my Google Contacts
&lt;strong&gt;BUT&lt;/strong&gt;
it adds Contacts into a Salesforce Sync Label in Google Contacts &lt;strong&gt;AND NOT&lt;/strong&gt; in "Contacts"
The consequence is that the sync on mobile of the Google contacts doesn't work and the contacts do not "really" exist in Google Contacts as they are not under "Contacts"&lt;/p&gt;
&lt;p&gt;I have to manually move them to Google Contacts. &lt;/p&gt;
&lt;p&gt;Google contacts screenshot:&lt;/p&gt;
&lt;p&gt;&lt;a href="https://i.stack.imgur.com/TmmoS.png" rel="nofollow noreferrer"&gt;&lt;img src="https://i.stack.imgur.com/TmmoS.png" alt="enter image description here"&gt;&lt;/a&gt;&lt;/p&gt;
&lt;p&gt;Does anybody know of a way we can automatically move the contacts under "contacts"?&lt;/p&gt;
</t>
  </si>
  <si>
    <t xml:space="preserve">&lt;p&gt;I have created leads in the salesforce app using REST API. When I log in to the salesforce app, I am able to update/convert the lead. I want to send the updated lead object to a third-party API endpoint.&lt;/p&gt;
&lt;p&gt;Is there any webhooks feature in Salesforce, like for a lead update I will subscribe to the webhook and give an endpoint address to call. Then the webhooks fires the URL with the updated lead data.&lt;/p&gt;
&lt;p&gt;If yes, can somebody please explain to me the process of doing it?&lt;/p&gt;
&lt;p&gt;Thank you,
Abhilash&lt;/p&gt;
</t>
  </si>
  <si>
    <t xml:space="preserve">&lt;p&gt;I want user to add files with different names. Currently default PowerApps control allows attachment of files with same names. But, while saving the form it saves only 1 file. I want to restrict users from attaching files with same name.&lt;/p&gt;
</t>
  </si>
  <si>
    <t xml:space="preserve">&lt;p&gt;I am trying to generate the dynamic URL to redirect to record but it appends the id to the current page.&lt;/p&gt;
&lt;p&gt;For example, I am getting this:&lt;/p&gt;
&lt;pre&gt;&lt;code&gt;https://nishant-aishwarya-1234-dev-ed.lightning.force.com/lightning/page/0062w000003ar1dAAA/view
&lt;/code&gt;&lt;/pre&gt;
&lt;p&gt;I want this:&lt;/p&gt;
&lt;pre&gt;&lt;code&gt;https://nishant-aishwarya-1234-dev-ed.lightning.force.com/lightning/r/Opportunity/0062w000003ar1dAAA/view
&lt;/code&gt;&lt;/pre&gt;
&lt;p&gt;Here is the code for the &lt;code&gt;render&lt;/code&gt; function:&lt;/p&gt;
&lt;pre class="lang-js prettyprint-override"&gt;&lt;code&gt;if (columnNames[i] == 'name') {
  columns.push({
    data: columnNames[i],
    title: columnNames[i],
    render: function(data, type, row, meta) {
      data = '&amp;lt;a href=' + row['id'] + '/view' + '&amp;gt;' + data + '&amp;lt;/a&amp;gt;';
      return data;
    }
  });
}
&lt;/code&gt;&lt;/pre&gt;
</t>
  </si>
  <si>
    <t xml:space="preserve">&lt;p&gt;I have put the two resources as static resources in my org with the name:
1.datatableButton  of type: text/javascript
2.buttonsColVis    of type: text/javascript&lt;/p&gt;
&lt;p&gt;The following is how I am trying to import them:&lt;/p&gt;
&lt;pre&gt;&lt;code&gt;import datatableButton from '@salesforce/resourceUrl/datatableButton';
import buttonsColVis from '@salesforce/resourceUrl/buttonsColVis';
&lt;/code&gt;&lt;/pre&gt;
&lt;p&gt;Inside the Promise, following is my load code:&lt;/p&gt;
&lt;pre&gt;&lt;code&gt;loadScript(this, datatableButton)
loadScript(this, buttonsColVis)
&lt;/code&gt;&lt;/pre&gt;
&lt;p&gt;It is showing error--&gt; uncaught in promise.
Can someone guide me how to use these resources or post a sample code I can reference?&lt;/p&gt;
</t>
  </si>
  <si>
    <t xml:space="preserve">&lt;p&gt;I am in the process of customizing a lightning styled page builder application within salesforce b2c commerce.
For that I want merchants to be able to create and edit a menu with top level menu elements and lower level elements&lt;/p&gt;
&lt;pre&gt;&lt;code&gt;women
├── shirts {type: category, id:womens-shirts, url: /womens/shirts}
├── dresses {type: category, id:womens-dresses, url: /womens/dresses}
├── summer-campaign {type: content, id:summer-campaign, url: /summer}
men
├── coats {type: category, id:mens-coats, url: /mens/coats}
├── jeans {type: category, id:mens-jeans, url: /mens/jeans, hideIfSoldout: true}
about
├── about-us {type: content, id:about-us, url: /about-us}
└── help {type: content, id:hel-shipping, url: /help/shipping}
    └── shipping {type: content, id:hel-shipping, url: /help/shipping}
&lt;/code&gt;&lt;/pre&gt;
&lt;p&gt;I want the user to be able to add nodes and drag nodes around.&lt;/p&gt;
&lt;p&gt;Does anyone know if we have a good starting point for such a control available? Please note we are not using aura. I checked LWC, React Desigh system and LDS pages with no success.&lt;/p&gt;
&lt;p&gt;Thanks a ton for your help&lt;/p&gt;
&lt;p&gt;Cheers
Holger&lt;/p&gt;
</t>
  </si>
  <si>
    <t xml:space="preserve">&lt;p&gt;&lt;code&gt;GET /services/data/v47.0/sobjects/ContentVersion/0000v00000MFIVgAAP/VersionData&lt;/code&gt; from this request I will get binary file content, but how can I use this content to recreate the file properly (using request to &lt;code&gt;POST /services/data/v47.0/sobjects/ContentVersion&lt;/code&gt;)? &lt;/p&gt;
&lt;p&gt;I uploaded &lt;strong&gt;.docx&lt;/strong&gt; through the UI and fetch its content. 
Then I uploded that content using the request: &lt;/p&gt;
&lt;p&gt;&lt;strong&gt;Endpoint&lt;/strong&gt;&lt;/p&gt;
&lt;blockquote&gt;
  &lt;p&gt;/services/data/v47.0/sobjects/ContentVersion&lt;/p&gt;
&lt;/blockquote&gt;
&lt;p&gt;&lt;strong&gt;Headers&lt;/strong&gt;&lt;/p&gt;
&lt;blockquote&gt;
  &lt;p&gt;Content-Type:multipart/form-data; boundary=boundary_string
           Accept: application/json&lt;/p&gt;
&lt;/blockquote&gt;
&lt;p&gt;&lt;strong&gt;Body&lt;/strong&gt;&lt;/p&gt;
&lt;pre&gt;&lt;code&gt;--boundary_string 
Content-Disposition: form-data; name="entity_content"; 
Content-type: application/json
{"PathOnClient":"MyFile.docx"}
--boundary_string 
Content-Type: application/octet-stream 
Content-Disposition: form-data; name="VersionData"; filename="MyFile.docx"
Binary data from the request to GET /services/data/v47.0/sobjects/ContentVersion/0000v00000MFIVgAAP/VersionData.
--boundary_string--
&lt;/code&gt;&lt;/pre&gt;
&lt;p&gt;The request above is executed with a success status code, and the file was created successfully, but when I downloaded this file from UI, it became damaged :(
There may be something in the request body that I missed (but I don’t know what exactly is wrong), so the file creates damaged.&lt;/p&gt;
</t>
  </si>
  <si>
    <t xml:space="preserve">&lt;p&gt;I have a PowerApp that displays a field from an entity which is two options, Yes or No. I want to add an icon to the PowerApp screen that will be an 'X' if the value is No or a checkmark if the value is Yes.&lt;/p&gt;
&lt;p&gt;How do I use an if statement on the icon to check the datacardvalue to see if it is yes or no? Is that possible?&lt;/p&gt;
</t>
  </si>
  <si>
    <t xml:space="preserve">&lt;p&gt;Hope you are well and doing well in these times,Below is a  common scenario to take some set of sObject records, execute some processing such as making a callout to an external REST endpoint or perform some calculations and then update them in the database asynchronously. . The following code takes a collection of Account records, sets the parentId for each record, and then updates the records in the database.&lt;/p&gt;
&lt;p&gt;My questions are:-&lt;/p&gt;
&lt;p&gt;&lt;code&gt;A) Why i need to set the parentId for each record for Queueable Apex?&lt;/code&gt;&lt;/p&gt;
&lt;p&gt;&lt;code&gt;B) Why i cant use public identifier (mind you i know differences between public and private identifier :)) but why here we used private  in Queueable Apex and then we have to set the values?&lt;/code&gt;&lt;/p&gt;
&lt;pre&gt;&lt;code&gt;public class UpdateParentAccount implements Queueable {
private List&amp;lt;Account&amp;gt; accounts;
private ID parent;
public UpdateParentAccount(List&amp;lt;Account&amp;gt; records, ID id) {
    this.accounts = records;
    this.parent = id;
}
public void execute(QueueableContext context) {
    for (Account account : accounts) {
      account.parentId = parent;
      // perform other processing or callout
    }
    update accounts;
   }
}
&lt;/code&gt;&lt;/pre&gt;
&lt;p&gt;Source:- &lt;a href="https://trailhead.salesforce.com/en/content/learn/modules/asynchronous_apex/async_apex_queueable" rel="nofollow noreferrer"&gt;https://trailhead.salesforce.com/en/content/learn/modules/asynchronous_apex/async_apex_queueable&lt;/a&gt;&lt;/p&gt;
</t>
  </si>
  <si>
    <t xml:space="preserve">&lt;p&gt;Setting of a parent ID is an example of a task that can be done asynchronously. This is a somewhat poorly chosen example because the same task &lt;em&gt;could&lt;/em&gt; be done synchronously without Queuable. (If there are a lot of Account records being updated then moving this task to async might be a good idea).&lt;/p&gt;
&lt;p&gt;Public versus private - making a field private is a best practice as a way of encapsulating data in a class. It is used to hide the values or state of a structured data object inside a class, thus preventing direct access to them. In case of a Queuable, this is kinda like a utility class that will be used in a very specific context so you could make the variables public and remove the constructor. &lt;/p&gt;
</t>
  </si>
  <si>
    <t xml:space="preserve">&lt;p&gt;I am able to visualize my D3 chart within a Salesforce LWC component, but now what I want to do is when I click on a selected node within the D3 code, I want to pass the selected node data to a Salesforce variable that I can then pass to my child component which is a modal. The code below shows where I am currently writing the name to another div within the same page, but this doesn't help me when I'm trying to reference the data from a Salesforce variable. &lt;/p&gt;
&lt;pre&gt;&lt;code&gt;                if (d.data.isProduct) {
                    thisNode.append("rect")
                        .attr("y", -barHeight / 2)
                        .attr("height", barHeight)
                        .attr("width", barWidth)
                        .style("fill", color)
                        .attr("class", "product " + d.data.modalName) // Add the select products modalName as a class to be used as a router to say what type of product fields to display
                        .on("click", function (d) {
                            // Only Run Logic when a Product is selected
                            if (d3.select(this).classed("product")) {
                                //var thisProductNode = d3.select(this);
                                // Only add product to the 'Selected Product' list if it was not already selected
                                if (!selectedProducts.includes(d.data.name)) {
                                    selectedProducts.push(d.data.name); // Add selected product to list of selected products to be added to the product catalog
                                    console.log('selected Products in Update: ' + JSON.stringify(selectedProducts, null, 2));
                                    selectedProductsDisplay.append('ul').append('li').text(d.data.name);
                                }
                                // Toggle the slds-hide class of the modal depending on current value
                                // - shoppingCartModal is defined at the top of the initializeD3 function
                                shoppingCartModal.classed('slds-hide', shoppingCartModal.classed('slds-hide') ? false : true);
                            }
                      });
                }
&lt;/code&gt;&lt;/pre&gt;
</t>
  </si>
  <si>
    <t xml:space="preserve">&lt;p&gt;Hello. &lt;/p&gt;
&lt;p&gt;My question is if there's a form of changing default error message when leaving an empty field when its required or like the next example using pattern tag?&lt;/p&gt;
&lt;p&gt;Example: Here I have an lightning-input as u can see below with a "pattern" tag.&lt;/p&gt;
&lt;blockquote&gt;
  &lt;p&gt;I've tried adding title tag as I red in some blogs like title="error, try again..."&lt;/p&gt;
&lt;/blockquote&gt;
&lt;pre&gt;&lt;code&gt; &amp;lt;lightning-input label="Código Postal" id="cod-postalC" class="patterC" pattern="\d*" maxlength="5" 
  min-length="3" placeholder="Ejemplo: 53698"&amp;gt;&amp;lt;/lightning-input&amp;gt;
&lt;/code&gt;&lt;/pre&gt;
&lt;p&gt;Image:&lt;/p&gt;
&lt;p&gt;&lt;a href="https://i.stack.imgur.com/QTtc2.png" rel="nofollow noreferrer"&gt;&lt;img src="https://i.stack.imgur.com/QTtc2.png" alt="enter image description here"&gt;&lt;/a&gt;&lt;/p&gt;
&lt;p&gt;Thank you for ur time and answers. 
Regards&lt;/p&gt;
</t>
  </si>
  <si>
    <t xml:space="preserve">&lt;p&gt;I am trying to get case record Id using lightning button but my controller is not moving forward from this line -component.get("v.recordId") 
I don't know what is wrong.&lt;/p&gt;
&lt;p&gt;Please help:&lt;/p&gt;
&lt;p&gt;This my component&lt;/p&gt;
&lt;pre&gt;&lt;code&gt;&amp;lt;aura:component controller="EmailSendController" implements="flexipage:availableForRecordHome,force:hasRecordId,force:lightningQuickAction" access="global"&amp;gt;  
&amp;lt;lightning:button label="Send Notification" title="Send Notification" onclick="{!c.sendMail}"/&amp;gt;
&lt;/code&gt;&lt;/pre&gt;
&lt;p&gt;&lt;/p&gt;
&lt;p&gt;This is my controller&lt;/p&gt;
&lt;pre&gt;&lt;code&gt;({
sendMail: function(component, event, helper) {  
    console.log("Button Clicked--");
    var caseID = component.get("v.recordId"); 
    Console.log("CaseID--"+ component.get("v.recordId") );
    var action = component.get("c.sendMailMethod");
    action.setParams({
     "caseId" : caseID
    });
    action.setCallback(this, function(response) {
        var state = response.getState();
        Console.log("Response"+response.getState());
        if (state === "SUCCESS") {
            //var storeResponse = response.getReturnValue();
        }
    });
    $A.enqueueAction(action);
},
&lt;/code&gt;&lt;/pre&gt;
&lt;p&gt;})&lt;/p&gt;
</t>
  </si>
  <si>
    <t xml:space="preserve">&lt;p&gt;JavaScript is case-sensitive. 2nd &lt;code&gt;Console&lt;/code&gt; should be lowercase, I suspect it throws an error about undefined object.&lt;/p&gt;
&lt;p&gt;You can use your browsers JS console (in Chrome Ctrl+Shift+J) to inspect such errors. It also helps to go to Setup -&gt; Debug Mode and add your user in there. SF will get bit slower but you'll see more human-readable code and errors instead of optimised, minified mess.&lt;/p&gt;
&lt;p&gt;If it still throws errors - use console to check what error exactly and edit your question?&lt;/p&gt;
&lt;p&gt;P.S. change it in callback handler too&lt;/p&gt;
</t>
  </si>
  <si>
    <t xml:space="preserve">&lt;p&gt;I'm young about REGEX properties and inside my Canvas Apps Power Apps I achieve a Text string like this:&lt;/p&gt;
&lt;pre&gt;&lt;code&gt;{"value": 1, "label": "apple"},{"value": 2, "label": "pineapple"}, {"value": 3,"label": "peach"}, 
{"value": 4, "label": "{"value": 1, "label": "apple"}"},..., {"value": 1000, "label": "..some fruit 
string alphanumeric with every possible special character.."}
&lt;/code&gt;&lt;/pre&gt;
&lt;p&gt;I need to work by Regex in order to get the correct list of keys: &lt;strong&gt;value&lt;/strong&gt; and &lt;strong&gt;label&lt;/strong&gt;.
Power Apps docs provide some match functions: &lt;a href="https://docs.microsoft.com/en-us/powerapps/maker/canvas-apps/functions/function-ismatch" rel="nofollow noreferrer"&gt;IsMatch, Match, and MatchAll functions in Power Apps&lt;/a&gt;&lt;/p&gt;
&lt;p&gt;but I'm not able to get &lt;em&gt;"value"&lt;/em&gt; and &lt;em&gt;"label"&lt;/em&gt; keys in order to replace them without double quotes like: &lt;em&gt;value&lt;/em&gt;, &lt;em&gt;label&lt;/em&gt; obtaining this result:
    {&lt;strong&gt;value&lt;/strong&gt;: 1, &lt;strong&gt;label&lt;/strong&gt;: "apple"},{&lt;strong&gt;value&lt;/strong&gt;: 2, &lt;strong&gt;label&lt;/strong&gt;: "pineapple"}, {&lt;strong&gt;value&lt;/strong&gt;: 3, 
    &lt;strong&gt;label&lt;/strong&gt;: "peach"}, 
    {&lt;strong&gt;value&lt;/strong&gt;: 4, &lt;strong&gt;label&lt;/strong&gt;: "{"value": 1, "label": "apple"}"},..., {&lt;strong&gt;value&lt;/strong&gt;: 1000, &lt;strong&gt;label&lt;/strong&gt;: 
    "..some fruit 
    string alphanumeric with every possible special character.."}&lt;/p&gt;
&lt;p&gt;My remarks are:&lt;/p&gt;
&lt;ul&gt;
&lt;li&gt;the complete string could contains a different number of items grouped by braces: one item corresponds 
to { , }&lt;/li&gt;
&lt;li&gt;the value related of key &lt;em&gt;"value"&lt;/em&gt; contains always a number from 0 to 999999&lt;/li&gt;
&lt;li&gt;the value related of key &lt;em&gt;"label"&lt;/em&gt; is a string that can contain all possibile types of characters 
(special chars, word, numbers and spaces)&lt;/li&gt;
&lt;li&gt;take glance that a sting &lt;em&gt;"label"&lt;/em&gt; value could contain a same structure with the same values of the compete Text 
string itself, so for example the Regex mustn't find the &lt;em&gt;"label"&lt;/em&gt; or &lt;em&gt;"value"&lt;/em&gt; or any separator 
inside the string key label value:&lt;/li&gt;
&lt;/ul&gt;
&lt;p&gt;..4, "&lt;strong&gt;label&lt;/strong&gt;": "{"value": 1, "label": "apple"}"},    is OK for me because find the key (the first &lt;em&gt;"label"&lt;/em&gt;)&lt;/p&gt;
&lt;p&gt;..4, "&lt;strong&gt;label&lt;/strong&gt;": "{"&lt;strong&gt;value&lt;/strong&gt;": 1, "&lt;strong&gt;label&lt;/strong&gt;: "apple"}"},     is WRONG the bold match because retrieve also another 
                                                        &lt;em&gt;"label"&lt;/em&gt; and/or &lt;em&gt;"value"&lt;/em&gt; inside the string value of the key.&lt;/p&gt;
&lt;ul&gt;
&lt;li&gt;&lt;p&gt;If I can match and replace "label" and "value" without double quotes, I can immediately get a Power Apps table.&lt;/p&gt;
&lt;p&gt;Thanks in advance for any resolution or advice!&lt;/p&gt;&lt;/li&gt;
&lt;/ul&gt;
</t>
  </si>
  <si>
    <t xml:space="preserve">&lt;p&gt;My user story is below&lt;/p&gt;
&lt;p&gt;&lt;strong&gt;Acceptance criteria:-&lt;/strong&gt;&lt;/p&gt;
&lt;p&gt;a) ERT(Emergency response team) user create or update an Activity with Action of "Intermediate Letter Review" adding an attachment and save&lt;/p&gt;
&lt;p&gt;b)Go back to the Activity Task and the Attachment flag checkbox should be checked&lt;/p&gt;
&lt;p&gt;I need the ability to view and report on whether every Action/Activity has an attachment added. (most important for the "Intermediate Letter Review")&lt;/p&gt;
&lt;p&gt;** Here is the requirement:- **&lt;/p&gt;
&lt;p&gt;I WANT to see in the list view an indicator that there are attachments added to an activity task SO THAT I can be sure all supporting documents are added to Cases before end of day&lt;/p&gt;
&lt;p&gt;Assumptions:-&lt;/p&gt;
&lt;p&gt;The following were completed in phase 1&lt;/p&gt;
&lt;p&gt;1.Add Attachments checkbox field to Activity Task object (Attachment Indicator)
2.Add Attachments checkbox field to Case object (Task Attachment)
3.Add Case Attachments flag to the following ERT List Views
     --&gt; Legal Queue list view
     --&gt; Letter Reviewer Queue
4.Add column to Related Lists for Activities
     --&gt; Open Activities and Activities History on the Case in the Related tab from the Activity
     --&gt; View all list of Activities for Case selected from the Activity
5.Allow field to be reported on from the "Activity with Cases" report type&lt;/p&gt;
&lt;p&gt;&lt;strong&gt;System Task:&lt;/strong&gt;&lt;/p&gt;
&lt;p&gt;1) Automatically update "Attachment Indicator" checkbox on the Activity Task (Checked). Create process flow that updates (checks) the field in the Activity when an attachment file is added for any Action selected
2) Automatically update "Task Attachment" checkbox on Case (Checked). Create process flow that updates (checks) the field in the Case when an attachment file is added to an open Activity Task where Action is "Intermediate Letter Review" and Activity Task Attachments checkbox is checked&lt;/p&gt;
&lt;p&gt;&lt;strong&gt;Acceptance Criteria:-&lt;/strong&gt;&lt;/p&gt;
&lt;p&gt;Attachment flag set in the Activity Task record when added to the Activity task&lt;/p&gt;
&lt;p&gt;--&gt;As any ERT user create or update an Activity with Action of "Draft to Letter Review" adding an attachment and save
--&gt;The Activity Task and the Attachment flag checkbox should be checked automatically
  How do i make Attachment flag set in the Activity Task record when added to the Activity task? &lt;/p&gt;
&lt;p&gt;&lt;code&gt;Ok, so in a process builder i have to create a new criteria that checks if the Case owner has changed (which i have this part) but also that the owner is not a Queue that part i'm stuck on&lt;/code&gt;&lt;/p&gt;
</t>
  </si>
  <si>
    <t xml:space="preserve">&lt;p&gt;Ok, so in a process builder i have to create a new criteria that checks if the Case owner has changed (which i have this part) but also that the owner is not a Queue that part i'm stuck on&lt;/p&gt;
</t>
  </si>
  <si>
    <t xml:space="preserve">&lt;p&gt;You need to check that &lt;strong&gt;Owner Id&lt;/strong&gt; is updated and &lt;em&gt;Id&lt;/em&gt; in &lt;strong&gt;Owner Id (Queue)&lt;/strong&gt; is not same as &lt;strong&gt;Owner ID&lt;/strong&gt;:&lt;/p&gt;
&lt;p&gt;&lt;a href="https://i.stack.imgur.com/5cF9E.png" rel="nofollow noreferrer"&gt;&lt;img src="https://i.stack.imgur.com/5cF9E.png" alt="enter image description here"&gt;&lt;/a&gt;&lt;/p&gt;
</t>
  </si>
  <si>
    <t xml:space="preserve">&lt;p&gt;I have an embedded iFrame on my page that allows the user to talk to my agents in the SalesForce console.  The chat window consists of a div with a header bar and an iFrame to host the SalesForce chat element.  I am using the standard SalesForce JS library's &lt;code&gt;startChatWithWindow()&lt;/code&gt; method to bring up the chat.&lt;/p&gt;
&lt;p&gt;Before the actual chat starts, the user fills out a pre-chat form.  Is there anyway for me to listen to for when the user submits the form and the actual chat starts with the SalesFore JS library?  I have an exit icon on top of the embedded chat and would like to ask the user to confirm that they are looking to end the chat if an actual chat conversation has started.&lt;/p&gt;
</t>
  </si>
  <si>
    <t xml:space="preserve">&lt;p&gt;In a AURA Lightining component,i need to implement a POST with a FORM, and the target Endpoint is in HTTP and not in HTTPS.&lt;/p&gt;
&lt;p&gt;Here the code:
&lt;strike&gt;&lt;/p&gt;
&lt;p&gt;&lt;/strike&gt;
on submitForm:&lt;/p&gt;
&lt;p&gt;cmp.find("formFirma").getElement().submit();&lt;/p&gt;
&lt;p&gt;The problem is that when i click on button,the browser open the new tab always in https and doesn't find the external resource.
Even if POST should be always in HTTPS,is there a way to this HTTP?&lt;/p&gt;
&lt;p&gt;if a do a "GET" with :&lt;/p&gt;
&lt;p&gt;'''
 var urlEvent = $A.get("e.force:navigateToURL");
        urlEvent.setParams({
            "url": "&lt;a href="http://endpoint" rel="nofollow noreferrer"&gt;http://endpoint&lt;/a&gt;"
        });&lt;/p&gt;
&lt;pre&gt;&lt;code&gt;    urlEvent.fire();
&lt;/code&gt;&lt;/pre&gt;
&lt;p&gt;'''&lt;/p&gt;
&lt;p&gt;it works in HTTP.&lt;/p&gt;
&lt;p&gt;Thanks&lt;/p&gt;
</t>
  </si>
  <si>
    <t xml:space="preserve">&lt;p&gt;I have integrated TwilioSMSExtension in Zoho CRM and setup the programmable sms service in Twilio.&lt;/p&gt;
&lt;p&gt;When I send the new sms from zoho crm contact module that's working fine. But incoming messages not received in contact module. I have attached screenshots of zoho and Twilio issue and open the below 3 URLs.&lt;/p&gt;
&lt;p&gt;tinyurl.com/ybdwp59u&lt;/p&gt;
&lt;p&gt;tinyurl.com/y7gdrhyc&lt;/p&gt;
&lt;p&gt;tinyurl.com/y8eq755s&lt;/p&gt;
</t>
  </si>
  <si>
    <t xml:space="preserve">&lt;p&gt;I am trying to send a post request using flow in powersapps it is not working and it giving always the same  error :"Could not establish trust relationship for the SSL/TLS secure channel." . however when i test it in postmap it is working.
in server side i open the conection just on one port 
as in the foto &lt;a href="https://i.stack.imgur.com/wACnu.png" rel="nofollow noreferrer"&gt;&lt;img src="https://i.stack.imgur.com/wACnu.png" alt="enter image description here"&gt;&lt;/a&gt;&lt;/p&gt;
&lt;p&gt;if i make the request to http not https i get :400 The plain HTTP request was sent to HTTPS port
any solution or suggtions?
thanks in advance&lt;/p&gt;
</t>
  </si>
  <si>
    <t xml:space="preserve">&lt;p&gt;Using below code in a process builder  created a new criteria that checks if the Case owner has changed  also fixed error which i was getting when changing owner to queue&lt;/p&gt;
&lt;pre&gt;&lt;code&gt;AND(ISCHANGED([Case].OwnerId) ,NOT(BEGINS([Case].OwnerId, "00G")))
&lt;/code&gt;&lt;/pre&gt;
&lt;p&gt;Now  i have to figure out where to put a clear coach email action so if it is changed to a queue it's cleared out&lt;/p&gt;
</t>
  </si>
  <si>
    <t xml:space="preserve">&lt;p&gt;I have the following tables&lt;/p&gt;
&lt;p&gt;DE1&lt;/p&gt;
&lt;p&gt;ID  DE_Name  Product&lt;/p&gt;
&lt;hr&gt;
&lt;p&gt;1   Sample_1    PRD1&lt;/p&gt;
&lt;p&gt;1   Sample_2    PRD2&lt;/p&gt;
&lt;p&gt;1   Sample_4    PRD4&lt;/p&gt;
&lt;p&gt;2   Sample_3    PRD3 &lt;/p&gt;
&lt;p&gt;Basically column TableName contains actual Table Name that needs to be queried&lt;/p&gt;
&lt;p&gt;Sample_1 (DE Name)&lt;/p&gt;
&lt;p&gt;Dept_no    &lt;/p&gt;
&lt;hr&gt;
&lt;p&gt;123&lt;/p&gt;
&lt;p&gt;456&lt;/p&gt;
&lt;p&gt;789&lt;/p&gt;
&lt;p&gt;Sample_2 (DE Name)&lt;/p&gt;
&lt;p&gt;Dept_no&lt;/p&gt;
&lt;hr&gt;
&lt;p&gt;125&lt;/p&gt;
&lt;p&gt;457&lt;/p&gt;
&lt;p&gt;Sample_3 (DE Name)&lt;/p&gt;
&lt;p&gt;Dept_no&lt;/p&gt;
&lt;hr&gt;
&lt;p&gt;025&lt;/p&gt;
&lt;p&gt;0157&lt;/p&gt;
&lt;p&gt;0010&lt;/p&gt;
&lt;p&gt;12456&lt;/p&gt;
&lt;p&gt;Sample_4 (DE Name)&lt;/p&gt;
&lt;p&gt;Dept_no&lt;/p&gt;
&lt;hr&gt;
&lt;p&gt;12345&lt;/p&gt;
&lt;p&gt;457&lt;/p&gt;
&lt;p&gt;79000&lt;/p&gt;
&lt;p&gt;98345&lt;/p&gt;
&lt;p&gt;Desired Output (Into a New DE)&lt;/p&gt;
&lt;p&gt;Table 2&lt;/p&gt;
&lt;p&gt;ID  Dept_no     Product&lt;/p&gt;
&lt;hr&gt;
&lt;p&gt;1   123          PRD1&lt;/p&gt;
&lt;p&gt;1   456          PRD1&lt;/p&gt;
&lt;p&gt;1   789          PRD1&lt;/p&gt;
&lt;p&gt;1   125          PRD2&lt;/p&gt;
&lt;p&gt;1   457          PRD2&lt;/p&gt;
&lt;p&gt;1   12345        PRD4&lt;/p&gt;
&lt;p&gt;1   457          PRD4&lt;/p&gt;
&lt;p&gt;1   79000        PRD4&lt;/p&gt;
&lt;p&gt;1   98345        PRD4&lt;/p&gt;
&lt;p&gt;2   025          PRD3 &lt;/p&gt;
&lt;p&gt;2   0157         PRD3 &lt;/p&gt;
&lt;p&gt;2   0010         PRD3&lt;/p&gt;
&lt;p&gt;2   12456        PRD3&lt;/p&gt;
&lt;p&gt;Can you please let me know if we can achieve desired output DE set through SQL or do we need SSJS.&lt;/p&gt;
&lt;p&gt;I tried the scripting in JS and it worked fine except that salesforce has limiation to extract only 2500 rows per retrive from a DE&lt;/p&gt;
&lt;p&gt;I am thinking of using cursors but SFMC SQL doesnt seem to understand cursors. &lt;/p&gt;
&lt;p&gt;can anyone please provide any insights on how to get data into Table2 format?&lt;/p&gt;
</t>
  </si>
  <si>
    <t xml:space="preserve">&lt;p&gt;I have a combobox that is showing data from a SPT List. &lt;/p&gt;
&lt;p&gt;I'd like it to show the current values listed in the SPT list (the column is a lookup list) when you first navigate to it, and then you can adjust it from there (using the patch function).&lt;/p&gt;
&lt;p&gt;My issue is that the only way I can get this to work is if I set my formula to the first function, which means only the first, current value will appear:&lt;/p&gt;
&lt;pre&gt;&lt;code&gt;First(Gallery1.Selected.wp.Value)
&lt;/code&gt;&lt;/pre&gt;
&lt;p&gt;How would I work around this to show all of the values already selected?&lt;/p&gt;
</t>
  </si>
  <si>
    <t xml:space="preserve">&lt;p&gt;Comboboxes have 3 properties you should consider:&lt;/p&gt;
&lt;ul&gt;
&lt;li&gt;&lt;code&gt;Items&lt;/code&gt;&lt;/li&gt;
&lt;li&gt;&lt;code&gt;SelectMultiple&lt;/code&gt;&lt;/li&gt;
&lt;li&gt;&lt;code&gt;DefaultSelectedValues&lt;/code&gt;&lt;/li&gt;
&lt;/ul&gt;
&lt;p&gt;You typically don't want to point a control right to a DataSource, but rather create a Collection of the data and point the control to the Collection (or in this case, a column in the Collection). &lt;/p&gt;
&lt;p&gt;If the &lt;code&gt;Items&lt;/code&gt; property is set to a Collection, &lt;code&gt;SelectMultiple&lt;/code&gt; is set to &lt;code&gt;true&lt;/code&gt; and &lt;code&gt;DefaultSelectedValues&lt;/code&gt; is set to Collection.Column, you're good to go.&lt;/p&gt;
&lt;p&gt;See here:
&lt;a href="https://i.stack.imgur.com/Ky0Lg.gif" rel="nofollow noreferrer"&gt;&lt;img src="https://i.stack.imgur.com/Ky0Lg.gif" alt="enter image description here"&gt;&lt;/a&gt;&lt;/p&gt;
</t>
  </si>
  <si>
    <t xml:space="preserve">&lt;p&gt;What is the best way to show a loading indicator while retrieving data from Apex in a Lightning Web Component?&lt;/p&gt;
&lt;p&gt;I have this approach:&lt;/p&gt;
&lt;pre&gt;&lt;code&gt;import { LightningElement, api } from "lwc";
import shouldShowCard from "@salesforce/apex/ApexClass.shouldShowCard";
/**
 * Card component that is conditionally shown based on Apex.
 */
export default class ConditionalCard extends LightningElement {
    @api recordId;
    @api isDone = false;
    @api shouldShow = false;
    connectedCallback() {
        shouldShowCard({ id: this.recordId })
            .then(result =&amp;gt; {
                this.shouldShow = result;
            })
            .finally(() =&amp;gt; {
                this.isDone = true;
            });
    }
}
&lt;/code&gt;&lt;/pre&gt;
&lt;p&gt;And this HTML&lt;/p&gt;
&lt;pre&gt;&lt;code&gt;&amp;lt;template&amp;gt;
  &amp;lt;template if:false={isDone}&amp;gt;
    &amp;lt;div&amp;gt;Loading...&amp;lt;/div&amp;gt;
  &amp;lt;/template&amp;gt;
  &amp;lt;template if:true={shouldShow&amp;gt;
    &amp;lt;div&amp;gt;Card&amp;lt;/div&amp;gt;
  &amp;lt;/template&amp;gt;
&amp;lt;/template&amp;gt;
&lt;/code&gt;&lt;/pre&gt;
&lt;p&gt;Now, this works but I'm using the LWC ESLint rules, and when I do this, I get an error/warning "no-api-reassignment" because I'm assigning the api properties in my connectedCallback.
&lt;a href="https://github.com/salesforce/eslint-plugin-lwc/blob/master/docs/rules/no-api-reassignments.md" rel="nofollow noreferrer"&gt;https://github.com/salesforce/eslint-plugin-lwc/blob/master/docs/rules/no-api-reassignments.md&lt;/a&gt;&lt;/p&gt;
&lt;p&gt;Which seems reasonable, though it very similar to the pattern that the Salesforce Lightning Spinner shows.
&lt;a href="https://developer.salesforce.com/docs/component-library/bundle/lightning-spinner/documentation" rel="nofollow noreferrer"&gt;https://developer.salesforce.com/docs/component-library/bundle/lightning-spinner/documentation&lt;/a&gt;&lt;/p&gt;
&lt;p&gt;So I'm just looking for advice on the best way to handle this or if I should just disable the ESLint rule. Other things to consider are how to test this stuff, the reactivity with the API decorator has made things pretty easy on my end but I don't want to continue if I'm not using the best approach.&lt;/p&gt;
</t>
  </si>
  <si>
    <t xml:space="preserve">&lt;p&gt;I've a SharePoint Online form customized with PowerApps and MS Flows associated with the form.Though retry policy is set to "None"on all actions, flow automatically runs after 2 minutes. &lt;/p&gt;
&lt;p&gt;I've tried calling the other flow from my flow using http action. If there was any delay in response, it was re-triggering the flow after 2 minutes. I set a delay of 3 minutes but this didn't work.&lt;/p&gt;
&lt;p&gt;I tried to to achieve the same functionality in same flow but it goes longer and re-triggers the flow.&lt;/p&gt;
&lt;p&gt;Please help me with the issue.&lt;/p&gt;
&lt;p&gt;Thanks in advance:)&lt;/p&gt;
</t>
  </si>
  <si>
    <t xml:space="preserve">&lt;p&gt;I am not sure if this is the right place to ask this question but I had this observation where I need to click Save button twice on detail page while doing inline editing &lt;strong&gt;sometimes&lt;/strong&gt;. &lt;br /&gt;
&lt;strong&gt;Observation 1&lt;/strong&gt; &lt;br /&gt;
1. On editing a field and clicking save ones, that particular field highlights and gives option for undo. &lt;br /&gt;
2. Need to click save again to save it. &lt;br /&gt;&lt;/p&gt;
&lt;p&gt;&lt;strong&gt;Observation 2&lt;/strong&gt; &lt;br /&gt;
1. On editing a field and clicking save ones, that particular field highlights and gives option for undo and also saves immediately after without having to click the save again.&lt;/p&gt;
&lt;p&gt;&lt;br /&gt;
Need to know if this is a bug or browser specific and if there is some salesforce setting involved at org level. I couldn't find any such thread anywhere on the internet hence asking here.&lt;/p&gt;
</t>
  </si>
  <si>
    <t xml:space="preserve">&lt;p&gt;I want the zoho chatbot to appear after I login on the site. &lt;br&gt;
I have this code in my index.html &lt;/p&gt;
&lt;pre&gt;&lt;code&gt;&amp;lt;script type="text/javascript"&amp;gt;
    var $zoho=$zoho || {};$zoho.salesiq = $zoho.salesiq ||
    {widgetcode:"d4c6b39bfbf717b01de5e6c794342659bec9d4c47c1287ce05a846c37084d4aabbbd2477760b48dca461c2fc738ec49d", values:{},ready:function(){}};
    var d=document;s=d.createElement("script");s.type="text/javascript";s.id="zsiqscript";s.defer=true;
    s.src="https://salesiq.zoho.com/widget";t=d.getElementsByTagName("script")[0];t.parentNode.insertBefore(s,t);d.write("&amp;lt;div id=‘zsiqwidget’&amp;gt;&amp;lt;/div&amp;gt;");
&amp;lt;/script&amp;gt;
&lt;/code&gt;&lt;/pre&gt;
&lt;p&gt;But the chatbot icon appear even I'm not logged in.&lt;br&gt;&lt;/p&gt;
&lt;p&gt;So basically, I want it to appear after logging in.&lt;/p&gt;
</t>
  </si>
  <si>
    <t xml:space="preserve">&lt;p&gt;I am in the process of build automation for Salesforce, as a requirement I need to install "Salesforce CLI" and execute few commands.
I went through the &lt;a href="https://chocolatey.org/packages/sfdx-cli" rel="nofollow noreferrer"&gt;chocolaty commands&lt;/a&gt;, but it doesn't seems to be working, is there any other way around to fix this?&lt;/p&gt;
</t>
  </si>
  <si>
    <t xml:space="preserve">&lt;p&gt;Hello can you help me figure out the average days cases are open for? i want to prepare a report if it can give me a number for average days open.I think I probably need to create a formula field but i have not got a clue where to start.Can someone help?&lt;/p&gt;
</t>
  </si>
  <si>
    <t xml:space="preserve">&lt;p&gt;As per the code I don't want to delete 0th record and delete rest of the record. But it is deleting all the records!&lt;/p&gt;
&lt;p&gt;Kindly assist where I am making the mistake.&lt;/p&gt;
&lt;p&gt;Here is the code:&lt;/p&gt;
&lt;pre&gt;&lt;code&gt;list&amp;lt;account&amp;gt; scope = [Select Id,(Select id,CreatedDate,ebMobile__FileType__c,ebMobile__Account__c from Files__r order by CreatedDate DESC) from account where id in ('0016D00000444','0016D000000ugO')]; 
        Set&amp;lt;Id&amp;gt;OldIds = new Set&amp;lt;Id&amp;gt;();
        Set&amp;lt;Id&amp;gt;newIds = new Set&amp;lt;Id&amp;gt;();
        Set&amp;lt;Id&amp;gt; rIds = new Set&amp;lt;Id&amp;gt;();
        Set&amp;lt;Id&amp;gt; rrIds = new Set&amp;lt;Id&amp;gt;();
        list&amp;lt;File__c&amp;gt; listmemb = new list&amp;lt;File__c&amp;gt;();
        List&amp;lt;File__c&amp;gt; listmemb3 = new List&amp;lt;File__c&amp;gt;();
        List&amp;lt;File__c&amp;gt; listmemb4 = new List&amp;lt;File__c&amp;gt;();
        for(Account Acc : scope)
        {
            for(File__c fi : Acc.ebMobile__Files__r)
            {
                listmemb = [select id,CreatedDate,ebMobile__FileType__c from File__c where id =: fi.id];
                if(fi.ebMobile__Account__c != Null)
                {
                    for(Integer i=0; i&amp;lt;listmemb.size(); i++)
                    {
                        if(fi.ebMobile__FileType__c == 'Signature' &amp;amp;&amp;amp; i==0)
                        {
                            rIds.add(listmemb[0].id); // Exclude 0th record 
                        }
                        if(i&amp;gt;0 &amp;amp;&amp;amp; listmemb[i].ebMobile__FileType__c == 'Signature' || i &amp;gt; 0 &amp;amp;&amp;amp; listmemb[i].ebMobile__FileType__c != 'signature')
                        {
                            rrIds.add(listmemb[i].id); // Delete all record excluding 0th record
                        }
                        if(fi.ebMobile__FileType__c != 'Signature')
                        {
                            OldIds.add(fi.id);  
                        }
                    }
                }
            }
        }
        listmemb3 = [Select id,CreatedDate,ebMobile__FileType__c from File__c where id in : OldIds];
        listmemb4 = [Select id,CreatedDate,ebMobile__FileType__c from ebMobile__File__c where id in : rrIds];
        if(listmemb3.size() &amp;gt; 0 &amp;amp;&amp;amp; listmemb4.size()&amp;gt;0)
        {
            delete listmemb3;
            delete listmemb4;
        }
    }
&lt;/code&gt;&lt;/pre&gt;
</t>
  </si>
  <si>
    <t xml:space="preserve">&lt;p&gt;There are some many unnecessary checks and lists in the code&lt;/p&gt;
&lt;p&gt;Let us simplify the stuff:&lt;/p&gt;
&lt;pre&gt;&lt;code&gt;list scope = [Select Id,(Select id,CreatedDate,ebMobile__FileType__c,ebMobile__Account__c from Files__r order by CreatedDate DESC) from account where id in ('XXXXXXXXXXXXXXXX','XXXXXXXXXXXXXXXX')];//Always keep Ids encrypted while posting on public platform
SetOldIds = new Set();
SetnewIds = new Set();
Set rIds = new Set();
Set rrIds = new Set();
list listmemb = new list();
List listmemb3 = new List();
List listmemb4 = new List();
for(Account Acc : scope)
{
    Integer i= 0; //This will be used to exclue the first element
    for(File__c fi : Acc.ebMobile__Files__r)
    {
        //listmemb = [select id,CreatedDate,ebMobile__FileType__c from File__c where id =: fi.id];//You don't need this as you already have fi
        //if(fi.ebMobile__Account__c != Null)We are getting fi from Acc so it won't be having ebMobile__Account__c as null, assuming it as lookup
        //{
            //for(Integer i=0; i {This is syntactically wrong
                /* This whole section is not needed as rIds is not being used anywhere
                if(fi.ebMobile__FileType__c == 'Signature' &amp;amp;&amp;amp; i==0)
                {
                    rIds.add(listmemb[0].id); // Exclude 0th record
                }
                */
                //if(i&amp;gt;0 &amp;amp;&amp;amp; listmemb[i].ebMobile__FileType__c == 'Signature' || i &amp;gt; 0 &amp;amp;&amp;amp; listmemb[i].ebMobile__FileType__c != 'signature')
                if( i &amp;gt; 0 ) //Just put the check you need
                {
                    rrIds.add(listmemb[i].id); // Delete all record excluding 0th record
                }
                if(fi.ebMobile__FileType__c != 'Signature')
                {
                    OldIds.add(fi.id);
                }
                i++;
            //}
        //}
    }
}
listmemb3 = [Select id,CreatedDate,ebMobile__FileType__c from File__c where id in : OldIds];
listmemb4 = [Select id,CreatedDate,ebMobile__FileType__c from ebMobile__File__c where id in : rrIds];
if(listmemb3.size() &amp;gt; 0 &amp;amp;&amp;amp; listmemb4.size()&amp;gt;0)
{
    delete listmemb3;
    delete listmemb4;
}
}
&lt;/code&gt;&lt;/pre&gt;
&lt;p&gt;Hope this helps.&lt;/p&gt;
</t>
  </si>
  <si>
    <t xml:space="preserve">&lt;p&gt;I have a custom lwc component, with a new button. I am using &lt;strong&gt;NavigationMixin&lt;/strong&gt; to leverage the standard new record creation form on pressing the New button on the custom component. Is there a way where I can control the actions to be performed after I click save on the standard form.
Here is sample code used to navigate to the New record creation form. I want to control the actions to be performed after I click save.&lt;/p&gt;
&lt;pre&gt;&lt;code&gt;this[NavigationMixin.Navigate]({
        type: 'standard__objectPage',
        attributes: {
            objectApiName: this.items.relatedObjectApiName,
            actionName: "new"
        },
        state: {
            nooverride: '1',
            defaultFieldValues: this.items.relatedFieldApiName+"="+this.recordId,
            recordTypeId: recTypeId
        }
    });
&lt;/code&gt;&lt;/pre&gt;
</t>
  </si>
  <si>
    <t xml:space="preserve">&lt;p&gt;Hi I have a PowerApp connected to Sharepoint List. The sharepoint list has 2 to columns that are lookup values of peson/group. Please see screenshot of powerapp display screen below.&lt;/p&gt;
&lt;p&gt;&lt;img src="https://i.stack.imgur.com/Zuf6U.png" alt="screenshot of Display Screen"&gt;&lt;/p&gt;
&lt;p&gt;&lt;img src="https://i.stack.imgur.com/BO3TG.png" alt="screenshot of email template"&gt;&lt;/p&gt;
&lt;p&gt;As I noted on the screenshot, I want have a button to send email. When the button is clicked, the email-screen template by PowerApps (&lt;a href="https://docs.microsoft.com/en-us/powerapps/maker/canvas-apps/screen-templates/email-screen-overview#show-different-data-for-people" rel="nofollow noreferrer"&gt;Link&lt;/a&gt;) appears.&lt;/p&gt;
&lt;p&gt;How do I autopopulate the Sponsor and BackUp Sponsor fields to the Email-Template, while still allowing the user to add more people if necessary?&lt;/p&gt;
&lt;p&gt;I am not sure if this is needed but &lt;/p&gt;
&lt;p&gt;&lt;img src="https://i.stack.imgur.com/f0DCZ.png" alt="screenshot of fx"&gt;&lt;/p&gt;
</t>
  </si>
  <si>
    <t xml:space="preserve">&lt;p&gt;I am trying to create an app that allows the user to filter a sharepoint list based on a lookup column, and am having issues with the logic. I have a table that manages the master project information (descriptions, resources, etc). From this table, I have the 'wp' field connected into a second table that contains the rest of my data. This lookup field also brings over the corresponding 'div' field whenever it's selected.&lt;/p&gt;
&lt;p&gt;I have an app built on the second data table that is a simple form that edits the content of the records. Within the app, I am trying to create a filter so the user can use either 'wp' or 'div' to filter the rows to accelerate the process of finding the info they need. I cannot get the following formula to work:&lt;/p&gt;
&lt;p&gt;Table.Selected.wp.Value  or  Table.Selected.div.Value&lt;/p&gt;
&lt;p&gt;They are still showing up as a table format and i cant figure out why&lt;/p&gt;
&lt;p&gt;&lt;a href="https://i.stack.imgur.com/Csm91.png" rel="nofollow noreferrer"&gt;&lt;img src="https://i.stack.imgur.com/Csm91.png" alt=""&gt;&lt;/a&gt;&lt;/p&gt;
</t>
  </si>
  <si>
    <t xml:space="preserve">&lt;p&gt;I'm looking to create a list-field that a user can input a list of variables.&lt;/p&gt;
&lt;p&gt;The list will then be stored in a multi-line variable in SharePoint separated by a delimiter.&lt;/p&gt;
&lt;p&gt;An example would be an input of:&lt;/p&gt;
&lt;ul&gt;
&lt;li&gt;Apples&lt;/li&gt;
&lt;li&gt;Bananas&lt;/li&gt;
&lt;li&gt;Cherries&lt;/li&gt;
&lt;/ul&gt;
&lt;p&gt;Output: Apples;Bananas;Cherries.&lt;/p&gt;
&lt;p&gt;Thank you for your time.&lt;/p&gt;
</t>
  </si>
  <si>
    <t xml:space="preserve">&lt;p&gt;This is totally possible using a Collection and the Concat function in PowerApps. &lt;/p&gt;
&lt;ul&gt;
&lt;li&gt;&lt;strong&gt;Button:&lt;/strong&gt;
&lt;ul&gt;
&lt;li&gt;&lt;code&gt;OnSelect&lt;/code&gt; property set to &lt;/li&gt;
&lt;/ul&gt;&lt;/li&gt;
&lt;/ul&gt;
&lt;pre&gt;&lt;code&gt;Collect(colList, TextInput1.Text);
Set(varReset, true);
Set(varReset, false);
Set(varReset, true);
&lt;/code&gt;&lt;/pre&gt;
&lt;ul&gt;
&lt;li&gt;&lt;strong&gt;Textbox:&lt;/strong&gt;
&lt;ul&gt;
&lt;li&gt;&lt;code&gt;Reset&lt;/code&gt; property set to &lt;code&gt;varReset&lt;/code&gt;&lt;/li&gt;
&lt;/ul&gt;&lt;/li&gt;
&lt;li&gt;&lt;strong&gt;Label:&lt;/strong&gt;
&lt;ul&gt;
&lt;li&gt;&lt;code&gt;Text&lt;/code&gt; property set to &lt;code&gt;Concat(colList, Value, ";"&lt;/code&gt;&lt;/li&gt;
&lt;/ul&gt;&lt;/li&gt;
&lt;/ul&gt;
&lt;p&gt;From there, just &lt;code&gt;Patch&lt;/code&gt; or &lt;code&gt;SubmitForm&lt;/code&gt; the Label into a Sharepoint Column!&lt;/p&gt;
&lt;p&gt;&lt;a href="https://i.stack.imgur.com/OPLvw.gif" rel="nofollow noreferrer"&gt;&lt;img src="https://i.stack.imgur.com/OPLvw.gif" alt="enter image description here"&gt;&lt;/a&gt;&lt;/p&gt;
</t>
  </si>
  <si>
    <t xml:space="preserve">&lt;p&gt;I have created LWC for showing accounts and created one Lighting web component and one apex class shown below.
&lt;strong&gt;Html file&lt;/strong&gt;&lt;/p&gt;
&lt;pre&gt;&lt;code&gt;   &amp;lt;template&amp;gt;
    &amp;lt;lightning-card title="Showing Account(tile)"&amp;gt;
        &amp;lt;template if:true={successResponse}&amp;gt;
            &amp;lt;template for:each={accounts} for:item="account"&amp;gt;
                &amp;lt;li key={account.id}&amp;gt;
                    &amp;lt;div class="slds-p-around_medium lgc-bg"&amp;gt;
                        &amp;lt;lightning-tile label={account.Name} href="/path/to/somewhere"&amp;gt;
                            &amp;lt;p class="slds-truncate" title={account.Phone}&amp;gt;Account's Phone Number is : 
{account.Phone}
                            &amp;lt;/p&amp;gt;
                        &amp;lt;/lightning-tile&amp;gt;
                    &amp;lt;/div&amp;gt;
                &amp;lt;/li&amp;gt;
            &amp;lt;/template&amp;gt;
        &amp;lt;/template&amp;gt;
    &amp;lt;/lightning-card&amp;gt;
&amp;lt;/template&amp;gt;
&lt;/code&gt;&lt;/pre&gt;
&lt;p&gt;&lt;strong&gt;Js.file&lt;/strong&gt;&lt;/p&gt;
&lt;pre&gt;&lt;code&gt;import { LightningElement, wire, track } from "lwc";
import allAccount from "@salesforce/apex/AcountManager.getAccount"
export default class AccountManagerApex extends LightningElement {
  @wire(allAccount)
  accountRecrd;
  successResponse (){
    if(this.accountRecrd){
      return true;
    }
    return false;
  }
}
&lt;/code&gt;&lt;/pre&gt;
&lt;p&gt;&lt;strong&gt;and Class is:&lt;/strong&gt;&lt;/p&gt;
&lt;p&gt;public with sharing class AcountManager {&lt;/p&gt;
&lt;pre&gt;&lt;code&gt;    @AuraEnabled( cacheable = true) 
    public static List&amp;lt;Account&amp;gt; getAccount(){
        return [SELECT Id,Name,Phone,Website FROM Account Limit 10];
    }
}
&lt;/code&gt;&lt;/pre&gt;
&lt;p&gt;When I try to deploy to my org using VSCode I'm getting the below error.&lt;/p&gt;
&lt;p&gt;&lt;strong&gt;&lt;em&gt;Error&lt;/em&gt;&lt;/strong&gt;&lt;/p&gt;
&lt;p&gt;&lt;strong&gt;force-app\main\default\lwc\accountManagerApex\accountManagerApex.js  No MODULE named markup://lgc:bg found : [markup://c:accountManagerApex]&lt;/strong&gt;&lt;/p&gt;
&lt;p&gt;Can anyone tell me how to fix this issue/&lt;/p&gt;
&lt;p&gt;Thanks in advance,&lt;/p&gt;
</t>
  </si>
  <si>
    <t xml:space="preserve">&lt;p&gt;Try setting &lt;code&gt;&amp;lt;isExposed&amp;gt;true&amp;lt;/isExposed&amp;gt;&lt;/code&gt; inside meta.xml file of the component&lt;/p&gt;
</t>
  </si>
  <si>
    <t xml:space="preserve">&lt;p&gt;I am trying to add array of string +value to other string variable along with new line('\n') in msflow.But that is not working. can any one please assist on this. &lt;/p&gt;
&lt;p&gt;Here are the details:&lt;/p&gt;
&lt;ol&gt;
&lt;li&gt;Test-string-&gt; string with some value(A)&lt;/li&gt;
&lt;li&gt;Test-Array-&gt;Array of values["B","C"]&lt;/li&gt;
&lt;/ol&gt;
&lt;p&gt;3.Test-Append-&gt;expecting result&lt;/p&gt;
&lt;p&gt;AB&lt;/p&gt;
&lt;p&gt;AC&lt;/p&gt;
&lt;p&gt;current result&lt;/p&gt;
&lt;p&gt;ABAC&lt;/p&gt;
</t>
  </si>
  <si>
    <t xml:space="preserve">&lt;p&gt;Your question is tagged 'powerapps', but in the description you mention 'msflow' (Power Automate). Depending on which product you are talking about, you would approach it differently.&lt;/p&gt;
&lt;p&gt;In Power Apps, you can use the function &lt;a href="https://docs.microsoft.com/powerapps/maker/canvas-apps/functions/function-char" rel="nofollow noreferrer"&gt;Char(10)&lt;/a&gt; to add a new line to a string. So if you have a string variable and a collection with values, you can use something like the expression below:&lt;/p&gt;
&lt;pre&gt;&lt;code&gt;Set(testString, "A");
Collect(testArray, "B", "C");
Set(result, Concat(testArray, testString &amp;amp; Value &amp;amp; Char(10)))
&lt;/code&gt;&lt;/pre&gt;
&lt;p&gt;In Power Automate, it's not as simple, but I've found one alternative at &lt;a href="https://powerusers.microsoft.com/t5/Building-Flows/How-can-you-enter-a-Newline-into-a-string/td-p/102447" rel="nofollow noreferrer"&gt;this community post&lt;/a&gt; where you can use the expression below to have a new line character:&lt;/p&gt;
&lt;pre&gt;&lt;code&gt;json('{"NL":"\n"}')?['NL']
&lt;/code&gt;&lt;/pre&gt;
&lt;p&gt;So if you have your variables initialized as below:&lt;/p&gt;
&lt;p&gt;&lt;a href="https://i.stack.imgur.com/SSJi7.png" rel="nofollow noreferrer"&gt;&lt;img src="https://i.stack.imgur.com/SSJi7.png" alt="Power Automate - variable initialization"&gt;&lt;/a&gt;&lt;/p&gt;
&lt;p&gt;You can append the new line inside an Apply to each block:&lt;/p&gt;
&lt;p&gt;&lt;a href="https://i.stack.imgur.com/YAC9M.png" rel="nofollow noreferrer"&gt;&lt;img src="https://i.stack.imgur.com/YAC9M.png" alt="Appending new line to each item in the array"&gt;&lt;/a&gt;&lt;/p&gt;
&lt;p&gt;Hope this helps!&lt;/p&gt;
</t>
  </si>
  <si>
    <t xml:space="preserve">&lt;p&gt;I have the following requirement to achieve with powershell
1. Create a new powerapps environment with database
2. Create a new security group and associate it to the above environment&lt;/p&gt;
&lt;p&gt;I am able to achieve the above functionality when the powerapps environment has no database with "&lt;strong&gt;Set-AdminPowerAppEnvironmentRoleAssignment&lt;/strong&gt;" powershell cmdlet. But with database i could not find any cmdlets.&lt;/p&gt;
&lt;p&gt;kindly help me&lt;/p&gt;
</t>
  </si>
  <si>
    <t xml:space="preserve">&lt;p&gt;I am using 2 functionalities in sequence:
1. GetMetadata
2. GetTableData
Using the metadata values the table is prepared and rendered. 
I want to display a spinner 'loading' until the entire fetch has been made from the server for table data. What is the best way to display this spinner? It should stop displaying the spinner once the data has been fetched and table is ready. I am using Jquery to display the table.&lt;/p&gt;
</t>
  </si>
  <si>
    <t xml:space="preserve">&lt;p&gt;I have an aura component that is displaying the full calendar timeline view and I'm trying to display a tooltip using popper and tooltip.js.
As you can see from the browser console image, the tooltip is being created when the mouse enters, but it is not being displayed.&lt;/p&gt;
&lt;p&gt;Scripts from component&lt;/p&gt;
&lt;pre&gt;&lt;code&gt;   &amp;lt;ltng:require scripts="{!join(',',
                       $Resource.FullCalendarCoreMainV4_3_1JS, 
                       $Resource.FullCalendarMomentMainV4_3_1JS,
                       $Resource.FullCalendarTimelineMainV4_3_1JS,
                       $Resource.FullCalendarResourceCommonMainV4_3_1JS,
                       $Resource.FullCalendarResourceTimelineMainV4_3_1JS,
                       $Resource.PopperMin, 
                       $Resource.TooltipMin
                       )}"
             styles="{!join(',',
                      $Resource.FullCalendarCoreMainV4_3_1CSS,
                      $Resource.FullCalendarTimelineMainV4_3_1CSS,
                      $Resource.FullCalendarResourceTimelineMainV4_3_1CSS)}"  
              afterScriptsLoaded="{!c.scriptsLoaded}"
              /&amp;gt;
&lt;/code&gt;&lt;/pre&gt;
&lt;p&gt;Scripts Loaded Method from Controller&lt;/p&gt;
&lt;pre&gt;&lt;code&gt;scriptsLoaded : function(component, event, helper) {
    console.log('Calendar scripts loaded'); 
    var calendarElement = document.getElementById('calendar');
    var calendar = new FullCalendar.Calendar(calendarElement,{
        plugins:['resourceTimeline'],
        editable: false,
        displayEventTime: false,
        firstDay: 1,
        aspectRatio: 1.25,
        header: {
            left: 'customPrev,customNext customToday ',
            center: 'title',
            right: 'custom5Days custom10Days customOneMonth'
        },
        timeZone: 'UTC', 
        customButtons: {
            customPrev: {
                text: '&amp;lt;',
                click: $A.getCallback(function() {
                    calendar.prev();
                    helper.fetchCalendarEvents(component, calendar);
                })
            },
            customNext: {
                text: '&amp;gt;',
                click: $A.getCallback(function() {
                    calendar.next();
                    helper.fetchCalendarEvents(component, calendar);                    })
            },
            customToday: {
                text: 'today',
                click: $A.getCallback(function() {
                    calendar.today();
                    helper.fetchCalendarEvents(component, calendar);
                })
            },
            custom5Days: {
                text: '5 Days',
                click: $A.getCallback(function() {
                    calendar.changeView('timelineFiveDays');
                    helper.fetchCalendarEvents(component, calendar);
                })
            },
            custom10Days: {
                text: '10 Days',
                click: $A.getCallback(function() {
                    calendar.changeView('timelineTenDays');
                    helper.fetchCalendarEvents(component, calendar);
                })
            },
            customOneMonth: {
                text: 'Month',
                click: $A.getCallback(function() {
                    calendar.changeView('timelineOneMonth');
                    helper.fetchCalendarEvents(component, calendar);
                })
            }
        },
        defaultView: 'timelineFiveDays',
        views: {             
            timelineFiveDays:{
                type: 'resourceTimeline',
                duration: { weeks: 1 },
                slotDuration: {days: 1},
                weekends: false,
                buttonText: '5 Days'
            },
            timelineTenDays:{
                type: 'resourceTimeline',
                duration: { weeks: 2 },
                slotDuration: {days: 1},
                weekends: false,
                buttonText: '10 Days'
            },
            timelineOneMonth:{
                type: 'resourceTimeline',
                duration: {months:1},
                slotDuration: {days: 1},
                weekends: false,
                buttonText: 'Month'
            }
        },
        slotLabelFormat: [
            {day: 'numeric', weekday: 'short'}
        ],
        resourceLabelText:'Technicians',
        resourceAreaWidth:'20%',
        resources:[],
        events: [],
        eventMouseEnter: function(info){
            console.log('Mouse entered');
            var tooltip = new Tooltip(info.el, {
                title: info.event.title,
                placement: 'top',
                trigger: 'hover',
                container: 'body'
            });
            console.log('Tool tip = ', tooltip);
            tooltip.show();
        },
        eventReceive: $A.getCallback(function(info) {
            var calendarDateOnly = new Date(info.event.start);
            calendarDateOnly.setHours(0,0,0,0);
            var eventTag = info.draggedEl.dataset.tag;
            console.log('event dropped', info);   
            console.log('event resources', info.event.getResources());
            console.log('event tag', eventTag);
            if (eventTag == 'PSWork')
            {
                var eventDateStarts = info.draggedEl.dataset.starts;
                var eventDateOnly = new Date(eventDateStarts);
                eventDateOnly.setHours(0,0,0,0);
                if (calendarDateOnly.getTime() !== eventDateOnly.getTime()) {
                    alert('The project must be scheduled for ' + eventDateStarts);
                    info.event.remove();
                    return;
                }
            }  
            alert('You are about to schedule event ' + info.event.title + ' for the ' + info.event.start);
            helper.scheduleCalendarEvent(component, calendar, info.event, eventTag);
            if(eventTag !== 'Placeholder')
            {
               info.draggedEl.parentNode.removeChild(info.draggedEl);  
            } 
        })
    });
    calendar.render();
    component.set('v._Calendar', calendar);
    helper.fetchCalendarEvents(component, calendar);
},
&lt;/code&gt;&lt;/pre&gt;
&lt;p&gt;CSS from Style&lt;/p&gt;
&lt;p&gt;&lt;div class="snippet" data-lang="js" data-hide="false" data-console="true" data-babel="false"&gt;
&lt;div class="snippet-code"&gt;
&lt;pre class="snippet-code-css lang-css prettyprint-override"&gt;&lt;code&gt;.THIS .popper .tooltip {
  position: absolute;
  z-index: 9999;
  background: #FFC107;
  color: black;
  width: 150px;
  border-radius: 3px;
  box-shadow: 0 0 2px rgba(0,0,0,0.5);
  padding: 10px;
  text-align: center;
}
.THIS .style5 .tooltip {
  background: #1E252B;
  color: #FFFFFF;
  max-width: 200px;
  width: auto;
  font-size: .8rem;
  padding: .5em 1em;
}
.THIS .popper .popper__arrow .tooltip .tooltip-arrow {
  width: 0;
  height: 0;
  border-style: solid;
  position: absolute;
  margin: 5px;
}
.THIS .tooltip .tooltip-arrow .popper .popper__arrow {
  border-color: #FFC107;
}
.THIS .style5 .tooltip .tooltip-arrow {
  border-color: #1E252B;
}
.THIS .popper[x-placement^="top"] .tooltip[x-placement^="top"] {
  margin-bottom: 5px;
}
.THIS .popper[x-placement^="top"] .popper__arrow .tooltip[x-placement^="top"] .tooltip-arrow {
  border-width: 5px 5px 0 5px;
  border-left-color: transparent;
  border-right-color: transparent;
  border-bottom-color: transparent;
  bottom: -5px;
  left: calc(50% - 5px);
  margin-top: 0;
  margin-bottom: 0;
}
.THIS .popper[x-placement^="bottom"] .tooltip[x-placement^="bottom"] {
  margin-top: 5px;
}
.THIS .tooltip[x-placement^="bottom"] .tooltip-arrow .popper[x-placement^="bottom"] .popper__arrow {
  border-width: 0 5px 5px 5px;
  border-left-color: transparent;
  border-right-color: transparent;
  border-top-color: transparent;
  top: -5px;
  left: calc(50% - 5px);
  margin-top: 0;
  margin-bottom: 0;
}
.THIS .tooltip[x-placement^="right"] .popper[x-placement^="right"] {
  margin-left: 5px;
}
.THIS .popper[x-placement^="right"] .popper__arrow .tooltip[x-placement^="right"] .tooltip-arrow {
  border-width: 5px 5px 5px 0;
  border-left-color: transparent;
  border-top-color: transparent;
  border-bottom-color: transparent;
  left: -5px;
  top: calc(50% - 5px);
  margin-left: 0;
  margin-right: 0;
}
.THIS .popper[x-placement^="left"] .tooltip[x-placement^="left"] {
  margin-right: 5px;
}
.THIS .popper[x-placement^="left"] .popper__arrow .tooltip[x-placement^="left"] .tooltip-arrow {
  border-width: 5px 0 5px 5px;
  border-top-color: transparent;
  border-right-color: transparent;
  border-bottom-color: transparent;
  right: -5px;
  top: calc(50% - 5px);
  margin-left: 0;
  margin-right: 0;
}&lt;/code&gt;&lt;/pre&gt;
&lt;/div&gt;
&lt;/div&gt;
&lt;/p&gt;
&lt;p&gt;&lt;a href="https://i.stack.imgur.com/GzfsJ.png" rel="nofollow noreferrer"&gt;&lt;img src="https://i.stack.imgur.com/GzfsJ.png" alt="Browser Console"&gt;&lt;/a&gt;&lt;/p&gt;
&lt;p&gt;Any help would be much appreciated&lt;/p&gt;
</t>
  </si>
  <si>
    <t xml:space="preserve">&lt;p&gt;I've seen a lot of other posts like this, so I guess this is a common problem, but, I'm unable to fix it!&lt;/p&gt;
&lt;p&gt;All I want is a multi-screen app that collects data from a bunch of fields and fills in an Excel table, nothing more than a basic form.&lt;/p&gt;
&lt;p&gt;This is what I have:&lt;/p&gt;
&lt;p&gt;&lt;a href="https://i.stack.imgur.com/qdm8J.jpg" rel="nofollow noreferrer"&gt;&lt;img src="https://i.stack.imgur.com/qdm8J.jpg" alt="enter image description here"&gt;&lt;/a&gt;&lt;/p&gt;
&lt;p&gt;The error I get when clicking the button is:&lt;/p&gt;
&lt;blockquote&gt;
  &lt;p&gt;"The requested operation is invalid. Server Response: A value must be
  provided for item. clientRequestID: ..."&lt;/p&gt;
&lt;/blockquote&gt;
&lt;p&gt;But what is wrong with this button?&lt;/p&gt;
&lt;p&gt;Thanks for helping!&lt;/p&gt;
</t>
  </si>
  <si>
    <t xml:space="preserve">&lt;p&gt;As a system administrator, I want to fetch all the files from my organization uploaded by different users.
To achieve my goal I use the request to &lt;code&gt;GET /services/data/v48.0/query/?q=SELECT+Id+FROM+ContentDocument+USING+SCOPE+Everything&lt;/code&gt;. 
But here is the following problem: when the user deletes his file, I want to upload that file back using a system admin token, but with the possibility to change its owner (back to that user who deletes that file). 
Can anyone help me to solve such a problem?&lt;/p&gt;
</t>
  </si>
  <si>
    <t xml:space="preserve">&lt;p&gt;It's bit counter-intuitive but to upload a File you need to upload &lt;code&gt;ContentVersion&lt;/code&gt; record. If the parent lookup (&lt;code&gt;ContentDocumentId&lt;/code&gt;) field will be blank - it'll silently create the parent &lt;code&gt;ContentDocument&lt;/code&gt; for you.&lt;/p&gt;
&lt;p&gt;Examples of upload can be found here: &lt;a href="https://developer.salesforce.com/docs/atlas.en-us.api_rest.meta/api_rest/dome_sobject_insert_update_blob.htm" rel="nofollow noreferrer"&gt;https://developer.salesforce.com/docs/atlas.en-us.api_rest.meta/api_rest/dome_sobject_insert_update_blob.htm&lt;/a&gt; &lt;/p&gt;
&lt;p&gt;(I've already answered that for you, didn't I? :))&lt;/p&gt;
&lt;p&gt;So the only difference would be that you want to set &lt;code&gt;OwnerId&lt;/code&gt;, possibly also &lt;code&gt;CreatedById&lt;/code&gt; as that user. You can set Owner always as long as the owner is an active user. "Created By", "Last Modified By" are audit fields, normally not editable. If the owner is inactive or you really want to set "Created By" - you can. But you have only 1 shot at this, audit fields can be set only on insert. After that every update is managed by SF. Check &lt;a href="https://help.salesforce.com/articleView?id=000334139&amp;amp;language=en_US&amp;amp;type=1&amp;amp;mode=1" rel="nofollow noreferrer"&gt;Help&lt;/a&gt; if you need more info on this.&lt;/p&gt;
&lt;hr&gt;
&lt;p&gt;Now... this isn't always needed. OK, you will recreate the file but all links to it (from other records, from chatter posts, libraries) will be lost. It's in &lt;code&gt;ContentDOcumentLink&lt;/code&gt; and if you delete the document - they cascade delete. You might not have info or permissions to recreate all the links.&lt;/p&gt;
&lt;p&gt;Your first line of defense could be checking whether file can be restored from Recycle Bin. It can't be done in pure REST API but you could use SF SOAP API or write an Apex service that would try to do that for you. See &lt;a href="https://salesforce.stackexchange.com/questions/117370/how-can-a-record-be-undeleted-using-the-rest-api"&gt;https://salesforce.stackexchange.com/questions/117370/how-can-a-record-be-undeleted-using-the-rest-api&lt;/a&gt; for tips.&lt;/p&gt;
</t>
  </si>
  <si>
    <t xml:space="preserve">&lt;p&gt;I have implemented Google reCaptcha V2 in the salesforce lightning community. Everything works fine except the styling of the image selector. I am not able to position the image selector and also the images load on top of the submit button, Tried various css alterations, but was unable to fix it. Has anyone faced similar issue with captcha in lightning communities, please do let me know if there is a fix. Thanks in advance.&lt;/p&gt;
&lt;p&gt;&lt;a href="https://i.stack.imgur.com/Ahwow.png" rel="nofollow noreferrer"&gt;&lt;img src="https://i.stack.imgur.com/Ahwow.png" alt="enter image description here"&gt;&lt;/a&gt;&lt;/p&gt;
</t>
  </si>
  <si>
    <t xml:space="preserve">&lt;p&gt;I've a lightening component which will call a controller method on update action. Below is the code of the component, controller and helper:
Component code:&lt;/p&gt;
&lt;pre&gt;&lt;code&gt;    &amp;lt;force:recordData aura:id="forceRecord"
        recordId="{!v.recordId}" 
        layoutType="FULL"
        targetRecord="{!v._record}"
        targetFields="{!v.simpleRecord}"
        targetError="{!v._error}"
        mode="EDIT"
        recordUpdated="{!c.recordUpdated}" /&amp;gt;
&lt;/code&gt;&lt;/pre&gt;
&lt;p&gt;Controller code:&lt;/p&gt;
&lt;pre&gt;&lt;code&gt;({
    doInit : function(component, event, helper) {
        helper.checkStatus(component,event,helper);        
    },
    recordUpdated : function(component, event, helper) {
        var changeType = event.getParams().changeType;
        console.log('changeType IS: '+ changeType);
        // changeType = LOADED  -- when record is created.
        if (changeType === "ERROR") { /* handle error; do this first! */ }
        else if (changeType === "LOADED") {
        }
        else if (changeType === "REMOVED") { /* handle record removal */ }
        else if (changeType === "CHANGED") {
            var recordId = component.get("v.recordId");
            console.log('Updated record Id: '+ recordId);
            helper.callAnotherMethod(component, event, helper);  
         }
    }
})
&lt;/code&gt;&lt;/pre&gt;
&lt;p&gt;Assume that I'm accessing payment (Id in URL: a001l000005JP5mAAG) page in the browser and modified some field in it and saved it. recordUpdated method is called and it enters CHANGED if condition. &lt;/p&gt;
&lt;p&gt;I open some other payment (Id in URL: a001l000005HK5mBBK) in the same browser window and modify a field value in this payment and save it. At this moment recordUpdated method is called twice once for the old payment and once for the new payment.&lt;/p&gt;
&lt;p&gt;If I look at the browser console I see the log as below:&lt;/p&gt;
&lt;pre&gt;&lt;code&gt;changeType IS: CHANGED
Updated record Id: a001l000005JP5mAAG
changeType IS: CHANGED
Updated record Id: a001l000005HK5mBBK
&lt;/code&gt;&lt;/pre&gt;
&lt;p&gt;Not sure why it is calling twice and how to stop it? Can anybody explain me why it acting like that and how to stop it?&lt;/p&gt;
&lt;p&gt;Surprisingly if I open more payments in the same browser window and modify them it keeps adding recordUpdated event for the current payment updated and also calls update event of earlier payments with their Id.&lt;/p&gt;
</t>
  </si>
  <si>
    <t xml:space="preserve">&lt;p&gt;I am using Selenium to clear out the existing Shipping Address fields of a Salesforce Account object and to assign new values. I am coding in C# and running on Visual Studio 2019. 
Even though I have ImplicitWaits and even SeleniumExtras.WaitHelpers.ExpectedConditions calls 
(&lt;a href="https://stackoverflow.com/questions/49866334/c-sharp-selenium-expectedconditions-is-obsolete"&gt;C# Selenium &amp;#39;ExpectedConditions is obsolete&amp;#39;&lt;/a&gt;)
I am getting cases where the text area and/or the textboxes are not getting fully populated.
&lt;a href="https://i.stack.imgur.com/ZpWcs.jpg" rel="nofollow noreferrer"&gt;&lt;img src="https://i.stack.imgur.com/ZpWcs.jpg" alt="enter image description here"&gt;&lt;/a&gt;
&lt;a href="https://i.stack.imgur.com/FTTF0.jpg" rel="nofollow noreferrer"&gt;&lt;img src="https://i.stack.imgur.com/FTTF0.jpg" alt="enter image description here"&gt;&lt;/a&gt;&lt;/p&gt;
&lt;p&gt;My code is below. How can I fix this issue?&lt;/p&gt;
&lt;pre&gt;&lt;code&gt;private string shippingStreet = "56789 Liberty Street";     // 80 character limit
private string shippingCity = "Toronto";                    // 40 character limit
private string shippingState = "ON";                        // 80 character limit
private string shippingZip = "87654";                       // 20 character limit
private string shippingCountry = "Canada";                  // 80 character limit
WebDriverWait wait = new WebDriverWait(driver, TimeSpan.FromSeconds(50));
IWebElement shStreet = driver.FindElement(By.XPath(...));
shStreet.Clear();
driver.Manage().Timeouts().ImplicitWait = TimeSpan.FromSeconds(10);
shStreet.SendKeys(shippingStreet);
wait.Until(SeleniumExtras.WaitHelpers.ExpectedConditions.TextToBePresentInElementValue(shStreet, shippingStreet));
IWebElement shCity = driver.FindElement(By.XPath(...));
shCity.Clear();
driver.Manage().Timeouts().ImplicitWait = TimeSpan.FromSeconds(10);
shCity.SendKeys(shippingCity);
driver.Manage().Timeouts().ImplicitWait = TimeSpan.FromSeconds(10);
wait.Until(SeleniumExtras.WaitHelpers.ExpectedConditions.TextToBePresentInElementValue(shCity, shippingCity));
// similar code for state, zip and country       
&lt;/code&gt;&lt;/pre&gt;
</t>
  </si>
  <si>
    <t xml:space="preserve">&lt;p&gt;How can one retrieve images from Salesforce (SF) via its REST API that are embedded as links in RTF fields in custom objects?&lt;/p&gt;
</t>
  </si>
  <si>
    <t xml:space="preserve">&lt;p&gt;We aim to extract information from SF via its REST API in order to generate a report in Word format. To to so we need to run queries into the SF custom objects that contain the relevant information. Typically, we are looking to get this information from a collection of custom objects.&lt;/p&gt;
&lt;p&gt;One of the custom fields contains an RTF field which contain links to the relevant images. These images are displayed when the objects are viewed in the SF UI. 
There are several entries in both StackOverflow and Salesforce:StackExchange regarding this topic. Many of these entries discuss Apex methods. The ones that discuss retrieving the images via the REST API did not allow me to be successful.&lt;/p&gt;
&lt;p&gt;An entry in the SF REST API developer guide &lt;a href="https://developer.salesforce.com/docs/atlas.en-us.api_rest.meta/api_rest/resources_sobject_rich_text_image_retrieve.htm" rel="nofollow noreferrer"&gt;here&lt;/a&gt; instructs us how to achieve this: 
send a request to the REST API via a GET as follows:&lt;/p&gt;
&lt;pre&gt;&lt;code&gt; /vXX.X/sobjects/SObjectName/id/richTextImageFields/fieldName/contentReferenceId 
&lt;/code&gt;&lt;/pre&gt;
&lt;p&gt;The trick here is to determine what is the SObjectName, the id, the fieldName and the contentReferenceId.
We can get the names from the SF database schema we are working with. Fortunately, we can get the IDs from the embedded links in the RTF field.&lt;/p&gt;
&lt;p&gt;&lt;strong&gt;IDs&lt;/strong&gt;&lt;/p&gt;
&lt;p&gt;The embedded links in the RTF field take the following form:&lt;/p&gt;
&lt;pre&gt;&lt;code&gt;https://[someInternalSalesforceURL].force.com/servlet/rtaImage?eid=a0Y3l00000G31DT&amp;amp;feoid=00N1N00000F14uz&amp;amp;refid=0EM3l0000039EK0
&lt;/code&gt;&lt;/pre&gt;
&lt;p&gt;There are three IDs in this link:&lt;/p&gt;
&lt;ul&gt;
&lt;li&gt;eid: entity ID&lt;/li&gt;
&lt;li&gt;feoid: field entity ID&lt;/li&gt;
&lt;li&gt;refid: contentReference ID&lt;/li&gt;
&lt;/ul&gt;
&lt;p&gt;We need to use the eid and the refid to contruct the request to the SF REST API as follows:&lt;/p&gt;
&lt;ul&gt;
&lt;li&gt;id = eid&lt;/li&gt;
&lt;li&gt;contentReferenceId = contentReference ID&lt;/li&gt;
&lt;/ul&gt;
&lt;p&gt;In the example above:&lt;/p&gt;
&lt;pre&gt;&lt;code&gt;/vXX.X/sobjects/SObjectName/a0Y3l00000G31DT/richTextImageFields/fieldName/0EM3l0000039EK0
&lt;/code&gt;&lt;/pre&gt;
&lt;p&gt;&lt;strong&gt;Names&lt;/strong&gt;&lt;/p&gt;
&lt;p&gt;The next step is to review your database schema and work out the SObjectName and the fieldName. The SObjectName is the Name of the custom object that contains the RTF field. Say: myObject__c
The fieldName obviously is the name of the RTF field: say myRTFfield__c
The request to SF then works out to be:&lt;/p&gt;
&lt;pre&gt;&lt;code&gt;/vXX.X/sobjects/myObject__c/a0Y3l00000G31DT/richTextImageFields/myRTFfield__c/0EM3l0000039EK0
&lt;/code&gt;&lt;/pre&gt;
&lt;p&gt;&lt;strong&gt;Retrieving the image&lt;/strong&gt;&lt;/p&gt;
&lt;p&gt;Before sending this to SF you need to prefix it with your salesforce instance URL and you need to articulate the REST API version, e.g. v48.0&lt;/p&gt;
&lt;p&gt;Sending this as a GET to SF, I am an R user, returns an object that contains the image as data (in the R case: a matrix). This data object can be converted to an image and saved as a PNG file.&lt;/p&gt;
&lt;p&gt;&lt;strong&gt;Assumptions&lt;/strong&gt;&lt;/p&gt;
&lt;ul&gt;
&lt;li&gt;You are are authorised by the SF API and received an access token or SessionID and an instance_url.&lt;/li&gt;
&lt;li&gt;You have code that sends a query to SF which returns the object with the relevant RTF field.&lt;/li&gt;
&lt;li&gt;you have retrieved the embedded link(s) from the RTF field and peeled the eid and refid from the link.&lt;/li&gt;
&lt;/ul&gt;
&lt;p&gt;&lt;strong&gt;Sample R code&lt;/strong&gt;&lt;/p&gt;
&lt;p&gt;In R this looks something like this:&lt;/p&gt;
&lt;pre&gt;&lt;code&gt;library(httr)
library(png)
request_headers &amp;lt;- c("Accept" = "application/json", 
                     "Content-Type" = "application/json",
                     "Authorization" = paste0("Bearer ", access_token))
url &amp;lt;- "/services/data/v48.0/sobjects/myObject__c/a0Y3l00000G31DT/richTextImageFields/myRTFfield__c/0EM3l0000039EK0"
url &amp;lt;- paste0(instance_url, url) 
result &amp;lt;- GET(url, add_headers(request_headers))
img &amp;lt;- content(result, type = "image/png")
writePNG(img, "myImage.png")
&lt;/code&gt;&lt;/pre&gt;
</t>
  </si>
  <si>
    <t xml:space="preserve">&lt;p&gt;I am trying to fetch data from a view in SQL Server using PowerApps. However, the gallery is not showing more than 100 rows and my view has almost 100000 rows. I found out that the gallery uses lazy loading and so will load only a few items at a time. I need all these data in the gallery to write it to a csv file and store it in the Azure blob storage. &lt;/p&gt;
&lt;p&gt;Does anyone know how to fetch large amounts of data into my gallery and write to a file? Thanks in advance. &lt;/p&gt;
</t>
  </si>
  <si>
    <t xml:space="preserve">&lt;p&gt;I'm using LWC and City field is there.We have Global pick list there where all the city values are stored under City picklist.
How to use that in smart search.
Pick list set name : Picklist Value Sets
Under that we have city where all the city stored.&lt;/p&gt;
</t>
  </si>
  <si>
    <t xml:space="preserve">&lt;p&gt;I have created helloWorld LWC and exposed it to the community.&lt;/p&gt;
&lt;p&gt;helloWorld.html&lt;/p&gt;
&lt;pre&gt;&lt;code&gt;&amp;lt;button type="button" class="slds-button slds-button_brand" onclick={clickMeHandler}&amp;gt;Click Me&amp;lt;/button&amp;gt;
&lt;/code&gt;&lt;/pre&gt;
&lt;p&gt;helloWorld.js-meta.xml&lt;/p&gt;
&lt;pre&gt;&lt;code&gt;&amp;lt;?xml version="1.0" encoding="UTF-8"?&amp;gt;
&amp;lt;LightningComponentBundle xmlns="http://soap.sforce.com/2006/04/metadata"&amp;gt;
    &amp;lt;apiVersion&amp;gt;48.0&amp;lt;/apiVersion&amp;gt;
    &amp;lt;isExposed&amp;gt;true&amp;lt;/isExposed&amp;gt;
    &amp;lt;masterLabel&amp;gt;Hello World&amp;lt;/masterLabel&amp;gt;
    &amp;lt;targets&amp;gt;
        &amp;lt;target&amp;gt;lightningCommunity__Page&amp;lt;/target&amp;gt;
    &amp;lt;/targets&amp;gt;
&amp;lt;/LightningComponentBundle&amp;gt;
&lt;/code&gt;&lt;/pre&gt;
&lt;p&gt;I have included the LWC in the community by drag and drop. Now, I am changing the community Font Text Case value to Uppercase (Theme -&gt; Fonts -&gt; Text Case) from the community builder.&lt;/p&gt;
&lt;p&gt;&lt;a href="https://i.stack.imgur.com/asBKO.png" rel="nofollow noreferrer"&gt;&lt;img src="https://i.stack.imgur.com/asBKO.png" alt="enter image description here"&gt;&lt;/a&gt;&lt;/p&gt;
&lt;p&gt;But the LWC button text is not converted to the Uppercase. How can I apply the Community Font Text Case property to my LWC button? &lt;/p&gt;
&lt;p&gt;&lt;strong&gt;Note:&lt;/strong&gt;
The font test case property is applied to other community buttons (Ask Button, Contact Support Button).&lt;/p&gt;
</t>
  </si>
  <si>
    <t xml:space="preserve">&lt;p&gt;I am working off of a standard Live Agent setup and using the following methods to start an instance of a Live Agent chat on my webpage:&lt;/p&gt;
&lt;pre&gt;&lt;code&gt;liveagent.init(endPoint, orgId, deploymentId);
liveagent.showWhenOnline(buttonId, chatAllPageOnline);
liveagent.showWhenOffline(buttonId, chatAllPageOffline);
liveagent.startChatWithWindow(buttonId, 'salesforce-chat');
&lt;/code&gt;&lt;/pre&gt;
&lt;p&gt;Is there anyway to add a custom variable to my Live Agent configuration through the SalesForce dashboard and then make that variable available through a method or property of the &lt;code&gt;liveagent&lt;/code&gt; object?&lt;/p&gt;
&lt;p&gt;I am currently opening the chat automatically on my webpage after 10 seconds.  I would like this 10 second timeout value to be customizable from the Live Agent dashboard inside SalesForce.&lt;/p&gt;
</t>
  </si>
  <si>
    <t xml:space="preserve">&lt;p&gt;I am new to SalesForce and trying to setup my first call to Sandbox SalesForce.
I generated a Enterprise WSDL file and created the project in SOAPUI.&lt;/p&gt;
&lt;p&gt;The login request has URL set to &lt;a href="https://test.salesforce.com/services/Soap/c/48.0/0DFr0000XXXXXXX" rel="nofollow noreferrer"&gt;https://test.salesforce.com/services/Soap/c/48.0/0DFr0000XXXXXXX&lt;/a&gt;&lt;/p&gt;
&lt;pre&gt;&lt;code&gt;&amp;lt;soapenv:Envelope xmlns:soapenv="http://schemas.xmlsoap.org/soap/envelope/" xmlns:urn="urn:enterprise.soap.sforce.com"&amp;gt;
   &amp;lt;soapenv:Header&amp;gt;
   &amp;lt;/soapenv:Header&amp;gt;
   &amp;lt;soapenv:Body&amp;gt;
      &amp;lt;urn:login&amp;gt;
         &amp;lt;urn:username&amp;gt;XXXX@XXXXXXX&amp;lt;/urn:username&amp;gt;
         &amp;lt;urn:password&amp;gt;Password+Token&amp;lt;/urn:password&amp;gt;
      &amp;lt;/urn:login&amp;gt;
   &amp;lt;/soapenv:Body&amp;gt;
&amp;lt;/soapenv:Envelope&amp;gt;
&lt;/code&gt;&lt;/pre&gt;
&lt;p&gt;Getting java.net.SocketTimeoutException&lt;/p&gt;
&lt;p&gt;I am able to put this URL in browser and get a response&lt;/p&gt;
&lt;p&gt;&lt;a href="https://test.salesforce.com/services/Soap/c/48.0/0DFr0000XXXXXXX" rel="nofollow noreferrer"&gt;https://test.salesforce.com/services/Soap/c/48.0/0DFr0000XXXXXXX&lt;/a&gt;&lt;/p&gt;
&lt;p&gt;and get response &lt;/p&gt;
&lt;pre&gt;&lt;code&gt;Only POST allowed
&lt;/code&gt;&lt;/pre&gt;
&lt;p&gt;That means it might not be firewall issue??
Please help.&lt;/p&gt;
</t>
  </si>
  <si>
    <t xml:space="preserve">&lt;p&gt;I am trying to autofill an MS Sharepoint form with a userscript/jQuery.
The standard inputs and comboboxes are not an issue using the standard &lt;code&gt;$( selector ).val( value );&lt;/code&gt; or clicking an element in the generated list. The issue arises with selecting the user from a dynamic combobox that seems to be a more complex component and not a standard combobox.
This powerapps/appmagic? field dynamically fetches the user list based on a filter value entered into an input field. I have tried setting the input field using &lt;code&gt;.val( value )&lt;/code&gt; and &lt;code&gt;.attr( 'value', value )&lt;/code&gt; as well as manually filling the span fields displayed when the input is hidden. I have attempted manually triggering the change, keyup, keydown, keypress and input events on the input field and document, but the dynamic list is not populated or displayed to allow me to select an item from it. If I manually add or remove a letter to the filter after my pre-populated value, it works as expected so something behaves differently when I dynamically populate the input field.&lt;/p&gt;
&lt;p&gt;Under the DOM inspector, the reactive event seems to be document.input as disabling this stops the population of the combobox under any condition.&lt;/p&gt;
&lt;p&gt;Does anyone have experience with these fields and know how I can dynamically populate this input and have the list generate?&lt;/p&gt;
</t>
  </si>
  <si>
    <t xml:space="preserve">&lt;p&gt;Is there any way to fetch the profile picture of the sender, from an email received with Zoho?&lt;/p&gt;
&lt;p&gt;I can't find anything related on their Mail API documentation, isn't there any way to do this?
Or the only way is to scrape the site every time I want to fetch that image?&lt;/p&gt;
&lt;p&gt;Thanks!&lt;/p&gt;
</t>
  </si>
  <si>
    <t xml:space="preserve">&lt;p&gt;As per the &lt;a href="https://developer.salesforce.com/docs/atlas.en-us.lightning.meta/lightning/tokens_standard_communities.htm" rel="nofollow noreferrer"&gt;https://developer.salesforce.com/docs/atlas.en-us.lightning.meta/lightning/tokens_standard_communities.htm&lt;/a&gt;, I want to use community tokens in the Lightning Web Component (LWC).&lt;/p&gt;
&lt;p&gt;In the LWC CSS file, I have applied the textTransform token as,&lt;/p&gt;
&lt;pre&gt;&lt;code&gt;.cssClass{
    text-transform: var(--lwc-textTransform);
}
&lt;/code&gt;&lt;/pre&gt;
&lt;p&gt;While saving the LWC, an error is occurring &lt;strong&gt;No TOKEN named textTransform found&lt;/strong&gt;.
How can I use the textTransform token in the LWC?&lt;/p&gt;
</t>
  </si>
  <si>
    <t xml:space="preserve">&lt;p&gt;I have created a URL with Deeplinking, this URL will be sent when a ticket is ready for approval.
This URL is built as web link&amp;amp;ID=(var), the deep linking part works as desired, so I prefer to keep that.&lt;/p&gt;
&lt;p&gt;My only issue right now is that when I open the ticket in this link and I press "cancel" which navigates to my ticket overview, the &amp;amp;ID=(var) is still attached to the link. When I open another ticket with a different ID it will pick up the ticket with ID from my URL.&lt;/p&gt;
&lt;p&gt;Is there a way to reset/adjust the URL to only web link (without ID), when I press cancel?&lt;/p&gt;
&lt;p&gt;My Item property is:
If(!IsBlank(Param("ID")),LookUp('Top Request Form',ID=varID),TemplateGalleryList1.Selected)&lt;/p&gt;
&lt;p&gt;Thanks in advance!&lt;/p&gt;
&lt;p&gt;Ramon&lt;/p&gt;
</t>
  </si>
  <si>
    <t xml:space="preserve">&lt;p&gt;&lt;strong&gt;Email-to-case&lt;/strong&gt; is created from 3rd party where to, reply-to and from field values are already set in email header. I need to set the '&lt;strong&gt;Reply-to&lt;/strong&gt;' email address in 'To' field while replying to that email. Checkbox to '&lt;strong&gt;Save Email headers&lt;/strong&gt;' is already checked in Email settings. But I am not able to read the value of 'reply-to' email address and set it into 'To' field. System only set case &lt;strong&gt;Web Email&lt;/strong&gt; id in 'To' field and it does not change when changing the values in '&lt;strong&gt;To Address&lt;/strong&gt;' Email action field. Please guide me to set the correct 'reply-to' value in '&lt;strong&gt;To&lt;/strong&gt;' field.&lt;/p&gt;
</t>
  </si>
  <si>
    <t xml:space="preserve">&lt;p&gt;I am trying to retrieve Salesforce communities names 'XXX Community' from one org into VS Code and subsequently want to deploy it into another org.&lt;/p&gt;
&lt;p&gt;However, when I use the &lt;code&gt;sfdx force:source:retrieve -u DemoMaster -x ./package.xml&lt;/code&gt; command, for the below package.xml file, I get the following error:&lt;/p&gt;
&lt;blockquote&gt;
  &lt;p&gt;Entity of type 'CustomSite' named 'XXX_Community_Test' cannot be found&lt;br&gt;
  Entity of type 'SiteDotCom' named 'XXX_Community_Test1' cannot be found&lt;/p&gt;
&lt;/blockquote&gt;
&lt;p&gt;Only the network and network branding elements got retrieved.&lt;/p&gt;
&lt;p&gt;The package.xml file looks like this:&lt;/p&gt;
&lt;pre&gt;&lt;code&gt;&amp;lt;?xml version="1.0" encoding="UTF-8"?&amp;gt;
&amp;lt;Package xmlns="http://soap.sforce.com/2006/04/metadata"&amp;gt; 
    &amp;lt;types&amp;gt;
        &amp;lt;members&amp;gt;XXX Community&amp;lt;/members&amp;gt;
        &amp;lt;name&amp;gt;Network&amp;lt;/name&amp;gt;
     &amp;lt;/types&amp;gt;
     &amp;lt;types&amp;gt;
        &amp;lt;members&amp;gt;XXX_Community_Test&amp;lt;/members&amp;gt;
        &amp;lt;name&amp;gt;CustomSite&amp;lt;/name&amp;gt;
     &amp;lt;/types&amp;gt;
     &amp;lt;types&amp;gt;
        &amp;lt;members&amp;gt;XXX Community_Test1&amp;lt;/members&amp;gt;
        &amp;lt;name&amp;gt;SiteDotCom&amp;lt;/name&amp;gt;
     &amp;lt;/types&amp;gt;
     &amp;lt;types&amp;gt;
        &amp;lt;members&amp;gt;cbXXX_Community&amp;lt;/members&amp;gt;
        &amp;lt;name&amp;gt;NetworkBranding&amp;lt;/name&amp;gt;
    &amp;lt;/types&amp;gt; 
    &amp;lt;version&amp;gt;48.0&amp;lt;/version&amp;gt;
&amp;lt;/Package&amp;gt;
&lt;/code&gt;&lt;/pre&gt;
&lt;p&gt;Any help appreciated!
D&lt;/p&gt;
</t>
  </si>
  <si>
    <t xml:space="preserve">&lt;p&gt;I am trying to filter entries in a Gallery in PowerApps using a toggle filter to show In Process Batches based on an entry into a column. The entry is not displayed on the initial gallery screen. Ideally, when the toggle is switched to All, it will include both in-process and complete batches. The column is a multiple choice field, and those are the only two options. I am new to PowerApps. &lt;a href="https://i.stack.imgur.com/nERoL.jpg" rel="nofollow noreferrer"&gt;enter image description here&lt;/a&gt;&lt;/p&gt;
&lt;p&gt;The Current formula for the gallery is as follows:SortByColumns(Filter([@'Shift Update 2.0'],StartsWith(Title, TextSearchBox1.Text)), "Title", If(SortDescending1, Descending, Ascending)), I am not sure how to link this statement to the toggle, or how to link the toggle to the column. &lt;/p&gt;
</t>
  </si>
  <si>
    <t xml:space="preserve">&lt;p&gt;I am working on the salesforce platform and there is no payoneer integration in salesforce. So my company decides to use payoneer API to send and receive payments. So I am doing a lot of searching on payoneer API and couldn't find anything helpful except payoneer sandbox and payoneer Escrow.
Now the issue is the login of payoneer sandbox is provided by payoneer company and I emailed them and for Escrow service can't find anything on payoneer platform. &lt;/p&gt;
&lt;p&gt;Please anyone know anything about payoneer API please help me. I would appreciate your answer.   &lt;/p&gt;
</t>
  </si>
  <si>
    <t xml:space="preserve">&lt;p&gt;So I am facing this problem here,in short it goes like I have two  templates which are conditionally displayed on click of Next and Previous&lt;/p&gt;
&lt;p&gt;so it is essentially lightning combo-box component with three values which forms the first screen.
Now on clicking the Next button opens up a template which shows certain questions based on the selected option from the previous template lightning combo-box options.
example if the option is selected as "30 day Template" in the first modal box in the second template it will show as shown in the screenshot here,subsequent changes will appear for other options.Please not the Previous button also in this modal box where in clicking it will take us back to the previous page and we can toggle between the two.&lt;/p&gt;
&lt;p&gt;Now the problem which is occurring is
Whenever I am trying to select any other value from the lightning combo-box after the first time selection
the second template is populating not only populating the equivalent mapped questions for the one selected in the drop-down,but also the ones which were previously selected.It is appending all the fields mapped for the selected drop-down list which are currently selected as well as previously selected.
&lt;strong&gt;For example&lt;/strong&gt;: if in the first modal box I had selected "30 day Template" which is mapped to lets say to 3 fields namely &lt;strong&gt;A,B and C&lt;/strong&gt; which is displayed in the second modal box once I have click on the &lt;strong&gt;Next&lt;/strong&gt; button.Now I decide to go back clicking previous and select a different option lets say 10 day template which is mapped to lets say 4 fields &lt;strong&gt;D,F,G and H&lt;/strong&gt; and click on the next button,in the second modal box now it is displaying the fields mapped for the previously selected option i,e. A,B,C as well as the one currently selected D,F,G and H. &lt;/p&gt;
&lt;pre&gt;&lt;code&gt;    handleChange(event) {
    let mySet = new Set();
    console.log('in here in selection');
     const selectedTemplateNameDummy = event.detail.value;
    console.log('selectedOptiondsds=' +selectedTemplateNameDummy);
    getTemplateLineItems({
        selectedTemplateName : selectedTemplateNameDummy
    })
    .then(result =&amp;gt; {
        console.log('entered then');
        let data = JSON.parse(JSON.stringify(result));
        console.log('letdata'+data);
        console.log('letdataStringify'+JSON.stringify(result));
        for(var key in data){
            this.mapData.push({value:data[key], key:key}); 
            console.log('value is'+data[key]);
             console.log('key is'+key);
        }
    })
    .catch(error =&amp;gt; {
        this.error = error;
    });
&lt;/code&gt;&lt;/pre&gt;
&lt;p&gt;}&lt;/p&gt;
&lt;p&gt;The next and Previous functions are only for the toggling of the templates
Please help in this regard and it is urgent.Do let me know if any question comes up.&lt;/p&gt;
</t>
  </si>
  <si>
    <t xml:space="preserve">&lt;p&gt;I've been working on some SQL code to measure efficiency in real-time for some production data. Here's a quick background:&lt;/p&gt;
&lt;p&gt;Operators will enter in data for specific sub assemblies. This data looks something like this: &lt;/p&gt;
&lt;pre&gt;&lt;code&gt;ID                      PO      W/S     Status      Operator            TotalTime   Date 
60129515_2000_6_S025    107294  S025    Completed   A                   38          05/08/2020
60129515_2000_7_S025    107294  S025    Completed   A                   46          05/08/2020
60129515_2000_8_S025    107294  S025    Completed   A                   55          05/08/2020
60129515_2025_6_S020    107295  S020    Completed   B                   58          05/08/2020
60129515_2025_7_S020    107295  S020    Completed   B                   47          05/08/2020
60129515_2025_8_S020    107295  S020    Completed   B                   45          05/08/2020
60129515_2000_1_S090    107294  S090    Completed   C                   33          05/08/2020
60129515_2000_2_S090    107294  S090    Completed   C                   34          05/08/2020
60129515_2000_3_S090    107294  S090    Completed   C                   21          05/08/2020
&lt;/code&gt;&lt;/pre&gt;
&lt;p&gt;The relevant columns are the &lt;code&gt;Operator&lt;/code&gt;, &lt;code&gt;TotalTime&lt;/code&gt; and &lt;code&gt;Date&lt;/code&gt; (note that the date is stored as &lt;code&gt;varchar(50)&lt;/code&gt; because it plays nicer with Microsoft PowerApps that way). &lt;/p&gt;
&lt;p&gt;What I need to do is:&lt;/p&gt;
&lt;ul&gt;
&lt;li&gt;Aggregate the sum of "TotalTime" grouped by Operator&lt;/li&gt;
&lt;li&gt;Calculate the time elapsed based on a condition:
&lt;ul&gt;
&lt;li&gt;If between 7AM and 4PM, calculate the time elapsed since 7AM of the current day&lt;/li&gt;
&lt;li&gt;If after 4PM, return the total time between 7AM and 4PM of the current day&lt;/li&gt;
&lt;/ul&gt;&lt;/li&gt;
&lt;li&gt;Divide the SUM(TotalTime) by the TimeElapsed (AKA the first list item / second list item) in order to get a rough estimate of labor hours worked vs. hours passed in the day. &lt;/li&gt;
&lt;/ul&gt;
&lt;p&gt;This calculation would change every time the query was ran. This will allow the Microsoft PowerApp that is pulling this query to refresh the efficiency measure in real time. I've taken a stab at it already - see below:&lt;/p&gt;
&lt;pre&gt;&lt;code&gt;SELECT
    md.Operator,
    CASE 
       WHEN DATEADD(HOUR, -5, GETUTCDATE()) &amp;gt; CONVERT(DATETIME, CONVERT(DATE, DATEADD(HOUR, -5, GETUTCDATE()))) + '7:00' AND GETDATE() &amp;lt; CONVERT(DATETIME, CONVERT(DATE, DATEADD(HOUR, -5, GETUTCDATE()))) + '15:45' 
          THEN (SUM(isNull(md.TotalTime, 0)) + SUM(isNull(md.DelTime, 0))) * 1.0 / DATEDIFF(MINUTE, CONVERT(DATETIME, CONVERT(DATE, DATEADD(HOUR, -5, GETUTCDATE()))) + '7:00' , DATEADD(HOUR, -5, GETUTCDATE())) * 100.0
          ELSE (SUM(isNull(md.TotalTime, 0)) + SUM(isNull(md.DelTime, 0))) / 420 * 100.0
    END AS OpEfficiency
FROM 
    [Master Data] AS md
WHERE 
    md.[Date] = CONVERT(varchar(50), DATEADD(HOUR, -5, GETUTCDATE()), 101)
GROUP BY 
    md.Operator
&lt;/code&gt;&lt;/pre&gt;
&lt;p&gt;&lt;strong&gt;Note&lt;/strong&gt;: the &lt;code&gt;DelTime&lt;/code&gt; is a different column regarding delay times. I am also converting back from UTC time to avoid any time zone issues when transferring to PowerApps. &lt;/p&gt;
&lt;p&gt;However, this is horribly inefficient. I am assuming it is because the &lt;code&gt;Date&lt;/code&gt; needs to be converted to datetime every single time. Would it work better if I had a calculated column that already had the date converted? Or is there a better way to calculate time elapsed since a certain time?&lt;/p&gt;
&lt;p&gt;Thanks in advance. &lt;/p&gt;
</t>
  </si>
  <si>
    <t xml:space="preserve">&lt;p&gt;There are a few things you can do to increase efficiency considerably. First, you want to make sure SQL can do a simple comparison when selecting rows, so you'll start by calculating a string to match your date on since your [Date] field is a string not a date.&lt;/p&gt;
&lt;p&gt;Second, calculate the minutes in your shift (either 540 for a full shift or scaled down to 0 at 7 AM exactly) ahead of time so you aren't calculating minutes in each row.&lt;/p&gt;
&lt;p&gt;Third, when summing for operators, use a simple sum on the minutes and calculate efficiency from that sum and your pre-calculated shift so far minutes.&lt;/p&gt;
&lt;p&gt;One note - I'm casting the minutes-so-far as FLOAT in my example, maybe not the best type but it's clearer than other decimal types like DECIMAL(18,6) or whatever. Pick something that will show the scale you want.&lt;/p&gt;
&lt;p&gt;My example uses a Common Table Expression to generate that date string and minutes-so-far FLOAT, that's nice because it fits in a direct query, view, function, or stored procedure, but you could DECLARE variables instead if you wanted to. &lt;/p&gt;
&lt;p&gt;By filtering with an INNER JOIN on the [Date] string against the pre-calculated TargetDate string, I make sure the data set is pared down to the fewest records before doing any math on anything. You'll definitely want to INDEX [Date] to keep this fast as your table fills up.&lt;/p&gt;
&lt;p&gt;All these together should give a pretty fast query, good luck &lt;/p&gt;
&lt;pre&gt;&lt;code&gt;with cteNow as ( --Calculate once, up front - date as string, minutes elapsed as FLOAT (or any non-integer)
    SELECT CASE WHEN 60*DATEPART(HOUR, GETUTCDATE())+DATEPART(MINUTE, GETUTCDATE()) &amp;gt; 60*21 
                    --4PM in UTC-5, expressed in minutes
            THEN CONVERT(float,(16-7)*60) --minutes in (4 PM-7 AM) * 60 minutes/hour
        ELSE --Assume nobody is running this at 6 AM, so ELSE = between 7 and 4
            CONVERT(float,60*DATEPART(HOUR, GETUTCDATE()) + DATEPART(MINUTE, GETUTCDATE()) - ((7+5)*60))
             --Minutes since midnight minus minutes from midnight to 7 AM, shifted by 
             --UTS offset of 5 hours
        END as MinutesToday --Minutes in today's shift so far
        , FORMAT(DATEADD(HOUR,-5,GETUTCDATE()),'MM/dd/yyyy') as TargetDate --Date to search for
            --as a string so no conversion in every row comparison. Also, index [Date] column
)
SELECT md.Operator, SUM(md.TotalTime) as TotalTime, SUM(md.TotalTime) / MinutesToday as Efficiency
FROM [Master Data] AS md INNER JOIN cteNow as N on N.TargetDate = md.[Date]
GROUP BY md.Operator, MinutesToday
&lt;/code&gt;&lt;/pre&gt;
&lt;p&gt;BTW, you didn't make allowances for lunch or running before 7 AM, so I also ignored those. I think both could be addressed in cteNOW without adding much complexity.&lt;/p&gt;
</t>
  </si>
  <si>
    <t xml:space="preserve">&lt;p&gt;I got a Dropdown Menu, where you can select one title, which belongs to an item of a sharepoint list.
Now what I want to do is, I want to display some fields of this list item. Therefore I am using "Display".&lt;/p&gt;
&lt;p&gt;But how can I set the Item up?&lt;/p&gt;
&lt;p&gt;Thanks in advance&lt;/p&gt;
</t>
  </si>
  <si>
    <t xml:space="preserve">&lt;p&gt;I am trying to configure some SharePoint lists on the SharePoint Online platform.   These lists are in 2 team sites under the same team collection.    ListA in one site has a lookup column that references ListB on the other site.   Using PowerShell commands, I have been able to successfully setup the cross-site capability and it is working as needed.   &lt;/p&gt;
&lt;p&gt;However,  I am now tasked with adding some additional capabilities to the lookup field in ListA,  including filtering of the lookup values listed when users are adding records to ListA.   I had thought to use PowerApps for this.   I am new to PowerApps,  so I have done some simple tests with some a test site &amp;amp; lists to experiment and learn about the PowerApps process.   I was testing using 2 lists in the same site (so lookup was not cross-site).   I was able to create apps using these lists without any problems.&lt;/p&gt;
&lt;p&gt;At some point,  I went back to my original setup using cross-site ListA &amp;amp; ListB.   When selected the PowerApps option to create an App for ListA,   I got an error and the App could not be loaded.   &lt;/p&gt;
&lt;p&gt;&lt;a href="https://i.stack.imgur.com/acssA.png" rel="nofollow noreferrer"&gt;enter image description here&lt;/a&gt;&lt;/p&gt;
&lt;p&gt;I tried a variety of things after that,  including verifying that the lookup field does not allow multiple selections.  I also tried to use the old app that I had used for the test lists (which loaded without error).   In this App, I added an additional connection for a data source to the site containing ListB.   I tried adding an additional column to a local site list,  then using PowerShell to redirect the lookup to the other site.   But nothing has worked.   &lt;/p&gt;
&lt;p&gt;At this point,  I am wondering if cross-site lookup is compatible with PowerApps though so far I have not been able to find any forum posts or other online information indicating this.  That is why I am making this post.  Because if PowerApps is not going to work for the functionality that I need to add to ListA,  then I must look at implementing the needed customization another way.&lt;/p&gt;
&lt;p&gt;So if anyone has any knowledge about this,  please let me know.   It may be that there is some setting or some other action that I must take before trying to open the PowerApps for my list. &lt;/p&gt;
</t>
  </si>
  <si>
    <t xml:space="preserve">&lt;p&gt;I am trying to change the Visibility of any tab under a specific profile. Using the below code.&lt;/p&gt;
&lt;pre&gt;&lt;code&gt;public void SetTabHidden(String ProfileName, String TabName){
    try {
        // Query for the ID of the tab setting for the Account tab on the Standard User profile
        List&amp;lt;Id&amp;gt; TabHiddenIds = new List&amp;lt;Id&amp;gt; ();
        for (PermissionSetTabSetting tab : [
            SELECT Id FROM PermissionSetTabSetting WHERE Parent.Profile.Name = :ProfileName AND Name = :TabName]){
            TabHiddenIds.add(tab.Id);
        }
        if (TabHiddenIds.size() &amp;gt; 0) {
            // Delete the tab setting
            Database.DeleteResult[] deleteResults = Database.delete(TabHiddenIds);
            for (Database.DeleteResult deleteResult : deleteResults) {
                if (deleteResult.isSuccess()) {
                    System.debug('Successfully deleted the tab setting.');
                    System.debug('ID: ' + deleteResult.getId());
                } else {
                    Database.Error error = deleteResult.getErrors()[0];
                    System.debug('Failed to delete the tab setting.');
                    System.debug('Status code: ' + error.getStatusCode());
                    System.debug('Message: ' + error.getMessage());
                }
            }
        } else {
            System.debug('Failed to find the ID of the tab setting.');
        }
    } catch (DMLException ce) {
        System.debug(ce.getMessage());
    }
}
SetTabHidden('Read Only', 'standard-Account');
&lt;/code&gt;&lt;/pre&gt;
&lt;p&gt;Now I am getting the error&lt;/p&gt;
&lt;pre&gt;&lt;code&gt;DML not allowed on PermissionSetTabSetting
&lt;/code&gt;&lt;/pre&gt;
&lt;p&gt;I wonder why if in the Salesforce's documentation it says is possible. &lt;/p&gt;
</t>
  </si>
  <si>
    <t xml:space="preserve">&lt;p&gt;I am making a server call querying a record using a datetime filter like follows:&lt;/p&gt;
&lt;pre&gt;&lt;code&gt;query.filters.CreatedDate._greaterThan = new Date('2020-04-20 19:39:56');
&lt;/code&gt;&lt;/pre&gt;
&lt;p&gt;CreateDate is type datetime on a mysql database. 
But when I run this query I get the following error:&lt;/p&gt;
&lt;blockquote&gt;
  &lt;p&gt;Expected Date for filtering by 'CreatedDate'.
  Error: Expected Date for filtering by 'CreatedDate'.
    at appStartUp (DashboardServer:77)&lt;/p&gt;
&lt;/blockquote&gt;
&lt;p&gt;I have no idea why is there a type mismatch. I have also tried converting JS datetime to mysql datetime using the following and many other snippets but still I am recieving the same error.&lt;/p&gt;
&lt;pre&gt;&lt;code&gt;new Date(); d.toISOString().split('T')[0]+' '+d.toTimeString().split(' ')[0];
&lt;/code&gt;&lt;/pre&gt;
&lt;p&gt;Any help will be greatly appreciated.&lt;/p&gt;
</t>
  </si>
  <si>
    <t xml:space="preserve">&lt;p&gt;I'm trying to consume a SOAP webservices provided by a third party. I don't have any control of that webservice. I'm consuming the webservice using a Low Code platform called OutSystems. OutSystems unfortunately doesn't recognize a SOAP header that has to be send with the request so I'll have to add it myself by extending the platform functionality with some custom c# code.&lt;/p&gt;
&lt;p&gt;The &lt;a href="https://success.outsystems.com/Documentation/11/Reference/OutSystems_APIs/SOAP_Extensibility_API" rel="nofollow noreferrer"&gt;SOAP Extensibility API&lt;/a&gt; gives me access to the WCF ClientCredentials, ServiceEndpoint, IClientChannel and CommunicationState objects. It also provides a method to register an endpoint behavior, using a IEndpointBehavior object.&lt;/p&gt;
&lt;p&gt;Using svcutil I've been able to generate proxy classes for the data of the message, including the SOAP header that I should add.&lt;/p&gt;
&lt;p&gt;Ideally I'm looking for a way to instantiate an object of the proxy of the header and then somehow pass that to the service. But here is where i'm stuck. I/m not able to find a way to use that object as a SOAP header.&lt;/p&gt;
&lt;p&gt;The documentation of OutSytems also provides an example about &lt;a href="https://success.outsystems.com/Documentation/11/Extensibility_and_Integration/SOAP/Consuming_SOAP_Web_Services/Use_Advanced_Extensibility/Example%3A_Add_SOAP_header" rel="nofollow noreferrer"&gt;adding a soap header&lt;/a&gt; using .net code. They use MessageHeader.CreateHeader to create a new element with a given element name, namespace and value. So this is also a place where i'm stuck. It would be great if I could use the proxy class here, but this will only allow me to set it as the value. This way I end up with a duplicate 'root' element.&lt;/p&gt;
&lt;p&gt;Using the code below:&lt;/p&gt;
&lt;pre&gt;&lt;code&gt;class AddSoapHeaderMessageInspector : IClientMessageInspector {
    object IClientMessageInspector.BeforeSendRequest(ref Message request, IClientChannel channel) {
        // before sending a request, add a new SOAP header, specifying its name, namespace and value
        request.Headers.Add(MessageHeader.CreateHeader("MySoapHeader", "http://my-namespace.com", mySOAPHeader));
        return request;
    }
    void IClientMessageInspector.AfterReceiveReply(ref Message reply, object correlationState) {
        // here you would handle the web service response
    }
}
&lt;/code&gt;&lt;/pre&gt;
&lt;p&gt;Would result in XML like&lt;/p&gt;
&lt;pre&gt;&lt;code&gt;&amp;lt;MySoapHeader&amp;gt;&amp;lt;MySoapHeader&amp;gt;&amp;lt;element1&amp;gt;&amp;lt;element2&amp;gt;&amp;lt;/MySoapHeader&amp;gt;&amp;lt;/MySoapHeader&amp;gt;
&lt;/code&gt;&lt;/pre&gt;
&lt;p&gt;While it should look like&lt;/p&gt;
&lt;pre&gt;&lt;code&gt;&amp;lt;MySoapHeader&amp;gt;&amp;lt;element1&amp;gt;&amp;lt;element2&amp;gt;&amp;lt;/MySoapHeader&amp;gt;
&lt;/code&gt;&lt;/pre&gt;
&lt;p&gt;The solution we have now is one where we've implemented a class that extends MessageHeader. In the OnWriteHeaderContents of that class we manually write the content of the header in code. Unfortunately this is cause some namespace issues at the server side.&lt;/p&gt;
&lt;p&gt;I'm posting this on stackoverflow instead of the OutSystems forum because I consider this more of a WCF/C# question than an OutSystems question.&lt;/p&gt;
</t>
  </si>
  <si>
    <t xml:space="preserve">&lt;p&gt;I've changed the background color of the RectQuickActionBar1.&lt;/p&gt;
&lt;p&gt;Now I know there are themes in Powerapps and want to change back , any ideas how to set the background back to listen to the themes ?&lt;/p&gt;
&lt;p&gt;Thanks! &lt;/p&gt;
</t>
  </si>
  <si>
    <t xml:space="preserve">&lt;p&gt;I'm looking to make the url by adding a path which is something like this below in &lt;code&gt;Google Apps Script&lt;/code&gt;,&lt;/p&gt;
&lt;p&gt;&lt;a href="https://script.google.com/macros/s/APP_ID/exec/fileName.txt" rel="nofollow noreferrer"&gt;https://script.google.com/macros/s/APP_ID/exec/fileName.txt&lt;/a&gt;&lt;/p&gt;
&lt;p&gt;Is it possible for Web App service? If so, can someone please explain how can I achieve this? Thank you!&lt;/p&gt;
</t>
  </si>
  <si>
    <t xml:space="preserve">&lt;p&gt;I believe your goal as follows.&lt;/p&gt;
&lt;ul&gt;
&lt;li&gt;You want to access to Web Apps using the URL of &lt;code&gt;https://script.google.com/macros/s/APP_ID/exec/fileName.txt&lt;/code&gt;.&lt;/li&gt;
&lt;/ul&gt;
&lt;p&gt;For this, how about this answer? I think that you can achieve your goal using Web Apps. As a sample case, I would like to explain about this using a sample script for downloading a text file, when an user accesses to &lt;code&gt;https://script.google.com/macros/s/APP_ID/exec/fileName.txt&lt;/code&gt;.&lt;/p&gt;
&lt;h2&gt;Usage:&lt;/h2&gt;
&lt;p&gt;Please do the following flow.&lt;/p&gt;
&lt;h3&gt;1. Create new project of Google Apps Script.&lt;/h3&gt;
&lt;p&gt;Sample script of Web Apps is a Google Apps Script. So please create a project of Google Apps Script.&lt;/p&gt;
&lt;p&gt;If you want to directly create it, please access to &lt;a href="https://script.new/" rel="nofollow noreferrer"&gt;https://script.new/&lt;/a&gt;. In this case, if you are not logged in Google, the log in screen is opened. So please log in to Google. By this, the script editor of Google Apps Script is opened.&lt;/p&gt;
&lt;h3&gt;2. Prepare script.&lt;/h3&gt;
&lt;p&gt;Please copy and paste the following script (Google Apps Script) to the script editor. This script is for the Web Apps.&lt;/p&gt;
&lt;pre&gt;&lt;code&gt;function doGet(e) {
  const path = e.pathInfo;
  if (path == "filename.txt") {
    const sampleTextData = "sample";
    return ContentService.createTextOutput(sampleTextData).downloadAsFile(path);
  }
  return ContentService.createTextOutput("Wrong path.");
}
&lt;/code&gt;&lt;/pre&gt;
&lt;ul&gt;
&lt;li&gt;In order to retrieve the value of &lt;code&gt;fileName.txt&lt;/code&gt; in &lt;code&gt;https://script.google.com/macros/s/APP_ID/exec/fileName.txt&lt;/code&gt;, please use &lt;code&gt;pathInfo&lt;/code&gt;.
&lt;ul&gt;
&lt;li&gt;For example, when you check &lt;code&gt;e&lt;/code&gt; of &lt;code&gt;doGet(e)&lt;/code&gt; by accessing with &lt;code&gt;https://script.google.com/macros/s/APP_ID/exec/fileName.txt&lt;/code&gt;, you can retrieve &lt;code&gt;{"contextPath":"","contentLength":-1,"parameter":{},"parameters":{},"queryString":"","pathInfo":"fileName.txt"}&lt;/code&gt;.&lt;/li&gt;
&lt;/ul&gt;&lt;/li&gt;
&lt;li&gt;In this case, the GET method is used.&lt;/li&gt;
&lt;/ul&gt;
&lt;h3&gt;3. Deploy Web Apps.&lt;/h3&gt;
&lt;ol&gt;
&lt;li&gt;On the script editor, Open a dialog box by "Publish" -&gt; "Deploy as web app".&lt;/li&gt;
&lt;li&gt;Select &lt;strong&gt;"Me"&lt;/strong&gt; for &lt;strong&gt;"Execute the app as:"&lt;/strong&gt;.
&lt;ul&gt;
&lt;li&gt;By this, the script is run as the owner.&lt;/li&gt;
&lt;/ul&gt;&lt;/li&gt;
&lt;li&gt;Select &lt;strong&gt;"Anyone, even anonymous"&lt;/strong&gt; for &lt;strong&gt;"Who has access to the app:"&lt;/strong&gt;.
&lt;ul&gt;
&lt;li&gt;In this case, no access token is required to be request. I think that I recommend this setting for your goal.&lt;/li&gt;
&lt;li&gt;Of course, you can also use the access token. At that time, please set this to &lt;strong&gt;"Anyone"&lt;/strong&gt;. And please include the scope of &lt;code&gt;https://www.googleapis.com/auth/drive.readonly&lt;/code&gt; and &lt;code&gt;https://www.googleapis.com/auth/drive&lt;/code&gt; to the access token. These scopes are required to access to Web Apps.&lt;/li&gt;
&lt;/ul&gt;&lt;/li&gt;
&lt;li&gt;Click "Deploy" button as new "Project version".&lt;/li&gt;
&lt;li&gt;Automatically open a dialog box of "Authorization required".
&lt;ol&gt;
&lt;li&gt;Click "Review Permissions".&lt;/li&gt;
&lt;li&gt;Select own account.&lt;/li&gt;
&lt;li&gt;Click "Advanced" at "This app isn't verified".&lt;/li&gt;
&lt;li&gt;Click "Go to ### project name ###(unsafe)"&lt;/li&gt;
&lt;li&gt;Click "Allow" button.&lt;/li&gt;
&lt;/ol&gt;&lt;/li&gt;
&lt;li&gt;Click "OK".&lt;/li&gt;
&lt;li&gt;Copy the URL of Web Apps. It's like &lt;code&gt;https://script.google.com/macros/s/###/exec&lt;/code&gt;.
&lt;ul&gt;
&lt;li&gt;&lt;strong&gt;When you modified the Google Apps Script, please redeploy as new version. By this, the modified script is reflected to Web Apps. Please be careful this.&lt;/strong&gt;&lt;/li&gt;
&lt;/ul&gt;&lt;/li&gt;
&lt;/ol&gt;
&lt;h3&gt;4. Run the function using Web Apps.&lt;/h3&gt;
&lt;p&gt;Please access to &lt;code&gt;https://script.google.com/macros/s/###/exec/filename.txt&lt;/code&gt; using your browser. By this, a text file is downloaded.&lt;/p&gt;
&lt;h2&gt;Note:&lt;/h2&gt;
&lt;ul&gt;
&lt;li&gt;&lt;strong&gt;When you modified the script of Web Apps, please redeploy the Web Apps as new version. By this, the latest script is reflected to the Web Apps. Please be careful this.&lt;/strong&gt;&lt;/li&gt;
&lt;/ul&gt;
&lt;h2&gt;References:&lt;/h2&gt;
&lt;ul&gt;
&lt;li&gt;&lt;a href="https://developers.google.com/apps-script/guides/web" rel="nofollow noreferrer"&gt;Web Apps&lt;/a&gt;&lt;/li&gt;
&lt;li&gt;&lt;a href="https://github.com/tanaikech/taking-advantage-of-Web-Apps-with-google-apps-script" rel="nofollow noreferrer"&gt;Taking advantage of Web Apps with Google Apps Script&lt;/a&gt;&lt;/li&gt;
&lt;/ul&gt;
</t>
  </si>
  <si>
    <t xml:space="preserve">&lt;p&gt;When I create a ticket through call dispatcher role's page, it is created in the third page as there are  three pages of tickets records, but when I go to the Engineer role's page the new assigned ticket appear in the third page and the first two pages is blank.&lt;/p&gt;
&lt;p&gt;I think this problem happens because I invisible the tickets resolved by the engineer and I think in this way the tickets remains in its place but invisible.
So I want to appear the new assigned tickets in the Engineer role's at the first one so I think I need to do a Query filter on the records to solve this issue but I don't know how to do it.&lt;/p&gt;
&lt;p&gt;If anyone could help with the exact steps for Query filter for example: Engineer specific email or if ticket status="Resolved"&lt;/p&gt;
&lt;p&gt;Note: I knew that Appmaker will shut down completely but I need to solve this issue until I transfer into a new platform.&lt;/p&gt;
</t>
  </si>
  <si>
    <t xml:space="preserve">&lt;p&gt;I'm using a google charts plugin in Appian and I would like to be able to set the shape based on the value at that point. So for example, if the value at a specific point is 4 then make it a triangle, if it's 5 make it a square otherwise make it a circle.&lt;/p&gt;
&lt;p&gt;Is this possible within google charts.&lt;/p&gt;
&lt;p&gt;Here is my code &lt;/p&gt;
&lt;p&gt;Row Data&lt;/p&gt;
&lt;pre&gt;&lt;code&gt;local!rowData: if(
rule!APN_isEmpty(
  local!evaluations
),
{
  site: 1,
  green: null,
  yellow: null,
  red: null,
  orange: null
},
a!forEach(
  items: local!evaluations,
  expression: {
    site: fv!item.site_id_fk,
    green: if(
      tointeger(
        fv!item.rating_id_fk
      ) = cons!PIX_REF_TYPE_EVAL_RATING_GREEN,
      tointeger(
        wherecontains(
          fv!item.area_id_fk,
          local!functionalAreas.id_pk
        )
      ),
      null
    ),
    yellow: if(
      tointeger(
        fv!item.rating_id_fk
      ) = cons!PIX_REF_TYPE_EVAL_RATING_YELLOW,
      wherecontains(
        fv!item.area_id_fk,
        local!functionalAreas.id_pk
      ),
      null
    ),
    red: if(
      tointeger(
        fv!item.rating_id_fk
      ) = cons!PIX_REF_TYPE_EVAL_RATING_RED,
      wherecontains(
        fv!item.area_id_fk,
        local!functionalAreas.id_pk
      ),
      null
    ),
    orange: if(
      tointeger(
        fv!item.rating_id_fk
      ) = cons!PIX_REF_TYPE_EVAL_RATING_ORANGE,
      wherecontains(
        tointeger(
          fv!item.area_id_fk
        ),
        tointeger(
          local!functionalAreas.id_pk
        )
      ),
      null
    ),
  }
)
&lt;/code&gt;&lt;/pre&gt;
&lt;p&gt;),&lt;/p&gt;
&lt;p&gt;Scatter Plot&lt;/p&gt;
&lt;pre&gt;&lt;code&gt;googleScatterChartField(
          chartColumnData: {
            {
              type: "number",
              id: "site",
              rowDataKey: "site"
            },
            {
              type: "number",
              id: "red",
              rowDataKey: "red"
            },
            {
              type: "number",
              id: "yellow",
              rowDataKey: "yellow"
            },
            {
              type: "number",
              id: "green",
              rowDataKey: "green"
            },
            {
              type: "number",
              id: "orange",
              rowDataKey: "orange"
            }
          },
          chartRowData: {
            a!forEach(
              items: local!rowData,
              expression: {
                site: fv!item.site,
                red: tointeger(
                  fv!item.red
                ),
                yellow: tointeger(
                  fv!item.yellow
                ),
                green: tointeger(
                  fv!item.green
                ),
                orange: tointeger(
                  fv!item.orange
                ),
              }
            )
          },
          chartOptions: 
          {
            fontName: "Open Sans",
            fontSize: 12,
            tooltip: {
              trigger: "none",
              textStyle: {
                fontName: "Open Sans",
                fontSize: 12
              },
              text: "Hello"
            },
            colors: {
              cons!PIX_VAL_COLOR_RATING_RED,
              cons!PIX_VAL_COLOR_YELLOW,
              cons!UNI_COLOR_EXELON_GREEN,
              cons!UNI_COLOR_EXELON_ORANGE
            },
            crosshair: {
              trigger: "both"
            },
            hAxis: {
              slantedText: true,
              ticks: {
                {
                  v: 0,
                  f: ""
                },
                a!forEach(
                  items: local!sites,
                  expression: {
                    v: fv!item.site_id_pk,
                    f: fv!item.acronym
                  }
                )
              }
            },
            vAxis: {
              gridlines: {
                count: length(
                  local!functionalAreas
                )
              },
              ticks: {
                {v: 0, f: ""},
                a!forEach(
                  items: local!functionalAreas,
                  expression: {
                    v: fv!index,
                    f: fv!item.value
                  }
                )
              }
            },
            legend: {
              position: "none"
            },
            series: 
              expression: {
                "0": {
                  pointShape: "triangle",
                  pointSize: 13,
                  dataOpacity: 1,
                  labelInLegend: "Red"
                },
                "1": {
                  pointShape: "circle",
                  pointSize: 13,
                  dataOpacity: 1,
                  labelInLegend: "Yellow"
                },
                "2": {
                  pointShape: "circle",
                  pointSize: 13,
                  dataOpacity: 1,
                  labelInLegend: "Green"
                },
                "3": {
                  pointShape: "circle",
                  pointSize: 13,
                  dataOpacity: 7,
                  labelInLegend: "Orange"
                }
              },
            chartArea: {
              top: 20,
              width: "AUTO",
              height: "70%"
            },
            height: 700,
            width: "AUTO",
          },
          exportChartType: "PDF",
          exportChartValue: local!exportChart,
          exportChartSaveInto: local!exportChart,
          onSelection: local!selectedEvaluation
        )
&lt;/code&gt;&lt;/pre&gt;
&lt;p&gt;This works fine but but all shapes are the same all the time. If I change one of them it applies to the whole series. Any ideas?&lt;/p&gt;
</t>
  </si>
  <si>
    <t xml:space="preserve">&lt;p&gt;I am new to powerapps, and I need to create an app with AzureAD authentication. But I am confused by this authentication. Do I understand correctly that I don't have to implement user sign-up and login screens, because every user which will be added to AzureAD would be able to login to microsoft account and will have an access to my powerapp? &lt;/p&gt;
&lt;p&gt;So, I don't have to write any code for user signup/login/forgot password? 
But in the Internet I saw that some people use &lt;code&gt;AzureAD.getUser()&lt;/code&gt; and &lt;code&gt;Office365.User&lt;/code&gt;. When do I need it?  &lt;/p&gt;
</t>
  </si>
  <si>
    <t xml:space="preserve">&lt;p&gt;we are using Vlocity OmniScript designer where we have requirement to customize some existing HTML element and CSS style. We tried giving css style in CUSTOM HTML TEMPLATE and also in CUSTOM JAVASCRIPT in Script Configuration showing in below image but no luck. Can anyone guide us with proper working example how to use these two properties in OmniScript. &lt;/p&gt;
&lt;p&gt;We are also using LWC also in some of the steps where we want to collaborate OmniScript and LWC.  &lt;/p&gt;
&lt;p&gt;&lt;a href="https://i.stack.imgur.com/cqgl4.png" rel="nofollow noreferrer"&gt;&lt;img src="https://i.stack.imgur.com/cqgl4.png" alt="enter image description here"&gt;&lt;/a&gt;&lt;/p&gt;
</t>
  </si>
  <si>
    <t xml:space="preserve">&lt;p&gt;I'm building a disconnected (i.e. no data sources) canvas app that models a multi step form (10 steps, split across two screens). I'm running into some performance issues on Navigate to the screens which is puzzling since there is no remote data to fetch (there is some usage of SaveData/LoadData). &lt;/p&gt;
&lt;p&gt;For context, I use components heavily in the app to help with consistent behavior and styling.&lt;/p&gt;
&lt;p&gt;&lt;a href="https://i.stack.imgur.com/h2GFm.png" rel="nofollow noreferrer"&gt;&lt;img src="https://i.stack.imgur.com/h2GFm.png" alt="Sample Component"&gt;&lt;/a&gt;&lt;/p&gt;
&lt;p&gt;The only clue i have right now is that there are a lot of "Inefficient Delay Loading" warnings, basically one for every instance of a component in the app. These warnings don't make sense to me since the screens don't refer to each other's controls and only share state via Navigation Context and Collections (no cross screen control references). 
&lt;a href="https://i.stack.imgur.com/HmHJO.png" rel="nofollow noreferrer"&gt;&lt;img src="https://i.stack.imgur.com/HmHJO.png" alt="Delayed Loading warnings"&gt;&lt;/a&gt;&lt;/p&gt;
&lt;p&gt;Any ideas on what could be causing the Navigate slowness or if the delayed loading warnings are valid (i.e. they are not an artifact of components being new)? The OnVisible of the screens isn't doing much at all.&lt;/p&gt;
&lt;p&gt;Thanks!&lt;/p&gt;
</t>
  </si>
  <si>
    <t xml:space="preserve">&lt;p&gt;Just a wonder I don't able to find any document which describes(in detail) the Library folder member access in Salesforce. Already checking the help document it's just going by out-layer level as..
First, Select member and add any below permission like that. &lt;/p&gt;
&lt;p&gt;But I am like to know the below permissions what can do on that folder. As per my understanding,&lt;/p&gt;
&lt;ol&gt;
&lt;li&gt;Author - Allowed to add allow the user to add documents/Knowledge articles to the Library folders.&lt;/li&gt;
&lt;li&gt;Viewer - Just a read only access like user which having this permission only able to view the library folder and inside files/articles.&lt;/li&gt;
&lt;li&gt;Workspace Administrators - Which the permission given the maximum access to the user which holds I think.&lt;/li&gt;
&lt;/ol&gt;
&lt;p&gt;So please correct me if I am wrong and let me know anyone here this community can explain What user should able to do with below Library folder member permissions?&lt;/p&gt;
&lt;p&gt;&lt;a href="https://i.stack.imgur.com/o2G8P.png" rel="nofollow noreferrer"&gt;&lt;img src="https://i.stack.imgur.com/o2G8P.png" alt="Library Member Permissions"&gt;&lt;/a&gt;&lt;/p&gt;
&lt;p&gt;Any help much appreciated!! Thanks in advance!!!&lt;/p&gt;
</t>
  </si>
  <si>
    <t xml:space="preserve">&lt;p&gt;As a system administrator, I want to fetch all the libraries from my organization. To achieve my goal I tried to use the request to &lt;code&gt;GET /services/data/v48.0/query/?q=SELECT+Id+FROM+ContentWorkspace&lt;/code&gt;.
But I did not get private 'ContentWorkspaces'. &lt;/p&gt;
&lt;p&gt;Another problem that I faced was trying to create a file in user`s private library.&lt;/p&gt;
&lt;p&gt;&lt;strong&gt;Example 1&lt;/strong&gt;&lt;/p&gt;
&lt;pre&gt;&lt;code&gt;POST /services/data/v48.0/sobjects/ContentVersion/
--boundary_string
Content-Disposition: form-data; name="entity_content";
Content-type: application/json
{"PathOnClient":"FILE.txt", "OwnerId":"0051v000006lmLuAAI", "FirstPublishLocationId":"0581v000000dacWAAQ"}
--boundary_string
Content-Type: application/octet-stream
Content-Disposition: form-data; name="VersionData"; filename="FILE.txt"
Binary data goes here.
--boundary_string--
&lt;/code&gt;&lt;/pre&gt;
&lt;p&gt;&lt;a href="https://i.stack.imgur.com/a3yJo.png" rel="nofollow noreferrer"&gt;&lt;img src="https://i.stack.imgur.com/a3yJo.png" alt="enter image description here"&gt;&lt;/a&gt;&lt;/p&gt;
&lt;p&gt;&lt;strong&gt;Example 2&lt;/strong&gt;&lt;/p&gt;
&lt;pre&gt;&lt;code&gt;POST /services/data/v48.0/sobjects/ContentVersion/
--boundary_string
Content-Disposition: form-data; name="entity_content";
Content-type: application/json
{"PathOnClient":"FILE.txt", "OwnerId":"0051v000006lmLuAAI"}
--boundary_string
Content-Type: application/octet-stream
Content-Disposition: form-data; name="VersionData"; filename="FILE.txt"
Binary data goes here.
--boundary_string--
&lt;/code&gt;&lt;/pre&gt;
&lt;p&gt;&lt;a href="https://i.stack.imgur.com/U2HtE.png" rel="nofollow noreferrer"&gt;&lt;img src="https://i.stack.imgur.com/U2HtE.png" alt="enter image description here"&gt;&lt;/a&gt;&lt;/p&gt;
&lt;p&gt;Is it possible to achieve everything that I mentioned above using the system admin token with 'Query All Files' perms or it is impossible?&lt;/p&gt;
</t>
  </si>
  <si>
    <t xml:space="preserve">&lt;p&gt;Hi I hope everybody is doing well&lt;/p&gt;
&lt;p&gt;I am trying to add leads to Zoho CRM using API v2, now for that, if the user already there I will update its record if a user is not there I will create a new record into it, right now I am finding out a way to handle the exception error when there is not any user in CRM it displays this line&lt;/p&gt;
&lt;pre&gt;&lt;code&gt;Fatal error: Uncaught zcrmsdk\crm\exception\ZCRMException Caused by:'No Content' in C:\xampp\htdocs\crmint2\vendor\zohocrm\php-sdk\src\crm\api\response\BulkAPIResponse.php(61) #0 C:\xampp\htdocs\crmint2\vendor\zohocrm\php-sdk\src\crm\api\response\CommonAPIResponse.php(76): zcrmsdk\crm\api\response\BulkAPIResponse-&amp;gt;handleForFaultyResponses() #1 C:\xampp\htdocs\crmint2\vendor\zohocrm\php-sdk\src\crm\api\response\CommonAPIResponse.php(67): zcrmsdk\crm\api\response\CommonAPIResponse-&amp;gt;processResponse() #2 C:\xampp\htdocs\crmint2\vendor\zohocrm\php-sdk\src\crm\api\response\BulkAPIResponse.php(47): zcrmsdk\crm\api\response\CommonAPIResponse-&amp;gt;__construct('HTTP/1.1 204 \r\n...', 204) #3 C:\xampp\htdocs\crmint2\vendor\zohocrm\php-sdk\src\crm\api\APIRequest.php(148): zcrmsdk\crm\api\response\BulkAPIResponse-&amp;gt;__construct('HTTP/1.1 204 \r\n...', 204) #4 C:\xampp\htdocs\crmint2\vendor\zohocrm\php-sdk\src\crm\api\handler\MassEntityAPIHandler.php(327): zcrmsdk\crm\api\APIRequest-&amp;gt;getBulkAPIResponse() #5 C:\xampp\htdocs\crmint2\vendor\zoh in C:\xampp\htdocs\crmint2\vendor\zohocrm\php-sdk\src\crm\api\response\BulkAPIResponse.php on line 61
&lt;/code&gt;&lt;/pre&gt;
&lt;p&gt;Now I have tried try and catch statement as well but it stucks here and crashes the application, I am looking forward to someone who had gone through this and was successful in implementing it&lt;/p&gt;
</t>
  </si>
  <si>
    <t xml:space="preserve">&lt;p&gt;When I choose one entity and one of records, the tags change as following pic. Can they be designed?&lt;/p&gt;
&lt;p&gt;&lt;a href="https://i.stack.imgur.com/1WMST.png" rel="nofollow noreferrer"&gt;&lt;img src="https://i.stack.imgur.com/1WMST.png" alt="enter image description here"&gt;&lt;/a&gt;&lt;/p&gt;
&lt;p&gt;changed:&lt;/p&gt;
&lt;p&gt;&lt;a href="https://i.stack.imgur.com/LkThU.png" rel="nofollow noreferrer"&gt;&lt;img src="https://i.stack.imgur.com/LkThU.png" alt="enter image description here"&gt;&lt;/a&gt;&lt;/p&gt;
&lt;p&gt;What does the icon means?&lt;/p&gt;
&lt;p&gt;&lt;a href="https://i.stack.imgur.com/qzp9Z.png" rel="nofollow noreferrer"&gt;&lt;img src="https://i.stack.imgur.com/qzp9Z.png" alt="enter image description here"&gt;&lt;/a&gt;&lt;/p&gt;
&lt;p&gt;&lt;a href="https://i.stack.imgur.com/p67ad.png" rel="nofollow noreferrer"&gt;&lt;img src="https://i.stack.imgur.com/p67ad.png" alt="enter image description here"&gt;&lt;/a&gt;&lt;/p&gt;
</t>
  </si>
  <si>
    <t xml:space="preserve">&lt;p&gt;They are not Tags, they are ribbon buttons/commands. You have to use CRM &lt;a href="https://www.develop1.net/public/rwb/ribbonworkbench.aspx" rel="nofollow noreferrer"&gt;Ribbon workbench&lt;/a&gt; (Managed solution or XrmToolBox) to customize the ribbon/command bar. &lt;a href="https://stackoverflow.com/a/60107404"&gt;Read more&lt;/a&gt; &lt;/p&gt;
&lt;p&gt;The ribbon/command bar button can have display rule/enable rule, based on that rules they will show hide. For ex. If “selected record count rule” triggers then the options are different in view.&lt;/p&gt;
&lt;p&gt;To update the icons, you have to &lt;a href="https://www.powerobjects.com/blog/2020/01/20/updating-icons-in-the-unified-interface/" rel="nofollow noreferrer"&gt;upload svg icon &lt;/a&gt;in each custom entity. And make sure to &lt;a href="https://ajitpatra.com/2019/07/30/d365-ribbon-button-icon-update-in-unified-client-interfaceuci/" rel="nofollow noreferrer"&gt;update the modern image&lt;/a&gt; in ribbon button definition.&lt;/p&gt;
</t>
  </si>
  <si>
    <t xml:space="preserve">&lt;p&gt;I use this function to create symlinks in Cordova project &lt;/p&gt;
&lt;pre&gt;&lt;code&gt;function symlink(folder, dest) {
    return function(){
        return vfs.src([folder,'!apps','!config','!platforms','!package.json','!package-lock.json','!google-services.json','!GoogleService-Info.plist','!gulpfile.js','!res','!www/js/urls.json'], {followSymlinks: false})
            .pipe(vfs.symlink(dest, {overwrite: false, relative: true}));
    };
}
&lt;/code&gt;&lt;/pre&gt;
&lt;p&gt;Any "excludes" work perfectly except &lt;code&gt;!www/js/urls.json'&lt;/code&gt;&lt;/p&gt;
&lt;p&gt;I want to ignore only &lt;code&gt;urls.json&lt;/code&gt; file in folder &lt;code&gt;www/js&lt;/code&gt;. I have tried this and others:&lt;/p&gt;
&lt;pre&gt;&lt;code&gt;www/!**/urls.json
www/**/!urls.json
www/js/!(*.json)
www/js/!(urls.json)
www/js/!urls.json
!./www/js/*.json
&lt;/code&gt;&lt;/pre&gt;
&lt;p&gt;but none excludes the file.&lt;/p&gt;
&lt;p&gt;Can anyone help me to exclude urls.json file?&lt;/p&gt;
&lt;p&gt;Thanks a lot &lt;/p&gt;
</t>
  </si>
  <si>
    <t xml:space="preserve">&lt;p&gt;I'm using PowerApps to create a custom SharePoint Form. &lt;/p&gt;
&lt;p&gt;I'm trying to set a submit button that, when clicked, will hopefully do a few things. &lt;/p&gt;
&lt;p&gt;First, I want to check if the requested due date is before the next morning at 11 AM. I've had some issues with this and I've had the user pick a date and a time in two separate fields. 
Unfortunately, when I try to reference the 'hour' field, the system throws an error saying I need to compare number data type to number. 
However, in SharePoint this field is a number datatype and on PowerApps the input is set to 'TextFormat.Number'. How would I be able to set this so that it is a number type so I can compare it to a number? Or even better how could I get the user to choose a time that won't require as much strange and foolish new user logic?&lt;/p&gt;
&lt;p&gt;The second part of the code is once I check the date, if it is before 11 AM the next day, set a value on the card called Urgent_DataCard1.Value to true. For some reason my app won't let me access the value of this checkbox. I've tried 'Urgent_DataCard1.Value' and 'DataCardValue5' but PowerApps keeps saying it doesn't recognize this reference. How do I correctly reference this value so I can set it correctly on submit?&lt;/p&gt;
&lt;p&gt;This is my little code snippet. Thank you for all your assistance.&lt;/p&gt;
&lt;p&gt;*Some notes for the code&lt;/p&gt;
&lt;p&gt;DatePicker3 is the Date Picker field&lt;/p&gt;
&lt;p&gt;DataCardValue17 is the value section of the card "Request Due Time_DataCard1"&lt;/p&gt;
&lt;pre&gt;&lt;code&gt;If(
    DatePicker3 &amp;lt; Now()+.5 And DataCardValue17 &amp;gt; 11,
    Set(Urgent_DataCard1.Value,"True"));
    SubmitForm(SharePointForm1);
    ResetForm(SharePointForm1); 
    RequestHide()
&lt;/code&gt;&lt;/pre&gt;
</t>
  </si>
  <si>
    <t xml:space="preserve">&lt;p&gt;I have a powerapp that is using data from an entity located in common data service.&lt;/p&gt;
&lt;p&gt;The entity data is populated from a SQL Server.&lt;/p&gt;
&lt;p&gt;When the powerapp updates the data, it is reflected in the common data service entity. Example - update a field.&lt;/p&gt;
&lt;p&gt;How to sync this update to the SQL Server?&lt;/p&gt;
&lt;p&gt;Also, when data changes on the SQL server, how to sync it with the common data service? Is there an out of the box solution?&lt;/p&gt;
</t>
  </si>
  <si>
    <t xml:space="preserve">&lt;p&gt;Normally we use DES - &lt;a href="https://docs.microsoft.com/en-us/powerapps/developer/common-data-service/data-export-service" rel="nofollow noreferrer"&gt;Data export service&lt;/a&gt; or Scribe replication to sync data from CDS (Dynamics CRM online) to Azure SQL server. But this is one way data flow, in other words SQL is just a Read-only mirror copy of CDS.&lt;/p&gt;
&lt;p&gt;So you have to build the PowerApps (Canvas) to use the CDS connector for reading CDS data and you can update back, so SQL will have latest updated data intact through DES. &lt;/p&gt;
&lt;p&gt;If you have two sources, one from CDS and one in SQL separately, then it is your responsibility to build the Master-Slave data sync. Like finding the delta in SQL and update in CDS using some timely jobs or update the CDS and SQL at the same time from PowerApps.&lt;/p&gt;
</t>
  </si>
  <si>
    <t xml:space="preserve">&lt;p&gt;i really only need Inline editing for &lt;code&gt;1 permission set on a custom object&lt;/code&gt; i'm working on,is this only at the Org level?,&lt;/p&gt;
&lt;p&gt;so if &lt;code&gt;it's enabled everyone will see it&lt;/code&gt; and on all objects?&lt;/p&gt;
</t>
  </si>
  <si>
    <t xml:space="preserve">&lt;p&gt;Yes,this is an org configuration. However, there are few more considerations like profile edit permissions, etc.&lt;/p&gt;
&lt;p&gt;Check the following article for more details.
&lt;a href="https://salesforcethinkers.home.blog/2019/09/10/inline-editing-in-salesforce-mass-edit-records/" rel="nofollow noreferrer"&gt;https://salesforcethinkers.home.blog/2019/09/10/inline-editing-in-salesforce-mass-edit-records/&lt;/a&gt;&lt;/p&gt;
</t>
  </si>
  <si>
    <t xml:space="preserve">&lt;p&gt;I am having an issue with some code that I'd like some help on. Attached below is a table that is coming into the SQL database from PowerApps:&lt;/p&gt;
&lt;pre&gt;&lt;code&gt;
+-----------------------+-----------------+-------------+-----------+------------+------+-----------+
|          ID           | ProductionOrder | Workstation |  Status   |    Date    | Pass | TotalTime |
+-----------------------+-----------------+-------------+-----------+------------+------+-----------+
| 60127429_1000_1_S035  |          108100 | S035        | Completed | 05/13/2020 | No   |       121 |
| 60128523_1000_1_S120  |          884171 | S120        | Completed | 05/13/2020 | Yes  |        18 |
| 60128523_13000_1_S080 |          884172 | S080        | Completed | 05/13/2020 | No   |        26 |
| 60128523_13000_1_S090 |          884172 | S090        | Completed | 05/13/2020 | No   |        19 |
| 60128523_13000_1_S120 |          884172 | S120        | Completed | 05/13/2020 | No   |        16 |
| 60128523_28000_1_S070 |          884173 | S070        | Completed | 05/13/2020 | No   |        10 |
| 60128523_28000_1_S080 |          884173 | S080        | Completed | 05/13/2020 | No   |        16 |
| 60128523_28000_1_S090 |          884173 | S090        | Completed | 05/13/2020 | No   |        21 |
| 60128523_28000_1_S120 |          884173 | S120        | Completed | 05/13/2020 | No   |        17 |
| 60128523_47000_1_S080 |          884174 | S080        | Completed | 05/13/2020 | Yes  |        10 |
| 60128523_47000_1_S090 |          884174 | S090        | Completed | 05/13/2020 | Yes  |        50 |
| 60128523_47000_1_S120 |          884174 | S120        | Completed | 05/13/2020 | Yes  |        19 |
| 60128569_6000_1_S080  |          884698 | S080        | Completed | 05/13/2020 | Yes  |         9 |
| 60128569_6000_1_S090  |          884698 | S090        | Completed | 05/13/2020 | Yes  |        47 |
| 60128569_6000_1_S120  |          884698 | S120        | Completed | 05/13/2020 | Yes  |        54 |
| 60129071_1000_1_S070  |          105597 | S070        | Completed | 05/13/2020 | No   |       137 |
| 60129071_1000_1_S080  |          105597 | S080        | Completed | 05/13/2020 | No   |        12 |
| 60129071_1000_1_S090  |          105597 | S090        | Completed | 05/13/2020 | No   |        21 |
| 60129071_23000_1_S070 |          105598 | S070        | Completed | 05/13/2020 | Yes  |        50 |
| 60129071_23000_1_S080 |          105598 | S080        | Completed | 05/13/2020 | Yes  |        12 |
| 60129071_23000_1_S090 |          105598 | S090        | Completed | 05/13/2020 | Yes  |        29 |
| 60129071_23000_1_S120 |          105598 | S120        | Completed | 05/13/2020 | Yes  |        20 |
| 60129071_23025_1_S020 |          105600 | S020        | Completed | 05/13/2020 | Yes  |        21 |
| 60129151_2000_1_S090  |          104974 | S090        | Completed | 05/13/2020 | No   |        26 |
| 60129151_2000_1_S120  |          104974 | S120        | Completed | 05/13/2020 | No   |        24 |
+-----------------------+-----------------+-------------+-----------+------------+------+-----------+
&lt;/code&gt;&lt;/pre&gt;
&lt;p&gt;Next, I am creating a view to get some metrics by grouping each workstation. Here is that code:&lt;/p&gt;
&lt;pre&gt;&lt;code&gt;with cteNow AS 
(
    SELECT CASE WHEN 60 * DATEPART(HOUR, GETUTCDATE()) + DATEPART(MINUTE, GETUTCDATE()) &amp;gt; 60 * 21
            THEN CONVERT(float,(16 - 7) * 60) --minutes in (4 PM - 7 AM) * 60 minutes/hour
        ELSE
            CONVERT(float,60 * DATEPART(HOUR, GETUTCDATE()) + DATEPART(MINUTE, GETUTCDATE()) - ((7 + 5) * 60))
        END as MinutesToday
        , CONVERT(varchar(50), DATEADD(HOUR, -5, GETUTCDATE()), 101) as TargetDate 
)
SELECT dbs.Workstation, 
100.0 - ISNULL(SUM(CASE WHEN dbs.Pass = 'Yes' AND Status = 'Completed' THEN 1 ELSE 0 END) / NULLIF(SUM(CASE WHEN dbs.Status = 'Completed' THEN 1 ELSE 0 END), 0), 0) AS RFT
FROM [Booms DBS] AS dbs LEFT JOIN [Booms Delay Entry] AS del ON dbs.ID = del.ID INNER JOIN cteNow AS N ON N.TargetDate = dbs.[Date]
GROUP BY dbs.Workstation, MinutesToday
&lt;/code&gt;&lt;/pre&gt;
&lt;p&gt;The point of this is to measure "Right First Time" for each station. Every time there is a "Yes" value in the &lt;code&gt;Pass&lt;/code&gt; column, it is a hit to RFT. For example, if there is ten total builds in a given station and five of them have "Yes" in the &lt;code&gt;Pass&lt;/code&gt; column, that is 50% RFT. &lt;/p&gt;
&lt;p&gt;However, this is always giving me a result of '100' for the &lt;code&gt;RFT&lt;/code&gt; column. I am adding all these &lt;code&gt;NULLIF&lt;/code&gt; and &lt;code&gt;ISNULL&lt;/code&gt; caveats because sometimes the &lt;code&gt;Pass&lt;/code&gt; column can be null and during some days, there may not be any data at all especially in the mornings. I am assuming that is where the issue lies. Am I not calculating this correctly? I can't think of any other way to not error out or get divide-by-zero errors if I don't include those null checking functions.&lt;/p&gt;
&lt;p&gt;Thanks in advance. &lt;/p&gt;
</t>
  </si>
  <si>
    <t xml:space="preserve">&lt;blockquote&gt;
  &lt;p&gt;The point of this is to measure "Right First Time" for each station. Every time there is a "Yes" value in the Pass column, it is a hit to RFT. For example, if there is ten total builds in a given station and five of them have "Yes" in the Pass column, that is 50% RFT.&lt;/p&gt;
&lt;/blockquote&gt;
&lt;p&gt;It seems like you want conditional aggregation. I don't get the purpose of the date arithmetics in your existing query, but this would do what you described:&lt;/p&gt;
&lt;pre&gt;&lt;code&gt;select 
    workstation, 
    avg(case when statys = 'Completed' and pass = 'Yes' then 1.0 else 0 end) rft_rate
from dbs.workstation
group by workstation
&lt;/code&gt;&lt;/pre&gt;
&lt;p&gt;This gives you one record per &lt;code&gt;workstation&lt;/code&gt;, with a numeric value between 0 and 1 that represents the rate of records that have value &lt;code&gt;'Yes'&lt;/code&gt; in column &lt;code&gt;pass&lt;/code&gt;.&lt;/p&gt;
</t>
  </si>
  <si>
    <t xml:space="preserve">&lt;p&gt;I am trying to generate a PDF with mendix but I can not find any way to add my charts to the PDF.
The charts I have already built for my dashboard now I just want to include them in a PDF report that is sent to the management.&lt;/p&gt;
&lt;p&gt;Any clues are welcomed.&lt;/p&gt;
</t>
  </si>
  <si>
    <t xml:space="preserve">&lt;p&gt;Adding chart to PDFs is not supported natively by Mendix. To achieve your desired functionality you will need to rely on third party extensions.&lt;br&gt;
I recommend &lt;em&gt;Templator - Document (PDF) generation alternative&lt;/em&gt; which you can find in the Mendix app store &lt;a href="https://appstore.home.mendix.com/link/app/114043/" rel="nofollow noreferrer"&gt;https://appstore.home.mendix.com/link/app/114043/&lt;/a&gt;. With this module you can use the same charts that you have built for a page in the generated PDF.&lt;br&gt;
Make sure to check the starting guide at &lt;a href="https://www.notion.so/gajduk/Templator-d35db3ba165346e3b243d6695636ccd4" rel="nofollow noreferrer"&gt;https://www.notion.so/gajduk/Templator-d35db3ba165346e3b243d6695636ccd4&lt;/a&gt;&lt;/p&gt;
</t>
  </si>
  <si>
    <t xml:space="preserve">&lt;p&gt;I am having issue with Custom label behavior. I have created Custom Label to Show/Hide Custom Related list. This custom label is set to &lt;strong&gt;false&lt;/strong&gt; for the first time. It is made &lt;strong&gt;true&lt;/strong&gt; to test but still &lt;strong&gt;$Label.c.Switch&lt;/strong&gt; gives false. I tried to clear cache, tried to reload the page many times and also tried with Private window mode. Sometimes It will be true and sometimes false.  &lt;/p&gt;
&lt;p&gt;Below is the code using Custom Label&lt;/p&gt;
&lt;pre&gt;&lt;code&gt;    &amp;lt;aura:if isTrue="{! $Label.c.Switch == 'true'}"&amp;gt;
        &amp;lt;aura:if isTrue="{!v.failedToLoadDynamicComponent}"&amp;gt;
            &amp;lt;h3&amp;gt;Failed to dynamically load Safety Letters related list.&amp;lt;/h3&amp;gt;
            &amp;lt;aura:set attribute="else"&amp;gt;
                {!v.body}
            &amp;lt;/aura:set&amp;gt;
        &amp;lt;/aura:if&amp;gt;        
        &amp;lt;aura:set attribute="else"&amp;gt;
            &amp;lt;h3&amp;gt;Please make Switch to true to see records&amp;lt;/h3&amp;gt;
        &amp;lt;/aura:set&amp;gt;
    &amp;lt;/aura:if&amp;gt;
&lt;/code&gt;&lt;/pre&gt;
&lt;p&gt;Is anyone else facing this issue or has found a solution for it?&lt;/p&gt;
&lt;p&gt;Many thanks&lt;/p&gt;
</t>
  </si>
  <si>
    <t xml:space="preserve">&lt;p&gt;What is reason for this error? What should I do to resolve this. I have spent Almost a day and not able to solve this issue.&lt;/p&gt;
&lt;pre&gt;&lt;code&gt;C:\Angular\storefront-reference-architecture-master\node_modules\fibers&amp;gt;if not defined npm_config_node_gyp (node "C:\Users\ritu\AppData\Roaming\npm\node_modules\npm\node_modules\npm-lifecycle\node-gyp-bin\\..\..\node_modules\node-gyp\bin\node-gyp.js" rebuild --release )  else (node "C:\Users\ritu\AppData\Roaming\npm\node_modules\npm\node_modules\node-gyp\bin\node-gyp.js" rebuild --release )
gyp ERR! UNCAUGHT EXCEPTION
gyp ERR! stack Error: spawn C:\Program Files (x86)\Microsoft Visual Studio\2017\Community\MSBuild\15.0\Bin\MSBuild.exe ENOENT
gyp ERR! stack     at Process.ChildProcess._handle.onexit (internal/child_process.js:267:19)
gyp ERR! stack     at onErrorNT (internal/child_process.js:469:16)
gyp ERR! stack     at processTicksAndRejections (internal/process/task_queues.js:84:21)
gyp ERR! System Windows_NT 10.0.18362
gyp ERR! command "C:\\Program Files\\nodejs\\node.exe" "C:\\Users\\ritu\\AppData\\Roaming\\npm\\node_modules\\npm\\node_modules\\node-gyp\\bin\\node-gyp.js" "rebuild" "--release"
gyp ERR! cwd C:\Angular\storefront-reference-architecture-master\node_modules\fibers
gyp ERR! node -v v12.16.2
gyp ERR! node-gyp -v v5.1.0
gyp ERR! This is a bug in `node-gyp`.
gyp ERR! Try to update node-gyp and file an Issue if it does not help:
gyp ERR!     &amp;lt;https://github.com/nodejs/node-gyp/issues&amp;gt;
&lt;/code&gt;&lt;/pre&gt;
</t>
  </si>
  <si>
    <t xml:space="preserve">&lt;p&gt;I am trying to insert data in to my zoho creator application form using php curl request.
when i executed the code i'm getting error&lt;/p&gt;
&lt;p&gt;Here is the code snippet that i have used:&lt;/p&gt;
&lt;pre&gt;&lt;code&gt;$xml = "
    &amp;lt;ZohoCreator&amp;gt;
        &amp;lt;applicationlist&amp;gt;
            &amp;lt;application name='APPLICATION_NAME'&amp;gt;
                &amp;lt;formlist&amp;gt;
                    &amp;lt;form name='FORM_NAME'&amp;gt;
                        &amp;lt;add&amp;gt;
                            &amp;lt;field name='Order_id'&amp;gt;
                                &amp;lt;value&amp;gt;1&amp;lt;/value&amp;gt;
                            &amp;lt;/field&amp;gt;
                            &amp;lt;field name='first_name'&amp;gt;
                                &amp;lt;value&amp;gt;first_name&amp;lt;/value&amp;gt;
                            &amp;lt;/field&amp;gt;
                            &amp;lt;field name='last_name'&amp;gt;
                                &amp;lt;value&amp;gt;last_name&amp;lt;/value&amp;gt;
                            &amp;lt;/field&amp;gt;
                        &amp;lt;/add&amp;gt;
                    &amp;lt;/form&amp;gt;
                &amp;lt;/formlist&amp;gt;
            &amp;lt;/application&amp;gt;
        &amp;lt;/applicationlist&amp;gt;
    &amp;lt;/ZohoCreator&amp;gt;
    ";
insert_record($xml);
function insert_record($xml_string){
    $api_url = "https://creator.zoho.com/api/xml/write";
    $post_params = array();
    $post_params['authtoken'] = "*********";
    $post_params['zc_ownername'] = "*********";
    $post_params['scope'] = 'creatorapi';
    $post_params ['XMLString'] = $xml_string;
    $ch = curl_init();
    curl_setopt($ch, CURLOPT_URL, $api_url);
    curl_setopt($ch, CURLOPT_FOLLOWLOCATION, 1);
    curl_setopt($ch, CURLOPT_RETURNTRANSFER, 1);
    curl_setopt($ch, CURLOPT_TIMEOUT, 30);
    curl_setopt($ch, CURLOPT_POST, 1);
    curl_setopt($ch, CURLOPT_POSTFIELDS, $post_params);
    $result = curl_exec($ch);
    curl_close($ch);
    echo $result;
}
&lt;/code&gt;&lt;/pre&gt;
&lt;p&gt;when i executed this code, got response as below :&lt;/p&gt;
&lt;pre&gt;&lt;code&gt;{"code":2945,"message":"INVALID_TICKET"}
&lt;/code&gt;&lt;/pre&gt;
&lt;p&gt;why i'm getting this error response, how to make it work&lt;/p&gt;
</t>
  </si>
  <si>
    <t xml:space="preserve">&lt;p&gt;We have some custom requirement to export our data into excel with custom and conditional cell styling. We have explored two libraries &lt;strong&gt;(xlsxjs and syncfusion)&lt;/strong&gt; and would like to know whether it is compatible with salesforce Lightning Web Components.&lt;br&gt;
Please suggest if there is any other way to achieve the same without the mentioned libraries.&lt;br&gt;
 PFA sample of expected excel file on export.&lt;a href="https://i.stack.imgur.com/fMuA0.png" rel="nofollow noreferrer"&gt;&lt;img src="https://i.stack.imgur.com/fMuA0.png" alt="enter image description here"&gt;&lt;/a&gt;&lt;/p&gt;
</t>
  </si>
  <si>
    <t xml:space="preserve">&lt;p&gt;I am doing the R&amp;amp;D on the duplicate error scenario in SF Bulk API and found that somehow I am not able to perform insert and update operation simultaneously for the contact with the same(external id) within the single batch.&lt;/p&gt;
&lt;p&gt;I received a duplicate error. Screen capture for reference&lt;/p&gt;
&lt;p&gt;&lt;a href="https://www.screencast.com/t/ReE41vuzb" rel="nofollow noreferrer"&gt;https://www.screencast.com/t/ReE41vuzb&lt;/a&gt;&lt;/p&gt;
&lt;p&gt;When the batch contains different external id's I do not have any error. But when external Id is repeated in a single batch I receive the below error. 
{
  "success" : false,
  "created" : false,
  "id" : null,
  "errors" : [ {
    "message" : "Duplicate external id specified: 7401",
    "fields" : [ "Origami_ID__c" ],
    "statusCode" : "DUPLICATE_VALUE",
    "extendedErrorDetails" : null
  }&lt;/p&gt;
&lt;p&gt;Although there is No duplicate at the target side. &lt;/p&gt;
</t>
  </si>
  <si>
    <t xml:space="preserve">&lt;p&gt;file constant.js    &lt;/p&gt;
&lt;pre class="lang-js prettyprint-override"&gt;&lt;code&gt;import { LightningElement } from 'lwc';
import { createRecord } from 'lightning/uiRecordApi';
import { ShowToastEvent } from 'lightning/platformShowToastEvent';
import CONTACT_OBJECT from '@salesforce/schema/Contact';
import FIRSTNAME_FIELD from '@salesforce/schema/Contact.FirstName';
import LASTNAME_FIELD from '@salesforce/schema/Contact.LastName';
import EMAIL_FIELD from '@salesforce/schema/Contact.Email';
import PHONE_FIELD from '@salesforce/schema/Contact.Phone';
import FAX_FIELD from '@salesforce/schema/Contact.Fax';
&lt;/code&gt;&lt;/pre&gt;
&lt;p&gt;file contact.js&lt;/p&gt;
&lt;pre&gt;&lt;code&gt;export default class LdsCreateRecord extends LightningElement {
}
&lt;/code&gt;&lt;/pre&gt;
&lt;p&gt;How can I include constant.js file in contact.js&lt;/p&gt;
&lt;p&gt;for more clarification please visit this 
&lt;a href="https://github.com/meta-gopal-gupta/Salesforce/pull/9#discussion_r424978674" rel="nofollow noreferrer"&gt;Github&lt;/a&gt;&lt;/p&gt;
</t>
  </si>
  <si>
    <t xml:space="preserve">&lt;p&gt;I have intra-page links at the top of a component invoked from a quick action.  They just navigate to sections of a very long page.  When I click on a link it just closes the window.  I've been experimenting with javascript but have not found a solution.  This component works fine when invoked as a modal window, just not as a quick action...  &lt;/p&gt;
</t>
  </si>
  <si>
    <t xml:space="preserve">&lt;p&gt;I am trying to access custom setting in trigger but it is null.&lt;/p&gt;
&lt;p&gt;It is easily accessible in the apex code.&lt;/p&gt;
&lt;p&gt;Code :-   &lt;/p&gt;
&lt;p&gt;TriggerEnableSettings__c settings = TriggerEnableSettings__c.getInstance('test');&lt;/p&gt;
</t>
  </si>
  <si>
    <t xml:space="preserve">&lt;p&gt;I created a &lt;strong&gt;Custom Connector&lt;/strong&gt; our of my REST API that returns &lt;strong&gt;tabular data&lt;/strong&gt;. I used it as a datasource in a canvas powerapp, which store the records from the custom connector into a &lt;strong&gt;collection&lt;/strong&gt;. This collection is used as datasource by a Gallery which successfully displays the items and attributes of each item. However, when I try to &lt;a href="https://docs.microsoft.com/en-us/powerapps/maker/canvas-apps/northwind-orders-canvas-part2#add-an-edit-form-control" rel="nofollow noreferrer"&gt;create an Edit Form&lt;/a&gt; that uses the &lt;strong&gt;collection&lt;/strong&gt; as datasource it cannot access the fields. It does not work using directly the &lt;strong&gt;custom connector&lt;/strong&gt; as data source either.&lt;/p&gt;
&lt;p&gt;In &lt;a href="https://powerusers.microsoft.com/t5/Building-Power-Apps/Forms-amp-Custom-Connectors/m-p/369981#M106595" rel="nofollow noreferrer"&gt;this answer&lt;/a&gt; from @aorphan I read that you can use custom connectors in forms &lt;em&gt;as long as they return &lt;strong&gt;tables&lt;/strong&gt; instead of actions&lt;/em&gt;.  And as far as I can see, the content of the collection is tabular data:
&lt;a href="https://i.stack.imgur.com/zKDJv.png" rel="nofollow noreferrer"&gt;&lt;img src="https://i.stack.imgur.com/zKDJv.png" alt="DataType is Table"&gt;&lt;/a&gt;&lt;/p&gt;
&lt;p&gt;Even the columns of the collection can be accessed as attributes of the item displayed by the Gallery:
&lt;a href="https://i.stack.imgur.com/7RJaF.png" rel="nofollow noreferrer"&gt;&lt;img src="https://i.stack.imgur.com/7RJaF.png" alt="ThisItem fields"&gt;&lt;/a&gt;&lt;/p&gt;
&lt;p&gt;However, even after setting the collection as datasource of a new Edit Form, it is unable to add any fields from the datasource:
&lt;a href="https://i.stack.imgur.com/kYb5E.png" rel="nofollow noreferrer"&gt;&lt;img src="https://i.stack.imgur.com/kYb5E.png" alt="Form add fields"&gt;&lt;/a&gt;&lt;/p&gt;
&lt;p&gt;Just in case my data needs some richer definition to be correctly interpreted by the Form, the JSON returned by my API looks like this:&lt;/p&gt;
&lt;pre&gt;&lt;code&gt;    {
        "quotes": [
            {
                "quote_pk": 347,
                "shipment_name": "test add leg",
                "organization_ff_name": "LIFE",
                "quote_id": "1234",
                "effective_until": "2020-05-10",
                "eta": "2020-05-14T12:00:00Z",
                "price": 100.0,
                "quote_status": 2
            },
            {
                "quote_pk": 345,
                "shipment_name": "test modal review",
                "organization_ff_name": "LIFE",
                "quote_id": "123",
                "effective_until": "2020-05-11",
                "eta": "2020-05-22T12:00:00Z",
                "price": 1749.94,
                "quote_status": 6
            }
        ]
    }
&lt;/code&gt;&lt;/pre&gt;
&lt;p&gt;And the definition of my Custom Connector goes like this:&lt;/p&gt;
&lt;pre&gt;&lt;code&gt;swagger: '2.0'
info: {title: some title, description: some description, version: '1.0'}
host: server.domain.com
basePath: /organizations/endpoint/
schemes: [https]
consumes: []
produces: []
paths:
  /organizations/endpoint/shipment_quotes/: {}
  /shipment_quotes/:
    get:
      responses:
        '200':
          description: default
          schema:
            type: object
            properties:
              quotes:
                type: array
                items:
                  type: object
                  properties:
                    quote_pk: {type: integer, format: int32, description: quote_pk}
                    shipment_name: {type: string, description: shipment_name}
                    organization_ff_name: {type: string, description: organization_ff_name}
                    quote_id: {type: string, description: quote_id}
                    effective_until: {type: string, description: effective_until}
                    eta: {type: string, description: eta}
                    price: {type: number, format: float, description: price}
                    quote_status: {type: integer, format: int32, description: quote_status}
                description: quotes
      summary: peration summary
      description: operation description
      operationId: operationId
      parameters:
      - {name: Content-Type, in: header, required: false, type: string}
      - {name: Accept, in: header, required: false, type: string}
definitions: {}
parameters: {}
responses: {}
securityDefinitions: {}
security: []
tags: []
&lt;/code&gt;&lt;/pre&gt;
&lt;p&gt;Please help me to get the datasource right so the form be able to add its fields, or at least let me know in case this is not possible for some reason so I can move on.&lt;/p&gt;
</t>
  </si>
  <si>
    <t xml:space="preserve">&lt;p&gt;&lt;em&gt;Formally&lt;/em&gt;, Collections cannot be used as a DataSource for Form controls in PowerApps. You're efforts are admirable and it looks like you've tried just about everything, so I'll pass my little secret. 
Its probably not officially supported so use at your own risk. &lt;/p&gt;
&lt;ol&gt;
&lt;li&gt;Create a Collection of the response from your Custom Connector (which you've done)&lt;/li&gt;
&lt;li&gt;Add a Gallery control and set its &lt;code&gt;Items&lt;/code&gt; property to the Collection (which you've already done)&lt;/li&gt;
&lt;li&gt;Add an Edit Form control and set its &lt;code&gt;DataSource&lt;/code&gt; property to the Collection (which you've already done)&lt;/li&gt;
&lt;li&gt;Click the three little dots and &lt;code&gt;Add Custom Card&lt;/code&gt;&lt;/li&gt;
&lt;li&gt;Add a TextBox control to the Custom Card. &lt;/li&gt;
&lt;li&gt;Set the TextBox &lt;code&gt;Default&lt;/code&gt; property to &lt;code&gt;gallery.Selected.X&lt;/code&gt; where "X" is the value you want to edit in the form. &lt;/li&gt;
&lt;li&gt;Repeat steps 4-7 for each form field you wish to capture. &lt;/li&gt;
&lt;li&gt;&lt;p&gt;Create a "Submit" button in the Form which Patches/UpdateIf's the Collection &lt;strong&gt;then&lt;/strong&gt; calls your POST (or PUT) method from the Custom Connector to patch the edits back to your DataSource.&lt;/p&gt;
&lt;p&gt;8a. I only see a GET request in your swagger file. You'll (obviously) need a POST/PUT to get the data &lt;em&gt;from&lt;/em&gt; the Collection back up &lt;em&gt;to&lt;/em&gt; your DataSource. &lt;/p&gt;
&lt;p&gt;8b. This little "wrapper" is likely what PowerApps handles for you when you use an "approved" DataSource for a Form control.&lt;/p&gt;&lt;/li&gt;
&lt;/ol&gt;
&lt;p&gt;&lt;strong&gt;Note:&lt;/strong&gt; Your Form will show "No data source" in the PowerApps studio, but your user won't see it. &lt;/p&gt;
&lt;p&gt;&lt;strong&gt;Here it is in action:&lt;/strong&gt;
&lt;a href="https://i.stack.imgur.com/sIzbd.gif" rel="nofollow noreferrer"&gt;&lt;img src="https://i.stack.imgur.com/sIzbd.gif" alt="enter image description here"&gt;&lt;/a&gt;&lt;/p&gt;
&lt;p&gt;&lt;a href="https://i.stack.imgur.com/khWRs.png" rel="nofollow noreferrer"&gt;&lt;img src="https://i.stack.imgur.com/khWRs.png" alt="enter image description here"&gt;&lt;/a&gt;&lt;/p&gt;
&lt;p&gt;Help much?&lt;/p&gt;
</t>
  </si>
  <si>
    <t xml:space="preserve">&lt;p&gt;I'm creating a powerapp interface for a small corporation that using office365/sharepoint to log in to their network. Is it possible to use both the username or email and password to login and pass on to the next screen? so far this is what I’m working with "-----" don't know what to use.&lt;/p&gt;
&lt;pre&gt;&lt;code&gt;If (User().Email = Txt_Inpt_Us, User().
&lt;/code&gt;&lt;/pre&gt;
&lt;p&gt;and&lt;/p&gt;
&lt;pre&gt;&lt;code&gt;If(User().Email exactin Txt_Inpt_Us.Text).------ = Txt_Inpt_Pas.Text, false, true)
&lt;/code&gt;&lt;/pre&gt;
&lt;p&gt;I've tried various combinations and combing through powerapps help but am growing tired and wanted to get y'alls take. &lt;/p&gt;
</t>
  </si>
  <si>
    <t xml:space="preserve">&lt;p&gt;PowerApps will be used by internal employees in a corporate using Azure AD user account, which is used for Single signon across Sharepoint, O365, etc. In some cases external guests can be shared with this PowerApp but still they have to be in some AAD and invited through your company AAD as guests.&lt;/p&gt;
&lt;p&gt;That being said, Authentication for PowerApp is already taken care by Azure AD challenge. Not sure why you want to have a separate login screen to mimic the behavior.&lt;/p&gt;
&lt;p&gt;In case you want some registration process to use and authorization on multiple role/persona, then you should maintain a separate database to handle the entitlements and authorization.&lt;/p&gt;
&lt;p&gt;Don’t forget, this is going to be extra step for users, to get authenticated in addition to AAD always.&lt;/p&gt;
</t>
  </si>
  <si>
    <t xml:space="preserve">&lt;p&gt;Can anybody explain how to perform the &lt;code&gt;HTMLElement.getProperty('attributeName')&lt;/code&gt; in LWC&lt;/p&gt;
&lt;p&gt;Here is what I am doing:&lt;/p&gt;
&lt;p&gt;MarkUp&lt;/p&gt;
&lt;pre&gt;&lt;code&gt;&amp;lt;lightning-input 
  data-my-id="in1" 
  name="message" 
  value={message} 
  label="Event Demonstration" 
  placeholder="Put some value here" 
  onchange={handleinputchange}&amp;gt;
&lt;/code&gt;&lt;/pre&gt;
&lt;p&gt;JavaScript&lt;/p&gt;
&lt;pre&gt;&lt;code&gt;handleinputchange(event){
   var input = this.template.querySelector("lightning-input[data-my-id=in1]");
   console.log(input.getAttribute('value'));  // this gives null
}
&lt;/code&gt;&lt;/pre&gt;
&lt;p&gt;Am I doing something wrong?&lt;br&gt;
Or is there any other workaround?&lt;br&gt;
Or is there any limitation like we can not access lightning elements like this because even the element inspector does not show the &lt;code&gt;"value"&lt;/code&gt; attribute in markup that is rendered in dev console.&lt;/p&gt;
</t>
  </si>
  <si>
    <t xml:space="preserve">&lt;p&gt;I'm wondering if it is possible to trigger an Azure Data Factory pipeline from a Microsoft Power App, and if so, how would one go about configuring this?&lt;/p&gt;
&lt;ul&gt;
&lt;li&gt;I was unable to find a PowerApp connector trigger in Azure Data Factory&lt;/li&gt;
&lt;li&gt;I was unable to find a PowerApp connector trigger in Azure Logic Apps&lt;/li&gt;
&lt;li&gt;I have experience with Azure, but no experience in PowerApps&lt;/li&gt;
&lt;/ul&gt;
&lt;p&gt;If you have any ideas or information for me that would be great.&lt;/p&gt;
&lt;p&gt;Thanks!&lt;/p&gt;
</t>
  </si>
  <si>
    <t xml:space="preserve">&lt;p&gt;You can trigger an Azure Data Factory pipeline using the REST API like this:&lt;/p&gt;
&lt;blockquote&gt;
  &lt;p&gt;The following sample command shows you how to run your pipeline by using the REST API manually:&lt;/p&gt;
&lt;pre&gt;&lt;code&gt;POST  
https://management.azure.com/subscriptions/mySubId/resourceGroups/myResourceGroup/providers/Microsoft.DataFactory/factories/myDataFactory/pipelines/copyPipeline/createRun?api-version=2017-03-01-preview
&lt;/code&gt;&lt;/pre&gt;
&lt;/blockquote&gt;
&lt;p&gt;More information: &lt;a href="https://docs.microsoft.com/en-us/azure/data-factory/concepts-pipeline-execution-triggers#manual-execution-on-demand" rel="nofollow noreferrer"&gt;Pipeline execution and triggers in Azure Data Factory&lt;/a&gt; &amp;rarr; &lt;a href="https://docs.microsoft.com/en-us/azure/data-factory/concepts-pipeline-execution-triggers#manual-execution-on-demand" rel="nofollow noreferrer"&gt;Manual execution (on-demand)&lt;/a&gt; &amp;rarr; &lt;a href="https://docs.microsoft.com/en-us/azure/data-factory/concepts-pipeline-execution-triggers#rest-api" rel="nofollow noreferrer"&gt;REST API&lt;/a&gt;&lt;/p&gt;
</t>
  </si>
  <si>
    <t xml:space="preserve">&lt;p&gt;In Sharepoint online, I have a page that displays a powerapp. Sometimes, when loading the page, the following error occurs:
&lt;a href="https://i.stack.imgur.com/q86Ot.png" rel="nofollow noreferrer"&gt;&lt;img src="https://i.stack.imgur.com/q86Ot.png" alt="enter image description here"&gt;&lt;/a&gt;&lt;/p&gt;
&lt;p&gt;When I refresh the page, the powerapp loads fine. Does anyone have any idea why this error is occuring and how to avoid it?&lt;/p&gt;
</t>
  </si>
  <si>
    <t xml:space="preserve">&lt;p&gt;I have a table A and Table B.&lt;/p&gt;
&lt;p&gt;A is parent of B&lt;/p&gt;
&lt;p&gt;What I want to do is perform a quickbase API call API_DoQuery to get the records in table A with all child records, something like this&lt;/p&gt;
&lt;p&gt;id,
name
child:[id, name]&lt;/p&gt;
&lt;p&gt;how can I do that right now I only got the values in table A and a number in the relation field
.
What I need to do ?&lt;/p&gt;
&lt;p&gt;Thanks.&lt;/p&gt;
</t>
  </si>
  <si>
    <t xml:space="preserve">&lt;p&gt;You can use a Combined Text summary field on the parent table to pull all child values into a single comma separated field on the parent table. Since Combined Text fields only work with strings, the Name field should work fine, but for the Record ID you need to first convert that to a string (text) in  a new formula text field on the child table.&lt;/p&gt;
&lt;p&gt;Summary field on parent:&lt;/p&gt;
&lt;p&gt;&lt;a href="https://i.stack.imgur.com/4oEUZ.png" rel="nofollow noreferrer"&gt;&lt;img src="https://i.stack.imgur.com/4oEUZ.png" alt="enter image description here"&gt;&lt;/a&gt;&lt;/p&gt;
&lt;p&gt;Formula field to convert Record ID from numeric to string:
&lt;a href="https://i.stack.imgur.com/5PJdJ.png" rel="nofollow noreferrer"&gt;&lt;img src="https://i.stack.imgur.com/5PJdJ.png" alt="enter image description here"&gt;&lt;/a&gt;&lt;/p&gt;
</t>
  </si>
  <si>
    <t xml:space="preserve">&lt;p&gt;I'm trying to create my first excel data driven app. 
I created a Workbook in Excel 365, put some data and inserted a Table on top of it.&lt;/p&gt;
&lt;p&gt;When I select that workbook via Power Apps, it's unable to load the table.&lt;/p&gt;
&lt;p&gt;The Excel is in OneDrive for Business and I'm using the same account.&lt;/p&gt;
&lt;p&gt;The OneDrive is not being synced to my computer.&lt;/p&gt;
&lt;p&gt;&lt;a href="https://i.stack.imgur.com/lOBn0.png" rel="nofollow noreferrer"&gt;&lt;img src="https://i.stack.imgur.com/lOBn0.png" alt="Power Apps Error "&gt;&lt;/a&gt;&lt;/p&gt;
&lt;p&gt;&lt;a href="https://i.stack.imgur.com/Lx8fy.png" rel="nofollow noreferrer"&gt;&lt;img src="https://i.stack.imgur.com/Lx8fy.png" alt="Excel Table "&gt;&lt;/a&gt;&lt;/p&gt;
</t>
  </si>
  <si>
    <t xml:space="preserve">&lt;p&gt;I am using Excel table as a data source and I have also added Office365Users data source.&lt;/p&gt;
&lt;p&gt;Now, the Excel table looks like this&lt;/p&gt;
&lt;pre&gt;&lt;code&gt;Name  Age Location
John  30  US
Mike  32  Canada
&lt;/code&gt;&lt;/pre&gt;
&lt;p&gt;It is formatted as a table in the Excel so it is a proper data source it is called &lt;code&gt;users&lt;/code&gt;&lt;/p&gt;
&lt;p&gt;What I am trying to do is to use &lt;code&gt;Office365Users.MyProfile().DisplayName&lt;/code&gt; and match it with the name from the Excel row.&lt;/p&gt;
&lt;p&gt;So the end result would be that the app would display only my name, age and location rows.&lt;/p&gt;
&lt;p&gt;After hours of struggling I haven't gotten anywhere with this, I just cannot figure out how to loop through the "Users" table and then match the Name column and display only that row.&lt;/p&gt;
&lt;p&gt;If someone could help me or perhaps have a similar example I would be very grateful!&lt;/p&gt;
</t>
  </si>
  <si>
    <t xml:space="preserve">&lt;p&gt;You can use the &lt;a href="https://docs.microsoft.com/powerapps/maker/canvas-apps/functions/function-filter-lookup" rel="nofollow noreferrer"&gt;LookUp function&lt;/a&gt; to find the row that matches your display name. For example, if you have one label where you would show the user age, you could set its Text property to something like&lt;/p&gt;
&lt;pre&gt;&lt;code&gt;"Age: " &amp;amp; LookUp(MyExcelTableName, Name = Office365Users.MyProfile().DisplayName, Age)
&lt;/code&gt;&lt;/pre&gt;
&lt;p&gt;And similarly to display the location:&lt;/p&gt;
&lt;pre&gt;&lt;code&gt;"Location: " &amp;amp; LookUp(MyExcelTableName, Name = Office365Users.MyProfile().DisplayName, Location)
&lt;/code&gt;&lt;/pre&gt;
&lt;p&gt;You can also improve a little the performance of your app by caching the result of the MyProfile() call, and possibly the LookUp as well, so you won't need to make the network call multiple times. For example, in your screen where you have your labels, you can have this expressions in the OnVisible property:&lt;/p&gt;
&lt;pre&gt;&lt;code&gt;Set(myProfile, Office365Users.MyProfile());
Set(myInfo, LookUp(MyExcelTableName, Name = myProfile.DisplayName))
&lt;/code&gt;&lt;/pre&gt;
&lt;p&gt;And your label texts would become&lt;/p&gt;
&lt;pre&gt;&lt;code&gt;"Age: " &amp;amp; myInfo.Age
"Location: " &amp;amp; myInfo.Location
&lt;/code&gt;&lt;/pre&gt;
&lt;p&gt;Hope this helps!&lt;/p&gt;
</t>
  </si>
  <si>
    <t xml:space="preserve">&lt;p&gt;So I've created managed to create and link my login screen and home screen features, buttons, etc. What I'm trying to do now is build a custom screen in Power Apps that works like specific fields in an Excel document I created. The file does not use tables, yet has fields in different location on the work page. I'd like to be able to press a save button on the app and have the various fields with and without out input save to the specified cell location (ex. Supervisor for "A Location" goes to Cell B2, or comment box text goes to Q13)&lt;a href="https://i.stack.imgur.com/nxaXG.png" rel="nofollow noreferrer"&gt;Excel form&lt;/a&gt;&lt;/p&gt;
&lt;p&gt;Everywhere i look its all tables.&lt;/p&gt;
</t>
  </si>
  <si>
    <t xml:space="preserve">&lt;p&gt;I have a problem that makes me confused,&lt;/p&gt;
&lt;p&gt;I have a flow that executed in Power Apps and the result of MS Flow will store to collection, but after executing the flow, the collection still empty of rows.&lt;/p&gt;
&lt;p&gt;Here is my code in Power Apps&lt;/p&gt;
&lt;pre&gt;&lt;code&gt;ClearCollect(
    collTest,
    SORExcuteQueryString.Run(varStrQuery)
);
&lt;/code&gt;&lt;/pre&gt;
&lt;p&gt;And this is my Flow&lt;/p&gt;
&lt;p&gt;&lt;a href="https://i.stack.imgur.com/P6sbE.png" rel="nofollow noreferrer"&gt;All action in Flow are successfully&lt;/a&gt;&lt;/p&gt;
&lt;p&gt;&lt;a href="https://i.stack.imgur.com/W0xJK.png" rel="nofollow noreferrer"&gt;Result of Flow&lt;/a&gt;&lt;/p&gt;
&lt;p&gt;&lt;a href="https://i.stack.imgur.com/MwGoH.png" rel="nofollow noreferrer"&gt;Result of Flow 2&lt;/a&gt;&lt;/p&gt;
&lt;p&gt;&lt;a href="https://i.stack.imgur.com/RhvHR.png" rel="nofollow noreferrer"&gt;collection&lt;/a&gt;&lt;/p&gt;
&lt;p&gt;&lt;a href="https://i.stack.imgur.com/OjjSm.png" rel="nofollow noreferrer"&gt;apps code&lt;/a&gt;&lt;/p&gt;
&lt;p&gt;&lt;a href="https://i.stack.imgur.com/BOuYc.png" rel="nofollow noreferrer"&gt;Execute a SQL Query&lt;/a&gt;&lt;/p&gt;
&lt;p&gt;&lt;a href="https://i.stack.imgur.com/q779I.png" rel="nofollow noreferrer"&gt;Execute Stored Procedure&lt;/a&gt;&lt;/p&gt;
&lt;p&gt;and this is my Scheme of the response&lt;/p&gt;
&lt;pre&gt;&lt;code&gt;    {
    "type": "array",
    "items": {
        "type": "object",
        "properties": {
            "Area": {
                "type": "string"
            },
            "DADays": {
                "type": "integer"
            },
            "CustomerName": {
                "type": "string"
            },
            "SalesmanName": {
                "type": "string"
            },
            "ProductName": {
                "type": "string"
            },
            "QTY": {
                "type": "integer"
            },
            "UOM": {
                "type": "string"
            },
            "OpportunityNo": {
                "type": "string"
            },
            "ProductFamily": {
                "type": "string"
            }
        },
        "required": [
            "Area",
            "DADays",
            "CustomerName",
            "SalesmanName",
            "ProductName",
            "QTY",
            "UOM",
            "OpportunityNo",
            "ProductFamily"
        ]
    }
}
&lt;/code&gt;&lt;/pre&gt;
&lt;p&gt;thanks full for your helps&lt;/p&gt;
</t>
  </si>
  <si>
    <t xml:space="preserve">&lt;p&gt;we have requirement in Salesforce-Vlocity 
in Angular template we want to click one button and on that click we want to embed/append the LWC/VF page in to Angular Card itself. and LWC/VF is also fully funtional to call separatly omniscript page call. &lt;/p&gt;
&lt;p&gt;thanks in advance.&lt;/p&gt;
</t>
  </si>
  <si>
    <t xml:space="preserve">&lt;p&gt;The salesforce lightning design system &lt;a href="https://react.lightningdesignsystem.com/components/inputs/#prop-onInvalid" rel="nofollow noreferrer"&gt;documents&lt;/a&gt; an &lt;code&gt;onInvalid&lt;/code&gt; callback for the &lt;code&gt;Input&lt;/code&gt; component.  It does not appear to provide any examples though.&lt;/p&gt;
&lt;p&gt;I have tried something similar to the following code.  When I change the input to an invalid value, for example 2, then the error handler is not executed.&lt;/p&gt;
&lt;pre&gt;&lt;code&gt;&amp;lt;Input type='number'
       min='3'
       value={someValue}
       onChange={someChangeHandler}
       onInvalid={someErrorHandler} /&amp;gt;
&lt;/code&gt;&lt;/pre&gt;
&lt;p&gt;How can I use this to validate an input?&lt;/p&gt;
&lt;p&gt;Any examples of the correct usage would be appreciated.&lt;/p&gt;
</t>
  </si>
  <si>
    <t xml:space="preserve">&lt;p&gt;Having a bit of trouble getting a tick to appear visible in a gallery if the user has made a selection in a drop down column in the edit details screen. &lt;/p&gt;
&lt;p&gt;Just a bit of background. I have created a share-point list of my data. The dropdown selection I would like my users to fill out is a choices field within my share-point list. The selections appear correctly and are written to sharepoint when the selection is made. &lt;/p&gt;
&lt;p&gt;However when i try to call my choices field in the visibility field i get errors. I've tried all sorts of permutations to figure it out but just can't. I've tried in the visible property of the tickbox to do.&lt;/p&gt;
&lt;p&gt;&lt;strong&gt;Calling the item&lt;/strong&gt;:
If(!IsBlank(ThisItem.Validation_Status_),true, false)&lt;/p&gt;
&lt;p&gt;&lt;strong&gt;Calling the Datafield&lt;/strong&gt;:
If(!IsBlank("Validation Status"),true, false)&lt;/p&gt;
&lt;p&gt;&lt;strong&gt;Calling the DataCard&lt;/strong&gt;:
If(!IsBlank(DataCardValue22.Selected),true, false)&lt;/p&gt;
&lt;p&gt;The weird thing is that I cant even call the choices field as an item within my gallery, does any one know how i can check to see if that field has been filled in per gallery item. At the this point the solution doesn't need to be tick box visibility,  just a "yes" or "no" if it has been filled out would be great as well!&lt;/p&gt;
&lt;p&gt;Kind regards,&lt;/p&gt;
</t>
  </si>
  <si>
    <t xml:space="preserve">&lt;p&gt;Its a challenging to visualize what you are looking for, but I think you want a Checkbox control, in a Gallery to show &lt;code&gt;true&lt;/code&gt; if the column in Sharepoint is &lt;code&gt;true&lt;/code&gt; and &lt;code&gt;false&lt;/code&gt; if the column is &lt;code&gt;false&lt;/code&gt;.&lt;/p&gt;
&lt;p&gt;&lt;strong&gt;You'll want to focus on the &lt;code&gt;Default&lt;/code&gt; property of the Checkbox.&lt;/strong&gt; &lt;/p&gt;
&lt;p&gt;Set the &lt;code&gt;Default&lt;/code&gt; property to:&lt;/p&gt;
&lt;pre&gt;&lt;code&gt;If(ThisItem.ColumnName = X, true, false)
&lt;/code&gt;&lt;/pre&gt;
&lt;p&gt;Where &lt;code&gt;ColumnName&lt;/code&gt; is the Sharepoint column and &lt;code&gt;X&lt;/code&gt; is the affirmative value in the column. You can also use &lt;code&gt;!IsBlank&lt;/code&gt; or any logic operator you want &lt;code&gt;&amp;lt;,&amp;gt;,=&lt;/code&gt; etc. &lt;/p&gt;
&lt;p&gt;&lt;strong&gt;Heres a quick example:&lt;/strong&gt;&lt;/p&gt;
&lt;p&gt;&lt;a href="https://i.stack.imgur.com/7wxjo.gif" rel="nofollow noreferrer"&gt;&lt;img src="https://i.stack.imgur.com/7wxjo.gif" alt="enter image description here"&gt;&lt;/a&gt;&lt;/p&gt;
</t>
  </si>
  <si>
    <t xml:space="preserve">&lt;pre&gt;&lt;code&gt;
    from salesforce_api import Salesforce
    client = * connection details*
    desc_obj = client.sobjects.Case_Details__c.describe()
&lt;/code&gt;&lt;/pre&gt;
&lt;p&gt;I want to the object name to be dynamic as it will be an user input. Something like:-&lt;/p&gt;
&lt;pre&gt;&lt;code&gt;   from salesforce_api import Salesforce
   client = * connection details*
   def extract_sffields(table_name):
       desc_obj = client.sobjects.%table_name%.describe()
&lt;/code&gt;&lt;/pre&gt;
&lt;p&gt;where table is dynamic. &lt;/p&gt;
</t>
  </si>
  <si>
    <t xml:space="preserve">&lt;p&gt;In Python you can use the builtins &lt;code&gt;getattr&lt;/code&gt; and &lt;code&gt;setattr&lt;/code&gt; to manipulate object attributes. So you can write:&lt;/p&gt;
&lt;pre&gt;&lt;code&gt;desc_obj = getattr(client.sobjects, table_name).describe()
&lt;/code&gt;&lt;/pre&gt;
</t>
  </si>
  <si>
    <t xml:space="preserve">&lt;p&gt;I have an app that was developed using Angular 9 and we are using the login with  Azure AD B2C.
The users that we have in the  Azure AD B2C are Member(type).&lt;/p&gt;
&lt;p&gt;We have a new requirement where we have to embed power apps in the web app (iframe tag - Canvas App), but we saw that always ask for sign in, but we want to re-use the token generated with the login to see the power app.&lt;/p&gt;
&lt;p&gt;We created the power apps in the same directory as the Azure AD B2C and we shared it to everyone.
I tested the @microsoft/powerappsplayersdk sdk for angular but it's still not working, exists a getAccessToken function but neither works&lt;/p&gt;
&lt;p&gt;Any ideas about what is missing? or what I have to do to avoid login again when I try to see a power app within my web application?&lt;/p&gt;
</t>
  </si>
  <si>
    <t xml:space="preserve">&lt;p&gt;How do I add a Zoho CRM Lead with the Zoho CRM v2 API, using simple curl connections? The docs are not very clear on not only how to add a lead, but how to even get the proper oAuth token to create the lead.&lt;/p&gt;
</t>
  </si>
  <si>
    <t xml:space="preserve">&lt;p&gt;&lt;a href="https://www.zoho.com/crm/developer/docs/api/insert-records.html" rel="nofollow noreferrer"&gt;The docs&lt;/a&gt; are not very clear on this process. So, I'll simplify this. The biggest hurdle are the steps to get the refresh token. Once you have that, you can generate countless access tokens that are used to make the actual API calls.&lt;/p&gt;
&lt;h1&gt;How To Get Your Refresh Token&lt;/h1&gt;
&lt;ol&gt;
&lt;li&gt;Login to your Zoho CRM &lt;em&gt;with an admin-level account&lt;/em&gt; and have that open in a tab. Then, in another browser tab, login into the Developer API Console: &lt;a href="https://api-console.zoho.com/" rel="nofollow noreferrer"&gt;https://api-console.zoho.com/&lt;/a&gt;&lt;/li&gt;
&lt;li&gt;In the Developer API Console, you need to create a Server-Side Client. The fields should be populated like so: &lt;strong&gt;Client Name&lt;/strong&gt; (any logical name you want), &lt;strong&gt;Homepage URL&lt;/strong&gt; (the homepage of the domain where you're going to be making the API calls, or just use the same URL for where you're doing the redirects), &lt;strong&gt;Authorized Redirect URIs&lt;/strong&gt; (put a web page up on the domain where you're going to make the API call and make it emit nothing more than "zoho confirmed"). (The "zoho confirmed" is not required and not mentioned in the docs, but does help you understand the process better.) Click Create.&lt;/li&gt;
&lt;li&gt;Once created, click on it again and there's a tab called Client Secret. Click it and record in a notepad your &lt;strong&gt;Client ID&lt;/strong&gt; and &lt;strong&gt;Client Secret&lt;/strong&gt;.&lt;/li&gt;
&lt;li&gt;Take a URL encoder script online (or use PHP or any other tool) and URL encode the following parameters for a new URL you need to compose and load in your browser in the next step:&lt;/li&gt;
&lt;/ol&gt;
&lt;pre&gt;&lt;code&gt;scope: ZohoCRM.modules.ALL,ZohoCRM.settings.ALL,ZohoCRM.users.ALL,ZohoCRM.org.ALL,aaaserver.profile.ALL,ZohoCRM.settings.functions.all,ZohoCRM.notifications.all,ZohoCRM.coql.read,ZohoCRM.files.create,ZohoCRM.bulk.all
response_type: code
access_type: offline
client_id: {use the Client ID you recorded in step 3}
redirect_uri: {use the Authorized Redirect URI you generated in step 2}
&lt;/code&gt;&lt;/pre&gt;
&lt;ol start="5"&gt;
&lt;li&gt;With those URL encoded parameters, pass them to the end of this URL in your browser: &lt;code&gt;https://accounts.zoho.com/oauth/v2/auth?&lt;/code&gt; Thus, you would have something similar to:&lt;/li&gt;
&lt;/ol&gt;
&lt;pre&gt;&lt;code&gt;https://accounts.zoho.com/oauth/v2/auth?scope=ZohoCRM.modules.ALL%2CZohoCRM.settings.ALL%2CZohoCRM.users.ALL%2CZohoCRM.org.ALL%2Caaaserver.profile.ALL%2CZohoCRM.settings.functions.all%2CZohoCRM.notifications.all%2CZohoCRM.coql.read%2CZohoCRM.files.create%2CZohoCRM.bulk.all&amp;amp;client_id=1000.TTT0BSTTTC9TTTRILR3MGXBYAC82LH&amp;amp;response_type=code&amp;amp;access_type=offline&amp;amp;redirect_uri=https%3A%2F%2Fexample.com%3Azohoconfirm
&lt;/code&gt;&lt;/pre&gt;
&lt;p&gt;&lt;em&gt;Please note that if your redirect URI (like &lt;a href="https://example.com/zohoconfirm" rel="nofollow noreferrer"&gt;https://example.com/zohoconfirm&lt;/a&gt;, above) does another redirection with like a 301 or 302 redirect and doesn't also forward those query parameters, then you'll lose the parameters you need to see when finished.&lt;/em&gt;&lt;/p&gt;
&lt;ol start="6"&gt;
&lt;li&gt;&lt;p&gt;Once you load that in your browser, you will see an Accept button. If you do not, then you may have missed that in step 1 you were supposed to login to the CRM in one tab, and then open a new tab to do other tasks. That makes a session open for you and it knows who you are when doing step 5.&lt;/p&gt;&lt;/li&gt;
&lt;li&gt;&lt;p&gt;After you click the Accept button, Zoho's account system will redirect you to your Authorized Redirect URI that you specified. So, if you followed these steps exactly, you should see some output like "zoho confirmed". But do not close the tab. Look at the URL of the tab and cut/paste it into your notepad. In there, grab that &lt;strong&gt;code&lt;/strong&gt; parameter.&lt;/p&gt;&lt;/li&gt;
&lt;li&gt;&lt;p&gt;Now that you have that code parameter, you need to create a special Curl POST request. You can do this either via command line or with your favorite programming language. From command line on Linux, this would look something like the following:&lt;/p&gt;&lt;/li&gt;
&lt;/ol&gt;
&lt;pre&gt;&lt;code&gt;curl "https://accounts.zoho.com/oauth/v2/token" \
-X POST \
-d "grant_type=authorization_code&amp;amp;code=1000.aaa1f9aa8582eaaaafeaddfaf0f3b6b.bf7fe646ba899783501c21a9a3240aaa&amp;amp;client_id=1000.AAAA0BSIC7C9AAAARILR3MGXBYAC8AAA&amp;amp;client_secret=aaa9aa9166055932ff8c0279c6253a65cb534daaaa&amp;amp;redirect_uri=https%3A%2F%2Fexample.com%2Fzohoconfirm"
&lt;/code&gt;&lt;/pre&gt;
&lt;p&gt;The URL-encoded parameters you need to fill out are:&lt;/p&gt;
&lt;pre&gt;&lt;code&gt;grant_type: authorization_code
code: {the code you recorded from step 7}
client_id: {the Client ID you recorded in step 3}
client_secret: {the Client Secret you recorded in step 3}
redirect_uri: {the Authorized Redirect URI you recorded in step 2}
&lt;/code&gt;&lt;/pre&gt;
&lt;ol start="9"&gt;
&lt;li&gt;Once you run that Curl command, it will return some JSON that looks similar to the following:&lt;/li&gt;
&lt;/ol&gt;
&lt;pre&gt;&lt;code&gt;{"access_token":"1000.aaaa5579abeea73871b096c941ec1df8.7835dbb43bbf5122f2d5810f0b65aaa","refresh_token":"1000.aaaa2683a1723d1aeb7b58899849aaaa.aaaa4c22481da67e85e598f4b988aaa","api_domain":"https://www.zohoapis.com","token_type":"Bearer","expires_in":3600}
&lt;/code&gt;&lt;/pre&gt;
&lt;ol start="10"&gt;
&lt;li&gt;Now, in the JSON output, you &lt;em&gt;could&lt;/em&gt; use that &lt;strong&gt;access_token&lt;/strong&gt; to make an API call to generate the lead, but you're better off just taking that &lt;strong&gt;refresh_token&lt;/strong&gt; and putting that in a configuration file for later use in your programming. According to their documentation, their refresh_token lasts forever. You should keep this in an extremely secure place.&lt;/li&gt;
&lt;/ol&gt;
&lt;h1&gt;How To Get Your Access Token&lt;/h1&gt;
&lt;ol&gt;
&lt;li&gt;Now that you get your &lt;strong&gt;refresh_token&lt;/strong&gt;, you use it to generate a fresh &lt;strong&gt;access_token&lt;/strong&gt; each time you need to make an API call. To do that, make another Curl POST with a URL similar to below. In Linux command line with Curl, as an example, here's what it would look like:&lt;/li&gt;
&lt;/ol&gt;
&lt;pre&gt;&lt;code&gt;curl "https://accounts.zoho.com/oauth/v2/token" \
-X POST \
-d "grant_type=refresh_token&amp;amp;refresh_token=1000.aaaa2683a1723d1aeb7b58899849aaaa.aaaa4c22481da67e85e598f4b988aaa&amp;amp;client_id=1000.AAAA0BSIC7C9AAAARILR3MGXBYAC8AAA&amp;amp;client_secret=aaa9aa9166055932ff8c0279c6253a65cb534daaaa"
&lt;/code&gt;&lt;/pre&gt;
&lt;p&gt;Here's an explanation of how to do the URL-encoded parameters:&lt;/p&gt;
&lt;pre&gt;&lt;code&gt;grant_type: refresh_token
refresh_token: {use the refresh_token (the one I said that would last forever) from your stored config file from step 10 in the previous steps}
client_id: {use your client_id}
client_secret: {use your client_secret} 
&lt;/code&gt;&lt;/pre&gt;
&lt;ol start="2"&gt;
&lt;li&gt;Running the above command should return to you some JSON that looks similar to:&lt;/li&gt;
&lt;/ol&gt;
&lt;pre&gt;&lt;code&gt;{"access_token":"1000.aaa1c95788b34226c2844a841bfd1d5.6aff70f4adbc3fee9e6b57579e481aaa","api_domain":"https://www.zohoapis.com","token_type":"Bearer","expires_in":3600}
&lt;/code&gt;&lt;/pre&gt;
&lt;ol start="3"&gt;
&lt;li&gt;In your favorite programming language, you'll be storing that &lt;strong&gt;access_token&lt;/strong&gt; you received in a temporary variable so that you can make an API call to do something like add a Zoho CRM Lead. That access token will last 3600 seconds (1 hour), but really is of no consequence because you can generate infinite access tokens since you have that refresh_token stored in a configuration file.&lt;/li&gt;
&lt;/ol&gt;
&lt;h1&gt;How To Create A Zoho CRM Lead&lt;/h1&gt;
&lt;ol&gt;
&lt;li&gt;In your favorite programming language, you'll be using that refresh token to create an access token, and then using it for the following header to pass in your API call:&lt;/li&gt;
&lt;/ol&gt;
&lt;pre&gt;&lt;code&gt;Authorization: Zoho-oauthtoken XXXXXX
&lt;/code&gt;&lt;/pre&gt;
&lt;p&gt;...where XXXXXX is the access_token you received from the previous set of instructions.&lt;/p&gt;
&lt;ol start="2"&gt;
&lt;li&gt;Here's a sample in PHP with file_get_contents (although you can do the same with PHP's Curl) to make a request to add a Zoho CRM Lead. You can take the following example and recode it in your favorite programming language. Change the $sAccessToken value to the one you generated. &lt;/li&gt;
&lt;/ol&gt;
&lt;p&gt;Note, below, we're also writing into a field called "Lead Source", and it's API-accessible name is "Lead_Source". (If you end up changing the code below to write into Contacts or Accounts, then you'll want to create a custom field, I'm sure, to indicate where the contact or account came from. For instance, if you have a shopping cart, then you could indicate the record came from completing that transaction, rather than a customer calling in.)&lt;/p&gt;
&lt;pre&gt;&lt;code&gt;&amp;lt;?php
error_reporting(E_ALL);
ini_set('display_errors','On');
header('Content-Type: text/plain');
$sAccessToken = '1000.aaaa5579abeea73871b096c941ec1df8.7835daaa3bbf5122f2d5810f0b65aaaa'; // change me
$sJSON = json_encode(array(
    'First_Name' =&amp;gt; 'Mickey',
    'Last_Name' =&amp;gt; 'Mouse',
    'Email' =&amp;gt; 'mickey@example.com',
    'Phone' =&amp;gt; '444-444-4444',
    'Lead_Source' =&amp;gt; 'TEST1'
  ));
  $sJSON = str_replace('{','[{',$sJSON);
  $sJSON = str_replace('}','}]',$sJSON);
  $sJSON = '{"data":' . $sJSON . '}';
echo "SENDING: $sJSON\n";
$sURL = 'https://www.zohoapis.com/crm/v2/Leads';
$sResponse = @ file_get_contents($sURL,false,stream_context_create(array('http'=&amp;gt;array(
  'ignore_errors' =&amp;gt; TRUE, // critical if you want to see errors in response instead of empty on error
  'method' =&amp;gt; 'POST',
  'header' =&amp;gt; array(
    'Content-Type: application/json',
    "Authorization: Zoho-oauthtoken $sAccessToken",
    'cache-control: no-cache'
  ),
  'content' =&amp;gt; $sJSON
))));
echo "$sResponse\n";
&lt;/code&gt;&lt;/pre&gt;
&lt;p&gt;If successful, this will generate a response similar to below:&lt;/p&gt;
&lt;pre&gt;&lt;code&gt;{"data":[{"code":"SUCCESS","details":{"Modified_Time":"2020-05-21T20:45:24-04:00","Modified_By":{"name":"John Manager","id":"9999889000000279991"},"Created_Time":"2020-05-21T20:45:24-04:00","id":"9999889000000279991","Created_By":{"name":"John Manager","id":"9999889000000279991"}},"message":"record added","status":"success"}]}
&lt;/code&gt;&lt;/pre&gt;
&lt;p&gt;...where John Manager would be the name of the admin-level user account you logged into the CRM with.&lt;/p&gt;
&lt;p&gt;More information about the Zoho CRM Insert Record API can be found here: &lt;a href="https://www.zoho.com/crm/developer/docs/api/insert-records.html" rel="nofollow noreferrer"&gt;https://www.zoho.com/crm/developer/docs/api/insert-records.html&lt;/a&gt;&lt;/p&gt;
&lt;p&gt;To understand where to find the API-addressable field names, in your CRM, go to: Setup &gt; Developer Space &gt; APIs &gt; API Names &gt; Leads. Choose "Fields" from the "Filter By" drop-down.&lt;/p&gt;
&lt;p&gt;Note that this API does not look for duplicates. You can adapt the above to do an "upsert" instead of an "insert": &lt;a href="https://www.zoho.com/crm/developer/docs/api/upsert-records.html" rel="nofollow noreferrer"&gt;https://www.zoho.com/crm/developer/docs/api/upsert-records.html&lt;/a&gt;&lt;/p&gt;
&lt;p&gt;If you edit the Contacts and Accounts to have the same custom fields as Leads, then you can change the &lt;code&gt;https://www.zohoapis.com/crm/v2/Leads&lt;/code&gt; line to &lt;code&gt;https://www.zohoapis.com/crm/v2/Contacts&lt;/code&gt; or &lt;code&gt;https://www.zohoapis.com/crm/v2/Accounts&lt;/code&gt; and write entries into those as well.&lt;/p&gt;
</t>
  </si>
  <si>
    <t xml:space="preserve">&lt;p&gt;I am working on a power app that would be somekind of a weekly  TimeSheet, let`s say.&lt;/p&gt;
&lt;p&gt;Each row is a project and each column is a day/date from the week.
The user will be able to choose a calendar week.
Based on the chosen calendar week each column should change it`s header to the dates in this week.
e.g If CW 1 2020 =&gt; First column should change to 30.12.2019, second column to 31.12.2019, etc.&lt;/p&gt;
&lt;p&gt;Basically what I need is formula that will get the CW and the weekday num (e.g CW 1, weekday 1) and calculate the date.&lt;/p&gt;
&lt;p&gt;Thank you!&lt;/p&gt;
</t>
  </si>
  <si>
    <t xml:space="preserve">&lt;p&gt;I am trying to apply the resizable column for table by following the solution provided here.&lt;/p&gt;
&lt;p&gt;&lt;a href="http://platformevangelist.com/deep-dive-into-lightning-design-system-table-column-resizing/" rel="nofollow noreferrer"&gt;http://platformevangelist.com/deep-dive-into-lightning-design-system-table-column-resizing/&lt;/a&gt;&lt;/p&gt;
&lt;p&gt;&lt;strong&gt;Issue&lt;/strong&gt;: When the column resize handle is dragged the first time its not working but works from the second drag.&lt;/p&gt;
&lt;p&gt;Div tag : &lt;/p&gt;
&lt;pre&gt;&lt;code&gt;&amp;lt;div class="slds-resizable"&amp;gt;
&amp;lt;input type="range" min="20" max="1000" class="slds-resizable__input slds-assistive-text" id="cell-resize-handle-602" tabindex="0" /&amp;gt;
    &amp;lt;span class="slds-resizable__handle" onmousedown="{!c.calculateWidth}" ondrag="{!c.setNewWidth}"&amp;gt;
        &amp;lt;span class="slds-resizable__divider"&amp;gt;&amp;lt;/span&amp;gt;
    &amp;lt;/span&amp;gt;
&amp;lt;/div&amp;gt;
&lt;/code&gt;&lt;/pre&gt;
&lt;p&gt;Do I need to add any flags to the events "mousedown" and "Drag".&lt;/p&gt;
</t>
  </si>
  <si>
    <t xml:space="preserve">&lt;p&gt;&lt;strong&gt;&lt;em&gt;Background&lt;/em&gt;&lt;/strong&gt;&lt;/p&gt;
&lt;p&gt;Google App Maker has a Multi Select Widget which allows the user to select several options from a list. &lt;/p&gt;
&lt;p&gt;&lt;a href="https://i.stack.imgur.com/uaWbv.gif" rel="nofollow noreferrer"&gt;&lt;img src="https://i.stack.imgur.com/uaWbv.gif" alt="Multi Select Widget with &amp;#39;Suppliers&amp;#39; heading"&gt;&lt;/a&gt;&lt;/p&gt;
&lt;p&gt;&lt;strong&gt;&lt;em&gt;Current State&lt;/em&gt;&lt;/strong&gt;&lt;/p&gt;
&lt;p&gt;By default, all options are unselected and the user must manually select all desired options. &lt;/p&gt;
&lt;p&gt;&lt;strong&gt;&lt;em&gt;Desired State&lt;/em&gt;&lt;/strong&gt;&lt;/p&gt;
&lt;p&gt;I would like to programatically cause all options to be selected so that the user can manually deselect all undesired options.&lt;/p&gt;
&lt;p&gt;&lt;strong&gt;&lt;em&gt;What I've Tried&lt;/em&gt;&lt;/strong&gt;&lt;/p&gt;
&lt;p&gt;&lt;em&gt;App Maker Documentation:&lt;/em&gt;&lt;/p&gt;
&lt;p&gt;The &lt;a href="https://developers.google.com/appmaker/ui/input-widgets#multi-select" rel="nofollow noreferrer"&gt;Multi Select Widget documentation&lt;/a&gt; provides information about how to bind options and values, but does not provide an option for pre-selecting these options.&lt;/p&gt;
&lt;p&gt;&lt;em&gt;Javascript onAttach Event and onDataLoad Event:&lt;/em&gt;&lt;/p&gt;
&lt;p&gt;I attempted to run Javascript to programatically select the options but think this is where I'm coming undone. &lt;/p&gt;
&lt;p&gt;The options in my Multi Select Widget are bound to &lt;code&gt;@datasources.Suppliers.items..Supplier_Name&lt;/code&gt; and all options are displayed in the widget correctly.&lt;/p&gt;
&lt;p&gt;I can successfully hard-code the options to be programatically selected, e.g.:&lt;/p&gt;
&lt;pre&gt;&lt;code&gt;var optionsToBeProgramaticallySelected = ["Option1", "Option2", "Option3"];
widget.values = optionsToBeProgramaticallySelected;
&lt;/code&gt;&lt;/pre&gt;
&lt;p&gt;... however, I do not want to hard-code the values to be selected because these will change over time. Therefore, I attempted to programatically create an array of all options and use &lt;em&gt;that&lt;/em&gt; as the list of options to be programatically selected. However, I was not able to successfully return the array for use. The code I used to attempt this is:  &lt;/p&gt;
&lt;pre&gt;&lt;code&gt;var listOfAllPossibleOptions = app.datasources.Suppliers.items.concat();
widget.values = listOfAllPossibleOptions;
&lt;/code&gt;&lt;/pre&gt;
&lt;p&gt;&lt;strong&gt;&lt;em&gt;Question&lt;/em&gt;&lt;/strong&gt;&lt;/p&gt;
&lt;p&gt;How can I cause my Multi Select Widget to select &lt;em&gt;all&lt;/em&gt; options?&lt;/p&gt;
</t>
  </si>
  <si>
    <t xml:space="preserve">&lt;p&gt;I want to insert new leads generated from an HTML form into Zoho CRM (&lt;a href="https://www.zoho.com/crm/developer/docs/api/insert-records.html" rel="nofollow noreferrer"&gt;https://www.zoho.com/crm/developer/docs/api/insert-records.html&lt;/a&gt;). &lt;/p&gt;
&lt;p&gt;&lt;strong&gt;Creating Guzzle client:&lt;/strong&gt;&lt;/p&gt;
&lt;pre&gt;&lt;code&gt;$client = new Client([
    'headers'  =&amp;gt; [ 'Authorization' =&amp;gt; 'Zoho-oauthtoken ' . $this-&amp;gt;accessToken ], // $this-&amp;gt;accessToken checks for a valid access tokens en refreshes it if (almost) expired
    'base_uri' =&amp;gt; $this-&amp;gt;configuration['endpoint'], // https://www.zohoapis.eu/crm/v2/ 
]);
&lt;/code&gt;&lt;/pre&gt;
&lt;p&gt;&lt;strong&gt;The Json code to insert (simplified for testing)&lt;/strong&gt;&lt;/p&gt;
&lt;p&gt;&lt;code&gt;{"data":[{"Last_Name":"Test name"}]}&lt;/code&gt; (content of $lead)&lt;/p&gt;
&lt;p&gt;&lt;strong&gt;When I post this with Guzzle:&lt;/strong&gt;&lt;/p&gt;
&lt;pre&gt;&lt;code&gt;$response = $client-&amp;gt;request('POST', 'Leads', [
    'json' =&amp;gt;  $lead
]);
&lt;/code&gt;&lt;/pre&gt;
&lt;p&gt;&lt;strong&gt;I get the following error:&lt;/strong&gt;&lt;/p&gt;
&lt;pre&gt;&lt;code&gt;Client error: `POST https://www.zohoapis.eu/crm/v2/Leads` 
resulted in a `400 Bad Request` response: {"code":"INVALID_DATA","details":
{"expected_data_type":"jsonobject"},"message":"body","status":"error"}
&lt;/code&gt;&lt;/pre&gt;
</t>
  </si>
  <si>
    <t xml:space="preserve">&lt;p&gt;Is it possible to do OAuth authentication for connected app from lightning component, If yes then can you please share some example.&lt;/p&gt;
</t>
  </si>
  <si>
    <t xml:space="preserve">&lt;p&gt;We need "Field Service Dispatcher", "Field Service Mobile" and "Field Service Scheduling" license in scratch org in order to utilize the FSL managed package.&lt;/p&gt;
&lt;p&gt;We have tried to install the FSL managed package in a scratch org, and set up FSL, but we are stopped when trying to create the permission sets for Dispatcher and Resource, as we are missing the Field Service Dispatcher and Resource licenses in the scratch orgs.&lt;/p&gt;
&lt;p&gt;Is there any way to include these licenses in scratch orgs, for example through the "features"-property in the project-scratch-def.json file? When you add the feature FieldService you only get the Field Service Standard licens.&lt;/p&gt;
</t>
  </si>
  <si>
    <t xml:space="preserve">&lt;p&gt;I have a date picker input in the lightning aura component.&lt;/p&gt;
&lt;pre&gt;&lt;code&gt;&amp;lt;lightning:input aura:id="field"
                     type="date" 
                     name="MyDatefield" 
                     label="Enter Date" 
                     value="" 
                     min="" 
                     max="" 
                     onblur ="{!c.checkValidity }"
             /&amp;gt;
&lt;/code&gt;&lt;/pre&gt;
&lt;p&gt;And the controller is like:&lt;/p&gt;
&lt;pre&gt;&lt;code&gt;({
    checkValidity : function(component, event, helper) {
}
})
&lt;/code&gt;&lt;/pre&gt;
&lt;p&gt;I want to display the present date by default and also want to put a validation on the date that "the date should range between minimum of 5 days from the present date and maximum of 1year from the present date" otherwise display an error message.&lt;/p&gt;
&lt;p&gt;Please help me with this because I am new to aura lightning components.&lt;/p&gt;
</t>
  </si>
  <si>
    <t xml:space="preserve">&lt;p&gt;Im creating a Powerapps application to show a line connector between one object to another. &lt;/p&gt;
&lt;p&gt;The arrow which i want to make it as adjustable and draggable. Can somebody give reference to achieve the same on that ?&lt;/p&gt;
&lt;p&gt;Rerefernce URL &lt;a href="https://www.youtube.com/watch?v=D_Kb7AXSE0s&amp;amp;t=477s" rel="nofollow noreferrer"&gt;Slidercontrol based connection&lt;/a&gt;&lt;/p&gt;
&lt;p&gt;Reference image mentioned below&lt;/p&gt;
&lt;p&gt;&lt;a href="https://i.stack.imgur.com/A7vj0.png" rel="nofollow noreferrer"&gt;&lt;img src="https://i.stack.imgur.com/A7vj0.png" alt="the arrow which i want to make it adjustable."&gt;&lt;/a&gt;&lt;/p&gt;
</t>
  </si>
  <si>
    <t xml:space="preserve">&lt;pre&gt;&lt;code&gt;import moment from '@salesforce/resourceUrl/XXX';
import { loadScript } from 'lightning/platformResourceLoader';
    export default class ProjectActivity extends LightningElement {
    connectedCallback(){
    Promise.all([
        loadScript(this, moment + '/js/moment.js')
        ]);
        this.loadActivities();
    }
    loadActivities(){
        let eventStartDate = moment(new Date()).format('YYYY-MM-DD');
    }
}
&lt;/code&gt;&lt;/pre&gt;
</t>
  </si>
  <si>
    <t xml:space="preserve">&lt;p&gt;I execute a SOQL request to get all available record ids of the SObject 'ObjectPermissions'.
&lt;a href="https://i.stack.imgur.com/LOx7p.png" rel="nofollow noreferrer"&gt;&lt;img src="https://i.stack.imgur.com/LOx7p.png" alt="enter image description here"&gt;&lt;/a&gt;
Then I use the request to &lt;code&gt;GET /services/data/v48.0/sobjects/ObjectPermissions/{id}&lt;/code&gt; to fetch all the necessary info for a specific record.
&lt;a href="https://i.stack.imgur.com/wRa4o.png" rel="nofollow noreferrer"&gt;&lt;img src="https://i.stack.imgur.com/wRa4o.png" alt="enter image description here"&gt;&lt;/a&gt;
As you can see in the first picture, I received a response with a total of 960 records.
The problem is that for 285 entries I can’t get the information.
Here is an example of the answer I received for one of 285:
&lt;a href="https://i.stack.imgur.com/ohs79.png" rel="nofollow noreferrer"&gt;&lt;img src="https://i.stack.imgur.com/ohs79.png" alt="enter image description here"&gt;&lt;/a&gt;
I highlighted the identifier of this record. Maybe this id is wrong.&lt;/p&gt;
&lt;p&gt;I observe the same with the following SObjects:&lt;/p&gt;
&lt;p&gt;&lt;em&gt;TaskStatus&lt;br&gt;
TaskPriority&lt;br&gt;
SolutionStatus&lt;br&gt;
PartnerRole&lt;br&gt;
OrderStatus&lt;br&gt;
FlowDefinitionView&lt;br&gt;
FieldSecurityClassification
EntityDefinition&lt;br&gt;
ContractStatus&lt;br&gt;
CaseStatus&lt;/em&gt;                 &lt;/p&gt;
&lt;p&gt;Is Salesforce doing something wrong or I do not understand something?&lt;/p&gt;
</t>
  </si>
  <si>
    <t xml:space="preserve">&lt;p&gt;how to update checkbox value as checked in salesforce org record by using lwc&lt;/p&gt;
&lt;p&gt;ex: I have a req that if the &lt;strong&gt;A&lt;/strong&gt; field (checkbox) value as true then the email alert will send. This &lt;strong&gt;A&lt;/strong&gt; checkbox should be updated via LWC Javascript file (because this is a hidden field I have) so I need to set the value of the Checkbox as true in onclick function. after that this value(checked) should update in salesforce record.&lt;/p&gt;
</t>
  </si>
  <si>
    <t xml:space="preserve">&lt;p&gt;I want to write a PowerApp application where different users are provided with documents if they have attended certain seminars. The documents should be saved in the OneDrive.
I cannot get a connection to the Onedrive and display the documents in a list.
I ask for help&lt;/p&gt;
</t>
  </si>
  <si>
    <t xml:space="preserve">&lt;p&gt;I Have a requirement to show a user entered text/feedback on my Lightning component (UI) , initially i did a tool tip but it kind of truncates the text and I want to be able to show the whole text . what are my other options here in salesforce?&lt;/p&gt;
</t>
  </si>
  <si>
    <t xml:space="preserve">&lt;p&gt;I had a child component which is in Aura Iteration of parent component.The component works perfectly in most of the browsers but could not find issue root cause why it is not working in IE browser.&lt;/p&gt;
&lt;p&gt;Does anyone can help me in resolving the issue.&lt;/p&gt;
&lt;p&gt;The doInit of Parent component is getting list as response which is getting shown if the child component is commented/removed from aura iteration of parent component.But if we uncomment/place child component in aura iteration this "Failed to initialize a component [Expected identifier] Callback failed : apex://Class Name/ACTION$method" error is popped only in IE Browser.&lt;/p&gt;
&lt;pre&gt;&lt;code&gt;&amp;lt;aura:iteration items="{!v.sampleWrap}" var="sample" indexVar="idx" &amp;gt;
                    &amp;lt;lightning:accordionSection name="{!'sec'+(idx +1)}" label="{!'Date '+(idx+1)}" class="slds-m-top_small"&amp;gt;
                        &amp;lt;aura:set attribute="actions"&amp;gt;
                            &amp;lt;aura:if isTrue="{!v.sampleWrap.length &amp;gt; 1}"&amp;gt;
                                &amp;lt;div class="buttonWrap"&amp;gt;
                                    &amp;lt;lightning:icon class="slds-m-around_xx-small icon" size="xx-small" iconName="action:delete" title="Delete Leg" alternativeText="{!idx}" onclick="{!c.deleteDate}" /&amp;gt;
                                &amp;lt;/div&amp;gt;
                            &amp;lt;/aura:if&amp;gt;
                        &amp;lt;/aura:set&amp;gt;
                        &amp;lt;c:childComp aura:id="childWrap" recordId="{!v.recordId}" sampleWrap="{!sample}" DOSIndex="{!(idx+1)}" /&amp;gt;
                    &amp;lt;/lightning:accordionSection&amp;gt;
                &amp;lt;/aura:iteration&amp;gt;
&lt;/code&gt;&lt;/pre&gt;
</t>
  </si>
  <si>
    <t xml:space="preserve">&lt;p&gt;I cannot get the Azure Storage Connector to actually upload a blob.  Based on several tutorials, I am using the Add Picture control to select a file.  Then, on the control's OnSelect I run this:&lt;/p&gt;
&lt;pre&gt;&lt;code&gt;AzureBlobStorage.CreateFile("somecontainername" ,addFileButton.FileName,addFileButton.FileName)
&lt;/code&gt;&lt;/pre&gt;
&lt;p&gt;The blob is actually created in my storage account container, but the blob is never actually uploaded so I end up with a blob that has the correct name, content type, but zero bytes.  No error from the app.&lt;/p&gt;
&lt;p&gt;Any thoughts?&lt;/p&gt;
</t>
  </si>
  <si>
    <t xml:space="preserve">&lt;p&gt;I am trying to enter unique values to the Contact object. Here is the code:&lt;/p&gt;
&lt;pre&gt;&lt;code&gt;List&amp;lt;Contact&amp;gt; conList = new List&amp;lt;Contact&amp;gt; {
        new Contact(FirstName='Joe',LastName='Smith',Department='Finance'),
        new Contact(FirstName='Kathy',LastName='Smith',Department='Technology'),
        new Contact(FirstName='Caroline',LastName='Roth',Department='Finance'),
        new Contact()};   
// Caroline Roth already exists so I want this code to update her record, not insert another Caroline Roth record          
Database.UpsertResult[] srList = Database.upsert(conList, Contact.Fields.Name, false);
&lt;/code&gt;&lt;/pre&gt;
&lt;p&gt;Salesforce's documentation states
"The upsert statement matches the sObjects with existing records by comparing values of one field. If you don’t specify a field when calling this statement, the upsert statement uses the sObject’s ID to match the sObject with existing records in Salesforce. Alternatively, you can specify a field to use for matching. For custom objects, specify a custom field marked as external ID. For standard objects, you can specify any field that has the idLookup property set to true. For example, &lt;strong&gt;the Email field of Contact&lt;/strong&gt; or User has the idLookup property set."&lt;/p&gt;
&lt;p&gt;I have two questions:
1) how can we see which fields on the Contact object have their idLookup property set to true
2) why am I getting the error in the subject line when I execute the code?&lt;/p&gt;
</t>
  </si>
  <si>
    <t xml:space="preserve">&lt;p&gt;1: &lt;/p&gt;
&lt;pre&gt;&lt;code&gt;Map&amp;lt;String, Schema.SObjectField&amp;gt; contacFieldsMap = Schema.getGlobalDescribe().get('Contact').getDescribe().fields.getMap();
for (Schema.SObjectField field : contacFieldsMap.values()) {
    Schema.DescribeFieldResult fieldResult = field.getDescribe();
    if (fieldResult.isIdLookup()) System.debug(fieldResult.getName() + ' IS idLookup');
}
&lt;/code&gt;&lt;/pre&gt;
&lt;p&gt;2: &lt;code&gt;System.debug(Contact.Name.getDescribe().isIdLookup());  // false&lt;/code&gt; &lt;/p&gt;
</t>
  </si>
  <si>
    <t xml:space="preserve">&lt;p&gt;I am trying to learn Aura. I am trying to create a new component ("hello.cmp") but when I try to run it on the server I always get the error shown in the screenshot. I have checked the server is up and running.&lt;/p&gt;
&lt;p&gt;When I use this URL "&lt;a href="http://localhost:8080/helloWorld/helloWorld.app" rel="nofollow noreferrer"&gt;http://localhost:8080/helloWorld/helloWorld.app&lt;/a&gt;"
it works fine:  &lt;/p&gt;
&lt;p&gt;however when i try the same with the newly created component "hello.cmp"
its doesn't work and i get the error as:&lt;/p&gt;
&lt;p&gt;org.auraframework.throwable.AuraUnhandledException: Unable to process your request&lt;/p&gt;
&lt;p&gt;org.auraframework.throwable.quickfix.DefinitionNotFoundException: No COMPONENT named markup://helloWorld:hello found&lt;/p&gt;
&lt;pre&gt;&lt;code&gt;at org.auraframework.impl.DefinitionServiceImpl.getHelper(DefinitionServiceImpl.java:1427)
at org.auraframework.impl.DefinitionServiceImpl.compileDef(DefinitionServiceImpl.java:1551)
at org.auraframework.impl.DefinitionServiceImpl.compileDE(DefinitionServiceImpl.java:976)
at org.auraframework.impl.DefinitionServiceImpl.getUid(DefinitionServiceImpl.java:718)
at org.auraframework.impl.DefinitionServiceImpl.updateLoaded(DefinitionServiceImpl.java:588)
at org.auraframework.http.AuraServlet.internalGet(AuraServlet.java:306)
at org.auraframework.http.AuraServlet.doGet(AuraServlet.java:278)
at javax.servlet.http.HttpServlet.service(HttpServlet.java:735)
at javax.servlet.http.HttpServlet.service(HttpServlet.java:848)
at org.eclipse.jetty.servlet.ServletHolder.handle(ServletHolder.java:684)
at org.eclipse.jetty.servlet.ServletHandler$CachedChain.doFilter(ServletHandler.java:1448)
at org.auraframework.http.AuraTestFilter.innerFilter(AuraTestFilter.java:314)
at org.auraframework.http.AuraTestFilter.doFilter(AuraTestFilter.java:186)
&lt;/code&gt;&lt;/pre&gt;
&lt;p&gt;I have restarted the server many times but still the problem remains the same.&lt;/p&gt;
&lt;p&gt;PLease advice how to proceed.&lt;/p&gt;
</t>
  </si>
  <si>
    <t xml:space="preserve">&lt;p&gt;App maker sample projects are working perfectly in mobiles, forms and tables are adjusted perfectly to the mobile view. But whatever we developed in app maker the designs are not adjusted to mobile layouts they are still in the desktop view. Is there any option to configure the application to work in mobile.&lt;/p&gt;
&lt;p&gt;Our application is not working correctly in safari is that any browser compatibility issue from app maker or it is the issue from our side.&lt;/p&gt;
</t>
  </si>
  <si>
    <t xml:space="preserve">&lt;p&gt;After development how can we test the application, is there any tools available for unit testing or any automation testing can be done in app maker.&lt;/p&gt;
&lt;p&gt;If the above things cannot be done means the only option is manual testing. Please suggest me any ideas.&lt;/p&gt;
</t>
  </si>
  <si>
    <t xml:space="preserve">&lt;p&gt;I've been trying to set up tests for some Angular components, but I keep running into an issue as all of my components use &lt;code&gt;ng-lightning&lt;/code&gt;, which results in the following error:&lt;/p&gt;
&lt;blockquote&gt;
  &lt;p&gt;/angular-lightning-test/node_modules/ng-lightning/ng-lightning.js:1
      ({"Object.":function(module,exports,require,__dirname,__filename,global,jest){import
  { NgModule } from '@angular/core';&lt;/p&gt;
  &lt;p&gt;SyntaxError: Unexpected token import&lt;/p&gt;
&lt;/blockquote&gt;
&lt;p&gt;I've tried multiple ways to get this going through Babel, though I'm not sure that should be required as Jest can handle it for every other file using &lt;code&gt;import&lt;/code&gt; in this project.&lt;/p&gt;
&lt;p&gt;I'm using &lt;code&gt;jest-preset-angular&lt;/code&gt; to handle the setup for these tests. You can see the configuration it uses &lt;a href="https://www.npmjs.com/package/jest-preset-angular#exposed-configuration" rel="nofollow noreferrer"&gt;here&lt;/a&gt;.&lt;/p&gt;
&lt;p&gt;I've created a very small sample project where you can see this error:&lt;/p&gt;
&lt;p&gt;&lt;a href="https://github.com/humantree/angular-lightning-test" rel="nofollow noreferrer"&gt;https://github.com/humantree/angular-lightning-test&lt;/a&gt;&lt;/p&gt;
&lt;p&gt;The component is as simple as this:&lt;/p&gt;
&lt;pre&gt;&lt;code&gt;@Component({
  selector: 'badge',
  template: '&amp;lt;ngl-badge&amp;gt;{{text}}&amp;lt;/ngl-badge&amp;gt;'
}) export class BadgeComponent {
  text = 'Test Badge';
}
&lt;/code&gt;&lt;/pre&gt;
&lt;p&gt;and the test is as simple as this (I realize an actual test is missing, but the error still occurs before that would happen):&lt;/p&gt;
&lt;pre&gt;&lt;code&gt;describe('BadgeComponent', () =&amp;gt; {
  let badge: BadgeComponent;
  beforeEach(() =&amp;gt; {
    TestBed.configureTestingModule({
      declarations: [BadgeComponent],
      imports: [NglModule.forRoot()]
    });
    badge = TestBed.get(BadgeComponent).instance;
  });
});
&lt;/code&gt;&lt;/pre&gt;
&lt;p&gt;Can anyone see anything that I could add to my Jest configuration (or anything else) that would solve this error?&lt;/p&gt;
&lt;p&gt;Note: For what it's worth, I also have these tests set up running in Mocha using &lt;code&gt;mocha-webpack&lt;/code&gt;, and am having the exact same issue with that setup.&lt;/p&gt;
&lt;p&gt;Thanks!&lt;/p&gt;
</t>
  </si>
  <si>
    <t xml:space="preserve">&lt;p&gt;I am getting an error while completing "Lightning Component Framework Specialist" superbadge. Can anyone please help me out to resolve this error? &lt;/p&gt;
&lt;p&gt;Challenge Not yet complete... here's what's wrong: 
The BoatSearchResults component is missing the correct layout components with the appropriate attributes to create multiple rows. Double check the requirements and try again.&lt;/p&gt;
&lt;p&gt;Here is my code for BoatSearchResults.cmp lightning component.&lt;/p&gt;
&lt;p&gt;
     &lt;/p&gt;
&lt;pre&gt;&lt;code&gt;&amp;lt;aura:method name="search"&amp;gt;
    &amp;lt;aura:attribute name="boatTypeId" type="String"/&amp;gt;
&amp;lt;/aura:method&amp;gt;
&amp;lt;aura:handler name="init" value="{!this}" action="{!c.doInit}" /&amp;gt;
&amp;lt;lightning:layout horizontalAlign="space" multipleRows="true"&amp;gt;
&amp;lt;aura:if isTrue="{!v.boats.length &amp;gt; 0}"&amp;gt;
        &amp;lt;aura:iteration items="{!v.boats}" var="bot"&amp;gt;
            &amp;lt;c:BoatTile boat="{!bot}" /&amp;gt;
         &amp;lt;/aura:iteration&amp;gt;
    &amp;lt;aura:set attribute="else"&amp;gt;
        &amp;lt;div style="text-align: center;"&amp;gt; No boats found &amp;lt;/div&amp;gt;
    &amp;lt;/aura:set&amp;gt;
&amp;lt;/aura:if&amp;gt; 
&amp;lt;/lightning:layout&amp;gt;
&lt;/code&gt;&lt;/pre&gt;
&lt;p&gt;&lt;/p&gt;
&lt;p&gt;Thanks in Advance,
Swapnil.&lt;/p&gt;
</t>
  </si>
  <si>
    <t xml:space="preserve">&lt;p&gt;After few hours of efforts, I solve this issue myself :)  Here is the working code. &lt;/p&gt;
&lt;pre&gt;&lt;code&gt;&amp;lt;aura:component controller="BoatSearchResults" implements="force:appHostable,flexipage:availableForAllPageTypes,flexipage:availableForRecordHome,force:hasRecordId,forceCommunity:availableForAllPageTypes,force:lightningQuickAction" access="global" &amp;gt;
    &amp;lt;aura:attribute name="boats" type="Boat__c[]"/&amp;gt; 
    &amp;lt;aura:handler name="init" value="{!this}" action="{!c.doInit}"/&amp;gt;
    &amp;lt;div&amp;gt;
    &amp;lt;lightning:layout multipleRows="true"&amp;gt;
            &amp;lt;aura:if isTrue="{!v.boats.length &amp;gt; 0}"&amp;gt;
            &amp;lt;aura:iteration items="{!v.boats}" var="bot"&amp;gt;
                &amp;lt;lightning:layoutItem flexibility="auto" padding="around-small"&amp;gt;
                &amp;lt;c:BoatTile boat="{!bot}" /&amp;gt;
                &amp;lt;/lightning:layoutItem&amp;gt;
             &amp;lt;/aura:iteration&amp;gt;
            &amp;lt;aura:set attribute="else"&amp;gt;
                &amp;lt;div class="slds-align_absolute-center"&amp;gt;
                    No boats found
                &amp;lt;/div&amp;gt;
            &amp;lt;/aura:set&amp;gt;
        &amp;lt;/aura:if&amp;gt; 
    &amp;lt;/lightning:layout&amp;gt;
    &amp;lt;/div&amp;gt;
&amp;lt;/aura:component&amp;gt;  
&lt;/code&gt;&lt;/pre&gt;
</t>
  </si>
  <si>
    <t xml:space="preserve">&lt;p&gt;I have created an app using Power Apps. Assume Home Screen has two buttons "admin" and "user". If a user with Admin roles accesses the app he/she should only be able to see "Admin" button. In case user with "User" role logs in, he/she should only be able to see "user" button. Assume users to be a part of Azure Active Directory.&lt;/p&gt;
</t>
  </si>
  <si>
    <t xml:space="preserve">&lt;p&gt;Controlling access to app elements based on user security role, there are three approaches to this:&lt;/p&gt;
&lt;p&gt;Method 1:
We can make use of Azure Active Directory Groups.
We need to create a custom connector in PowerApps, that would return groups (denotes security role) that the user is a part of.
These groups should be created in Azure Active Director.
The user must belong to a group.&lt;/p&gt;
&lt;p&gt;Method 2:
This is more applicable if data source for the app uses security role-based model.
In this case PowerApps will inherit user’s security roles within data source.&lt;/p&gt;
&lt;p&gt;Method 3:
Let’s assume to have SQL server database as the data source for our app.
we can create our own security model for e.g. have a user table with columns storing Boolean type values (Bit in SQL Server), each column representing a security role. A value true denotes the user has the corresponding roles assigned.&lt;/p&gt;
</t>
  </si>
  <si>
    <t xml:space="preserve">&lt;p&gt;I am new to Zoho Creator. We have a user that has emailed regarding viewing a report. When he pulls up the report, he can only see the first row of results and the up and down scroll arrows are stacked at the right of the row.&lt;/p&gt;
&lt;p&gt;&lt;a href="https://photos.app.goo.gl/E9koikvtA2BYiyTG8" rel="nofollow noreferrer"&gt;Example&lt;/a&gt;&lt;/p&gt;
&lt;p&gt;When I pull up the same report, it works as it should and I can see at least 30 results and can scroll down the list indefinitely.&lt;/p&gt;
&lt;p&gt;&lt;a href="https://photos.app.goo.gl/5KRMpkkdv2Kh1j717" rel="nofollow noreferrer"&gt;Example&lt;/a&gt;&lt;/p&gt;
&lt;p&gt;I have tried to recreate his issue by trying different browsers, resizing browser windows, changing my screen resolution, but cannot recreate his issue. Pretty sure it's not the Zoho app but more likely a setting or issue with the user's browser settings?&lt;/p&gt;
&lt;p&gt;I need the user to be able to view more than just one row in his browser.&lt;/p&gt;
</t>
  </si>
  <si>
    <t xml:space="preserve">&lt;p&gt;It is my first apex class and i don't really know how to implement a proper test class. 
My goal is to achieve test coverage of 75%.&lt;/p&gt;
&lt;p&gt;I updated based on the comments but i managed to achieve only 70 %. I don't have other idea how to improve this more.&lt;/p&gt;
&lt;p&gt;Here is what i did :&lt;/p&gt;
&lt;p&gt;Apex class:&lt;/p&gt;
&lt;pre&gt;&lt;code&gt; public with sharing class AccountController {
@AuraEnabled
public static List&amp;lt;Account&amp;gt; findAll() {
    User userDetails =[SELECT Id, Name, Email, Profile.Name, UserRole.Name FROM User
        where Id=:userinfo.getUserId() ];
    // Theme4t is theme that is used by mobille app for  android or iphone 
    if(((userDetails.UserRole.Name).equals('yon')|| (userDetails.UserRole.Name).equals('bon')|| (userDetails.UserRole.Name).contains('non')
        || (userDetails.UserRole.Name).contains('go')) &amp;amp;&amp;amp; UserInfo.getUiTheme() != 'Theme4t'){
       return [SELECT id, name, AccountStatus__c, ShippingLatitude, ShippingLongitude, ShippingCity
        FROM Account
        WHERE ShippingLatitude != NULL AND ShippingLongitude != NULL 
        LIMIT:22000];
    }else {
       return [SELECT id, name, AccountStatus__c, ShippingLatitude, ShippingLongitude, ShippingCity
        FROM Account
        WHERE OwnerId =: UserInfo.getUserId() AND ShippingLatitude != NULL AND ShippingLongitude != NULL 
        LIMIT:5000]; 
    }
}
&lt;/code&gt;&lt;/pre&gt;
&lt;p&gt;Apex test class:&lt;/p&gt;
&lt;pre&gt;&lt;code&gt; @isTest 
public class AccountControllerTest 
{
static testMethod void testMethod1() 
            {
                           Account acc = new Account();
                           acc.Name='Test';
                           insert acc;
                           User userDetails =[SELECT Id, Name, Email, Profile.Name, UserRole.Name FROM User
        where Id=:userinfo.getUserId() ];
                          List&amp;lt;Account&amp;gt; lstAcc = AccountController.findAll();
                          UserRole ur =new UserRole();
                         userDetails.UserRoleId=[select Id from UserRole where Name='yon'].Id;
               System.runAs(userDetails){
                          List&amp;lt;Account&amp;gt; lstAcc1 = AccountController.findAll();  
               }
               userDetails.UserRoleId=[select Id from UserRole where Name='bon'].Id;
               System.runAs(userDetails){
                          List&amp;lt;Account&amp;gt; lstAcc2 = AccountController.findAll();  
               }
                userDetails.UserRoleId=[select Id from UserRole where Name='non'].Id;
               System.runAs(userDetails){
                          List&amp;lt;Account&amp;gt; lstAcc3 = AccountController.findAll();  
               }
               userDetails.UserRoleId=[select Id from UserRole where Name='go'].Id;
               System.runAs(userDetails){
               List&amp;lt;Account&amp;gt; lstAcc4 = AccountController.findAll();  
               }                       
}
&lt;/code&gt;&lt;/pre&gt;
</t>
  </si>
  <si>
    <t xml:space="preserve">&lt;p&gt;Please complete the below trailhead to learn the unit test in Salesforce.
&lt;a href="https://trailhead.salesforce.com/en/content/learn/modules/apex_testing/apex_testing_intro" rel="nofollow noreferrer"&gt;https://trailhead.salesforce.com/en/content/learn/modules/apex_testing/apex_testing_intro&lt;/a&gt; &lt;/p&gt;
&lt;p&gt;And also as you are trying to create a user after account insertion it will throw Mixed DML error. you need to use system.runAs() method. follow the below URL for using the method.&lt;/p&gt;
&lt;p&gt;&lt;a href="https://developer.salesforce.com/docs/atlas.en-us.apexcode.meta/apexcode/apex_testing_tools_runas.htm" rel="nofollow noreferrer"&gt;https://developer.salesforce.com/docs/atlas.en-us.apexcode.meta/apexcode/apex_testing_tools_runas.htm&lt;/a&gt;&lt;/p&gt;
&lt;p&gt;Let me know if still, you need any help on this.&lt;/p&gt;
&lt;p&gt;Here is the code for your class and test class. Please follow the best practices from &lt;a href="http://blog.shivanathd.com/2013/11/Best-Practices-Test-Class-in-Salesforce.html" rel="nofollow noreferrer"&gt;http://blog.shivanathd.com/2013/11/Best-Practices-Test-Class-in-Salesforce.html&lt;/a&gt;
This time I am providing the code to you to understand how to create a test class, but next time onwards please follow the steps and documents I have shared.&lt;/p&gt;
&lt;pre&gt;&lt;code&gt;public with sharing class AccountController { 
            //using a test visible variable for setting the ui theme check.
            @TestVisible static Boolean isTheme4t = UserInfo.getUiThemeDisplayed() == 'Theme4t';
            @AuraEnabled
            public static List&amp;lt;Account&amp;gt; findAll() {
                User userDetails =[SELECT Id, Name, Email, Profile.Name, UserRole.Name FROM User  where Id=:userinfo.getUserId()];
                // Theme4t is theme that is used by mobille app for  android or iphone 
                if(((userDetails.UserRole.Name).equals('yon')|| (userDetails.UserRole.Name).equals('bon')|| (userDetails.UserRole.Name).contains('non') || (userDetails.UserRole.Name).contains('go')) &amp;amp;&amp;amp; !isTheme4t){
                    return [SELECT id, name, AccountStatus__c, ShippingLatitude, ShippingLongitude, ShippingCity FROM Account WHERE ShippingLatitude != NULL AND ShippingLongitude != NULL LIMIT 22000];
                }else {
                    return [SELECT id, name, AccountStatus__c, ShippingLatitude, ShippingLongitude, ShippingCity FROM Account WHERE OwnerId =: UserInfo.getUserId() AND ShippingLatitude != NULL AND ShippingLongitude != NULL LIMIT 5000]; 
                }
            }
 }
    @isTest 
    public class AccountControllerTest 
    {
        //Use setup data method to create data and query it in testmethod 
        @testSetup static void setup() {
            UserRole r = new UserRole(DeveloperName = 'yon', Name = 'yon');
            insert r;
            User u = new User(
                ProfileId = [SELECT Id FROM Profile WHERE Name = 'System Administrator'].Id,
                LastName = 'last',
                Email = 'puser000@amamama.com',
                Username = 'puser000@amamama.com' + System.currentTimeMillis(),
                CompanyName = 'TEST',
                Title = 'title',
                Alias = 'alias',
                TimeZoneSidKey = 'America/Los_Angeles',
                EmailEncodingKey = 'UTF-8',
                LanguageLocaleKey = 'en_US',
                LocaleSidKey = 'en_US',
                UserRoleId = r.Id
            );
            insert u;
            System.runAs(u){
                Account acc = new Account();
                acc.Name = 'Test Account';
                acc.ShippingLatitude = 75.46;
                acc.ShippingLongitude = 45.46;
                acc.AccountStatus__c = 'test';
                insert acc;
            }
        }
        static testMethod void testMethod1(){
            user u = [select Id from User where email = 'puser000@amamama.com' limit 1];
            system.runAs(u){
                Test.startTest();
                List&amp;lt;Account&amp;gt; acc = [select Id,AccountStatus__c,ShippingLatitude,ShippingLongitude from Account where Name = 'Test Account'];
                List&amp;lt;Account&amp;gt; lstAcc4 = AccountController.findAll();  
                system.assert(lstAcc4.size()&amp;gt;0);
                Test.stopTest();
            }
        }
        static testMethod void testMethod2(){
            user u = [select Id from User where email = 'puser000@amamama.com' limit 1];
            system.runAs(u){
                AccountController.isTheme4t = true;
                Test.startTest();
                List&amp;lt;Account&amp;gt; acc = [select Id,AccountStatus__c,ShippingLatitude,ShippingLongitude from Account where Name = 'Test Account'];
                List&amp;lt;Account&amp;gt; lstAcc4 = AccountController.findAll();  
                system.assert(lstAcc4.size()&amp;gt;0);
                Test.stopTest();
            }
        }
    }
&lt;/code&gt;&lt;/pre&gt;
</t>
  </si>
  <si>
    <t xml:space="preserve">&lt;p&gt;Im trying to finish the todos so I can rollout my app but the ad section is just blank
If I try to go to target audience it tells me to go back to ads
&lt;a href="https://i.stack.imgur.com/NytGe.jpg" rel="nofollow noreferrer"&gt;heres the image&lt;/a&gt;&lt;/p&gt;
</t>
  </si>
  <si>
    <t xml:space="preserve">&lt;p&gt;I am building automation driver for the Salesforce Lightning web. I understood that lightning app has a lot of XHRs which eventually became hard to measure the page loading before interacting with any element.&lt;/p&gt;
&lt;p&gt;Though I handled this using ExpectedConditions with element visibility, Still, I am interested in wait for XHR calls to complete before attempting with web element. &lt;/p&gt;
&lt;p&gt;&lt;strong&gt;Solutions Referred:&lt;/strong&gt;&lt;/p&gt;
&lt;ol&gt;
&lt;li&gt;&lt;a href="https://salesforce.stackexchange.com/questions/215046/how-to-use-javascript-to-check-if-a-salesforce-lightning-page-is-loaded-complete"&gt;https://salesforce.stackexchange.com/questions/215046/how-to-use-javascript-to-check-if-a-salesforce-lightning-page-is-loaded-complete&lt;/a&gt;&lt;/li&gt;
&lt;li&gt;&lt;a href="https://stackoverflow.com/questions/10755480/how-to-capture-all-requests-made-by-page-in-webdriver-is-there-any-alternative"&gt;How to capture all requests made by page in webdriver? Is there any alternative to Browsermob?&lt;/a&gt;&lt;/li&gt;
&lt;/ol&gt;
</t>
  </si>
  <si>
    <t xml:space="preserve">&lt;p&gt;Questions regarding Salesforce Jest testing:&lt;/p&gt;
&lt;p&gt;1) Are jest test required for JavaScript code coverage or just nice-to-have in order to move lighting web components to production?&lt;/p&gt;
&lt;p&gt;2) Once jest test are written and running, do they kick off dependent process builders (e.g. a LWC has a lighting-edit-record-form that submits a new record and there is a process builder looking for a new record creation and then runs Apex invocable methods)? If yes, are those Apex invocable methods covered?&lt;/p&gt;
&lt;p&gt;Thank you!&lt;/p&gt;
</t>
  </si>
  <si>
    <t xml:space="preserve">&lt;p&gt;i have followed all the steps on installation of node.js and jest.  i have below LWC component and getting error when i run test as mentioned below, i tried to debug and changes root / folder but i am unable to find root cause and resolve an issue. Any suggestion ?&lt;/p&gt;
&lt;p&gt;&lt;strong&gt;Getting error :&lt;/strong&gt; &lt;/p&gt;
&lt;pre&gt;&lt;code&gt;  ● Test suite failed to run
**Cannot find module 'c/hello' from 'hello.test.js'**
  1 | import { createElement } from 'lwc';
&amp;gt; 2 | import Hello from 'c/hello';
    | ^
&lt;/code&gt;&lt;/pre&gt;
&lt;p&gt;&lt;div class="snippet" data-lang="js" data-hide="false" data-console="false" data-babel="false"&gt;
&lt;div class="snippet-code"&gt;
&lt;pre class="snippet-code-js lang-js prettyprint-override"&gt;&lt;code&gt;import { LightningElement } from 'lwc';
export default class Hello extends LightningElement {
    greeting = 'World';
}&lt;/code&gt;&lt;/pre&gt;
&lt;pre class="snippet-code-html lang-html prettyprint-override"&gt;&lt;code&gt;&amp;lt;template&amp;gt;
    &amp;lt;lightning-card title="Hello" icon-name="custom:custom14"&amp;gt;
        &amp;lt;div class="slds-m-around_medium"&amp;gt;
            Hello, {greeting}!
        &amp;lt;/div&amp;gt;
        &amp;lt;c-view-source source="lwc/hello" slot="footer"&amp;gt;
            Bind an HTML element to a component property.
        &amp;lt;/c-view-source&amp;gt;
    &amp;lt;/lightning-card&amp;gt;
&amp;lt;/template&amp;gt;&lt;/code&gt;&lt;/pre&gt;
&lt;/div&gt;
&lt;/div&gt;
&lt;/p&gt;
&lt;p&gt;hello.test.js&lt;/p&gt;
&lt;p&gt;&lt;div class="snippet" data-lang="js" data-hide="false" data-console="false" data-babel="false"&gt;
&lt;div class="snippet-code"&gt;
&lt;pre class="snippet-code-js lang-js prettyprint-override"&gt;&lt;code&gt;import {
  createElement
} from 'lwc';
import Hello from 'c/hello';
describe('c-hello', () =&amp;gt; {
  afterEach(() =&amp;gt; {
    // The jsdom instance is shared across test cases in a single file so reset the DOM
    while (document.body.firstChild) {
      document.body.removeChild(document.body.firstChild);
    }
  });
  it('displays greeting', () =&amp;gt; {
    // Create element
    const element = createElement('c-hello', {
      is: Hello
    });
    document.body.appendChild(element);
    // Verify displayed greeting
    const div = element.shadowRoot.querySelector('div');
    expect(div.textContent).toBe('Hello, World!');
  });
});&lt;/code&gt;&lt;/pre&gt;
&lt;/div&gt;
&lt;/div&gt;
&lt;/p&gt;
</t>
  </si>
  <si>
    <t xml:space="preserve">&lt;p&gt;I have json file uploaded as static resource in salesforce 'jsonrecord'. &lt;/p&gt;
&lt;pre&gt;&lt;code&gt;import jsonrecordfrom '@salesforce/resourceUrl/jsonrecord';
&lt;/code&gt;&lt;/pre&gt;
&lt;p&gt;I am loading this json file using XMLHttpRequest()&lt;/p&gt;
&lt;pre&gt;&lt;code&gt;    let request = new XMLHttpRequest();
    request.open("GET", jsonrecord, false);
    request.send(null);
    this.FieldSet = JSON.parse(request.responseText); // response stored in property
&lt;/code&gt;&lt;/pre&gt;
&lt;p&gt;I am writing jest tests for this component, how can i mock the  XMLHttpRequest call to get the respone in test.js file.&lt;/p&gt;
&lt;p&gt;I tried below mock but it gives me anonymous in response.&lt;/p&gt;
&lt;pre&gt;&lt;code&gt;jest.mock(
`@salesforce/resourceUrl/jsonrecord`,
() =&amp;gt; { const testObject = require('./data/jsonrecord.json');
    return testObject;
},
{ virtual: true });
&lt;/code&gt;&lt;/pre&gt;
</t>
  </si>
  <si>
    <t xml:space="preserve">&lt;p&gt;I need help getting an AppSheet report template add columns as required, depending on a list. Below is what I've done and it does not recognize any of the variables below the first on that has the start&lt;/p&gt;
&lt;p&gt;&lt;a href="https://i.stack.imgur.com/naC9y.png" rel="nofollow noreferrer"&gt;&lt;img src="https://i.stack.imgur.com/naC9y.png" alt="enter image description here"&gt;&lt;/a&gt;&lt;/p&gt;
</t>
  </si>
  <si>
    <t xml:space="preserve">&lt;p&gt;I want to setup a mailbox for my custom domain bought in Microsoft Azure. For this, I am configuring Zoho Mail to be my mail box for the custom domain. Now I am supposed to configure email delivery settings. Zoho says -&lt;/p&gt;
&lt;blockquote&gt;
  &lt;p&gt;You need to configure the MX records of your domain in the DNS hosting provider (DNS Manager) to start receiving email to the users and groups created. You change the email service provider of the domain, only after this critical step.&lt;/p&gt;
&lt;/blockquote&gt;
&lt;p&gt;Where do I find the email server settings of a web app in Microsoft Azure? Does Microsoft Azure even support this kind of stuff? Please help, thank you.&lt;/p&gt;
</t>
  </si>
  <si>
    <t xml:space="preserve">&lt;p&gt;You might have figured this out by now but this might prove useful for someone else.&lt;/p&gt;
&lt;p&gt;In azure navigate to your app service. In the Settings section select Custom Domains. Select your domain name and then click on the Advanced Management button. This should take you to Azure Domain Manager, where you can again select your domain name. Under the settings icon you can select Manage DNS and here's where you can add your CNAME and MX details.&lt;/p&gt;
</t>
  </si>
  <si>
    <t xml:space="preserve">&lt;p&gt;This is more of a general question about the future of AppMaker I guess... I have a few ideas that I would like to try out - mostly some tools that could help my clients - and I was wondering if there will be a way to deploy an app made with AppMaker to multiple domaine.&lt;/p&gt;
&lt;p&gt;A (dumb) example would be to create a Task management app that you can centrally develop and deploy as a Saas service to multiple clients.&lt;/p&gt;
&lt;p&gt;I would be interested to hear some insights before investing too much time in this.&lt;/p&gt;
</t>
  </si>
  <si>
    <t xml:space="preserve">&lt;p&gt;Currently, App Maker applications are restricted to the domain of their owner. However, you can export an App Maker application and import it in multiple domains and possibly share the same Google Cloud SQL backend. Keep in mind that sharing the same database will be challenging when it comes to changing the schema since you will have to synchronize updating the applications in the different domains.&lt;/p&gt;
</t>
  </si>
  <si>
    <t xml:space="preserve">&lt;p&gt;I have built an app with Google App Maker which has a Suggest Box linked to a table by a Query parameter.&lt;/p&gt;
&lt;p&gt;The app works correctly in Preview mode, but when I deploy it, the Suggest Box doesn't suggest anything!&lt;/p&gt;
&lt;p&gt;I have deployed it once before (without a select box as I recall) and it worked correctly.&lt;/p&gt;
&lt;p&gt;I tried redeploying to the original deployment and deploying to a new deployment, same result.&lt;/p&gt;
&lt;p&gt;Am I missing some security setting or something?&lt;/p&gt;
</t>
  </si>
  <si>
    <t xml:space="preserve">&lt;p&gt;I am using Drive Tables as my datasource. The kind people at Google sent me a couple of links which helped me to understand what's going on: &lt;a href="https://developers.google.com/appmaker/deployment" rel="noreferrer"&gt;previewing and publishing your application&lt;/a&gt; and &lt;a href="https://developers.google.com/appmaker/security/identity" rel="noreferrer"&gt;running as user or developer&lt;/a&gt;.&lt;/p&gt;
&lt;p&gt;The crux of the issue is that when you deploy an app and run it as user (default), it doesn't take any Drive Table data with it. If you want to add Drive Table data to the deployed app, you have to do this:&lt;/p&gt;
&lt;ol&gt;
&lt;li&gt;Open App Maker&lt;/li&gt;
&lt;li&gt;Go to App Settings&lt;/li&gt;
&lt;li&gt;Go to Deployments&lt;/li&gt;
&lt;li&gt;Select your most recent deployment and click: “EXPORT DATA”&lt;/li&gt;
&lt;li&gt;Make sure you select Preview from the Deployments drop down list.&lt;/li&gt;
&lt;li&gt;Click Export&lt;/li&gt;
&lt;li&gt;This will export all your Preview data to a new Google Spreadsheet.&lt;/li&gt;
&lt;li&gt;Now go to your Drive models in the App Maker and click “IMPORT DATA FROM SHEET”&lt;/li&gt;
&lt;li&gt;Here you can choose to import data to your Deployed version.&lt;/li&gt;
&lt;li&gt;After completing the import process, you will have all your data in the Deployed app. &lt;/li&gt;
&lt;/ol&gt;
&lt;p&gt;All courtesy of Google but I didn't find it in the docs, so it might help someone.&lt;/p&gt;
</t>
  </si>
  <si>
    <t xml:space="preserve">&lt;p&gt;In AppMaker:
Is there a way to make a difference between the app running in preview mode and the app running as a deployed version ?&lt;/p&gt;
&lt;p&gt;Because my app is sending mails and is setting Apps scripts triggers but the config for those should be different in preview mode and deployed versions.&lt;/p&gt;
&lt;p&gt;Thanks&lt;/p&gt;
</t>
  </si>
  <si>
    <t xml:space="preserve">&lt;p&gt;Is it possible to deploy an Appmaker app to a mobile device or tablet? My use case may not have wi-fi access.&lt;/p&gt;
&lt;p&gt;The &lt;a href="http://developers.google.com/appmaker/deployment" rel="nofollow noreferrer"&gt;docs&lt;/a&gt; didn't provide any insight as to having downloadable apps on a device.&lt;/p&gt;
</t>
  </si>
  <si>
    <t xml:space="preserve">&lt;p&gt;I created sample "Projects" app (Welcome Tutorial) using App Maker . I deployed the app and clicked on publish. How can I share it with my friends outside my domain ? &lt;/p&gt;
&lt;p&gt;My domain is mahajiban.org , how someone with email id at gmail (outside my domain) can use it ? 
I am not able to download apk file also. How to find the apk file so that others can install it in my  mobile?
Thanks
Subhadip&lt;/p&gt;
</t>
  </si>
  <si>
    <t xml:space="preserve">&lt;p&gt;App Maker applications are restricted within the domain. Only users in the same domain can edit or access the applications.&lt;/p&gt;
&lt;p&gt;The App Maker only creates web apps, no mobile apps, at this time. However, you can export your application and install it in another domain.&lt;/p&gt;
</t>
  </si>
  <si>
    <t xml:space="preserve">&lt;p&gt;I have published my app in Google App Maker, however when I share the normal "share" link it gives end users the ability to edit the app instead of using the app.&lt;/p&gt;
&lt;p&gt;Where do I find the public version of the app I just published?&lt;/p&gt;
</t>
  </si>
  <si>
    <t xml:space="preserve">&lt;p&gt;I am unable to publish to a new deployment. I get a Error 404. 404. That’s an error.&lt;/p&gt;
&lt;p&gt;The requested URL was not found on this server. That’s all we know.&lt;/p&gt;
&lt;p&gt;Could you please help me solve this issue?&lt;/p&gt;
&lt;p&gt;Thanks,
Maria.&lt;/p&gt;
</t>
  </si>
  <si>
    <t xml:space="preserve">&lt;p&gt;I wanted to share with other users in my company a Google App Maker app I have been developing.  When I develop the app and use Preview, my data is all kept.&lt;/p&gt;
&lt;p&gt;But I know I can't use the preview url for other users to access the application.  So I Published the app and got a deployment url I could give to other users.  The problem I am having is that all documents created are gone for myself (and I assume the other users) each time I open a new window with the deployment url.&lt;/p&gt;
&lt;p&gt;How can this be fixed.  I am thinking there is something silly I am missing or doing.&lt;/p&gt;
</t>
  </si>
  <si>
    <t xml:space="preserve">&lt;p&gt;I touched upon this in a question I submitted yesterday. I am not sure I clarified well what my issue is in that post, so, just to make it less confusing I thought I'd just create a new post.&lt;/p&gt;
&lt;p&gt;This is what's happening.&lt;/p&gt;
&lt;p&gt;If I go into Preview mode and create a new record and then refresh my browser, the record remains (as you can see I now have many records in Preview). But I realize the Preview is unique to my login.&lt;/p&gt;
&lt;p&gt;[Inline image 2][1]&lt;/p&gt;
&lt;p&gt;But when I do a deployment and go to the deployment url:&lt;/p&gt;
&lt;p&gt;[Inline image 3][2]&lt;/p&gt;
&lt;p&gt;And then I create and submit a new record, it works correctly and displays in my list view:&lt;/p&gt;
&lt;p&gt;[Inline image 4][3]&lt;/p&gt;
&lt;p&gt;&lt;img src="https://i.stack.imgur.com/Np3xV.png" alt="Inline image 5"&gt;&lt;/p&gt;
&lt;p&gt;But then, if I just stay on the same window tab and refresh my browser, my document disappears.&lt;/p&gt;
&lt;p&gt;&lt;img src="https://i.stack.imgur.com/S98Zq.png" alt="Inline image 6"&gt;&lt;/p&gt;
</t>
  </si>
  <si>
    <t xml:space="preserve">&lt;p&gt;My formulas in Display --&gt; visible seem to work while I am in Preview mode.  But don't work when I access a Published version of the app.&lt;/p&gt;
</t>
  </si>
  <si>
    <t xml:space="preserve">&lt;p&gt;I am having issues that when a user is not an Admin, that can't access a published application.  &lt;/p&gt;
&lt;p&gt;The spinner just keeps spinning indefinitely when try go to published app url.  &lt;/p&gt;
&lt;p&gt;Under Application access in the Edit deployment screen I do have 'Do not restrict access to this application' selected.&lt;/p&gt;
</t>
  </si>
  <si>
    <t xml:space="preserve">&lt;p&gt;Hoping anyone can help with this. I have an Appmaker app on google EAP that uses the drive picker widget to get a file, then unshare that file.&lt;/p&gt;
&lt;p&gt;The preview works great, but when I publish the app, it hangs for some reason. It's deployed to run as user (required since I'm using drive picker), and I don't see an obvious security issue, since I've listed myself as admin. &lt;/p&gt;
&lt;p&gt;The client side of the app works with no problems. It then sends the file id to the server script successfully. The server script is able to log the file id. But when I invoke DriveApp, it hangs and times out (no specific error thrown - "We're sorry, a server error occurred. Please wait a bit and try again.").&lt;/p&gt;
&lt;p&gt;The line it hangs on is this:&lt;/p&gt;
&lt;pre&gt;&lt;code&gt;var file = DriveApp.getFilesByName('upcoming stuff092017').next();
&lt;/code&gt;&lt;/pre&gt;
&lt;p&gt;But, I've tried other lines as well, like using getFileById(''), createFile('',''), etc.  &lt;/p&gt;
&lt;p&gt;Not sure what's happening - anybody got ideas?&lt;/p&gt;
&lt;hr&gt;
&lt;p&gt;UPDATE - oddly, the problem seems to be specifically with DriveApp.
I added a line in the server script using GmailApp.sendEmail('','',''), and the e-mail sent ... then when the script reached the DriveApp command, it hung and failed again.&lt;/p&gt;
</t>
  </si>
  <si>
    <t xml:space="preserve">&lt;pre class="lang-js prettyprint-override"&gt;&lt;code&gt;// this line works fine
var iterator = DriveApp.getFilesByName('test');
// App Script freezes both on 'hasNext' and 'next' method calls
if (iterator.hasNext()) {
  iterator.next();
} else {
} 
&lt;/code&gt;&lt;/pre&gt;
&lt;p&gt;It is known issue and it is already reported here:&lt;/p&gt;
&lt;p&gt;&lt;a href="https://issuetracker.google.com/issues/63946936" rel="nofollow noreferrer"&gt;https://issuetracker.google.com/issues/63946936&lt;/a&gt;&lt;/p&gt;
&lt;p&gt;&lt;strong&gt;Workaround&lt;/strong&gt;&lt;/p&gt;
&lt;p&gt;Use &lt;a href="https://developers.google.com/apps-script/advanced/drive" rel="nofollow noreferrer"&gt;advanced Drive API&lt;/a&gt;&lt;/p&gt;
&lt;p&gt;&lt;a href="https://i.stack.imgur.com/lqMnZ.png" rel="nofollow noreferrer"&gt;&lt;img src="https://i.stack.imgur.com/lqMnZ.png" alt="enter image description here"&gt;&lt;/a&gt;&lt;/p&gt;
&lt;pre class="lang-js prettyprint-override"&gt;&lt;code&gt;// Server script usage
var result = Drive.Files.list({ q: 'title = "tmp.js"' });
console.log(result.items.length);
&lt;/code&gt;&lt;/pre&gt;
&lt;p&gt;Full advance Drive API reference:&lt;/p&gt;
&lt;p&gt;&lt;a href="https://developers.google.com/drive/v2/reference/" rel="nofollow noreferrer"&gt;https://developers.google.com/drive/v2/reference/&lt;/a&gt;&lt;/p&gt;
</t>
  </si>
  <si>
    <t xml:space="preserve">&lt;p&gt;I am trying to make multiple pages with the name of users which will then be shared with each them. However, once I tested it by adding one of them, they managed to get to the page, but no results are shown when clicking at the button for pulling the data from the Drive Sheet. The circle is doing a single circle and that's it - no data, only the headers are shown.&lt;/p&gt;
&lt;p&gt;Is it required for the users to have the file shared with them in Drive in order to pull it on Google App Maker or is there any security setting that I have to adjust?&lt;/p&gt;
&lt;p&gt;&lt;strong&gt;Settings in the publish menu&lt;/strong&gt;:
&lt;img src="https://i.stack.imgur.com/ncS4o.jpg" alt="Settings in the publish menu"&gt;&lt;/p&gt;
&lt;p&gt;&lt;strong&gt;User roles in Security in the PAGE and DATA&lt;/strong&gt;:
&lt;img src="https://i.stack.imgur.com/E6nx1.jpg" alt="User roles in Security in the PAGE and DATA"&gt;&lt;/p&gt;
&lt;p&gt;There are no errors in the Developer or Preview tab.&lt;/p&gt;
</t>
  </si>
  <si>
    <t xml:space="preserve">&lt;p&gt;From what I've read I can deploy apps to members of my organization or specific email addresses from google app maker. Am I able to sell these apps though through the google app store to the public?&lt;/p&gt;
</t>
  </si>
  <si>
    <t xml:space="preserve">&lt;p&gt;After deploying an App Maker app, how does one set a friendly URL, or custom domain, or make it appear in the list of your G Suite domain apps?&lt;/p&gt;
&lt;p&gt;I've looked through App Settings and Edit Deployment, but there is nothing to be found, the unique deployment URL's a fairly difficult to remember.&lt;/p&gt;
</t>
  </si>
  <si>
    <t xml:space="preserve">&lt;p&gt;how to change the application name created by appmaker.
I have got a dialog in published first page (image below).
but I want to change "Hello App Maker! (copy)"..
&lt;a href="https://i.stack.imgur.com/9IIC5.png" rel="nofollow noreferrer"&gt;&lt;img src="https://i.stack.imgur.com/9IIC5.png" alt="enter image description here"&gt;&lt;/a&gt;
and where is apps script project connected appmaker?
I have not found in apps script dashboard.&lt;/p&gt;
</t>
  </si>
  <si>
    <t xml:space="preserve">&lt;p&gt;You'll need to open the GCP Project. If you are doing a preview, then you'll have to click the link that says &lt;strong&gt;Server Logs&lt;/strong&gt;, which is usually located on the bottom left:&lt;/p&gt;
&lt;p&gt;&lt;a href="https://i.stack.imgur.com/M6Dvr.png" rel="nofollow noreferrer"&gt;&lt;img src="https://i.stack.imgur.com/M6Dvr.png" alt="enter image description here"&gt;&lt;/a&gt;&lt;/p&gt;
&lt;p&gt;If you want to do it on a deployed version, then you'll need to open the edit section of the deployment and click on &lt;strong&gt;VIEW LOGS&lt;/strong&gt;:&lt;/p&gt;
&lt;p&gt;&lt;a href="https://i.stack.imgur.com/IM0YQ.png" rel="nofollow noreferrer"&gt;&lt;img src="https://i.stack.imgur.com/IM0YQ.png" alt="enter image description here"&gt;&lt;/a&gt;&lt;/p&gt;
&lt;p&gt;Once you are taken to the GCP project, click the menu icon on the top right and select &lt;strong&gt;Project settings&lt;/strong&gt;:&lt;/p&gt;
&lt;p&gt;&lt;a href="https://i.stack.imgur.com/C9Ax1.png" rel="nofollow noreferrer"&gt;&lt;img src="https://i.stack.imgur.com/C9Ax1.png" alt="enter image description here"&gt;&lt;/a&gt;&lt;/p&gt;
&lt;p&gt;Finally, change the project name and click **SAVE*:*&lt;/p&gt;
&lt;p&gt;&lt;a href="https://i.stack.imgur.com/IXBkM.png" rel="nofollow noreferrer"&gt;&lt;img src="https://i.stack.imgur.com/IXBkM.png" alt="enter image description here"&gt;&lt;/a&gt;&lt;/p&gt;
</t>
  </si>
  <si>
    <t xml:space="preserve">&lt;p&gt;I've built an app in App Maker and deployed it, but the user I thought I had given permission to is getting this notification "Sorry, you don't have access to this application."&lt;/p&gt;
&lt;p&gt;In the app, I added a role to the data source and added the user to the role from the deployment. I also added the role to each page's security. I verified that App Maker is turned on for all of our users. I've ensured that the user has access to the Google Sheet data tables (both what I imported into the App for preview and the data I exported from the deployment). I've even added the user as a Cloud Sql Viewer in our Cloud SQL instance (don't know if that was necessary). This is my first app and I feel like I'm flying blind. I'm obviously missing something but can't figure out what. Any help is much appreciated!&lt;/p&gt;
</t>
  </si>
  <si>
    <t xml:space="preserve">&lt;ol&gt;
&lt;li&gt;Make sure &lt;strong&gt;all&lt;/strong&gt; the required models can be accessed by the role you assigned to the user.&lt;/li&gt;
&lt;li&gt;If the user has another Google account in the same Chrome session, the browser may be switching them to this external user when opening the app. Sign-out from that account or try incognito.&lt;/li&gt;
&lt;li&gt;Make sure the deployment has no restriction as shown here; or if it does, allow the username.&lt;/li&gt;
&lt;/ol&gt;
&lt;p&gt;&lt;a href="https://i.stack.imgur.com/vxbwb.png" rel="nofollow noreferrer"&gt;&lt;img src="https://i.stack.imgur.com/vxbwb.png" alt="enter image description here"&gt;&lt;/a&gt;&lt;/p&gt;
</t>
  </si>
  <si>
    <t xml:space="preserve">&lt;p&gt;I am trying to deploy the apex classes in my target org through force IDE but it showing error, Can you please suggest me where I am doing wrong 
Deploying showing error log :&lt;/p&gt;
&lt;blockquote&gt;
  &lt;p&gt;StaticBusinessLogic.testUpdateSearchCreateTaskWhenReferralPlaced System.DmlException: Insert failed. First exception on row 0; first error: FIELD_CUSTOM_VALIDATION_EXCEPTION, Email, Phone, Title and Role are Mandatory: []&lt;/p&gt;
  &lt;p&gt;UpdateLeadTriggerTest.testLeadandTrigger System.DmlException: Insert failed. First exception on row 0; first error: FIELD_CUSTOM_VALIDATION_EXCEPTION, Email, Phone, Title and Role are Mandatory: []&lt;/p&gt;
  &lt;p&gt;ContactIsPortalUser Test coverage of selected Apex Trigger is 0%, at least 1% test coverage is required&lt;/p&gt;
  &lt;p&gt;AddHistory Test coverage of selected Apex Trigger is 0%, at least 1% test coverage is required&lt;/p&gt;
  &lt;p&gt;Average test coverage across all Apex Classes and Triggers is 69%, at least 75% test coverage is required.&lt;/p&gt;
&lt;/blockquote&gt;
</t>
  </si>
  <si>
    <t xml:space="preserve">&lt;p&gt;When you do a new deployment, it makes an empty copy of the database. I was thinking I could use the preview instance to seed my database. Is that possible?&lt;/p&gt;
</t>
  </si>
  <si>
    <t xml:space="preserve">&lt;p&gt;The URL for app-maker is always pretty complicated and is not human readable... 
Is there a way to configure a host name or simplify the URL, in order to have the users being able to remember it?&lt;/p&gt;
&lt;p&gt;for example:&lt;/p&gt;
&lt;pre&gt;&lt;code&gt;myapp.mydomain.com
&lt;/code&gt;&lt;/pre&gt;
&lt;p&gt;or at least:
&lt;code&gt;scripts.google.com/myapp_prod&lt;/code&gt; or similar?&lt;/p&gt;
&lt;p&gt;Until now I wasn't able to find out a way to have a fixed URL for the prod deployment for example.&lt;/p&gt;
</t>
  </si>
  <si>
    <t xml:space="preserve">&lt;p&gt;I am working on a new project where the client's pre-existing production code  has a low coverage of 72% thus not allowing me to deploy any work done in the Sandbox.&lt;/p&gt;
&lt;p&gt;Error:&lt;/p&gt;
&lt;p&gt;Code Coverage Failure
Your code coverage is 72%. You need at least 75% coverage to complete this deployment.&lt;/p&gt;
&lt;p&gt;Does anyone have recommendations as to how to increase code coverage?&lt;/p&gt;
</t>
  </si>
  <si>
    <t xml:space="preserve">&lt;ol&gt;
&lt;li&gt;Compile all classes in production&lt;/li&gt;
&lt;li&gt;Run all your unit tests (local ones, no need to run tests that come with managed packages)&lt;/li&gt;
&lt;li&gt;Go to Developer Console, Query Editor, tick at the bottom the Tooling API checkbox&lt;/li&gt;
&lt;li&gt;&lt;p&gt;Run this query&lt;/p&gt;
&lt;pre&gt;&lt;code&gt;SELECT ApexClassorTrigger.Name, NumLinesCovered, NumLinesUncovered
FROM ApexCodeCoverageAggregate
ORDER BY NumLinesUncovered DESC
LIMIT 10
&lt;/code&gt;&lt;/pre&gt;&lt;/li&gt;
&lt;/ol&gt;
&lt;p&gt;It should give you a good idea which classes/triggers are least covered. Some of these will be quick wins, time spent on creating/improving their tests will give you best results in oveall coverage. I mean it's better to spend 1h fixing class that has 60 out of 100 lines covered than class that has 2 out of 4 covered. Work in sandbox till you're &gt; 75%&lt;/p&gt;
&lt;p&gt;(there's a chance your sandbox is outdated and somebody created validation rules, required fields etc straight in production without deploying... that's why I asked to compile &amp;amp; run all tests in prod)&lt;/p&gt;
&lt;p&gt;If there are classes/methods that aren't used anymore and it'd be safe to delete them - you can't do it with changeset, you need a special destructive deployment. For now you could comment them out and deploy that version. Just check if this is beneficial for you (I mean of course it's good to get rid of old code, easier maintenance... but if it happens to be well covered with tests you'll shoot yourself in the foot)&lt;/p&gt;
&lt;p&gt;Add the created/updated test classes to changeset and you should be able to deploy it to prod.&lt;/p&gt;
</t>
  </si>
  <si>
    <t xml:space="preserve">&lt;p&gt;We have a formula field against contact records in Salesforce that needs to be different based on whether the record is being viewed in the Sales Cloud or the Service Cloud Console.&lt;/p&gt;
&lt;p&gt;Is there a way to detect whether you are running under Sales Cloud or Service Cloud so the formula can be substituted?&lt;/p&gt;
</t>
  </si>
  <si>
    <t xml:space="preserve">&lt;p&gt;I'm quite sure you cannot do this using a formula field.
You can do this in custom code/controller by checking the URL parameter named isdtp , if you are in console it will be set to 'vw' or 'nv'.&lt;/p&gt;
&lt;p&gt;Hope this helps.&lt;/p&gt;
</t>
  </si>
  <si>
    <t xml:space="preserve">&lt;p&gt;I need to create some automated method for checking certain security settings within a given Salesforce org(s). The four big ones are:&lt;/p&gt;
&lt;ol&gt;
&lt;li&gt;IP Restrictions within each profile &lt;/li&gt;
&lt;li&gt;Mobile User setting disabled&lt;/li&gt;
&lt;li&gt;Mobile Lite disabled&lt;/li&gt;
&lt;li&gt;Chatter Disabled&lt;/li&gt;
&lt;/ol&gt;
&lt;p&gt;I think the first two can be accomplished through the API (SOQL to get all profiles and check loginIpRanges[] length &gt;0 and SOQL to get all users and check isMobileUser property for each one), but I can't find anything in the API for the other two and wonder if I would have to screen scrape it.&lt;/p&gt;
&lt;p&gt;Any suggestions on the best approach to accomplish this? A local Python or other script that connects remotely via the API and a screen scraper or Selenium script for the non-API items? An Apex or VisualForce page that is installed within each org?&lt;/p&gt;
&lt;p&gt;I am new to Salesforce and Apex, so before I start down one road and doing it within Salesforce vs via the API I would really appreciate any guidance. &lt;/p&gt;
&lt;p&gt;Thank you!&lt;/p&gt;
</t>
  </si>
  <si>
    <t xml:space="preserve">&lt;p&gt;I think you'll have to take a mixed approach to solving this, perhaps wrapped up in some larger python script.&lt;/p&gt;
&lt;ul&gt;
&lt;li&gt;&lt;p&gt;Use the metadata API to get all of the Profile objects and parse for loginIPRanges. You can use Apache ANT and the Force.com migration tool commands to do this. You can also get the SecuritySettings from the same API and method and get a lot of the things in the Security Health Check, if you need them. The results will be returned in XML, which you can easily parse in your python script.&lt;/p&gt;&lt;/li&gt;
&lt;li&gt;&lt;p&gt;Use the API and a SOQL query to check for the isMobileUser permission, use python to parse/output results. Beatbox is a good library for connecting to the standard API.&lt;/p&gt;&lt;/li&gt;
&lt;li&gt;&lt;p&gt;For the last two, I think you'll need to go with some screen scraping/browser automation and parsing. Hopefully someone has a better answer for this, as I'm not familiar enough to help with how to accomplish this aspect. The screens are in standard locations so it should be repeatable as long as future updates don't move things.&lt;/p&gt;&lt;/li&gt;
&lt;/ul&gt;
&lt;p&gt;Ideally you'll be able to combine these into one large script that fires off beatbox, then fires off ant/migration tool, and some browser automation script. &lt;/p&gt;
</t>
  </si>
  <si>
    <t xml:space="preserve">&lt;p&gt;I am working with exporting data in OutSystems and would appreciate some help with it.&lt;/p&gt;
&lt;p&gt;Detailed description:&lt;/p&gt;
&lt;ol&gt;
&lt;li&gt;&lt;p&gt;I have data in an entity in my application.&lt;/p&gt;&lt;/li&gt;
&lt;li&gt;&lt;p&gt;When the user is logged in (for example user is a borrower or co-borrower) , when the user clicks on an export button, then all the data for the logged in user id should be exported into a text file.&lt;/p&gt;&lt;/li&gt;
&lt;li&gt;&lt;p&gt;How do you get the user id in OutSystems.&lt;/p&gt;&lt;/li&gt;
&lt;/ol&gt;
&lt;p&gt;So I want store data from an entity to structure, and export that data into a text file (in binary format) for the logged in user id. &lt;/p&gt;
</t>
  </si>
  <si>
    <t xml:space="preserve">&lt;p&gt;Is there a way to do a nightly backup of an App Maker database? Just in case a user accidentally deletes any data?&lt;/p&gt;
&lt;p&gt;Even just having an outputted spreadsheet would be acceptable. &lt;/p&gt;
</t>
  </si>
  <si>
    <t xml:space="preserve">&lt;p&gt;I'm having an issue with the CloudSQL connection on a specific account. 
If I use account A to preview the project it works fine, yet account B with the exact same cloudSQL credentials is unable to preview, account B is the owner of the project.&lt;/p&gt;
&lt;p&gt;&lt;a href="https://i.stack.imgur.com/1cHMg.png" rel="nofollow noreferrer"&gt;&lt;img src="https://i.stack.imgur.com/1cHMg.png" alt="enter image description here"&gt;&lt;/a&gt;&lt;/p&gt;
&lt;p&gt;They both have the same IAM roles in the cloudSQL project and both accounts were able to preview last week. 
I've tried deleting cache, navigation files and another browser using account B.&lt;/p&gt;
&lt;p&gt;Any ideas?&lt;/p&gt;
</t>
  </si>
  <si>
    <t xml:space="preserve">&lt;p&gt;I'm going to add a new answer to resolve this because I think it's worthwhile to keep the previous answer and discussion intact. The issue here was that the accounts which did not work have the "Viewer" role in the IAM &amp;amp; Admin section of the Google Cloud SQL project. The Viewer role gives (among other permissions) read access to Cloud SQL, but not write access.&lt;/p&gt;
&lt;p&gt;The best role to use if restricted access is required, but they need full access to read/write SQL, is the Google Cloud SQL Client role. See &lt;a href="https://cloud.google.com/sql/docs/mysql/project-access-control" rel="nofollow noreferrer"&gt;https://cloud.google.com/sql/docs/mysql/project-access-control&lt;/a&gt; for more information on roles and what access they give.&lt;/p&gt;
&lt;p&gt;Thanks for Juan for help tracking all this down.&lt;/p&gt;
&lt;p&gt;Edit: It's also worth mentioning that the reason this works in the Editor, but not in Preview/Deployments is the editor is explicitly whitelisted for access (as one of the steps we ask you to do in the documentation), so it doesn't use role permissions for a particular account, while access through your deployments is not explicitly whitelisted in this way, so role permissions are enforced.&lt;/p&gt;
</t>
  </si>
  <si>
    <t xml:space="preserve">&lt;p&gt;I have an AppMaker app that uses Drive tables.  However I need to move to Cloud SQL, so I followed the steps here: &lt;a href="https://stackoverflow.com/questions/41679881/connect-appmaker-to-google-sql"&gt;Connect AppMaker to Google SQL&lt;/a&gt;&lt;/p&gt;
&lt;p&gt;I created the Clould SQL (PostgreSQL) instance and database fine, then created the same tables in Cloud as I was using in Drive (Well, almost, I could not have a table named User).&lt;/p&gt;
&lt;p&gt;When I went to create the Model in AppMaker, it spent a lot of time spinning, then said "Failed to load models for Google Cloud SQL."  And then, strangely, it said Refresh Required.&lt;/p&gt;
&lt;p&gt;I thought this was a fluke but when I tried again I got the exact same error messages.  Any idea what is going on?  Is there any chance it is failing because I still have the Drive tables with the same names as the Cloud SQL tables?&lt;/p&gt;
&lt;p&gt;Thanks for any tips or pointers.&lt;/p&gt;
</t>
  </si>
  <si>
    <t xml:space="preserve">&lt;p&gt;App Maker does not currently support PostreSQL.&lt;/p&gt;
</t>
  </si>
  <si>
    <t xml:space="preserve">&lt;p&gt;I have created 1 dashboard with 4 summary reports as a system administrator. For custom Profile, I have given reports &amp;amp; dashboard folder access "Can Manage".&lt;/p&gt;
&lt;p&gt;Now when user of that custom profile, is trying to view that dashboard, getting error as "You need permission to refresh this Dashboard".
Whereas, he can view all the 4 reports with correct data loaded in it.&lt;/p&gt;
&lt;p&gt;Please help me to figure out what am I missing in this implementation.&lt;/p&gt;
&lt;p&gt;Thanks in advance!
Priyanka&lt;/p&gt;
</t>
  </si>
  <si>
    <t xml:space="preserve">&lt;p&gt;I've developed an application on Google App Maker and have been getting troubles on restricting access on to specific users. I know we could restrict users using groups but when I put the group email under the 'Application Access' the icon on the email is of the first letter and not the group icon. This tells me that app maker is not recognizing the email as a group email. &lt;/p&gt;
&lt;p&gt;The email used as the owner and deployer of the app created the group as well and was added as its owner to be able to give it permission to view the membership list of the group.&lt;/p&gt;
&lt;p&gt;Admin Console screenshot:
&lt;a href="https://i.stack.imgur.com/9Redn.png" rel="nofollow noreferrer"&gt;&lt;img src="https://i.stack.imgur.com/9Redn.png" alt="enter image description here"&gt;&lt;/a&gt;&lt;/p&gt;
&lt;p&gt;App Maker settings screenshot:
&lt;a href="https://i.stack.imgur.com/VHbKF.png" rel="nofollow noreferrer"&gt;&lt;img src="https://i.stack.imgur.com/VHbKF.png" alt="enter image description here"&gt;&lt;/a&gt;&lt;/p&gt;
&lt;p&gt;Thanks for in advance for the help.&lt;/p&gt;
</t>
  </si>
  <si>
    <t xml:space="preserve">&lt;p&gt;My application needs to be restricted to 4 groups of users (35 users in total) where members are maintained through google groups. Can I leverage on that collective address to specify access to my AppMaker application?&lt;/p&gt;
&lt;p&gt;&lt;a href="https://i.stack.imgur.com/h64wR.png" rel="nofollow noreferrer"&gt;Click here to view screen capture of my deployment settings&lt;/a&gt;&lt;/p&gt;
</t>
  </si>
  <si>
    <t xml:space="preserve">&lt;p&gt;is it possible to access the google drive table as wich contains the data for an app maker model? I mean - is it possible to open it as a Spreadsheet?&lt;/p&gt;
&lt;p&gt;Thanks
Rene&lt;/p&gt;
</t>
  </si>
  <si>
    <t xml:space="preserve">&lt;p&gt;I want to build an ATS with appmaker. We would use Google FORMS to get all information needed from both candidates and clients, but we would also like to give them "granular" access to the system, without having an email of ours. &lt;/p&gt;
&lt;p&gt;Is that possible, or is appmaker only for internal systems?&lt;/p&gt;
</t>
  </si>
  <si>
    <t xml:space="preserve">&lt;p&gt;I have a salesforce developer account on salesforce and&lt;/p&gt;
&lt;p&gt;I am not able to delete mass &lt;strong&gt;EmailMessage&lt;/strong&gt;.&lt;/p&gt;
&lt;p&gt;I can see Task object and I can delete that but I want only email messages to delete.&lt;/p&gt;
</t>
  </si>
  <si>
    <t xml:space="preserve">&lt;p&gt;I am using Read Product API in order to read the Product Model and add Products to the Quote Line ,but the Read Product API is not able to read more than 31 products ,which results in adding only 31 products to the final Quote Line.&lt;/p&gt;
&lt;p&gt;Can anyone please  tel me what is alternative way to add more Products to the Quote Lines through API?&lt;/p&gt;
&lt;p&gt;Thanks in advance.&lt;/p&gt;
&lt;p&gt;Link to information on ( Read Product API )- &lt;a href="https://developer.salesforce.com/docs/atlas.en-us.cpq_dev_api.meta/cpq_dev_api/cpq_api_read_product.htm" rel="nofollow noreferrer"&gt;https://developer.salesforce.com/docs/atlas.en-us.cpq_dev_api.meta/cpq_dev_api/cpq_api_read_product.htm&lt;/a&gt;&lt;/p&gt;
&lt;p&gt;CODE&lt;/p&gt;
&lt;pre&gt;&lt;code&gt;public class TestReadProduct {
Public static integer ReadProductsBulk(){
List&amp;lt;ProductModel&amp;gt;  Result = new List&amp;lt;ProductModel&amp;gt;();
    for(pricebookentry Prod:[select  Product2id,pricebook2id from pricebookentry where pricebook2id='01s6F00000GZ4OuQAL' ]){
        ProductModel Current = new ProductModel();
        Current = Current.readProduct(Prod.Product2id,Prod.pricebook2id,'USD');
            result.add(current);
        }
        return Result.size();
    }
 }
&lt;/code&gt;&lt;/pre&gt;
</t>
  </si>
  <si>
    <t xml:space="preserve">&lt;p&gt;I have an App Maker app that sends a notification email to a user when they have to take action on an item. The email includes a link into the app to access the item they need to take action on directly. For whatever reason, when they click on the email in the link, users are getting a "Sorry, you don't have access to this application" error. &lt;/p&gt;
&lt;ul&gt;
&lt;li&gt;The URL generated in the email is correct, and exactly matches the URL you'd be at if you navigated to the same page/record from within the app.&lt;/li&gt;
&lt;li&gt;It looks like there's some kind of link resolution going on when you click on the email link -- there's a brief period when the URL in the address bar is of the form &lt;code&gt;https://www.google.com/url?q=https://script.google.com/a/xxxxx/macros/s/&amp;lt;correct script ID&amp;gt;/exec?evalId%3D823%23EditEvaluation&amp;amp;source=gmail&amp;amp;ust=&amp;lt;number&amp;gt;&amp;amp;usg=&amp;lt;string&amp;gt;&lt;/code&gt;&lt;/li&gt;
&lt;li&gt;For almost all users, the link resolves to a URL in the form of &lt;code&gt;https://script.googleusercontent.com/a/macros/xxxxx/echo?user_content_key=&amp;lt;string&amp;gt;&amp;amp;lib=MxCG-Sk-HF4ilQO-Kv7w6fINeS3Mb45sS#EditEvaluation&lt;/code&gt;, which then goes to a page that just has the "Sorry, you don't have access to this application" message.&lt;/li&gt;
&lt;li&gt;If I copy and paste the full correct URL (&lt;code&gt;https://www.google.com/url?q=https://script.google.com/a/xxxxx/macros/s/&amp;lt;correct script ID&amp;gt;/exec?evalId%3D823%23EditEvaluation&lt;/code&gt;) into a new tab, it goes to the same error.&lt;/li&gt;
&lt;li&gt;The only time this error doesn't come up is when I'm logged in as the Admin user -- I can click on an email link or copy and paste the link into a new tab, and it loads just fine.&lt;/li&gt;
&lt;/ul&gt;
&lt;p&gt;Here's what I've checked:&lt;/p&gt;
&lt;ul&gt;
&lt;li&gt;In the deployment settings, the app runs under the user's account, and application access is not restricted.&lt;/li&gt;
&lt;li&gt;Access to the data models involved, as well as to all associated relations, is set to Everyone.&lt;/li&gt;
&lt;li&gt;Security for the page involved is set to Everyone.&lt;/li&gt;
&lt;li&gt;There are no permission-related bindings for visible or enabled anywhere on the target page.&lt;/li&gt;
&lt;/ul&gt;
&lt;p&gt;Can anyone else see something I'm overlooking?&lt;/p&gt;
</t>
  </si>
  <si>
    <t xml:space="preserve">&lt;p&gt;I'm a teacher at a secondary school in Italy. We have activated GSUITE since two years ago, we have also already activated the APP Maker service. I've prepared some lessons form my students. APP Maker works fine with the administrator user and another teacher user. It doesn't work with the users I've  created for my students connected to the same domain but a different organization. APP Maker service is active for all organization. &lt;/p&gt;
&lt;p&gt;When we try to follow a APP Maker tutorial as student account we receive a massege like this: "Sorry, you don't have access to this service [...]".&lt;/p&gt;
&lt;p&gt;Somebody has already solved this problem?&lt;/p&gt;
&lt;p&gt;Thank's in advance for your help.&lt;/p&gt;
</t>
  </si>
  <si>
    <t xml:space="preserve">&lt;p&gt;I'm almost finished with my first App Maker app (learned a lot, thanks for the help so far!). The app currently collects timestamp data when users log in and out of the work site. As the time between leaving and returning could be a few hours, and because App Maker is browser based, I originally had issues where the user was unable to complete the record and tap the Time_IN button. I solved this by moving the &lt;em&gt;Time IN&lt;/em&gt; Button to a pop-up attached to the records page, so when the user came back to work they could open the record, tap &lt;em&gt;Time IN&lt;/em&gt; and be on their way. Simple, right?&lt;/p&gt;
&lt;p&gt;&lt;a href="https://i.stack.imgur.com/iyWUm.jpg" rel="nofollow noreferrer"&gt;&lt;img src="https://i.stack.imgur.com/iyWUm.jpg" alt="New Time IN method"&gt;&lt;/a&gt;&lt;/p&gt;
&lt;p&gt;My trouble now is that users were unable to see their own records on the &lt;em&gt;UserRecords&lt;/em&gt; page, unless I made them admins, but then it grants access to the full table on not just their own, showing all records for all users. The navigation menu originally had this snippet of code which I removed:&lt;/p&gt;
&lt;pre&gt;&lt;code&gt;(@user.roles).indexOf('Admins', 'Managers') !== -1
&lt;/code&gt;&lt;/pre&gt;
&lt;p&gt;but I'm not sure if I've missed something as the issue still seems to be partly user role based? Here is an image of the datasource fields, there are only two models in this app, GatePass (as shown in the picture) &amp;amp; Directory (for user picker).&lt;/p&gt;
&lt;p&gt;&lt;a href="https://i.stack.imgur.com/lPMyN.jpg" rel="nofollow noreferrer"&gt;&lt;img src="https://i.stack.imgur.com/lPMyN.jpg" alt="Datasource Fields"&gt;&lt;/a&gt;&lt;/p&gt;
&lt;p&gt;An export looks like this (and the idea is to get each user their own data, not the whole source table):&lt;/p&gt;
&lt;p&gt;&lt;a href="https://i.stack.imgur.com/KVr8M.jpg" rel="nofollow noreferrer"&gt;&lt;img src="https://i.stack.imgur.com/KVr8M.jpg" alt="Export data"&gt;&lt;/a&gt;&lt;/p&gt;
&lt;p&gt;Also, this is what the users input page looks like now (if it helps), I managed to get the user email to autofill with &lt;code&gt;record.Email = Session.getActiveUser().getEmail();&lt;/code&gt; in the onBeforeCreate:&lt;/p&gt;
&lt;p&gt;&lt;a href="https://i.stack.imgur.com/GMEVe.jpg" rel="nofollow noreferrer"&gt;&lt;img src="https://i.stack.imgur.com/GMEVe.jpg" alt="User Entry Latest"&gt;&lt;/a&gt;&lt;/p&gt;
&lt;p&gt;In a nutshell, the user should only see their records in the &lt;em&gt;UserRecords&lt;/em&gt; page so they can access and complete their submission. The same is doubly true for their exports. Can anyone please help?&lt;/p&gt;
</t>
  </si>
  <si>
    <t xml:space="preserve">&lt;p&gt;In your model, go to the &lt;strong&gt;DATASOURCES&lt;/strong&gt; tab. If you have more than one datasource showing up, then it's up to you to choose the right one. Make sure to uncheck the option &lt;strong&gt;Automatically load data&lt;/strong&gt;.&lt;/p&gt;
&lt;p&gt;&lt;a href="https://i.stack.imgur.com/iaCU2.png" rel="nofollow noreferrer"&gt;&lt;img src="https://i.stack.imgur.com/iaCU2.png" alt="enter image description here"&gt;&lt;/a&gt;&lt;/p&gt;
&lt;p&gt;Next, go the page where the table is located. Then on the table &lt;strong&gt;onAttach&lt;/strong&gt; event put the following:&lt;/p&gt;
&lt;pre&gt;&lt;code&gt;var ds = widget.datasource;
if(!app.user.role.Admins){
  ds.query.filters.Email._equals = app.user.email;
}
ds.load();
&lt;/code&gt;&lt;/pre&gt;
&lt;p&gt;That should do the trick. In regards to the permission issue with the admin role, make sure that the model has the proper permissions. For that, go the the model's &lt;strong&gt;SECURITY&lt;/strong&gt;
tab and make sure to set the proper permissions.&lt;/p&gt;
&lt;p&gt;&lt;a href="https://i.stack.imgur.com/k1KiN.png" rel="nofollow noreferrer"&gt;&lt;img src="https://i.stack.imgur.com/k1KiN.png" alt="enter image description here"&gt;&lt;/a&gt;&lt;/p&gt;
&lt;p&gt;References: &lt;/p&gt;
&lt;p&gt;&lt;a href="https://developers.google.com/appmaker/security/secure-app-data" rel="nofollow noreferrer"&gt;https://developers.google.com/appmaker/security/secure-app-data&lt;/a&gt;
&lt;a href="https://developers.google.com/appmaker/models/datasources" rel="nofollow noreferrer"&gt;https://developers.google.com/appmaker/models/datasources&lt;/a&gt;&lt;/p&gt;
</t>
  </si>
  <si>
    <t xml:space="preserve">&lt;p&gt;I have created an App in Google AppMaker and have shared the Deployment to Anyone with the link can view (No sign-in required).&lt;/p&gt;
&lt;p&gt;Application Access in Deployment Settings is set to "Do not restrict access to this application".
Application is set to runs with Developer Account.&lt;/p&gt;
&lt;p&gt;However, if someone try to access the app with the..&lt;/p&gt;
&lt;p&gt;..Deployment URL (&lt;a href="https://script.google.com/macros/.../exec" rel="nofollow noreferrer"&gt;https://script.google.com/macros/.../exec&lt;/a&gt;), they get redirected to login screen (&lt;a href="https://accounts.google.com/signin/.." rel="nofollow noreferrer"&gt;https://accounts.google.com/signin/..&lt;/a&gt;.),
the app does open correctly after signing in, but the sign-in shouldn't be required. &lt;/p&gt;
&lt;p&gt;..Link to share (&lt;a href="https://drive.google.com/file/.../view" rel="nofollow noreferrer"&gt;https://drive.google.com/file/.../view&lt;/a&gt;), they get: No preview available&lt;/p&gt;
&lt;p&gt;I switched once to "Application set to runs with User Account", but results remains same. Actually, I reset this setting as I consider "Application set to runs with User Account" to require User authentication in order to load their assigned permission. &lt;/p&gt;
&lt;p&gt;I most probably missed something on the way of sharing my app.
Can someone please help?&lt;/p&gt;
&lt;p&gt;Let me know if you require more details about this case.&lt;/p&gt;
&lt;p&gt;Thanks!!&lt;/p&gt;
</t>
  </si>
  <si>
    <t xml:space="preserve">&lt;p&gt;I have a domain: ex. hello.it an the host provides free mail hosting that I need for only some employees (1@hello.it), for the others I have a Zoho subscription (2@hello.it). On the DNS panel MX is pointed to the host but I want it to ALSO point to Zoho. So that 1@hello.it doesn’t need any sub domain.&lt;/p&gt;
&lt;p&gt;Thanks&lt;/p&gt;
</t>
  </si>
  <si>
    <t xml:space="preserve">&lt;p&gt;Using Google Groups for giving access to an App Maker application should be possible (&lt;a href="https://developers.google.com/appmaker/getting-started/faq#group_sharing" rel="nofollow noreferrer"&gt;https://developers.google.com/appmaker/getting-started/faq#group_sharing&lt;/a&gt;). However, it is not working.&lt;/p&gt;
&lt;p&gt;Now, I've tried this with two separate accounts in my company's domain, but I get the error: "Sorry, you don't have access to this application."&lt;/p&gt;
&lt;p&gt;I'm using an intra-organizational Google Group (and organizational accounts), and have tried two different ones, another one newly created for the purpose of testing. I've tried giving both admin access and normal access through the group, not working.&lt;/p&gt;
&lt;p&gt;I'm using the "Only allow access to specific users" option, and without that, access works just fine, and giving the rights directly without the group works. My Google account is a manager in the group(s), so I can see the members.&lt;/p&gt;
&lt;p&gt;Creating a new clean app and trying this on it does not resolve the issue. I have also waited enough time for any member additions to groups to take effect.&lt;/p&gt;
&lt;p&gt;Is this a bug, organizational settings doing something odd or what gives?&lt;/p&gt;
</t>
  </si>
  <si>
    <t xml:space="preserve">&lt;p&gt;I am getting only a few Roles. Not all Roles while subscribing dashboard using "Roles and Subordinates".&lt;/p&gt;
&lt;p&gt;From Lightning Dashboard, there is an option to set up the Edit Recipient. In the Edit Recipient, there is an option to select "Roles and Subordinates". After selecting this option, I am getting only a few roles. Not all roles. &lt;/p&gt;
</t>
  </si>
  <si>
    <t xml:space="preserve">&lt;p&gt;In my org, I have a dashboard which is saved in public folders only but few users are not able to see this dashboard.I am wondering if this dashboard is public.why cant they search it???Could someone explain??&lt;/p&gt;
</t>
  </si>
  <si>
    <t xml:space="preserve">&lt;p&gt;I have an app running in 2 different tenants.&lt;/p&gt;
&lt;p&gt;In &lt;strong&gt;Tenant A&lt;/strong&gt; the app works without problems but in &lt;strong&gt;Tenant B&lt;/strong&gt; the app is extremely slow. &lt;/p&gt;
&lt;p&gt;The app and connectors are exactly the same in both cases. &lt;/p&gt;
&lt;p&gt;The only difference is that legacy storage capacity from &lt;strong&gt;Tenant B&lt;/strong&gt; is over capacity.&lt;/p&gt;
&lt;p&gt;&lt;strong&gt;Tenant A&lt;/strong&gt;&lt;/p&gt;
&lt;p&gt;&lt;a href="https://i.stack.imgur.com/ITsrP.png" rel="nofollow noreferrer"&gt;&lt;img src="https://i.stack.imgur.com/ITsrP.png" alt="enter image description here"&gt;&lt;/a&gt;&lt;/p&gt;
&lt;p&gt;&lt;strong&gt;Tenant B&lt;/strong&gt;&lt;/p&gt;
&lt;p&gt;&lt;a href="https://i.stack.imgur.com/yxmjX.png" rel="nofollow noreferrer"&gt;&lt;img src="https://i.stack.imgur.com/yxmjX.png" alt="enter image description here"&gt;&lt;/a&gt;&lt;/p&gt;
&lt;p&gt;&lt;strong&gt;Is this related to my poor performance app in Tenant B?&lt;/strong&gt;&lt;/p&gt;
</t>
  </si>
  <si>
    <t xml:space="preserve">&lt;p&gt;I have a requirement to replace a few of the deprecated fields with new fields and these deprecated fields are referred in reports which users are saved to their personal folders? is there any way to access them? &lt;/p&gt;
&lt;p&gt;Any help is much appreciated!&lt;/p&gt;
</t>
  </si>
  <si>
    <t xml:space="preserve">&lt;p&gt;Suppose my environment does not have CDS and I have configured users in the admin and maker roles.&lt;/p&gt;
&lt;p&gt;Later suppose I add CDS to the environment, then does the user configuration gets destroyed? Or do they flow into the admin/maker roles (that are also provided by CDS roles).&lt;/p&gt;
&lt;p&gt;What if it is the other way round. That is - I remove CDS from the environment that has users configured. Then do the roles flow into the non CDS environment?&lt;/p&gt;
&lt;p&gt;Is there any documentation about this?&lt;/p&gt;
</t>
  </si>
  <si>
    <t xml:space="preserve">&lt;p&gt;I need to create good looking lightning using OpenGL ES 1.1 (iPhone) and was planning on using shaders.  However, when I asked about it in a previous question (&lt;a href="https://stackoverflow.com/questions/543948/opengl-es-1-x-shaders"&gt;OpenGL ES 1.x Shaders&lt;/a&gt;) I was informed there that this was probably not an option on the iPhone.&lt;/p&gt;
&lt;p&gt;So now I am back at square one, wondering how I might make a lightning animation.  It does not need to look ultra-realistic.  I have already tried to use things like triangles stripped together.  While this method does work, it is not as good as I had hoped it would look.&lt;/p&gt;
&lt;p&gt;Does anyone have any ideas on the subject?&lt;/p&gt;
&lt;p&gt;Thanks again,&lt;br&gt;
~Eric&lt;/p&gt;
</t>
  </si>
  <si>
    <t xml:space="preserve">&lt;p&gt;The usual approach is to compute the path of the lightning bolt using a Perlin function, rendering it to a glow buffer, creating a nice looking blur using a Gaussian blur shader and then merge it with your scene.&lt;/p&gt;
</t>
  </si>
  <si>
    <t xml:space="preserve">&lt;p&gt;I am creating a simple application to get familiar with SlimDX library. I found some code written in MDX and I'm trying to convert it to run on SlimDX. I am having some problems with the light because everything is being shown as black. The code is:&lt;/p&gt;
&lt;pre&gt;&lt;code&gt;public partial class DirectTest : Form
{
    private Device device= null;
    private float angle = 0.0f;
    Light light = new Light();
    public DirectTest()
    {
        InitializeComponent();
        this.Size = new Size(800, 600);
        this.SetStyle(ControlStyles.AllPaintingInWmPaint | ControlStyles.Opaque, true);
    }
    /// &amp;lt;summary&amp;gt;
    /// We will initialize our graphics device here
    /// &amp;lt;/summary&amp;gt;
    public void InitializeGraphics()
    {
        PresentParameters pres_params = new PresentParameters()
        {
            Windowed = true,
            SwapEffect = SwapEffect.Discard
        };
        device = new Device(new Direct3D(), 0, DeviceType.Hardware, this.Handle, 
                    CreateFlags.SoftwareVertexProcessing, pres_params);
    }
    private void SetupCamera()
    {
        device.SetRenderState(RenderState.CullMode, Cull.None);
        device.SetTransform(TransformState.World, Matrix.RotationAxis(new Vector3(angle / ((float)Math.PI * 2.0f),
                         angle / ((float)Math.PI * 4.0f), angle / ((float)Math.PI * 6.0f)),
                        angle / (float)Math.PI));
        angle += 0.1f;
        device.SetTransform(TransformState.Projection, Matrix.PerspectiveFovLH((float)Math.PI /
            4, this.Width / this.Height, 1.0f, 100.0f));
        device.SetTransform(TransformState.View, Matrix.LookAtLH(new Vector3(0, 0, 5.0f),
            new Vector3(), new Vector3(0, 1, 0)));
        device.SetRenderState(RenderState.Lighting, false);
    }
    protected override void OnPaint(System.Windows.Forms.PaintEventArgs e)
    {
        device.Clear(ClearFlags.Target | ClearFlags.ZBuffer, Color.CornflowerBlue, 1.0f, 0);
        SetupCamera();
        CustomVertex.PositionColored[] verts = new CustomVertex.PositionColored[3];
        verts[0].Position = new Vector3(0.0f, 1.0f, 1.0f);
        verts[0].Normal = new Vector3(0.0f, 0.0f, -1.0f);
        verts[0].Color = System.Drawing.Color.White.ToArgb();
        verts[1].Position = new Vector3(-1.0f, -1.0f, 1.0f);
        verts[1].Normal = new Vector3(0.0f, 0.0f, -1.0f);
        verts[1].Color = System.Drawing.Color.White.ToArgb();
        verts[2].Position = new Vector3(1.0f, -1.0f, 1.0f);
        verts[2].Normal = new Vector3(0.0f, 0.0f, -1.0f);
        verts[2].Color = System.Drawing.Color.White.ToArgb();
        light.Type = LightType.Point;
        light.Position = new Vector3();
        light.Diffuse = System.Drawing.Color.White;
        light.Attenuation0 = 0.2f;
        light.Range = 10000.0f;
        device.SetLight(0, light);
        device.EnableLight(0, true);
        device.BeginScene();
        device.VertexFormat = CustomVertex.PositionColored.format;
        device.DrawUserPrimitives&amp;lt;CustomVertex.PositionColored&amp;gt;(PrimitiveType.TriangleList, 1, verts);
        device.EndScene();
        device.Present();
        this.Invalidate();
    }
}
&lt;/code&gt;&lt;/pre&gt;
&lt;p&gt;}&lt;/p&gt;
&lt;p&gt;The Vertex Format that I am using is the following&lt;/p&gt;
&lt;pre&gt;&lt;code&gt;    [StructLayout(LayoutKind.Sequential)]
    public struct PositionNormalColored
    {
        public Vector3 Position;
        public int Color;
        public Vector3 Normal;
        public static readonly VertexFormat format = VertexFormat.Diffuse | VertexFormat.Position | VertexFormat.Normal;
    }
&lt;/code&gt;&lt;/pre&gt;
&lt;p&gt;Any suggestions on what the problem might be?
Thanks in Advance&lt;/p&gt;
</t>
  </si>
  <si>
    <t xml:space="preserve">&lt;p&gt;Why are you calling &lt;code&gt;device.SetRenderState(RenderState.Lighting, false)&lt;/code&gt;? I don't see where you turn lighting back on.&lt;/p&gt;
</t>
  </si>
  <si>
    <t xml:space="preserve">&lt;p&gt;Is there a way to create a lightning effect on the iPhone using opengl?(like this &lt;a href="http://www.youtube.com/watch?v=iXn5o-NCLYg" rel="nofollow noreferrer"&gt;app&lt;/a&gt;) &lt;/p&gt;
&lt;p&gt;Right now I have modified the glpaint sample to draw random points around a line (between two points that the user touches) and then connecting them, but the result is a zigzag line that constantly jumps around and lags horribly on the actual device.&lt;/p&gt;
</t>
  </si>
  <si>
    <t xml:space="preserve">&lt;p&gt;Every implementation I've come across of perlin noise generation has been for the generation of 2D terrain, etc.  I cannot find a decent example of point to point lightning generation anywhere.&lt;/p&gt;
&lt;p&gt;Are there many other forms of generating 'lightning'?  I was told this is what I want.  What algorithms exist for forked lightning, or 2D trees (I could turn this upside down for lightning maybe)&lt;/p&gt;
&lt;p&gt;I work in multiple languages so examples in pseudo-code are OK also.&lt;/p&gt;
</t>
  </si>
  <si>
    <t xml:space="preserve">&lt;p&gt;My understanding is that Perlin noise is designed so all of its patterns are close to one single "size", but lightning is a fractal with patterns at every "size".
There may be a way to use several Perlin noise systems at different scales to make lightning, but perhaps one of these other methods would work better:&lt;/p&gt;
&lt;p&gt;The midpoint displacement method is a very fast algorithm
for generating shapes that look a lot like lightning.
Alas, it only generates a (very jagged) lines between two points, never forks.
There's some source code and pictures at
&lt;a href="http://www.krazydad.com/bestiary/bestiary_lightning.html" rel="nofollow noreferrer"&gt;http://www.krazydad.com/bestiary/bestiary_lightning.html&lt;/a&gt;&lt;/p&gt;
&lt;p&gt;Probabilistic L-systems can be used to generate shapes that look like lightning.
I see that at least one person abandoned Perlin noise and switched to L-systems in order to simulate lightning.
&lt;a href="http://www.grepart.com/showcase/content/lightning_paper.pdf" rel="nofollow noreferrer"&gt;http://www.grepart.com/showcase/content/lightning_paper.pdf&lt;/a&gt;&lt;/p&gt;
&lt;p&gt;The stochastic Lichtenberg algorithm runs somewhat slower,
but it is more physically realistic model of lightning and generates lots of forks.
&lt;a href="http://fisica.ciencias.uchile.cl/alejo/fractal_antenna/node7.html" rel="nofollow noreferrer"&gt;http://fisica.ciencias.uchile.cl/alejo/fractal_antenna/node7.html&lt;/a&gt;&lt;/p&gt;
&lt;p&gt;Is this a dup of the &lt;a href="https://stackoverflow.com/questions/1995814/best-lightning-generation-simulation-algorithm"&gt;"Best lightning generation\simulation algorithm?"&lt;/a&gt; question?&lt;/p&gt;
</t>
  </si>
  <si>
    <t xml:space="preserve">&lt;p&gt;I am creating an extension to import todos from a CRM to thunderbird/lightning. I use the calITodo interface to create my todos :&lt;/p&gt;
&lt;pre&gt;&lt;code&gt;var todo = Components.classes["@mozilla.org/calendar/todo;1"].createInstance(Components.interfaces.calITodo);
&lt;/code&gt;&lt;/pre&gt;
&lt;p&gt;But I can't find how to set reminders, or create a custom one for my todos.&lt;/p&gt;
</t>
  </si>
  <si>
    <t xml:space="preserve">&lt;p&gt;I'm going to answer this question a bit wider to show you the alternatives, you may already be doing this.&lt;/p&gt;
&lt;p&gt;If you would like to use the CRM as a backend for a calendar, you may want to write a "Provider" type extension, similar to the Provider for Google Calendar. You just need to implement a few methods for the usual operations (get/add/modify/delete) to get started. See the &lt;a href="http://mxr.mozilla.org/comm-central/source/calendar/providers/gdata/" rel="nofollow"&gt;source code for the Provider for Google Calendar&lt;/a&gt; as a starting point.&lt;/p&gt;
&lt;p&gt;If you would just like to do a one time import, then you are probably going in the right direction. Just use the addItem/adoptIte method on the calendar in question. If you need a dialog to select calendars, you can &lt;a href="http://mxr.mozilla.org/comm-central/source/calendar/base/content/dialogs/chooseCalendarDialog.xul" rel="nofollow"&gt;reuse this one&lt;/a&gt;, it is available via the uri chrome://calendar/content/chooseCalendarDialog.xul.&lt;/p&gt;
&lt;p&gt;Now to get to your real question. To add a reminder to an event or todo the following code helps. Of course you can choose a different alarm relation.&lt;/p&gt;
&lt;pre&gt;&lt;code&gt;Components.utils.import("resource://calendar/modules/calUtils.jsm");
let todo = cal.createToDo();
let alarm = cal.createAlarm();
let alarmDate = cal.createDateTime();
alarm.related = Components.interfaces.calIAlarm.ALARM_RELATED_ABSOLUTE;
alarm.alarmDate = alarmDate;
todo.addAlarm(alarm);
// ...
&lt;/code&gt;&lt;/pre&gt;
&lt;p&gt;The alarm implements calIAlarm, you can find the &lt;a href="http://mxr.mozilla.org/comm-central/source/calendar/base/public/calIAlarm.idl" rel="nofollow"&gt;interface description here&lt;/a&gt;. It is then added to the todo, which implements calITodo and also calIItemBase. For an overview of the alarm methods on an item, &lt;a href="http://mxr.mozilla.org/comm-central/source/calendar/base/public/calIItemBase.idl#154" rel="nofollow"&gt;see here&lt;/a&gt;.&lt;/p&gt;
&lt;p&gt;If you are interested what other utility functions are available, &lt;a href="http://mxr.mozilla.org/comm-central/find?string=calUtils.js&amp;amp;tree=comm-central" rel="nofollow"&gt;see here&lt;/a&gt;. You can use functions from both files by merely importing calUtils.&lt;strong&gt;jsm&lt;/strong&gt;. Just prefix each function with "cal.".&lt;/p&gt;
</t>
  </si>
  <si>
    <t xml:space="preserve">&lt;p&gt;I can't find how to get all the todos of a calendar in Lightning. I thought the functions &lt;code&gt;getItem()&lt;/code&gt; and &lt;code&gt;getItems()&lt;/code&gt; from the &lt;code&gt;calICalendar&lt;/code&gt; Interface (&lt;a href="http://doxygen.db48x.net/mozilla-full/html/d7/dc7/interfacecalICalendar.html" rel="nofollow noreferrer"&gt;here&lt;/a&gt;) were the solution but I could not make it work properly.&lt;/p&gt;
</t>
  </si>
  <si>
    <t xml:space="preserve">&lt;p&gt;You are going in the right direction. You just need to pass the flag that you want todos only. An example can be found &lt;a href="http://mxr.mozilla.org/comm-central/source/calendar/base/content/calendar-task-tree.xml?mark=992-1005#998" rel="nofollow"&gt;here&lt;/a&gt;.&lt;/p&gt;
&lt;p&gt;To elaborate more on your example below, there are a few syntax errors and you might need different flags. I'm not sure why the alert is needed, that sounds to me like the event loop is not being spun. In what context are you calling these bits?&lt;/p&gt;
&lt;p&gt;Try this:&lt;/p&gt;
&lt;pre&gt;&lt;code&gt;var arrayItems = new Array();
var todoListener = {
    onOperationComplete: function(aCalendar, aStatus, aOperationType, aId, aDetail) {},
    onGetResult: function(aCalendar, aStatus, aItemType, aDetail, aCount, aItems) {  
        arrayItems = arrayItems.concat(aItems);
    }
};
var filter = aCalendar.ITEM_FILTER_TYPE_TODO | aCalendar.ITEM_FILTER_COMPLETED_ALL;
aCalendar.getItems(filter, 0, null, null, todoListener);
&lt;/code&gt;&lt;/pre&gt;
</t>
  </si>
  <si>
    <t xml:space="preserve">&lt;p&gt;I have a .NET 4.0 WCF service hosted in IIS on Windows Server 2008 which is running just fine over HTTP. The WCF service is being consumed by a third party, who is using Appian Process Modeler to configure the WCF client (not that it's relevant, but I thought I'd mention it).&lt;/p&gt;
&lt;p&gt;&lt;strong&gt;EDIT: So the fact they're using Appian Process Modeler may actually be relevant. It's a Java-based client, so that means we're trying to get a Java client to consume a .NET WCF service using WS-Policy over SSL.&lt;/strong&gt;&lt;/p&gt;
&lt;p&gt;&lt;strong&gt;EDIT #2: Since I now know that Java is consuming a .NET service, is this a fix I can do on my end to allow Java to consume my service over SSL, or is there a fix my client can put in place to allow their Java code to consume a .NET service using WS-Policy?&lt;/strong&gt;&lt;/p&gt;
&lt;p&gt;After moving from test, to our production environment, when our client updates their service reference to point to the new production URL, they get the following error:&lt;/p&gt;
&lt;p&gt;&lt;strong&gt;The endpoint BasicHttpBinding_IInterface contains references to a WS-Policy subject, which is not yet supported. That endpoint is not available for selection. (APNX-2-4041-003)&lt;/strong&gt;&lt;/p&gt;
&lt;p&gt;In comparing the two WSDL documents (non-SSL/test, SSL/production) I found the following  two differences, both related to WS-Policy (these are the ONLY two differences, except for URLs, in the WSDL document):&lt;/p&gt;
&lt;pre&gt;&lt;code&gt;&amp;lt;wsp:Policy wsu:Id="BasicHttpBinding_IInterface_policy"&amp;gt;
    &amp;lt;wsp:ExactlyOne&amp;gt;
      &amp;lt;wsp:All&amp;gt;
        &amp;lt;sp:TransportBinding xmlns:sp="http://schemas.xmlsoap.org/ws/2005/07/securitypolicy"&amp;gt;
          &amp;lt;wsp:Policy&amp;gt;
            &amp;lt;sp:TransportToken&amp;gt;
              &amp;lt;wsp:Policy&amp;gt;
                &amp;lt;sp:HttpsToken RequireClientCertificate="false"/&amp;gt;
              &amp;lt;/wsp:Policy&amp;gt;
            &amp;lt;/sp:TransportToken&amp;gt;
            &amp;lt;sp:AlgorithmSuite&amp;gt;
              &amp;lt;wsp:Policy&amp;gt;
                &amp;lt;sp:Basic256/&amp;gt;
              &amp;lt;/wsp:Policy&amp;gt;
            &amp;lt;/sp:AlgorithmSuite&amp;gt;
            &amp;lt;sp:Layout&amp;gt;
              &amp;lt;wsp:Policy&amp;gt;
                &amp;lt;sp:Strict/&amp;gt;
              &amp;lt;/wsp:Policy&amp;gt;
            &amp;lt;/sp:Layout&amp;gt;
          &amp;lt;/wsp:Policy&amp;gt;
        &amp;lt;/sp:TransportBinding&amp;gt;
      &amp;lt;/wsp:All&amp;gt;
    &amp;lt;/wsp:ExactlyOne&amp;gt;
  &amp;lt;/wsp:Policy&amp;gt;
&lt;/code&gt;&lt;/pre&gt;
&lt;p&gt;And&lt;/p&gt;
&lt;pre&gt;&lt;code&gt;&amp;lt;wsp:PolicyReference URI="#BasicHttpBinding_IInterface_policy"/&amp;gt;
&lt;/code&gt;&lt;/pre&gt;
&lt;p&gt;I attempted to create a static WSDL document in production with those two sections removed, but I can't generate a secure connection to the WCF service if I do that.&lt;/p&gt;
&lt;p&gt;&lt;strong&gt;So my question is, how do I configure WCF to respond over SSL without the WS-Policy requirements?&lt;/strong&gt;&lt;/p&gt;
&lt;p&gt;Here is the configuration we're using on the server:&lt;/p&gt;
&lt;pre&gt;&lt;code&gt;&amp;lt;system.serviceModel&amp;gt;
    &amp;lt;bindings&amp;gt;
        &amp;lt;basicHttpBinding&amp;gt;
            &amp;lt;binding name="basicHttps"&amp;gt;
                &amp;lt;security mode="Transport"&amp;gt;
                    &amp;lt;transport clientCredentialType="None" /&amp;gt;
                    &amp;lt;message /&amp;gt;
                &amp;lt;/security&amp;gt;
            &amp;lt;/binding&amp;gt;
        &amp;lt;/basicHttpBinding&amp;gt;
    &amp;lt;/bindings&amp;gt;
    &amp;lt;client /&amp;gt;
    &amp;lt;services&amp;gt;
      &amp;lt;service name="Namespace.API.IInterface_Implementation"&amp;gt;
        &amp;lt;endpoint address=""
                  binding="basicHttpBinding"
                  bindingConfiguration="basicHttps"
                  contract="Namespace.API.Interfaces.IInterface"/&amp;gt;
        &amp;lt;endpoint address="mex"
                  binding="mexHttpsBinding"
                  contract="IMetadataExchange"/&amp;gt;
      &amp;lt;/service&amp;gt;
    &amp;lt;/services&amp;gt;
    &amp;lt;behaviors&amp;gt;
      &amp;lt;serviceBehaviors&amp;gt;
        &amp;lt;behavior&amp;gt;
          &amp;lt;serviceMetadata httpGetEnabled="false" httpsGetEnabled="true" /&amp;gt;
          &amp;lt;!-- To receive exception details in faults for debugging purposes, set the value below to true.  Set to false before deployment to avoid disclosing exception information --&amp;gt;
          &amp;lt;serviceDebug includeExceptionDetailInFaults="false"/&amp;gt;
        &amp;lt;/behavior&amp;gt;
      &amp;lt;/serviceBehaviors&amp;gt;
    &amp;lt;/behaviors&amp;gt;
    &amp;lt;serviceHostingEnvironment multipleSiteBindingsEnabled="true" /&amp;gt;
  &amp;lt;/system.serviceModel&amp;gt;
&lt;/code&gt;&lt;/pre&gt;
</t>
  </si>
  <si>
    <t xml:space="preserve">&lt;p&gt;I'm implementing a simple lightning effect for my 3D game, something like this:&lt;/p&gt;
&lt;p&gt;&lt;a href="http://www.krazydad.com/bestiary/bestiary_lightning.html" rel="nofollow"&gt;http://www.krazydad.com/bestiary/bestiary_lightning.html&lt;/a&gt;&lt;/p&gt;
&lt;p&gt;I'm using opengl ES 2.0. I'm pondering what the best looking and most performance efficient way to render this in a 3D environment is though, as the lines making up the electric bolt needs to be looking "solid" when viewed from any angle.&lt;/p&gt;
&lt;p&gt;I was thinking to generate two planes for each line segment, in an X cross to create an effect of line thickness. Rendering by disabling depth buffer writes, using some kind off additive blending mode. Texturing each line segment using an electric looking texture with an alpha channel.&lt;/p&gt;
&lt;p&gt;I'm a bit worried about the performance hit from generating the necessary triangle lists using this method though, as my game will potentially have a lot of lightning bolts generated at the same time. But as the length and thickness of the lightning bolts will vary a lot, I doubt it would look good to simply use an animated 3D object of an lightning bolt, stretched and pointing to the right location, which was my initial idea.&lt;/p&gt;
&lt;p&gt;I was thinking of an alternative approach where I render the lightning bolts using 2D lines between projected end points in a post processing pass. That should work well since the perspective effect in my case is negligible, except then it would be tricky to have the lines appear behind occluding objects.&lt;/p&gt;
&lt;p&gt;Any good ideas on the best approach here?&lt;/p&gt;
&lt;p&gt;Edit: I found this white paper from nVidia:&lt;/p&gt;
&lt;p&gt;&lt;a href="http://developer.download.nvidia.com/SDK/10/direct3d/Source/Lightning/doc/lightning_doc.pdf" rel="nofollow"&gt;http://developer.download.nvidia.com/SDK/10/direct3d/Source/Lightning/doc/lightning_doc.pdf&lt;/a&gt;&lt;/p&gt;
&lt;p&gt;Which uses an approach with having billboards for each line segment, then apply some filtering to smooth the resulting gaps and overlaps from each billboard.&lt;/p&gt;
&lt;p&gt;Seems to yield pretty good visual results, however I am not too happy about the additional filtering pass as the game is for mobile phones where such a step is quite costly. And, as it turns out, billboarding is quite CPU expensive too, due to the additional matrix calculation overhead, which is slow on mobile devices.&lt;/p&gt;
</t>
  </si>
  <si>
    <t xml:space="preserve">&lt;p&gt;How do i know the users who added the record in quickbase table or who have the permission to add ,Edit or delete the record or how can i check the flow of adding a data into quickbase tables ? &lt;/p&gt;
</t>
  </si>
  <si>
    <t xml:space="preserve">&lt;p&gt;I am using zoho api and after editing the user details when i submit a form i create URL and using CURL to call the URL so i can get xml response as "Record updated". Below is the code i m using to send GET request using CURL, I have tried POST request too that didnt worked&lt;/p&gt;
&lt;pre&gt;&lt;code&gt; $ch = curl_init($url);
 $Rec_Data = curl_exec($ch);
 var_dump($Rec_Data);
&lt;/code&gt;&lt;/pre&gt;
&lt;p&gt;It returns "false" but when i use same URL and manually put in browsers address bar and hit anter it works and says "record updated" but with this case i cant check responce and notify user that operation is successfull or something.&lt;/p&gt;
&lt;p&gt;Why the same URL isnt working with CURL GET or POST ?? below is my url...if u call below url with browser address bar...it will work but with CURL it doesnt &lt;/p&gt;
&lt;pre&gt;&lt;code&gt;https://crm.zoho.com/crm/private/xml/Leads/updateRecords?newFormat=1&amp;amp;apikey=*$&amp;amp;ticket=ada47f67f130619aaeab5a40069705c8&amp;amp;xmlData= &amp;lt;Leads&amp;gt; &amp;lt;row no="1"&amp;gt; &amp;lt;FL val="LEADID"&amp;gt;418176000000055001&amp;lt;/FL&amp;gt; &amp;lt;FL val="SMOWNERID"&amp;gt;418176000000047003&amp;lt;/FL&amp;gt; &amp;lt;FL val="Lead Owner"&amp;gt;418176000000047003&amp;lt;/FL&amp;gt; &amp;lt;FL val="Company"&amp;gt; Demo &amp;lt;/FL&amp;gt; &amp;lt;FL val="First Name"&amp;gt; Test &amp;lt;/FL&amp;gt; &amp;lt;FL val="Last Name"&amp;gt; Lead &amp;lt;/FL&amp;gt; &amp;lt;FL val="Designation"&amp;gt; This &amp;lt;/FL&amp;gt; &amp;lt;FL val="Email"&amp;gt; email1@yopmail.com &amp;lt;/FL&amp;gt; &amp;lt;FL val="Phone"&amp;gt; 242377 &amp;lt;/FL&amp;gt; &amp;lt;FL val="Mobile"&amp;gt; 9865986598 &amp;lt;/FL&amp;gt; &amp;lt;FL val="Website"&amp;gt; www.google.com &amp;lt;/FL&amp;gt; &amp;lt;FL val="Lead Source"&amp;gt; Advertisement &amp;lt;/FL&amp;gt; &amp;lt;FL val="Lead Status"&amp;gt; Contact in Future &amp;lt;/FL&amp;gt; &amp;lt;FL val="Industry"&amp;gt; Wireless Industry &amp;lt;/FL&amp;gt; &amp;lt;FL val="No of Employees"&amp;gt;250&amp;lt;/FL&amp;gt; &amp;lt;FL val="Annual Revenue"&amp;gt; 19500 &amp;lt;/FL&amp;gt; &amp;lt;FL val="Rating"&amp;gt; Active &amp;lt;/FL&amp;gt; &amp;lt;FL val="SMCREATORID"&amp;gt;418176000000047003&amp;lt;/FL&amp;gt;&amp;lt;FL val="Created By"&amp;gt;418176000000047003&amp;lt;/FL&amp;gt; &amp;lt;FL val="MODIFIEDBY"&amp;gt;418176000000047003&amp;lt;/FL&amp;gt; &amp;lt;FL val="Modified By"&amp;gt;Amit&amp;lt;/FL&amp;gt; &amp;lt;FL val="Created Time"&amp;gt;2012-02-09&amp;lt;/FL&amp;gt; &amp;lt;FL val="Modified Time"&amp;gt;2012-02-16&amp;lt;/FL&amp;gt; &amp;lt;FL val="Email Opt Out"&amp;gt;&amp;lt;/FL&amp;gt; &amp;lt;/row&amp;gt; &amp;lt;/Leads&amp;gt; &amp;amp;id=418176000000055001
&lt;/code&gt;&lt;/pre&gt;
&lt;p&gt;Screenshot of setup 
&lt;img src="https://i.stack.imgur.com/COJiX.jpg" alt="enter image description here"&gt;&lt;/p&gt;
</t>
  </si>
  <si>
    <t xml:space="preserve">&lt;p&gt;I have one label that upload files, and below the label I have link "Upload more" that when I click on it, it have to create me another label same like the previous one. I'm doing this in Appian.&lt;/p&gt;
&lt;pre&gt;&lt;code&gt;&amp;lt;a href="javascript:callShowHideLabel1("label2")"&amp;gt;Upload More&amp;lt;/a&amp;gt;
&lt;/code&gt;&lt;/pre&gt;
&lt;p&gt;where label2 is my next label, and this goes to Instructions (if someone is familiar with Appian)&lt;/p&gt;
&lt;p&gt;Here is my function:&lt;/p&gt;
&lt;pre&gt;&lt;code&gt;function ShowHideLabel1(label){
    var l = FormAPI.getValue(label).id;
    window.FormAPI.show(label);
    return true;
}
&lt;/code&gt;&lt;/pre&gt;
&lt;p&gt;&lt;strong&gt;Where do I go wrong?&lt;/strong&gt;&lt;/p&gt;
</t>
  </si>
  <si>
    <t xml:space="preserve">&lt;p&gt;I am trying to update a Quickbase record via my Perl script. I am following the Perl API documentation: &lt;a href="http://metacpan.org/pod/HTTP%3a%3aQuickBase" rel="nofollow"&gt;http://metacpan.org/pod/HTTP::QuickBase&lt;/a&gt;&lt;/p&gt;
&lt;p&gt;The method used for editing a record is "EditRecord". As per this method, you cannot edit built-in fields which is true.&lt;/p&gt;
&lt;p&gt;and I know that I am not modifying built-in field but an user-created field.&lt;/p&gt;
&lt;p&gt;e.g. I want to modify the field called "OS" to "Windows"&lt;/p&gt;
&lt;p&gt;So per the Perl modules CPAN documentation mentioned above, I do this:&lt;/p&gt;
&lt;pre&gt;&lt;code&gt;my %new_record=$qb_obj-&amp;gt;GetRecord($database_id, $record_id);
$new_record{"OS"}="Windows";
$qb_obj-&amp;gt;EditRecord($database_id, $record_id, %new_record);
&lt;/code&gt;&lt;/pre&gt;
&lt;p&gt;But I get following error:&lt;/p&gt;
&lt;pre&gt;&lt;code&gt;The field named &amp;amp;quot;Date Created&amp;amp;quot; with field id 1 cannot be modified
&lt;/code&gt;&lt;/pre&gt;
&lt;p&gt;Which basically means that I ma trying to modify the field "Date Created" with Field ID "1". However, I am not doing that. It might be pulling that parameter some how. THe perl as well as the Quickbase documentation is not helping much.&lt;/p&gt;
&lt;p&gt;Here is the Quickbase API documentation: &lt;a href="http://www.quickbase.com/api-guide/edit_record.html#Overview" rel="nofollow"&gt;http://www.quickbase.com/api-guide/edit_record.html#Overview&lt;/a&gt;&lt;/p&gt;
&lt;p&gt;Can someone help me on this.&lt;/p&gt;
&lt;p&gt;thanks.&lt;/p&gt;
</t>
  </si>
  <si>
    <t xml:space="preserve">&lt;p&gt;Since you already know the id of the record, you don't need to read the record before modifying it.  You should be able to just remove your first line, create the %new_record without reading it from QB, then your 2nd and 3rd lines should work fine.
The alternative is to remove the built-in QB fields from %new_record before doing the EditRecord.&lt;/p&gt;
</t>
  </si>
  <si>
    <t xml:space="preserve">&lt;p&gt;I have standard field Product description in salesforce.Can I have new line characters in the description for each product?If so how?&lt;/p&gt;
</t>
  </si>
  <si>
    <t xml:space="preserve">&lt;p&gt;I am trying to integrate saleforce with my project. While accessing the url 
"/chatter/feeds/files/me" i am getting the error "API_DISABLED_FOR_ORG:files API is not enabled for this Organization or user".. &lt;/p&gt;
&lt;pre&gt;&lt;code&gt;RestResponse getResponse=restClient.sendSync(RestMethod.GET, "/services/data/v23.0/chatter/feeds/files/me, null); 
System.out.prinln(getResponse.toString()); // here i am getting the response as "API_DISABLED_FOR_ORG:files API is not enabled for this Organization or user".. "
&lt;/code&gt;&lt;/pre&gt;
&lt;p&gt;Please help.........&lt;/p&gt;
</t>
  </si>
  <si>
    <t xml:space="preserve">&lt;p&gt;In the restclient URL try using v24.0,which is the latest salesforce API version.&lt;/p&gt;
</t>
  </si>
  <si>
    <t xml:space="preserve">&lt;p&gt;I'm having trouble with encodings when calling the Quickbase API using Python. I call the API to get a record, and specify the &lt;a href="http://www.quickbase.com/api-guide/index.html#optional_parameters.html" rel="nofollow"&gt;encoding parameter&lt;/a&gt; in the request as "UTF-8". The XML response I get back from Quickbase says it's UTF-8, because the XML starts with:&lt;/p&gt;
&lt;pre&gt;&lt;code&gt;&amp;lt;?xml version="1.0" encoding="utf-8" ?&amp;gt;
&lt;/code&gt;&lt;/pre&gt;
&lt;p&gt;However, the XML bytes are &lt;em&gt;actually&lt;/em&gt; in encoded as CP1252. I've confirmed this because a right single quotation mark (Unicode char U+2019) is being encoded as the byte 0x92 (CP1252) rather than the UTF-8 byte sequence 0xE2 0x80 0x99. Any idea why Quickbase is saying the XML response is one encoding (UTF-8) but actually using another (CP1252)?&lt;/p&gt;
&lt;p&gt;Note that I'm also passing a "Accept-Charset: utf-8" header in the request, but that has no effect.&lt;/p&gt;
</t>
  </si>
  <si>
    <t xml:space="preserve">&lt;blockquote&gt;
  &lt;p&gt;Any idea why Quickbase is saying the XML response is one encoding
  (UTF-8) but actually using another (CP1252)?&lt;/p&gt;
&lt;/blockquote&gt;
&lt;p&gt;Probably because a Quickbase developer copied-and-pasted the XML declaration without actually understanding what &lt;code&gt;encoding&lt;/code&gt; means.&lt;/p&gt;
&lt;p&gt;The easiest workaround is to use &lt;code&gt;xml_response = xml_response.decode('windows-1252').encode('UTF-8')&lt;/code&gt; to get a &lt;em&gt;real&lt;/em&gt; UTF-8 string to pass to the XML parser.&lt;/p&gt;
</t>
  </si>
  <si>
    <t xml:space="preserve">&lt;p&gt;i am using the sum query and using it to sum different columns from two tables but it is returning double the value than expected. can u plz urgently explain me why is it happening  here's the query:&lt;/p&gt;
&lt;pre&gt;&lt;code&gt;SELECT SUM("A")+ SUM ("A-1")
FROM "Testing101" ,"Testing102"
&lt;/code&gt;&lt;/pre&gt;
&lt;p&gt;BTW i am using the ZOHO Reports software to create these queries&lt;/p&gt;
</t>
  </si>
  <si>
    <t xml:space="preserve">&lt;p&gt;I'm looking for how to integrate the QuickBase API in a website developed with the CodeIgniter framework
I esayer add the api as a library&lt;/p&gt;
&lt;pre&gt;&lt;code&gt;$this-&amp;gt;load-&amp;gt;library('quickbase', 'login','password', true, 'table');
&lt;/code&gt;&lt;/pre&gt;
&lt;p&gt;and when I do I call displays error&lt;/p&gt;
&lt;pre&gt;&lt;code&gt;A PHP Error was encountered
Severity: Warning
Message: Missing argument 1 for QuickBase::__construct(), called in /var/www/vhosts/************/httpdocs/system/core/Loader.php on line 1099 and defined
Filename: libraries/quickbase.php
Line Number: 43
A PHP Error was encountered
Severity: Warning
Message: Missing argument 2 for QuickBase::__construct(), called in /var/www/vhosts/**************/httpdocs/system/core/Loader.php on line 1099 and defined
Filename: libraries/quickbase.php
Line Number: 43
A PHP Error was encountered
Severity: Notice
Message: Undefined variable: un
Filename: libraries/quickbase.php
Line Number: 45
A PHP Error was encountered
Severity: Notice
Message: Undefined variable: pw
Filename: libraries/quickbase.php
Line Number: 49 
&lt;/code&gt;&lt;/pre&gt;
&lt;p&gt;thank you in advance&lt;/p&gt;
</t>
  </si>
  <si>
    <t xml:space="preserve">&lt;p&gt;I need to have a custom widget on Salesforce Service Cloud Console. I don't really care where it is as long as it's easily accessible (kind of like the Softphone widget).&lt;/p&gt;
&lt;p&gt;I need this for two reasons:&lt;/p&gt;
&lt;ol&gt;
&lt;li&gt;I need a quick way for users to change their "status" (a custom field on user).&lt;/li&gt;
&lt;li&gt;I need to execute some custom javascript to hide certain elements from some page layouts.&lt;/li&gt;
&lt;/ol&gt;
&lt;p&gt;Any idea if this can be done?&lt;/p&gt;
&lt;p&gt;Note: when I say "Service Cloud Console" I mean this kind of console:
&lt;img src="https://i.stack.imgur.com/QfRtz.png" alt="service cloud console screenshot"&gt;&lt;/p&gt;
</t>
  </si>
  <si>
    <t xml:space="preserve">&lt;p&gt;I am assigned with the task of taking all tables and records we have within QuickBase and importing them into a new database in MS SQL Server. I am an intern so this is new to me. I have been able to export all tables except two of them into CSV files so that I can import them into SQL Server. The two tables that will not export show a QuickBase error saying that the report is too large and the maximum number of bytes in report have been exceeded. My question is can someone recommend a work around for this? And also, do the CSV files have to be located on the server to import them, rather than have them stored on my machine?&lt;/p&gt;
&lt;p&gt;Thanks in advance for any help.&lt;/p&gt;
</t>
  </si>
  <si>
    <t xml:space="preserve">&lt;p&gt;When you export to CSV files, those files download from the browser onto your local machine, NOT the server. If you are running into issues with reports being too large, the filtering workaround above is a good enough.&lt;/p&gt;
&lt;p&gt;The other possibility is to use the QuickBase API here:&lt;/p&gt;
&lt;p&gt;&lt;a href="http://www.quickbase.com/api-guide/index.html" rel="nofollow"&gt;http://www.quickbase.com/api-guide/index.html&lt;/a&gt;&lt;/p&gt;
&lt;p&gt;Specifically, API_DoQuery is what you want to use.&lt;/p&gt;
</t>
  </si>
  <si>
    <t xml:space="preserve">&lt;pre&gt;&lt;code&gt;IQClient client = Intuit.QuickBase.Client.QuickBase.Login("username", "pwd");
IQApplication app = client.Connect(applicationId, token);
Intuit.QuickBase.Client.IQTable rtable = app.GetTable(sTableID);`
&lt;/code&gt;&lt;/pre&gt;
&lt;p&gt;I am creating a web application in asp.net. I need to get data from quickbase to populate my GridView. I am using Quickbase API.The above code retrieves the table, but records value is always 0. Am I doing anything wrong or Is there any other way to do this?&lt;/p&gt;
</t>
  </si>
  <si>
    <t xml:space="preserve">&lt;p&gt;To get all of the records in the table you can follow the example at the following site:
&lt;a href="https://code.intuit.com/sf/wiki/do/viewPage/projects.quickbase_c_sdk/wiki/HomePage" rel="nofollow"&gt;https://code.intuit.com/sf/wiki/do/viewPage/projects.quickbase_c_sdk/wiki/HomePage&lt;/a&gt; .&lt;/p&gt;
&lt;pre&gt;&lt;code&gt;using System;
using Intuit.QuickBase.Client;
namespace MyProgram.QB.Interaction
{
    class MyApplication
    {
        static void Main(string[] args)
        {
            var client = QuickBase.Client.QuickBase.Login("your_QB_username", "your_QB_password");
            var application = client.Connect("your_app_dbid", "your_app_token");
            var table = application.GetTable("your_table_dbid");
            table.Query();
            foreach(var record in table.Records)
            {
               Console.WriteLine(record["your_column_heading"]);
            }
            client.Logout();
        }
    }
}
&lt;/code&gt;&lt;/pre&gt;
&lt;p&gt;To do specific query using the already built C# API, you can do the following:&lt;/p&gt;
&lt;pre&gt;&lt;code&gt;var querystring1 = new QueryStrings(FieldID,ComparisonOperator.GTE,value,LogicalOperator.AND);
var querystring2 = new QueryStrings(FieldID, ComparisonOperator.XEX, value, LogicalOperator.NONE);
&lt;/code&gt;&lt;/pre&gt;
&lt;p&gt;then &lt;/p&gt;
&lt;pre&gt;&lt;code&gt;    var query = new Query();
query.Add(querystring1);
query.Add(querystring2);
table.Query(query, new[] { 1,2,3,4}, new[] { 1,2});
&lt;/code&gt;&lt;/pre&gt;
&lt;p&gt;The second parameter is the field IDs of the columns you want and the Third parameter is the field ID's to sort the records by.&lt;/p&gt;
&lt;p&gt;In your case I would just do the loop and add all the records to a collection. Then you could probably use LINQ or just the column headings to loop through all your records.&lt;/p&gt;
&lt;p&gt;This is the way I did it to get specific data:&lt;/p&gt;
&lt;pre&gt;&lt;code&gt;foreach(var record in table.Records)
            {
                var row = new String[8];
                row[0] = record["Column Name"];
                row[1] = record["Column Name"];
                row[2] = record["Column Name"];
                row[3] = record["Column Name"];
                row[4] = record["Column Name"];
                row[5] = record["Column Name"];
                row[6] = record["Column Name"];
                row[7] = record["Column Name"];
                list.Add(row);//This is a List&amp;lt;string[]&amp;gt; collection. But use what you want
            }
&lt;/code&gt;&lt;/pre&gt;
</t>
  </si>
  <si>
    <t xml:space="preserve">&lt;p&gt;In our Salesforce account we have a limit of 20,000 API calls.&lt;/p&gt;
&lt;p&gt;I have a script that runs every morning and that is it, it consumes about 100 API calls.&lt;/p&gt;
&lt;p&gt;But during the day I notice that the used API calls keep rising, about 5 calls every minute.&lt;/p&gt;
&lt;p&gt;I do have workflows and triggers.&lt;/p&gt;
&lt;p&gt;Do these trigger API calls? I don't think so, but I can't figure out why the number of API calls called keeps rising.&lt;/p&gt;
&lt;p&gt;Thanks.&lt;/p&gt;
</t>
  </si>
  <si>
    <t xml:space="preserve">&lt;p&gt;Am using UrlFetchApp fetch to post to Zoho Creator's API.&lt;/p&gt;
&lt;p&gt;I obtain the correct response however, after the post is completed the Zoho Creator platform displays the session as active.&lt;/p&gt;
&lt;p&gt;This is not desirable as Zoho will only allow a limited number of active sessions before their API stops responding to posts.&lt;/p&gt;
&lt;p&gt;Does anyone have any experience or suggestions on how to implement a "close" session after using UrlFetchApp.&lt;/p&gt;
&lt;p&gt;Thanks &lt;/p&gt;
</t>
  </si>
  <si>
    <t xml:space="preserve">&lt;p&gt;I found this in the Zoho API forums:&lt;/p&gt;
&lt;blockquote&gt;
  &lt;p&gt;&lt;strong&gt;Logout/Close a Ticket&lt;/strong&gt;:&lt;br/&gt;&lt;br/&gt;You can close/clear/logout/invalidate
  a particular API ticket after you have completed the operation. An
  HTTPS POST request sent to Zoho Accounts to close the API ticket will
  look like the one below:&lt;br/&gt;&amp;lt;form method=&amp;quot;POST&amp;quot;
  action=&amp;quot;https://accounts.zoho.com/logout&amp;quot;
  target=&amp;quot;_self&amp;quot;&amp;gt;&lt;br/&gt;&amp;lt;input type=&amp;quot;hidden&amp;quot;
  name=&amp;quot;ticket&amp;quot;
  value=&amp;quot;&amp;lt;ticket_value&amp;gt;&amp;quot;&amp;gt;&lt;br/&gt;&amp;lt;input
  type=&amp;quot;hidden&amp;quot; name=&amp;quot;FROM_AGENT&amp;quot;
  value=&amp;quot;true&amp;quot;&amp;gt;&lt;br/&gt;&amp;lt;/form&amp;gt;&lt;br/&gt; Note: The parameters
  are case-sensitive.&lt;/p&gt;
&lt;/blockquote&gt;
&lt;p&gt;Please check if this is useful to you: &lt;a href="https://forums.zoho.com/topic/attn-zoho-api-developers-important-data-api-update-limit-concurrent-api-sessions-to-20-use-https-post-for-generating-tickets" rel="nofollow"&gt;https://forums.zoho.com/topic/attn-zoho-api-developers-important-data-api-update-limit-concurrent-api-sessions-to-20-use-https-post-for-generating-tickets&lt;/a&gt;&lt;/p&gt;
</t>
  </si>
  <si>
    <t xml:space="preserve">&lt;p&gt;We want to build a bridge to synchronize data both ways in magento 1.6 and zoho crm -to synchronize leads, quotes, invoices, clients (assign them a user id and password for our B2B website) -to synchronize products attributes, etc... &lt;/p&gt;
&lt;p&gt;Examples : &lt;/p&gt;
&lt;ul&gt;
&lt;li&gt;&lt;p&gt;Each time a client fills up a form to be registered on my website it has to create a lead on magento like the first time login form ( i already made one web to lead form, but doesn't fit well with magento design and doesn't create the account in magento...) &lt;/p&gt;&lt;/li&gt;
&lt;li&gt;&lt;p&gt;Each time a client asks for a quote (through a form "Request a quote") on magento, it creates an opportunity, or a quote (or a lead ?). &lt;/p&gt;&lt;/li&gt;
&lt;/ul&gt;
&lt;p&gt;I would like something really simple that adapts to magento structure that's all, in fact, it's a question of pushing/pulling DB records in both softwares (magento and zoho).&lt;/p&gt;
&lt;p&gt;So I've been looking all around the web, but if you google "Zoho Magento integration" it will only return people ready to pay for that. Since I know magento a bit, I'm willing to do it by myself.&lt;/p&gt;
&lt;p&gt;Thanks for Your help !&lt;/p&gt;
</t>
  </si>
  <si>
    <t xml:space="preserve">&lt;p&gt;You will have to create a magento connector module to handle synchronization between Magento and ZOHO CRM API ( &lt;a href="http://zohocrmapi.wiki.zoho.com/" rel="nofollow"&gt;http://zohocrmapi.wiki.zoho.com/&lt;/a&gt; ).&lt;/p&gt;
&lt;p&gt;It is not easy. But if you have some experience with Magento development and do not know how to start with it, i would suggest you to download some similiar module (e. g. &lt;a href="http://www.magentocommerce.com/magento-connect/integrations/crm/erply-connector.html" rel="nofollow"&gt;http://www.magentocommerce.com/magento-connect/integrations/crm/erply-connector.html&lt;/a&gt;) and see how it is built. Then try to develop your own.&lt;/p&gt;
</t>
  </si>
  <si>
    <t xml:space="preserve">&lt;p&gt;I want to add new section to the leads to call api request depending on the lead website url&lt;/p&gt;
&lt;p&gt;It's something like creating the web-based tab, but I want to ad inside the leads to get data from a website depending on the lead website url&lt;/p&gt;
</t>
  </si>
  <si>
    <t xml:space="preserve">&lt;p&gt;I am currently developing a class for my XNA game whose rendering the lights on the image. At the time, i have made the source to draw my lightmap, however, the FPS is very low in my source. I know that it is brutally reduced upon looping through each pixel, however, I do not know any other way to get &amp;amp; set each pixel on my Texture in XNA but using the "For" statement?&lt;/p&gt;
&lt;p&gt;Current Source:&lt;/p&gt;
&lt;pre&gt;&lt;code&gt; public struct Light
    {
        public int Range;
        public int Intensity;
        public Color LightColor;
        public Vector2 LightLocation;
        public Light(int _Range, int _Intensity, Color _LightColor, Vector2 _LightLocation)
        {
            Range = _Range;
            Intensity = _Intensity;
            LightLocation = _LightLocation;
            LightColor = _LightColor;
        }
    }
    public class RenderClass
    {
        [System.Runtime.InteropServices.DllImport("User32.dll")]
        public static extern bool MessageBox(IntPtr h, string S, string C, int a);
        public static Texture2D RenderImage(Light[] LightLocations, Texture2D ScreenImage, Viewport v, bool ShadowBack = false)
        {
            Texture2D[] Images = new Texture2D[LightLocations.Count()];
            int curCount = 0;
            /*LOOP THROUGHT EACH LIGHT*/
            foreach (Light LightLocation in LightLocations)
            {
                /*VARIABLES*/
                Color LightColor = LightLocation.LightColor;
                int Range = LightLocation.Range;
                int Intensity = LightLocation.Intensity;
                /*GET COLORS*/
                int Width = v.Width;
                int Height = v.Height;
                Color[] Data = new Color[Width * Height];
                ScreenImage.GetData&amp;lt;Color&amp;gt;(Data);
                /*VARIABLES TO SET COLOR*/
                Color[] SetColorData = new Color[Width * Height];
                /*CIRCEL*/
                int Radius = 15 / 2; // Define range to middle [Radius]
                int Area = (int)Math.PI * (Radius * Radius);
                for (int X = 0; X &amp;lt; Width; X++)
                {
                    for (int Y = 0; Y &amp;lt; Height; Y++)
                    {
                        int Destination = X + Y * Width;
                        #region Light
                        /*GET COLOR*/
                        Color nColor = Data[Destination];
                        /*CREATE NEW COLOR*/
                        Vector2 MiddlePos = new Vector2(LightLocation.LightLocation.X + Radius, LightLocation.LightLocation.Y + Radius);
                        Vector2 CurrentLocation = new Vector2(X, Y);
                        float Distance;
                        Distance = Vector2.Distance(MiddlePos, CurrentLocation);
                        Distance *= 100;
                        Distance /= MathHelper.Clamp(Range, 0, 100);
                        Vector3 newColors = nColor.ToVector3();
                        nColor = new Color(
                            newColors.X,
                            newColors.Y,
                            newColors.Z, 
                            Distance / 100);
                        /*SET COLOR*/
                        SetColorData[Destination] = nColor; // Add to array
                        #endregion
                        #region Shadow
                        #endregion
                    }
                }
                ScreenImage.SetData&amp;lt;Color&amp;gt;(SetColorData);
                Images[curCount] = ScreenImage;
                curCount++;
            }
            return Images[0]; // Temporarily returning the first image of the array.
        }
    }
&lt;/code&gt;&lt;/pre&gt;
&lt;p&gt;As you can see, this is a slow and bad method. So I was wondering, is there a better way to get &amp;amp; set each pixel?&lt;/p&gt;
&lt;p&gt;Thanks in advance, dotTutorials! =)&lt;/p&gt;
</t>
  </si>
  <si>
    <t xml:space="preserve">&lt;p&gt;I think that job would be best done in a pixel shader.&lt;/p&gt;
&lt;p&gt;You could create an Effect file that operates over one light at a time.&lt;br/&gt;XNA uses DX9 so you'll be limited to 128 constant registers, which I think you can use to squeeze up to three lights.&lt;/p&gt;
&lt;p&gt;So you set your lightmap as a render target, loop through all the lights, set the constant data on your effect, render a render-target-sized quad and in your pixel shader compute your lighting equation.&lt;/p&gt;
&lt;p&gt;In essence something like that:&lt;/p&gt;
&lt;pre&gt;&lt;code&gt;    // In LoadContent
RenderTarget2D lightmapRT = new RenderTarget2D(graphics.GraphicsDevice,
                                                 128,
                                                 128,
                                                 false, //No mip-mapping
                                                 SurfaceFormat.Color,
                                                 DepthFormat.Depth24);
// We now render to the lightmap in Render method
graphics.GraphicsDevice.SetRenderTarget(lightmapRT);
// Lightmap is black by default
graphics.GraphicsDevice.Clear(Color.Black);
// Use the sprite batch to draw quads with custom shader
spriteBatch.Begin(0, BlendState.Opaque, null, null, null, lightmapFx);
foreach (var light in lights)
{
    // Pass the light parameters to the shader
    lightmapFx.Parameters["Viewport"].SetValue(new Vector2(GraphicsDevice.Viewport.Width, GraphicsDevice.Viewport.Height));
    lightmapFx.Parameters["Range"].SetValue(light.Range);
    lightmapFx.Parameters["Intensity"].SetValue(light.Intensity);
    lightmapFx.Parameters["LightColor"].SetValue(light.LightColor);
    lightmapFx.Parameters["LightLocation"].SetValue(light.LightLocation);
    // Render quad
    spriteBatch.Draw(...);
}
spriteBatch.End();
&lt;/code&gt;&lt;/pre&gt;
&lt;p&gt;And the FX file would look something like that:&lt;/p&gt;
&lt;pre&gt;&lt;code&gt;float Range;
float Intensity;
float3 LightColor;
float2 LightLocation;
float2 Viewport;
struct VStoPS
{
    float4 Position : POSITION0;
    float2 TexCoord : TEXCOORD0;
};
VStoPS VS(in float4 color    : COLOR0,
          in float2 texCoord : TEXCOORD0,
          in float4 position : POSITION0)
{
    VStoPS vsout = (VStoPS)0;
    // Half pixel offset for correct texel centering.
    vsout.Position.xy -= 0.5;
    // Viewport adjustment.
    vsout.Position.xy = position.xy / Viewport;
    vsout.Position.xy *= float2(2, -2);
    vsout.Position.xy -= float2(1, -1);
    // Pass texcoords as is
    vsout.TexCoord = texCoord;
    return vsout;
}
float4 PS(VStoPS psin)
{
    // Do calculations here
    // Here I just set it to white
    return float4(1.0f, 1.0f, 1.0f, 1.0f);
}
technique Main
{
    pass p0
    {
        VertexShader = compile vs_3_0 VS();
        PixelShader = compile ps_3_0 PS();
    }
}
&lt;/code&gt;&lt;/pre&gt;
&lt;p&gt;Note that this non-tested code and probably full of errors. I leave it up to you to figure out what needs to go in the pixel shader.&lt;/p&gt;
</t>
  </si>
  <si>
    <t xml:space="preserve">&lt;p&gt;Zoho CRM has a built-in functionality to extend custom fields with user-defined data.
Is there any way to get this values via API?&lt;/p&gt;
&lt;p&gt;According to the API &lt;a href="https://zohocrmapi.wiki.zoho.com/CRM-Entries.html" rel="nofollow"&gt;documendation&lt;/a&gt; only this entries are available:&lt;/p&gt;
&lt;ul&gt;
&lt;li&gt;Leads     &lt;/li&gt;
&lt;li&gt;Accounts  &lt;/li&gt;
&lt;li&gt;Contacts &lt;/li&gt;
&lt;li&gt;Potentials &lt;/li&gt;
&lt;li&gt;Campaigns &lt;/li&gt;
&lt;li&gt;Tasks &lt;/li&gt;
&lt;li&gt;Events &lt;/li&gt;
&lt;li&gt;Cases&lt;/li&gt;
&lt;li&gt;Solutions &lt;/li&gt;
&lt;li&gt;Products &lt;/li&gt;
&lt;li&gt;Price &lt;/li&gt;
&lt;li&gt;Quotes Vendors Purchase Sales &lt;/li&gt;
&lt;li&gt;Invoices &lt;/li&gt;
&lt;li&gt;Notes&lt;/li&gt;
&lt;li&gt;Calls&lt;/li&gt;
&lt;/ul&gt;
&lt;p&gt;and develope can query them via url like:&lt;/p&gt;
&lt;pre&gt;&lt;code&gt;https://crm.zoho.com/crm/private/xml/[[EntryName]]/getRecords?newFormat=1&amp;amp;authtoken=[[AuthToken]]&amp;amp;scope=crmapi
&lt;/code&gt;&lt;/pre&gt;
&lt;p&gt;i'm building a custom app that allows to create new Leads, and client want to be able edit Lead Source within my app.&lt;/p&gt;
&lt;p&gt;&lt;strong&gt;How to get existing values of 'Lead Source' field?&lt;/strong&gt;&lt;/p&gt;
&lt;p&gt;ps: i know that i can query ALL leads, get field value, but it's not a solution.&lt;/p&gt;
</t>
  </si>
  <si>
    <t xml:space="preserve">&lt;p&gt;The answer is to use this API method&lt;/p&gt;
&lt;p&gt;&lt;a href="https://zohocrmapi.wiki.zoho.com/getFields.html" rel="nofollow"&gt;https://zohocrmapi.wiki.zoho.com/getFields.html&lt;/a&gt;&lt;/p&gt;
&lt;p&gt;&lt;strong&gt;Purpose&lt;/strong&gt;&lt;/p&gt;
&lt;p&gt;You can use the getFields method to fetch details of the fields available in a particular module. &lt;/p&gt;
&lt;p&gt;&lt;strong&gt;Request URL&lt;/strong&gt;&lt;/p&gt;
&lt;p&gt;XML: &lt;a href="https://crm.zoho.com/crm/private/xml/Tasks/getFields?authtoken=AuthToken&amp;amp;scope=crmapi" rel="nofollow"&gt;https://crm.zoho.com/crm/private/xml/Tasks/getFields?authtoken=AuthToken&amp;amp;scope=crmapi&lt;/a&gt;&lt;/p&gt;
&lt;p&gt;JSON: &lt;a href="https://crm.zoho.com/crm/private/json/Tasks/getFields?authtoken=AuthToken&amp;amp;scope=crmapi" rel="nofollow"&gt;https://crm.zoho.com/crm/private/json/Tasks/getFields?authtoken=AuthToken&amp;amp;scope=crmapi&lt;/a&gt;&lt;/p&gt;
&lt;p&gt;&lt;strong&gt;Sample Response&lt;/strong&gt; &lt;/p&gt;
&lt;pre&gt;&lt;code&gt;&amp;lt;Leads&amp;gt;
&amp;lt;section name="Lead Information" dv="Lead Information"&amp;gt;
&amp;lt;FL req="false" type="Lookup" isreadonly="false" maxlength="120" label="Lead Owner" dv="Lead Owner" customfield="false" /&amp;gt;
&amp;lt;FL req="true" type="Text" isreadonly="false" maxlength="100" label="Company" dv="Company" customfield="false" /&amp;gt;
&amp;lt;FL req="false" type="Text" isreadonly="false" maxlength="40" label="First Name" dv="First Name" customfield="false" /&amp;gt;
&amp;lt;FL req="true" type="Text" isreadonly="false" maxlength="80" label="Last Name" dv="Last Name" customfield="false" /&amp;gt;
&amp;lt;FL req="false" type="Text" isreadonly="false" maxlength="100" label="Designation" dv="Title" customfield="false" /&amp;gt;
&amp;lt;FL req="false" type="Email" isreadonly="false" maxlength="100" label="Email" dv="Email" customfield="false" /&amp;gt;
&amp;lt;FL req="false" type="Phone" isreadonly="false" maxlength="30" label="Phone" dv="Phone" customfield="false" /&amp;gt;
&amp;lt;FL req="false" type="Text" isreadonly="false" maxlength="30" label="Fax" dv="Fax" customfield="false" /&amp;gt;
&amp;lt;FL req="false" type="Phone" isreadonly="false" maxlength="30" label="Mobile" dv="Mobile" customfield="false" /&amp;gt;
&amp;lt;FL req="false" type="Website" isreadonly="false" maxlength="120" label="Website" dv="Website" customfield="false" /&amp;gt;
...
&amp;lt;section name="Address Information" dv="Address Information"&amp;gt;
&amp;lt;FL req="false" type="Text" isreadonly="false" maxlength="250" label="Street" dv="Street" customfield="false" /&amp;gt;
&amp;lt;FL req="false" type="Text" isreadonly="false" maxlength="30" label="City" dv="City" customfield="false" /&amp;gt;
&amp;lt;FL req="false" type="Text" isreadonly="false" maxlength="30" label="State" dv="State" customfield="false" /&amp;gt;
&amp;lt;FL req="false" type="Text" isreadonly="false" maxlength="30" label="Zip Code" dv="Zip Code" customfield="false" /&amp;gt;
&amp;lt;FL req="false" type="Text" isreadonly="false" maxlength="30" label="Country" dv="Country" customfield="false" /&amp;gt;
&amp;lt;/section&amp;gt;
&amp;lt;section name="Description Information" dv="Description Information"&amp;gt;
&amp;lt;FL req="false" type="TextArea" isreadonly="false" maxlength="32000" label="Description" dv="Description" customfield="false" /&amp;gt;
&amp;lt;/section&amp;gt;
&amp;lt;/Leads&amp;gt;
&lt;/code&gt;&lt;/pre&gt;
&lt;p&gt;and element &lt;strong&gt;FL[@label='Lead Source']&lt;/strong&gt; is the result i was looking for:&lt;/p&gt;
&lt;pre&gt;&lt;code&gt;&amp;lt;FL req="false" type="Pick List" isreadonly="false" maxlength="120" label="Lead Source" dv="Lead Source" customfield="false"&amp;gt;
&amp;lt;val&amp;gt;-None-&amp;lt;/val&amp;gt;
&amp;lt;val default="true"&amp;gt;Advertisement&amp;lt;/val&amp;gt;
&amp;lt;val&amp;gt;Cold Call&amp;lt;/val&amp;gt;
&amp;lt;val&amp;gt;Employee Referral&amp;lt;/val&amp;gt;
&amp;lt;val&amp;gt;External Referral&amp;lt;/val&amp;gt;
&amp;lt;val&amp;gt;OnlineStore&amp;lt;/val&amp;gt;
&amp;lt;val&amp;gt;Partner&amp;lt;/val&amp;gt;
&amp;lt;val&amp;gt;Public Relations&amp;lt;/val&amp;gt;
&amp;lt;val&amp;gt;Sales Mail Alias&amp;lt;/val&amp;gt;
&amp;lt;val&amp;gt;Seminar Partner&amp;lt;/val&amp;gt;
&amp;lt;val&amp;gt;Seminar-Internal&amp;lt;/val&amp;gt;
&amp;lt;val&amp;gt;Trade Show&amp;lt;/val&amp;gt;
&amp;lt;val&amp;gt;Web Download&amp;lt;/val&amp;gt;
&amp;lt;val&amp;gt;Web Research&amp;lt;/val&amp;gt;
&amp;lt;val&amp;gt;4444&amp;lt;/val&amp;gt;
&amp;lt;/FL&amp;gt;
&lt;/code&gt;&lt;/pre&gt;
&lt;p&gt;&lt;strong&gt;The issue was that i tested this method on object, that has no PickupList field, and i decided that it returns only definition, but not available values.&lt;/strong&gt;&lt;/p&gt;
</t>
  </si>
  <si>
    <t xml:space="preserve">&lt;p&gt;on a repeat tag one-field name "insurance__c" is populating some description.
on this field contents are having bullets. I wants to put a page break after when a bullet will come.
like this:- (single break after single Description)
&lt;br/&gt;• Description1 
&lt;br/&gt;• Description1
&lt;br/&gt;• Description1&lt;/p&gt;
&lt;p&gt;but this is coming as a paragraph (without a break) on the PDF&lt;/p&gt;
</t>
  </si>
  <si>
    <t xml:space="preserve">&lt;p&gt;I have script which calls zoho api, Its working fine on localhost but when i upload the script to server it doesnt works, errror says&lt;/p&gt;
&lt;pre&gt;&lt;code&gt;Severity: Warning
Message: simplexml_load_file(https://crm.zoho.com/crm/private/xml/Leads/getMyRecords?newFormat=1&amp;amp;apikey={removed}&amp;amp;ticket={removed}): failed to open stream: Connection refused
Filename: models/xml_model.php
Line Number: 25
&lt;/code&gt;&lt;/pre&gt;
&lt;p&gt;I checked php.ini settings to check if simple xml is enables, i can see its enabled. I also can see "allow_url_fopen" for both local and master is set to "ON"&lt;/p&gt;
&lt;p&gt;Is there anything i must check ??&lt;/p&gt;
</t>
  </si>
  <si>
    <t xml:space="preserve">&lt;p&gt;Have a look to the output of:&lt;/p&gt;
&lt;pre&gt;&lt;code&gt;&amp;lt;?php phpinfo(); ?&amp;gt;
&lt;/code&gt;&lt;/pre&gt;
&lt;p&gt;What does it show in "Registered PHP Streams"? Do you see "https" on that line?&lt;/p&gt;
&lt;p&gt;If not, just add:&lt;/p&gt;
&lt;pre&gt;&lt;code&gt;extension=php_openssl.dll
&lt;/code&gt;&lt;/pre&gt;
&lt;p&gt;to your php.ini file and restart the web server. It will load OpenSSL extension.&lt;/p&gt;
</t>
  </si>
  <si>
    <t xml:space="preserve">&lt;p&gt;I like to create a registration form and not only store part of it in Zoho CRM but also I like to save the data in my MySQl database on my server.&lt;/p&gt;
&lt;p&gt;for example in the registration form the user should enter a username and password. I like to put this in the database, but the name etc. should be in Zoho CRM.&lt;/p&gt;
&lt;p&gt;How can I do it? I thought maybe with Curl or so. Is that right?&lt;/p&gt;
&lt;p&gt;Thanks.&lt;/p&gt;
</t>
  </si>
  <si>
    <t xml:space="preserve">&lt;p&gt;I am new to Salesforce. I need to create a Login screen where users will first register with the system and then use these credentials to login to the system.&lt;/p&gt;
&lt;p&gt;All these information should be saved on to a DB. I need to know how can i do this ? A tutorial/video tutorial or steps would help me start with this. Help ?&lt;/p&gt;
</t>
  </si>
  <si>
    <t xml:space="preserve">&lt;p&gt;If you're talking about for your regular users then no, this isn't possible. If you're talking about customers then I believe what you're looking for (from the scant details provided) is &lt;a href="http://www.salesforce.com/crm/customer-service-support/customer-self-service-portal/" rel="nofollow"&gt;customer portal&lt;/a&gt;.&lt;/p&gt;
&lt;p&gt;Be aware though, that there are licence fees involved with this and writing your own user authentication system is against the terms of service. &lt;/p&gt;
</t>
  </si>
  <si>
    <t xml:space="preserve">&lt;p&gt;I have a problem with the Zoho Reports upload tool. I have installed it on my server and in Terminal I want to run the sh script like this:&lt;/p&gt;
&lt;pre&gt;&lt;code&gt;sh UploadFromDB.sh &amp;lt;username&amp;gt; &amp;lt;password&amp;gt;
&lt;/code&gt;&lt;/pre&gt;
&lt;p&gt;When I run it I get the following error:&lt;/p&gt;
&lt;blockquote&gt;
  &lt;p&gt;UploadFromDB.sh: line 20: syntax error: unexpected end of file
  (expecting "then")&lt;/p&gt;
&lt;/blockquote&gt;
&lt;p&gt;What I am doing wrong here?&lt;/p&gt;
</t>
  </si>
  <si>
    <t xml:space="preserve">&lt;p&gt;In Salesforce, my Milestone is reached when I manually update the field to meet the Milestone criteria. However, when the Milestone criteria is satisfied via an Approval Process Action, the Milestone is not reached. Please help!&lt;/p&gt;
</t>
  </si>
  <si>
    <t xml:space="preserve">&lt;p&gt;When an approval process finishes, the actions defined in the "Final Approval Actions" section are fired. It sounds like you have a field update action defined here, and that, by updating this field, you are expecting your milestone criteria to be satisfied, correct?&lt;/p&gt;
&lt;p&gt;Unfortunately, actions originating from the final approval step in an approval process do not further trigger other actions. For example, if you were to have an email alert go out when a checkbox is checked, the email won't go out if the checkbox is checked by finishing an approval process.&lt;/p&gt;
&lt;p&gt;The only way around this, that I've found, is to have the actions of your approval process trigger an asynchronous method which, in turn, updates the field connected to your milestone.
Separating the processes from the approval process itself, by having it call an @future method, ensures regular workflow rules are followed.&lt;/p&gt;
</t>
  </si>
  <si>
    <t xml:space="preserve">&lt;p&gt;I am trying to determine a way to audit which records a given user can see by;&lt;/p&gt;
&lt;blockquote&gt;
  &lt;p&gt;Object Type&lt;/p&gt;
  &lt;p&gt;Record Type&lt;/p&gt;
  &lt;p&gt;Count of records&lt;/p&gt;
&lt;/blockquote&gt;
&lt;p&gt;Ideally would also be able to see which fields for each object/record type the user can see.&lt;/p&gt;
&lt;p&gt;We will need to repeat this often and for different users and in different orgs, so would like to avoid manually determining this.&lt;/p&gt;
&lt;p&gt;My first thought was to create an app using the partner WSDL, but would like to ask if there are any easier approaches or perhaps existing solutions.&lt;/p&gt;
&lt;p&gt;Thanks all&lt;/p&gt;
</t>
  </si>
  <si>
    <t xml:space="preserve">&lt;p&gt;I am trying to add a variable to an URL so the XML string content gets posted to Zoho CRM. I thought I can do this with cURL. But nothing happens. I got the xml values from the Zoho CRM API.&lt;/p&gt;
&lt;pre&gt;&lt;code&gt;&amp;lt;?php
$xml_data = '&amp;lt;SalesOrders&amp;gt;'.
'&amp;lt;row no="1"&amp;gt;'.
'&amp;lt;FL val="Subject"&amp;gt;Zillium - SO&amp;lt;/FL&amp;gt;'.
'&amp;lt;FL val="Due Date"&amp;gt;2009-03-10&amp;lt;/FL&amp;gt;'.
'&amp;lt;FL val="Sub Total"&amp;gt;48000.0&amp;lt;/FL&amp;gt;'.
'&amp;lt;FL val="Tax"&amp;gt;0.0&amp;lt;/FL&amp;gt;'.
'&amp;lt;FL val="Adjustment"&amp;gt;0.0&amp;lt;/FL&amp;gt;'.
'&amp;lt;FL val="Grand Total"&amp;gt;48000.0&amp;lt;/FL&amp;gt;'.
'&amp;lt;FL val="Billing Address Street"&amp;gt;test&amp;lt;/FL&amp;gt;'.
'&amp;lt;FL val="Shipping Street"&amp;gt;test&amp;lt;/FL&amp;gt;'.
'&amp;lt;FL val="Billing City"&amp;gt;test&amp;lt;/FL&amp;gt;'.
'&amp;lt;FL val="Shipping City"&amp;gt;test&amp;lt;/FL&amp;gt;'.
'&amp;lt;FL val="Billing State"&amp;gt;test&amp;lt;/FL&amp;gt;'.
'&amp;lt;FL val="Shipping State"&amp;gt;test&amp;lt;/FL&amp;gt;'.
'&amp;lt;FL val="Billing Code"&amp;gt;223&amp;lt;/FL&amp;gt;'.
'&amp;lt;FL val="Shipping Code"&amp;gt;223&amp;lt;/FL&amp;gt;'.
'&amp;lt;FL val="Billing Country"&amp;gt;test&amp;lt;/FL&amp;gt;'.
'&amp;lt;FL val="Shipping Country"&amp;gt;test&amp;lt;/FL&amp;gt;'.
'&amp;lt;FL val="Product Details"&amp;gt;&amp;lt;/FL&amp;gt;'.
'&amp;lt;FL val="Terms and Conditions"&amp;gt;Test by Zoho&amp;lt;/FL&amp;gt;'.
'&amp;lt;FL val="Description"&amp;gt;Test By Zoho&amp;lt;/FL&amp;gt;'.
'&amp;lt;/row&amp;gt;'.
'&amp;lt;/SalesOrders&amp;gt;';
$ch = curl_init("https://crm.zoho.com/crm/private/xml/SalesOrders/insertRecords?
authtoken=xxxxxxxxxxxxx&amp;amp;scope=crmapi             
&amp;amp;newFormat=1&amp;amp;xmlData=");       
curl_setopt($ch, CURLOPT_HEADER, 0);
curl_setopt($ch, CURLOPT_POST, true);
curl_setopt($ch, CURLOPT_POSTFIELDS, $xml_data);
curl_exec($ch);
curl_close($ch);
?&amp;gt;
&lt;/code&gt;&lt;/pre&gt;
&lt;p&gt;I have searched everywhere on the web to find a solution but nothing works. The 
&lt;p&gt;Thanks.&lt;/p&gt;
</t>
  </si>
  <si>
    <t xml:space="preserve">&lt;p&gt;Iam getting my messages which i share in chatter to my followers on to their mobiles.My problem is all my followers are getting the  sms.But it should send sms to a particular follower which i specify  in chatter with
@ followername .Will @ woek in trigger if not how can i draw that functionality in trigger&lt;/p&gt;
&lt;p&gt;Any Suggestions are apreciated.&lt;/p&gt;
&lt;p&gt;Thanks&amp;amp;Regards
A.Anil kumar&lt;/p&gt;
</t>
  </si>
  <si>
    <t xml:space="preserve">&lt;p&gt;I am building a chrome extension which will interact with salesforce-chatter api. But for a user using oAuth(User agent flow) authentication, I need to embed my client key in my extension. &lt;/p&gt;
&lt;p&gt;Will this cause any security problem? Or is there a way to use oAuth without embedding client id in my extension?&lt;/p&gt;
</t>
  </si>
  <si>
    <t xml:space="preserve">&lt;p&gt;The &lt;em&gt;client id&lt;/em&gt; has to be included into a request, so the provider knows that the request came from you, as @Matt Lacey already pointed out. Normally, the provider also issues a confidential &lt;em&gt;client secret&lt;/em&gt; that is additionally included into the &lt;em&gt;access token&lt;/em&gt; request, so the provider can verify that your app is allowed to use that &lt;em&gt;client id&lt;/em&gt;.&lt;/p&gt;
&lt;p&gt;Chrome extensions run on an open platform and the platform itself provides no methods for either authenticating the extension against a server (which salesforce would then also have to support) or storing properties securely (would be hard, if not impossible on an open platform), so keeping the &lt;em&gt;client secret&lt;/em&gt; confidential is unfortunately not possible.&lt;/p&gt;
&lt;p&gt;As this is a common problem, it is already considered in the OAuth specification (see &lt;a href="http://tools.ietf.org/html/rfc6749#section-10.1" rel="nofollow noreferrer"&gt;section 10.1 Client Authentication&lt;/a&gt; and &lt;a href="http://tools.ietf.org/html/rfc6749#section-10.2" rel="nofollow noreferrer"&gt;10.2 Client Impersonation&lt;/a&gt;). The provider is therefore required to do additional checks, but on the client side you can't do anything to effectively improve security.&lt;/p&gt;
&lt;p&gt;If you want some more insight into how this will be handled on Android devices in the future, check out my answer &lt;a href="https://stackoverflow.com/a/11513309/1467115"&gt;here&lt;/a&gt;. &lt;/p&gt;
</t>
  </si>
  <si>
    <t xml:space="preserve">&lt;p&gt;I want to retrieve the changes happened in the posts which were liked by user using Chatter REST api. I know that Can do this by retrieving the likes of current user and going through each post for any changes. But this would make me to hit the api rate limit easily.&lt;/p&gt;
&lt;p&gt;Is there any other way to do this.&lt;/p&gt;
</t>
  </si>
  <si>
    <t xml:space="preserve">&lt;p&gt;I want to post to chatter from javascript.the app I m creating is a browser extension,so its not specific to a particular domain.on clicking on a button,javascript does the oAuth dance ,and posts to chatter.is it possible,as in will it  not be affected by the same origin policy.&lt;/p&gt;
&lt;p&gt;can you post some links,from where I can start and provide some guidance.&lt;/p&gt;
&lt;p&gt;Thanks&lt;/p&gt;
</t>
  </si>
  <si>
    <t xml:space="preserve">&lt;p&gt;Are you writing a Chrome extension? This post may help you - for chatter you need have to reduce the api_scope as per SFDC docs...&lt;/p&gt;
&lt;p&gt;&lt;a href="http://www.anupshinde.com/salesforce-rest-api-chrome-extension" rel="nofollow"&gt;http://www.anupshinde.com/salesforce-rest-api-chrome-extension&lt;/a&gt;&lt;/p&gt;
</t>
  </si>
  <si>
    <t xml:space="preserve">&lt;p&gt;I am creating a browser extension which posts to salesforce chatter using rest api.Once I get the access_token from OAuth user agent flow,I can not make call to rest services from javascript,due tobrowser  same origin policy.I do not want to use a server as proxy,since I want to make the extension purely client side.&lt;/p&gt;
&lt;p&gt;I tried JSONP workaround,but it only works for GET,I need POST to post a feed to salesforce chatter&lt;/p&gt;
&lt;p&gt;is there a possible way.Please suggest some work around&lt;/p&gt;
</t>
  </si>
  <si>
    <t xml:space="preserve">&lt;p&gt;Maybe consider passing your call to a custom rest service in salesforce.  Setup a global class with the @RestResource annotation, and then within that an doPost method to handle what you're passing, in your case to make the post.&lt;/p&gt;
&lt;p&gt;You'll still need the Oauth step to retrieve token that is then passed in with the rest request via the Authorization : Bearer  header message.&lt;/p&gt;
&lt;p&gt;See a good post on this here &lt;a href="https://wiki.developerforce.com/page/Creating_REST_APIs_using_Apex_REST" rel="nofollow"&gt;https://wiki.developerforce.com/page/Creating_REST_APIs_using_Apex_REST&lt;/a&gt;&lt;/p&gt;
</t>
  </si>
  <si>
    <t xml:space="preserve">&lt;p&gt;I have been banging my head for days if not weeks. I think this is mostly due to the fact that I am unfamiliar with XML and this particular notion of PHP cURL.&lt;/p&gt;
&lt;p&gt;and the client is using french words so the accents are not helping when it goes through Zoho (different story)&lt;/p&gt;
&lt;p&gt;Anyways when I write the XML, do I have to input all the fields or just the ones marked as necessary. For example&lt;/p&gt;
&lt;p&gt;The "opportunity" has (accountID, ContactID,oppurtunityName, date Due, Mailing,etc)as fields and lets say I didnt want to add mailing or the others, does  and the others still need to be there?&lt;/p&gt;
&lt;p&gt;I ask this because I just did this:&lt;/p&gt;
&lt;pre&gt;&lt;code&gt;&amp;lt;?xml version="1.0" encoding="UTF-8" ?&amp;gt;
  &amp;lt;Potentials&amp;gt;
      &amp;lt;row no="1"&amp;gt;
          &amp;lt;FL val="ACCOUNTID"&amp;gt;accountID is in here&amp;lt;/FL&amp;gt;
          &amp;lt;FL val="Potential Name"&amp;gt;Potential Name is in here&amp;lt;/FL&amp;gt;
          &amp;lt;FL val="Stage"&amp;gt;"Perdu"&amp;lt;/FL&amp;gt;
          &amp;lt;FL val="Closing Date"&amp;gt;01/04/2009&amp;lt;/FL&amp;gt;
    &amp;lt;/row&amp;gt;
  &amp;lt;/Potentials&amp;gt;
&lt;/code&gt;&lt;/pre&gt;
&lt;p&gt;and in php&lt;/p&gt;
&lt;pre&gt;&lt;code&gt;$query = "newFormat=1&amp;amp;authtoken={$authtoken}&amp;amp;scope=crmapi&amp;amp;xmlData={$xmlData-&amp;gt;asXML()}";
   $ch = curl_init();
    /* set url to send post request */
    curl_setopt($ch, CURLOPT_URL, $url);
    /* allow redirects */
    curl_setopt($ch, CURLOPT_FOLLOWLOCATION, 1);
    /* return a response into a variable */
    curl_setopt($ch, CURLOPT_RETURNTRANSFER, 1);
    /* times out after 30s */
    curl_setopt($ch, CURLOPT_TIMEOUT, 30);
    /* set POST method */
    curl_setopt($ch, CURLOPT_POST, 1);
    /* add POST fields parameters */
    curl_setopt($ch, CURLOPT_POSTFIELDS, $query);// Set the request as a POST FIELD for curl.
    //Execute cUrl session
    $response = curl_exec($ch);
    curl_close($ch);
    echo $response;
&lt;/code&gt;&lt;/pre&gt;
&lt;p&gt;and it used to return errors saying the fields do not exist, now after a few fixes it returns nothing and the "opportunity" is not created.&lt;/p&gt;
&lt;p&gt;Any help would be greatly appreciated&lt;/p&gt;
&lt;p&gt;Thank you .&lt;/p&gt;
</t>
  </si>
  <si>
    <t xml:space="preserve">&lt;p&gt;I have run into a minor problem. I am using Zoho CRM API and it returns me an XML in a format like this:&lt;/p&gt;
&lt;pre&gt;&lt;code&gt;&amp;lt;response uri="/crm/private/xml/Contacts/getRecords"&amp;gt;
    &amp;lt;result&amp;gt;
        &amp;lt;Contacts&amp;gt;
            &amp;lt;row no="1"&amp;gt;
                &amp;lt;FL val="Contact Owner"&amp;gt;
                    &amp;lt;![CDATA[ Kristo Vaher ]]&amp;gt;
                &amp;lt;/FL&amp;gt;
                &amp;lt;FL val="Lead Source"&amp;gt;
                    &amp;lt;![CDATA[ Partner ]]&amp;gt;
                &amp;lt;/FL&amp;gt;
            &amp;lt;/row&amp;gt;
        &amp;lt;/Contacts&amp;gt;
    &amp;lt;/result&amp;gt;
&amp;lt;/response&amp;gt;
&lt;/code&gt;&lt;/pre&gt;
&lt;p&gt;When I create an XML object through simplexml_load_string() then it will give me most of that XML in the new object, but it won't give me the 'inner' string of FL tags (the CDATA elements), the data that actually interests me. &lt;/p&gt;
&lt;p&gt;My new SimpleXML object only has data like:&lt;/p&gt;
&lt;pre&gt;&lt;code&gt;[1] =&amp;gt; SimpleXMLElement Object
    (
        [@attributes] =&amp;gt; Array
            (
                [val] =&amp;gt; Contact Owner
            )
    )
&lt;/code&gt;&lt;/pre&gt;
&lt;p&gt;My best guess is that this is because the XML should not really be built this way, I've read somewhere that your cannot have inner content in XML tag if it has attributes and vice versa (is this correct?).&lt;/p&gt;
&lt;p&gt;What are my alternatives? Writing a parser myself is not really an option.&lt;/p&gt;
&lt;p&gt;Thanks!&lt;/p&gt;
</t>
  </si>
  <si>
    <t xml:space="preserve">&lt;p&gt;To get attributes:&lt;/p&gt;
&lt;pre&gt;&lt;code&gt;foreach ($value-&amp;gt;attributes() as $key =&amp;gt; $val){
    // get all attributes
}
&lt;/code&gt;&lt;/pre&gt;
&lt;p&gt;To get data:&lt;/p&gt;
&lt;pre&gt;&lt;code&gt;echo (string) $load-&amp;gt;result-&amp;gt;Contacts-&amp;gt;row-&amp;gt;FL[0];
&lt;/code&gt;&lt;/pre&gt;
</t>
  </si>
  <si>
    <t xml:space="preserve">&lt;p&gt;I'm trying to dynamically change the height of a div container based on the content loaded into it with jQuery.load(). I've tried many different ways of arranging the code, searched and viewed many posts here and read through the documentation on jQuery. My function works if I run it in the firebug console after page load but not when the code is saved and loads with the page. The console outputs "0" for all the table heights if the script is run by the page, but it gives the proper heights when I run it in firebug. &lt;/p&gt;
&lt;p&gt;The code is below. Basically, it's a user-defined page where I've pasted this script and the div #element4 sits within jQuery a jQuery tab. Can you spot an error in my code or help me get it working?    &lt;/p&gt;
&lt;pre&gt;&lt;code&gt;$("#element4").load("&amp;lt;dbid&amp;gt;?act=API_GenResultsTable&amp;amp;qid=8", function(response, status, xhr) {
 if (status == "success") {
    $('#element4 table').each( function(x, y){
    var max_height = 0;  
    var yHeight = $(y).height();
    max_height = ( yHeight &amp;gt; max_height) ? yHeight : max_height;
    $('#element4').height(max_height);
    console.log(max_height);
  });
  }
 });
&lt;/code&gt;&lt;/pre&gt;
</t>
  </si>
  <si>
    <t xml:space="preserve">&lt;p&gt;You are resetting &lt;code&gt;max_height&lt;/code&gt; to zero for each &lt;code&gt;table&lt;/code&gt;. Try moving that out of the &lt;code&gt;each&lt;/code&gt; loop, along with the eventual setting of the height:&lt;/p&gt;
&lt;pre&gt;&lt;code&gt;var max_height = 0; // init max
// find tallest table
$('#element4 table').each(function(x, table) {
    var yHeight = $(table).height();
    max_height = (yHeight &amp;gt; max_height) ? yHeight : max_height;
});
$('#element4').height(max_height); // set height
console.log(max_height);
&lt;/code&gt;&lt;/pre&gt;
</t>
  </si>
  <si>
    <t xml:space="preserve">&lt;p&gt;I have a simple problem in using the zoho editor. I need to be able to open any file type with ajaxplorer zoho text editor (ex: .docx files,).&lt;/p&gt;
</t>
  </si>
  <si>
    <t xml:space="preserve">&lt;p&gt;i got the answer..just enable "Yes" in settings/plugin/editor/zoho editor...;-)&lt;/p&gt;
</t>
  </si>
  <si>
    <t xml:space="preserve">&lt;p&gt;I am trying to embed the CK Editor in an Outsystems application, where the editor works fine for initial instances. When I try to edit the content that already exists, it works fine for some instances and then all of a sudden when I edit and save it throws '404-page not found' error.&lt;/p&gt;
&lt;ol&gt;
&lt;li&gt;I am not able to find exactly, when this error shoots up.&lt;/li&gt;
&lt;li&gt;I am still wondering about the maximum character size that can be in a CKEditor.(As I was not able to find the official maximum limit, different people have specified different count)&lt;/li&gt;
&lt;/ol&gt;
&lt;p&gt;Any hints to fix this issue ?&lt;/p&gt;
&lt;p&gt;Thanks !&lt;/p&gt;
</t>
  </si>
  <si>
    <t xml:space="preserve">&lt;p&gt;The original CKEditor component made available by André Ramos in the OutSystems Network has some limitations, namely lack of support for multiple instances on the same page and other problems when replaced through an AJAX request.&lt;/p&gt;
&lt;p&gt;Check if the modified versions by António Chinita address your issues (see &lt;a href="http://www.outsystems.com/NetworkForums/ViewTopic.aspx?TopicId=5953&amp;amp;Topic=%5b%5b%5dCKEditor%5d-Discussion#Post26870" rel="nofollow"&gt;here&lt;/a&gt; and &lt;a href="http://www.outsystems.com/NetworkForums/ViewTopic.aspx?TopicId=5953&amp;amp;Topic=%5b%5b%5dCKEditor%5d-Discussion#Post27497" rel="nofollow"&gt;here&lt;/a&gt;). They are available in the component's discussion thread.&lt;/p&gt;
</t>
  </si>
  <si>
    <t xml:space="preserve">&lt;p&gt;my URL is correct, but my request must be malformed. I'm getting a 400. Any ideas? The API documentation says it could return a 400 if parameters were passed instead of JSON body. Thanks in advance.&lt;/p&gt;
&lt;pre&gt;&lt;code&gt;- (void)postFeedItem:(NSDictionary *)paramDict Response:(void (^)(id))callbackBlock Failure:(void (^)())failure {
NSString *targetUrl = [NSString stringWithFormat:@"%@/services/data/v23.0/chatter/feeds/user-profile/%@/", _appManager.coordinator.credentials.instanceUrl, [_appManager.userInformation objectForKey:@"sfUserId"]];
AFHTTPClient *client = [[AFHTTPClient alloc] initWithBaseURL:[NSURL URLWithString:targetUrl]];
/*
 { "body" :
 {
 Request body example:
 "messageSegments" : [
 {
 "type": "Text",
 "text" : "New post"
 }
 ]
 }
 }
 */
NSArray *arr = [NSArray arrayWithObjects:
                [NSDictionary dictionaryWithObjectsAndKeys:@"Text", @"type",
                 @"New post", @"text",
                 nil],
                nil];
NSDictionary* info = [NSDictionary dictionaryWithObjectsAndKeys:
                      [NSDictionary dictionaryWithObjectsAndKeys:arr, @"messageSegments", nil],
                      @"body",
                      nil];
NSLog(@"JSON: %@", [[NSString alloc] initWithData:[self toJSON:info] encoding:NSUTF8StringEncoding]);
NSMutableURLRequest *request = [client multipartFormRequestWithMethod:@"POST" path:@"feed-items" parameters:nil constructingBodyWithBlock:^(id&amp;lt;AFMultipartFormData&amp;gt; formData) {
    [formData appendData:[self toJSON:info]];
}];
[request setValue:[NSString stringWithFormat:@"OAuth %@",_appManager.coordinator.credentials.accessToken] forHTTPHeaderField:@"Authorization"];
[request addValue:@"false" forHTTPHeaderField:@"X-Chatter-Entity-Encoding"];
[request addValue:@"application/json" forHTTPHeaderField:@"Content-Type"];
AFJSONRequestOperation *operation = [AFJSONRequestOperation JSONRequestOperationWithRequest:request success:^(NSURLRequest *request, NSHTTPURLResponse *response, id JSON) {
    NSLog(@"success");
} failure:^(NSURLRequest *request, NSHTTPURLResponse *response, NSError *error, id JSON) {
    NSLog(@"FAILED CHATTER Request: %@ - %@ - %@", [request URL], [request allHTTPHeaderFields], error.description);
}];
[operation start];
&lt;/code&gt;&lt;/pre&gt;
&lt;p&gt;}&lt;/p&gt;
&lt;p&gt;Here's the NSLog:&lt;/p&gt;
&lt;p&gt;2012-09-19 18:10:54.732 RingDNA Free[6018:c07] __47-[ChatterHelper postFeedItem:Response:Failure:]_block_invoke_087 [Line 76] FAILED CHATTER Request: &lt;a href="https://na4.salesforce.com/services/data/v23.0/chatter/feeds/user-profile/00560000001j3paAAA/feed-items" rel="nofollow"&gt;https://na4.salesforce.com/services/data/v23.0/chatter/feeds/user-profile/00560000001j3paAAA/feed-items&lt;/a&gt; - {
    "Accept-Encoding" = gzip;
    "Accept-Language" = "en, fr, de, ja, nl, it, es, pt, pt-PT, da, fi, nb, sv, ko, zh-Hans, zh-Hant, ru, pl, tr, uk, ar, hr, cs, el, he, ro, sk, th, id, ms, en-GB, ca, hu, vi, en-us;q=0.8";
    Authorization = "OAuth 00D60000000KV29!ARkAQFWhnhOtcGFgVMT4MkZHCV3zG9SY4en66718BiG_ZY59W0gR1iSWA8i.ey_b94vqjRW_RQITALBWmfpPrKTGk";
    "Content-Type" = "multipart/form-data; boundary=Boundary+0xAbCdEfGbOuNdArY,application/json";
    "User-Agent" = "com.ringdna.dreamforce.RingDNA-Free/36 (unknown, iPhone OS 5.1, iPad Simulator, Scale/1.000000)";
    "X-Chatter-Entity-Encoding" = false;
} - Error Domain=com.alamofire.networking.error Code=-1011 "Expected status code [number of indexes: 100 (in 1 ranges), indexes: (200-299)], got 400" UserInfo=0xa2a8b40 {NSErrorFailingURLKey=https://na4.salesforce.com/services/data/v23.0/chatter/feeds/user-profile/00560000001j3paAAA/feed-items, NSLocalizedDescription=Expected status code [number of indexes: 100 (in 1 ranges), indexes: (200-299)], got 400}&lt;/p&gt;
</t>
  </si>
  <si>
    <t xml:space="preserve">&lt;p&gt;We figured this out after a few attempts. Basically SFDC validates the order of the parameters you're sending to the Chatter APIs, it appears. Code samples for working Chatter posts are in Github now if this helps anyone else: &lt;/p&gt;
&lt;p&gt;&lt;a href="https://github.com/kyleroche/Dreamforce-2012" rel="nofollow"&gt;https://github.com/kyleroche/Dreamforce-2012&lt;/a&gt;&lt;/p&gt;
</t>
  </si>
  <si>
    <t xml:space="preserve">&lt;p&gt;The company needs to know how much time each worker spends on each part of each project part.&lt;/p&gt;
&lt;p&gt;The following resembles some custom objects that were defined for this app:&lt;/p&gt;
&lt;ul&gt;
&lt;li&gt;Custom Project&lt;/li&gt;
&lt;li&gt;Custom Project Part&lt;/li&gt;
&lt;li&gt;Custom Time Entry&lt;/li&gt;
&lt;/ul&gt;
&lt;p&gt;Now we need to customize our salesforce app in such a way that a worker can open the project part and click "Start..." and later "Stop...".&lt;/p&gt;
&lt;p&gt;These buttons would create a time entry with a start date and update the time entry with a stop date respectively.&lt;/p&gt;
&lt;p&gt;Is this possible to do in the custom objects themselves? (ideal)&lt;/p&gt;
&lt;p&gt;Should we be creating new pages?&lt;/p&gt;
</t>
  </si>
  <si>
    <t xml:space="preserve">&lt;p&gt;Yes. Create two custom Buttons for your custom object eg. "Start" and "Stop". Then put some JavaScript to the buttons to update your custom fields:&lt;/p&gt;
&lt;pre&gt;&lt;code&gt;{!REQUIRESCRIPT("/soap/ajax/15.0/connection.js")}
var YourCustomObject = new sforce.SObject("YourCustomObject__c");
YourCustomObject.Id = '{!YourCustomObject__c.Id }';
YourCustomObject.Start__c = '{!NOW()}';
updateStartTime = sforce.connection.update([YourCustomObject]);
&lt;/code&gt;&lt;/pre&gt;
&lt;p&gt;Then insert these buttons to the page layout.&lt;/p&gt;
</t>
  </si>
  <si>
    <t xml:space="preserve">&lt;p&gt;I am using CKEditor in my application, which I am developing using Outsystems. I need to change the current view provided by the CKEditor. (It has GUI options to save the data, make it italic, bold etc). I need to remove these options or either disable them.&lt;/p&gt;
&lt;p&gt;Any hints ?&lt;/p&gt;
&lt;p&gt;Thanks !&lt;/p&gt;
</t>
  </si>
  <si>
    <t xml:space="preserve">&lt;p&gt;There's pretty good advice in &lt;a href="http://docs.cksource.com/CKEditor_3.x/Developers_Guide/Toolbar" rel="nofollow"&gt;the developers guide&lt;/a&gt;, but this is what I use:&lt;/p&gt;
&lt;p&gt;In your config.js &lt;/p&gt;
&lt;pre&gt;&lt;code&gt;config.toolbar = 'Mine';
config.toolbar_Mine =
[
    { name: 'document', items: ['Source', '-', 'Save', 'NewPage', 'DocProps', '-', 'Templates'] },
    { name: 'clipboard', items: ['Cut', 'Copy', 'Paste', 'PasteText', 'PasteFromWord', '-', 'Undo', 'Redo'] },
    { name: 'editing', items: ['Find', 'Replace', '-', 'SelectAll', '-', 'SpellChecker', 'Scayt'] },
    '/',
    { name: 'basicstyles', items: ['Bold', 'Italic', 'Underline', 'Strike', 'Subscript', 'Superscript', '-', 'RemoveFormat'] },
    { name: 'paragraph', items: ['NumberedList', 'BulletedList', '-', 'Outdent', 'Indent', '-', 'CreateDiv',
    '-', 'JustifyLeft', 'JustifyCenter', 'JustifyRight', 'JustifyBlock']
    },
    { name: 'links', items: ['Link', 'Unlink', 'Doxtest'] },
    { name: 'insert', items: ['Image', 'Table', 'HorizontalRule', 'SpecialChar', 'PageBreak'] },
    '/',
    { name: 'styles', items: ['Styles', 'Format', 'FontSize'] },
    { name: 'colors', items: ['TextColor', 'BGColor'] },
    { name: 'tools', items: ['Maximize', 'ShowBlocks'] },
    { name: 'ponify', items: ['InsertMagicalPony'] }
];
&lt;/code&gt;&lt;/pre&gt;
&lt;p&gt;Then just add/remove whatever you need. Note the &lt;code&gt;{ name: 'ponify', items: ['InsertMagicalPony'] }&lt;/code&gt;,which you for example would probably not have.&lt;/p&gt;
</t>
  </si>
  <si>
    <t xml:space="preserve">&lt;p&gt;I am using the PHP quickbase wrapper and I need to get a table's most recent record id.&lt;/p&gt;
&lt;p&gt;From the tutorials and other materials I have read, I think you need to set your query up like so:&lt;/p&gt;
&lt;pre&gt;&lt;code&gt;$queries = array(
        array(
            'fid'   =&amp;gt; '3',
            'ev'    =&amp;gt; 'ex',
            'cri'   =&amp;gt; '2')
         );
$results = $quickbase-&amp;gt;do_query($queries, '', '', '3');
&lt;/code&gt;&lt;/pre&gt;
&lt;p&gt;I know the FID I want is 3, I'm unsure what ev to use, as well as how I would phrase my cri to say the last, or highest count record id.&lt;/p&gt;
&lt;p&gt;I have tried basic query's against other data and have gotten 0 returns.&lt;/p&gt;
&lt;p&gt;Any help would be greatly appreciated!&lt;/p&gt;
</t>
  </si>
  <si>
    <t xml:space="preserve">&lt;p&gt;I solved my issue. &lt;/p&gt;
&lt;p&gt;When I submit my first record in table A I can grab the rid xml object.&lt;/p&gt;
&lt;pre&gt;&lt;code&gt;$results = $quickbase-&amp;gt;add_record($fields);
$rid = $results-&amp;gt;rid;
&lt;/code&gt;&lt;/pre&gt;
</t>
  </si>
  <si>
    <t xml:space="preserve">&lt;p&gt;I have embedded a CKEditor in my application, which I have developed using OutSystems. Whenever I enter some data into the CKEditor and press 'OK' the data is saved, but when I open the CKEditor again for editing then the previously entered data is cleared somehow.&lt;/p&gt;
&lt;p&gt;This is against the normal functionality. The user does not wants this data loss.&lt;/p&gt;
&lt;p&gt;Any hints ?&lt;/p&gt;
&lt;p&gt;Thanks!&lt;/p&gt;
</t>
  </si>
  <si>
    <t xml:space="preserve">&lt;p&gt;I don't think the CKEditor component has that bug, so this sounds like an application logic problem.&lt;/p&gt;
&lt;p&gt;Are you sure you are:&lt;/p&gt;
&lt;ol&gt;
&lt;li&gt;Properly saving the Variable bound to the Input that CKEditor is
overlaying to a persistent place (DB, session variable etc) inside
the screen Submit action?&lt;/li&gt;
&lt;li&gt;Loading &lt;strong&gt;that&lt;/strong&gt; same Variable with &lt;strong&gt;that&lt;/strong&gt; persisted value inside the
screen Preparation action? (when you come back to edit)&lt;/li&gt;
&lt;/ol&gt;
&lt;p&gt;Miguel&lt;/p&gt;
</t>
  </si>
  <si>
    <t xml:space="preserve">&lt;p&gt;I have developed an application with OutSystems where I have an entity attribute whose data-type is integer. Now  when I open up that particular form for editing purpose the entity attribute being of integer type the value by default in that textbox is displayed as 0(zero). I have to manually delele the default value and then enter some other value.&lt;/p&gt;
&lt;p&gt;Is there any chance by which I see a 'cleared'(blank) textbox when I open up the form for editing.&lt;/p&gt;
&lt;p&gt;Thanks !!&lt;/p&gt;
</t>
  </si>
  <si>
    <t xml:space="preserve">&lt;p&gt;You need to go to the input properties and in the &lt;em&gt;Null Value&lt;/em&gt; set it to 0.&lt;/p&gt;
</t>
  </si>
  <si>
    <t xml:space="preserve">&lt;p&gt;I am using HTML to PDF Converter in my Outsystems application, but when I open the downloaded PDF its size is zero bytes and I am not able to open the PDF too. It throws 'No registered application for this extension.'&lt;/p&gt;
&lt;p&gt;Any hints ?&lt;/p&gt;
</t>
  </si>
  <si>
    <t xml:space="preserve">&lt;p&gt;How to create a webservices in java or .net to receive the outbound message from salesforce and just print the Id of the record? Your help pls. &lt;/p&gt;
</t>
  </si>
  <si>
    <t xml:space="preserve">&lt;p&gt;I've got 3 fields that are used to enter 6 digits code for purpose of a database (Quickbase) query.  Each field needs an individual alert/msg  letting the submitter know if a code is invalid. Example:"The data entered in field #1 is invalid" . I put together the snippet below which somewhat achieves the results. Problem is when I enter just 1 field of bad data the script works but when I enter more than 1 field of bad data or mix good data with bad data the script does nto work properly... Thank you for your assitance.&lt;/p&gt;
&lt;p&gt;Here are the fields&lt;/p&gt;
&lt;pre&gt;&lt;code&gt;&amp;lt;input name="searchRecord" id="searchRecord1" type="text" size="8" maxlength="8" &amp;gt;
&amp;lt;input name="searchRecord" id="searchRecord2" type="text" size="8" maxlength="8"&amp;gt;
&amp;lt;input name="searchRecord" id="searchRecord3" type="text" size="8" maxlength="8"&amp;gt;
&amp;lt;input name="searchRecord" id="searchRecord4" type="text" size="8" maxlength="8"&amp;gt; 
&amp;lt;input name="searchRecord" id="searchRecord5" type="text" size="8" maxlength="8"&amp;gt; 
&amp;lt;input name="searchRecord" id="searchRecord6" type="text" size="8" maxlength="8"&amp;gt;'
&lt;/code&gt;&lt;/pre&gt;
&lt;p&gt;Here is the snippet&lt;/p&gt;
&lt;pre&gt;&lt;code&gt;var js = req.responseText;
eval(js);
if (qdb_numrows == 0); {
    var x = true;
    var msg = "Precert 1:\n";
    if (document.getElementById('searchRecord1').value == qdb_numrows == 0) {
        if (qdb_numrows == 0) //only receive focus if its the first error
        document.getElementById('searchRecord1').focus();
        //change border to red on error (i would use a class change here...
        document.getElementById('searchRecord1').style.border = "solid 1px red";
        alert(msg = "Error: Data entered for field #1 not required for procedure code Or procedure code is not valid!\n");
        valid = false;
    }
    if (document.getElementById('searchRecord2').value == qdb_numrows == 0) {
        if (qdb_numrows == 0) document.getElementById('searchRecord2').focus();
        document.getElementById('searchRecord2').style.border = "solid 1px red";
        alert(msg += "Error: Data entered for field #2 not required for procedure code Or procedure code is not valid!\n");
        valid = false;
    }
    if (document.getElementById('searchRecord3').value == qdb_numrows == 0) {
        if (qdb_numrows == 0) //only receive focus if its the first error
        document.getElementById('searchRecord3').focus();
        //change border to red on error (i would use a class change here...
        document.getElementById('searchRecord3').style.border = "solid 1px red";
        alert(msg = "Error: Data entered for field #3 not required for procedure code Or procedure code is not valid!\n");
        valid = false;
    }
    if (document.getElementById('searchRecord4').value == qdb_numrows == 0) {
        if (qdb_numrows == 0) //only receive focus if its the first error
        document.getElementById('searchRecord4').focus();
        //change border to red on error (i would use a class change here...
        document.getElementById('searchRecord4').style.border = "solid 1px red";
        alert(msg = "Error: Data entered for field #4 not required for procedure code Or procedure code is not valid!\n");
        valid = false;
    }
    if (document.getElementById('searchRecord5').value == qdb_numrows == 0) {
        if (qdb_numrows == 0) //only receive focus if its the first error
        document.getElementById('searchRecord5').focus();
        //change border to red on error (i would use a class change here...
        document.getElementById('searchRecord5').style.border = "solid 1px red";
        alert(msg = "Error: Data entered for field #5 not required for procedure code Or procedure code is not valid!\n");
        valid = false;
    }
    if (document.getElementById('searchRecord6').value == qdb_numrows == 0) {
        if (qdb_numrows == 0) //only receive focus if its the first error
        document.getElementById('searchRecord6').focus();
        //change border to red on error (i would use a class change here...
        document.getElementById('searchRecord6').style.border = "solid 1px red";
        alert(msg = "Error: Data entered for field #6 not required for procedure code Or procedure code is not valid!\n");
        valid = false;
    }
    //if (!qdb_numrows==0) alert(msg);
    //return false;
}
&lt;/code&gt;&lt;/pre&gt;
</t>
  </si>
  <si>
    <t xml:space="preserve">&lt;p&gt;I need a slider component for Outsystems application where-in I have three values low, medium and high. (Lets say low-&gt; 0, medium-&gt;5, high-&gt;10)
It should be possible for a user to place the slider indicator on any of these values.&lt;/p&gt;
&lt;p&gt;Any hints?&lt;/p&gt;
&lt;p&gt;Thanks !&lt;/p&gt;
</t>
  </si>
  <si>
    <t xml:space="preserve">&lt;p&gt;If you're just in need for a slider that ables you to fill it with an array of ranges, you can just go for jquery UI one :&lt;/p&gt;
&lt;p&gt;&lt;a href="http://jqueryui.com/slider/#steps" rel="nofollow"&gt;http://jqueryui.com/slider/#steps&lt;/a&gt;&lt;/p&gt;
&lt;p&gt;Great funcitionnalities and support.&lt;/p&gt;
&lt;p&gt;EDIT : for color evolving, you could make a div for the tooltip with a color background, that you will change depending on the value selected. Your code would look like something like this :&lt;/p&gt;
&lt;pre&gt;&lt;code&gt;(if val == 1){handle.css('color','red');}
else if(val == 5){handle.css('color','yellow')} 
else if (val == 10) {handle.css('color','green')}
&lt;/code&gt;&lt;/pre&gt;
</t>
  </si>
  <si>
    <t xml:space="preserve">&lt;p&gt;Here is my working trigger&lt;/p&gt;
&lt;pre&gt;&lt;code&gt;trigger CheckChatterPostsOnNSP on FeedItem (before insert) {
Set&amp;lt;Id&amp;gt; nspIds = new Set&amp;lt;Id&amp;gt;();
//Get the NSP that will be updated
List&amp;lt;Non_Standard_Pricing__c&amp;gt; nsp2Update = new List&amp;lt;Non_Standard_Pricing__c&amp;gt;();
//Get the key prefix for the NSP object via a describe call.
String nspKeyPrefix = Non_Standard_Pricing__c.sObjectType.getDescribe().getKeyPrefix();
//Get the Id of the user
Id profileId = UserInfo.getProfileId();
for (FeedItem f: trigger.new) {
    String parentId = f.parentId;
    if(profileId == '00e30000000eWXR') {// Users profile must be Sales and Service
        //We compare the start of the 'parentID' field to the NSP key prefix to
        //restrict the trigger to act on posts made to the NSP object.
        if (
            parentId.startsWith(nspKeyPrefix) &amp;amp;&amp;amp;
            (
                f.Body.contains('***APPROVED BY CHANNEL***') || 
                f.Body.contains('***APPROVED BY CSM***') || 
                f.Body.contains('[APPROVED BY CHANNEL]') || 
                f.Body.contains('[APPROVED BY CSM]')
            )
        ){
            nspIds.add(f.parentId);
        }
    }
}
List &amp;lt; Non_Standard_Pricing__c &amp;gt; nsps = [select id, Pre_Approved_Service_Discount__c, ownerId
from Non_Standard_Pricing__c where id in :nspIds];
for (Non_Standard_Pricing__c n: nsps) {
    //We compare the creator of the Chatter post to the NSP Owner to ensure
    //that only authorized users can close the NSP using the special Chatter 'hot-key'
        n.Pre_Approved_Service_Discount__c = true;
        nsp2Update.add(n);
    }
    update nsp2Update;
}
&lt;/code&gt;&lt;/pre&gt;
&lt;p&gt;Here is my attempt to write an APEX Test Class&lt;/p&gt;
&lt;pre&gt;&lt;code&gt;@isTest
public class CheckChatterPostsOnNSPTEST {
    static testMethod void CheckChatterPostsOnNSPTEST() {
        //Create and insert opp
        Opportunity opp = new Opportunity(Name='test opp', StageName='stage', Probability = 95, CloseDate=system.today());
        insert opp;
        //Create and insert NSP
        Non_Standard_Pricing__c NSP = new Non_Standard_Pricing__c(Opportunity__c = opp.Id, Status__c = 'Open');
        insert NSP;
        //Find user with Profile = Sales and Service
        Profile SalesNService = [Select id from Profile where Name = 'Sales and Service' limit 1];
        User u = new User(
            Alias = 'standt', 
            Email='standarduser@testorg.com',
            EmailEncodingKey='UTF-8',
            LastName='Testing',
            LanguageLocaleKey='en_US',
            LocaleSidKey='en_US',
            ProfileId = SalesNService.Id,
            TimeZoneSidKey='America/Los_Angeles',
            UserName='standarduser@testorg.com'
        );
        System.runAs(u)
        {
            //Create FeedItem entry with text '[APPROVED BY CHANNEL]'
            FeedItem post = new FeedItem();
            post.body = '[APPROVED BY CHANNEL]';
            //Now update the opportunites to invoke the trigger
            Test.startTest();
            insert post;
            Test.stopTest();
        }
        //Assertion Testing
        for(Opportunity o : [select Id, Name, Primary_NSP__r.Pre_Approved_Service_Discount__c from Opportunity where Id = :opp.Id]){
            system.assert(o.Primary_NSP__r.Pre_Approved_Service_Discount__c = true);
        }
    }
}
&lt;/code&gt;&lt;/pre&gt;
&lt;p&gt;I'm getting the following errors
    Message: System.QueryException: List has no rows for assignment to SObject
    Stack Trace: Class.CheckChatterPostsOnNSPTEST.CheckChatterPostsOnNSPTEST: line 14, column 1&lt;/p&gt;
&lt;p&gt;Any help is greatly appreciated.&lt;/p&gt;
</t>
  </si>
  <si>
    <t xml:space="preserve">&lt;p&gt;That'd be pointing to this line:&lt;/p&gt;
&lt;pre&gt;&lt;code&gt;Profile SalesNService = [Select id from Profile where Name = 'Sales and Service' limit 1];
&lt;/code&gt;&lt;/pre&gt;
&lt;p&gt;Simply check if this query returns something? Typo in the profile name (maybe you have them with underscores or "Sales &amp;amp; Service")? Maybe there's no such profile in org at all (for example if you've created such one on production but the sandbox you're in was not refreshed afterwards)?&lt;/p&gt;
&lt;p&gt;I'm afraid we can't help you more than that ;) It can't be even related to API versions, "seeAllData" etc because &lt;a href="http://www.salesforce.com/us/developer/docs/apexcode/index_Left.htm#StartTopic=Content/apex_testing_data_access.htm" rel="nofollow"&gt;docs say Profiles are still visible&lt;/a&gt;.&lt;/p&gt;
</t>
  </si>
  <si>
    <t xml:space="preserve">&lt;p&gt;I am trying to use the Zoho Creator API to get an XML file with records that can be accessed within a new HTML document and have specific values from the XML file inserted. See code here in the jsfiddle &lt;a href="http://jsfiddle.net/vm5m6/" rel="nofollow"&gt;http://jsfiddle.net/vm5m6/&lt;/a&gt;&lt;/p&gt;
&lt;pre&gt;&lt;code&gt;if (window.XMLHttpRequest)
{// code for IE7+, Firefox, Chrome, Opera, Safari
xmlhttp=new XMLHttpRequest();
}
else
{// code for IE6, IE5
 xmlhttp=new ActiveXObject("Microsoft.XMLHTTP");
}
     xmlhttp.open("GET","https://creator.zoho.com/api/xml/uownrealestate/view/Agent_Roster_View?    authtoken=***scope=creatorapi",false);
xmlhttp.send();
xmlDoc=xmlhttp.responseXML; 
  document.write("&amp;lt;table border='1'&amp;gt;");
var x=xmlDoc.getElementsByTagName("record");
for (i=0;i&amp;lt;x.length;i++)
 { 
document.write("&amp;lt;tr&amp;gt;&amp;lt;td&amp;gt;");
document.write(x[i].getElementsByTagName("value")[0].childNodes[0].nodeValue);
document.write("&amp;lt;/td&amp;gt;&amp;lt;td&amp;gt;");
}
document.write("&amp;lt;/table&amp;gt;");
&lt;/code&gt;&lt;/pre&gt;
&lt;p&gt;i was also considering using Google Fusion Tables to do this as well. If anyone has any suggestions for pulling very simple data from an easily organized external database please let me know.&lt;/p&gt;
&lt;p&gt;I also tried this but read somewhere that it will not work if the xml is on another domain&lt;/p&gt;
&lt;pre&gt;&lt;code&gt; $(function() {
   var xml =     'https://creator.zoho.com/api/xml/uownrealestate/view/Agent_Roster_View?authtoken==creatorapi'
   $(xml).find("record").each(function() {
  var stateName = $(this).find("Agent_Name").text();
  alert("State: " + stateName );
   })});    
&lt;/code&gt;&lt;/pre&gt;
</t>
  </si>
  <si>
    <t xml:space="preserve">&lt;p&gt;First, don't post your authtoken in a public Forum. Please replace it with asterisks. It's very sensitive. &lt;/p&gt;
&lt;p&gt;Second, the View seems to return the response right. I tried to query the View and got the XML response. I guess you will need some experts' advice on iterating the XML response&lt;/p&gt;
&lt;p&gt;There are some help links for your reference. &lt;/p&gt;
&lt;ol&gt;
&lt;li&gt;&lt;a href="https://forums.zoho.com/topic/unleash-your-zoho-creator-html-views-using-zcml" rel="nofollow"&gt;https://forums.zoho.com/topic/unleash-your-zoho-creator-html-views-using-zcml&lt;/a&gt; &lt;/li&gt;
&lt;li&gt;&lt;a href="https://github.com/srhyne/ZCML/" rel="nofollow"&gt;https://github.com/srhyne/ZCML/&lt;/a&gt;&lt;/li&gt;
&lt;/ol&gt;
&lt;p&gt;There is also a way to store the View data in a JSON object. Sample URL below&lt;/p&gt;
&lt;pre&gt;&lt;code&gt;&amp;lt;script src="https://creatorexport.zoho.com/userName/appName/json/Agent_Roster_View/privateKey/variable=myData"&amp;gt;&amp;lt;/script&amp;gt;
&lt;/code&gt;&lt;/pre&gt;
&lt;p&gt;The above script will store the View data in a JSON object. To generate the private key for Views, you can refer to my post at &lt;a href="https://kbase.creator.zoho.com/views/how-to-generate-feed-url-for-views#json" rel="nofollow"&gt;https://kbase.creator.zoho.com/views/how-to-generate-feed-url-for-views#json&lt;/a&gt;&lt;/p&gt;
</t>
  </si>
  <si>
    <t xml:space="preserve">&lt;p&gt;Anyone have luck configuring ActionMailer to send email via a Zoho account?&lt;/p&gt;
&lt;p&gt;These are my settings:&lt;/p&gt;
&lt;pre&gt;&lt;code&gt;ActionMailer::Base.smtp_settings = {
    :address              =&amp;gt; "smtp.zoho.com",
    :port                 =&amp;gt; 465,
    :domain               =&amp;gt; 'example.com',
    :user_name            =&amp;gt; 'steve@example.com',
    :password             =&amp;gt; 'n0tmypa$$w0rd',
    :authentication       =&amp;gt; :login
}
&lt;/code&gt;&lt;/pre&gt;
&lt;p&gt;However, calling .deliver times out: &lt;/p&gt;
&lt;pre&gt;&lt;code&gt;irb(main):001:0&amp;gt; AdminMailer.signup_notification('asfd').deliver
Timeout::Error: Timeout::Error
        from C:/Ruby193/lib/ruby/1.9.1/net/protocol.rb:146:in `rescue in rbuf_fill'
        from C:/Ruby193/lib/ruby/1.9.1/net/protocol.rb:140:in `rbuf_fill'
        from C:/Ruby193/lib/ruby/1.9.1/net/protocol.rb:122:in `readuntil'
        from C:/Ruby193/lib/ruby/1.9.1/net/protocol.rb:132:in `readline'
        from C:/Ruby193/lib/ruby/1.9.1/net/smtp.rb:929:in `recv_response'
        from C:/Ruby193/lib/ruby/1.9.1/net/smtp.rb:552:in `block in do_start'
        from C:/Ruby193/lib/ruby/1.9.1/net/smtp.rb:939:in `critical'
        from C:/Ruby193/lib/ruby/1.9.1/net/smtp.rb:552:in `do_start'
        from C:/Ruby193/lib/ruby/1.9.1/net/smtp.rb:519:in `start'
        from C:/Ruby193/lib/ruby/gems/1.9.1/gems/mail-2.4.4/lib/mail/network/delivery_methods/smtp.rb:144:in `deliver!'
&lt;/code&gt;&lt;/pre&gt;
&lt;p&gt;The &lt;a href="https://zohomail.wiki.zoho.com/Configure-in-Outlook.html" rel="noreferrer"&gt;help docs&lt;/a&gt; say to use port 465 and SSL authentication.  I've tried with and without &lt;code&gt;:enable_starttls_auto =&amp;gt; true&lt;/code&gt; but it still times out. &lt;/p&gt;
&lt;p&gt;Specifically, the &lt;a href="https://zohomail.wiki.zoho.com/Configure-in-Outlook.html" rel="noreferrer"&gt;docs&lt;/a&gt; specify the following settings:&lt;/p&gt;
&lt;pre&gt;&lt;code&gt;&amp;gt;     Email Address: Username@yourdomain.com
&amp;gt;     User Name format: Username@yourdomain.com
&amp;gt;     Secure Connection (SSL)   Yes
&amp;gt;     Outgoing Mail Server Name: smtp.zoho.com
&amp;gt;     Outgoing Port No.: 465
&amp;gt;     Outgoing Mail Server requires authentication: Yes
&lt;/code&gt;&lt;/pre&gt;
&lt;p&gt;Any ideas?&lt;/p&gt;
&lt;p&gt;p.s. I've configured Outlook to use the settings in the &lt;a href="https://zohomail.wiki.zoho.com/Configure-in-Outlook.html" rel="noreferrer"&gt;help docs&lt;/a&gt; and outgoing email works fine.  telnet to smtp.zoho.com 465 also connects.&lt;/p&gt;
</t>
  </si>
  <si>
    <t xml:space="preserve">&lt;pre&gt;&lt;code&gt;# Action Mailer
ActionMailer::Base.delivery_method = :smtp  
ActionMailer::Base.smtp_settings = {            
  :address              =&amp;gt; "smtp.zoho.com", 
  :port                 =&amp;gt; 465,                 
  :user_name            =&amp;gt; 'someone@somewhere.com',
  :password             =&amp;gt; 'password',         
  :authentication       =&amp;gt; :login,
  :ssl                  =&amp;gt; true,
  :tls                  =&amp;gt; true,
  :enable_starttls_auto =&amp;gt; true    
}
&lt;/code&gt;&lt;/pre&gt;
&lt;p&gt;That worked for me. Your settings might be fine some local networks block these kinds of packets. I had to test it through my 3G network.&lt;/p&gt;
</t>
  </si>
  <si>
    <t xml:space="preserve">&lt;p&gt;I need to generate automatically multiple PDF files and save them as attachments in its correspondent objects records. I have tried to resolve
this topic making use of a batch file and a rendered visualForce page as 'PDF' but Salesforce have here a limit not allowing to use a getContent() method  in a batch class.&lt;/p&gt;
&lt;p&gt;Searching in the internet I have found this possible solution: &lt;/p&gt;
&lt;p&gt;&lt;a href="https://stackoverflow.com/questions/9404751/why-are-html-emails-being-sent-by-a-apex-schedulable-class-being-delivered-with"&gt;Why are HTML emails being sent by a APEX Schedulable class being delivered with blank bodies?&lt;/a&gt;&lt;/p&gt;
&lt;p&gt;It propose to:&lt;/p&gt;
&lt;ol&gt;
&lt;li&gt;Create a class which implements the Schedulable interface.&lt;/li&gt;
&lt;li&gt;Have an execute() method call and a @future method.&lt;/li&gt;
&lt;li&gt;Create a @future method that call a web service enabled method in the class that sends the email.&lt;/li&gt;
&lt;/ol&gt;
&lt;p&gt;The problem I found is when I try to authenticate in my Web Services (REST) inside Salesforce (&lt;a href="http://help.salesforce.com/help/doc/en/remoteaccess_oauth_web_server_flow.htm" rel="nofollow noreferrer"&gt;http://help.salesforce.com/help/doc/en/remoteaccess_oauth_web_server_flow.htm&lt;/a&gt;)&lt;/p&gt;
&lt;p&gt;In the first step I am making a request and I get a code through the callback URL, but It is impossible to know how to read this parameter from Salesforce. In the answer I don't have a method called 'getParameter()' and the body is empty.&lt;/p&gt;
&lt;p&gt;As an example:&lt;/p&gt;
&lt;p&gt;&lt;strong&gt;Request&lt;/strong&gt;: &lt;a href="https://login.salesforce.com/services/oauth2/authorize?response_type=code&amp;amp;client_id=" rel="nofollow noreferrer"&gt;https://login.salesforce.com/services/oauth2/authorize?response_type=code&amp;amp;client_id=&lt;/a&gt;
3MVG9lKcPoNINVBIPJjdw1J9LLM82HnFVVX19KY1uA5mu0QqEWhqKpoW3svG3XHrXDiCQjK1mdgAvhCscA
9GE&amp;amp;redirect_uri=https%3A%2F%2Fwww.mysite.com%2Fcode_callback.jsp&amp;amp;state=mystate&lt;/p&gt;
&lt;p&gt;&lt;strong&gt;Response&lt;/strong&gt;: &lt;a href="https://www.mysite.com/code_callback.jsp?code=aPrxsmIEeqM9&amp;amp;state=mystate" rel="nofollow noreferrer"&gt;https://www.mysite.com/code_callback.jsp?code=aPrxsmIEeqM9&amp;amp;state=mystate&lt;/a&gt;&lt;/p&gt;
&lt;p&gt;It exists any way to connect with my Webservices making the call inside Salesforce in order to implement this solution??&lt;/p&gt;
&lt;p&gt;It would be easier if a make a call from an external application but inside salesforce???&lt;/p&gt;
&lt;p&gt;Can you suggest any possible solution???&lt;/p&gt;
</t>
  </si>
  <si>
    <t xml:space="preserve">&lt;p&gt;I am following this tutorial for setting &lt;a href="http://wiki.developerforce.com/page/Google_Data_APIs_Toolkit_Setup" rel="nofollow"&gt;google toolkit&lt;/a&gt; for salesforce org when I reach 
Synchronizing with your Force.com Developer Edition org
and i synchronize it with my developer org suddenly a dialog error occurred with info:&lt;/p&gt;
&lt;p&gt;Unable to synchronize resource src to server:ClassCastException:com.salesforce.ide.api.metadata.types.MetaData$JaxbAccessorF_full_Name can not be cast to com.sun.xml.Internal.bind.v2.runtime.reflect.Accessor&lt;/p&gt;
&lt;p&gt;Reason:
com.salesforce.ide.api.metadata.types.Metadata$JaxbAccessorF_full_Name cannot be cast to com.sun.xml.internal.bind.v2.runtime.reflect.Accessor&lt;/p&gt;
&lt;p&gt;How to resolve this error any one g0t through this error then please help to resolve it&lt;/p&gt;
</t>
  </si>
  <si>
    <t xml:space="preserve">&lt;p&gt;Instead of using jdk7 install java runtime enviorment6 and error is resolved.&lt;/p&gt;
</t>
  </si>
  <si>
    <t xml:space="preserve">&lt;p&gt;firstly I apologise if this is a ridiculously simple question to answer but it has been bothering me for a while.&lt;/p&gt;
&lt;p&gt;I am trying to understand what salesforce actually is, I mean in technical terms. I have read the websites documentation and the wikipedia page but I am trying to understand what's behind all this fluffy terminology.&lt;/p&gt;
&lt;p&gt;My understanding is that salesforce is a cloud based database which stores a very high volume of information and all salesforce apps consists of scripts that query this database and model them in different ways depending on the intended application, is this correct?&lt;/p&gt;
&lt;p&gt;Thanks !&lt;/p&gt;
</t>
  </si>
  <si>
    <t xml:space="preserve">&lt;p&gt;I am a new guy in zoho CRM.I am trying to show the list of users which will be searched by a zoho manager. Is there any API to find out the list?
Thanks in advance.&lt;/p&gt;
</t>
  </si>
  <si>
    <t xml:space="preserve">&lt;p&gt;You can use the getUsers method to get the list of users in your organization.&lt;/p&gt;
&lt;p&gt;&lt;a href="https://www.zoho.com/crm/help/api/getusers.html" rel="nofollow"&gt;https://www.zoho.com/crm/help/api/getusers.html&lt;/a&gt; &lt;/p&gt;
</t>
  </si>
  <si>
    <t xml:space="preserve">&lt;p&gt;So I have this idea to add a field to Contacts, where they autofollow Users they are associated with. My Idea is to be able to have User A create Contact A, and Contact A to be associated with (And hence autofollowing) User A, B, and C.&lt;/p&gt;
&lt;p&gt;Does anyone know of a plugin that does this/have any idea of where I should start doing this? I just can't figure out how to edit the Chatter code on an enterprise account, or add functionalities to the Chatter codebase.&lt;/p&gt;
&lt;p&gt;Is this possible? Any ideas of where to start would be awesome.&lt;/p&gt;
</t>
  </si>
  <si>
    <t xml:space="preserve">&lt;p&gt;Exact method would depend a bit on your contact-users association. You could write a trigger on contact insert/update and make userEntitity records between the user who made the contact record and the associated users. &lt;/p&gt;
&lt;p&gt;Have a look at the chatter cheat sheet: &lt;a href="http://developerforce.s3.amazonaws.com/website/pdfs/Chatter-cheatsheet_final.pdf" rel="nofollow noreferrer"&gt;http://developerforce.s3.amazonaws.com/website/pdfs/Chatter-cheatsheet_final.pdf&lt;/a&gt;&lt;/p&gt;
&lt;p&gt;ps: you may get more response at  &lt;a href="https://salesforce.stackexchange.com/"&gt;https://salesforce.stackexchange.com/&lt;/a&gt; , which is specialized on salesforce subjects.&lt;/p&gt;
</t>
  </si>
  <si>
    <t xml:space="preserve">&lt;p&gt;We have set up a calDav server and are planning deployment within our enterprise but are having trouble creating the calDav calendars in Thunderbird with Thunderbird.cfg, default.js, all.js or user.js. Is there a method of automating the creation of these Calendars in thunderbird or do we have to create an add-on to do this? &lt;/p&gt;
&lt;p&gt;Any help would be appreciated.&lt;/p&gt;
</t>
  </si>
  <si>
    <t xml:space="preserve">&lt;p&gt;I have 2 web applications A and B (for those familiar with Zoho, A is Zoho Creator and B is Zoho Invoice)&lt;/p&gt;
&lt;p&gt;From web application A, I need to open a page within Application B and get to a particular view in B which can only be obtained by clicking a link on the page in B (as that view is obtained by an AJAX load of the view). &lt;/p&gt;
&lt;p&gt;Limitation of B is that it does not expose the particular view I want by means of a URL with paramaeters (i.e. I can't get what I want just by having a new browser window request www.appB.com/somePage?ID=1233. I can only have the new browser window request www.appB.com/somePage and then I need to manually click an AJAX link in B that opens up a view I want).&lt;/p&gt;
&lt;p&gt;Limitation of A is that I do not have access to javascript. I have limited means (Zoho Creator's Deluge language) to open another web application in a new browser window. All I can do is give the webpage of A a URL and tell it open it in the same window or a new window. So only manipulative capability I have on webpage of A when opening a new browser window is the new webpage's URL.&lt;/p&gt;
&lt;p&gt;What I want to accomplish is - From webpage of A just via URL open new browser window that loads the initial page of B and then my javascript executes and clicks on the link on B that loads the desired AJAX view in the B's browser window.&lt;/p&gt;
&lt;p&gt;Any thoughts on how to get this to work? Your inputs are much appreciated and thanks a lot in advance.&lt;/p&gt;
</t>
  </si>
  <si>
    <t xml:space="preserve">&lt;p&gt;To summarize the conclusions in my previous comments:&lt;/p&gt;
&lt;ol&gt;
&lt;li&gt;You cannot inject javascript into a page via the page URL.  You could pass parameters in the URL, but the receiving page would need to already be coded to act on those parameters.&lt;/li&gt;
&lt;li&gt;You cannot use javascript from one page to act on another page if the two pages are in different domains and not pre-designed to cooperate.  This is security restriction called same origin policy which you can read about &lt;a href="https://developer.mozilla.org/en-US/docs/JavaScript/Same_origin_policy_for_JavaScript" rel="nofollow"&gt;here&lt;/a&gt;.&lt;/li&gt;
&lt;li&gt;So, if you can't modify page B in any way and B is in a different domain than A and A and B were not predesigned to cooperate, then you can't click the link in B from A.&lt;/li&gt;
&lt;/ol&gt;
</t>
  </si>
  <si>
    <t xml:space="preserve">&lt;p&gt;I am fairly new with Javascript. Now, what I need is that I have a link in  my projectXYZ which leads to another projectABC. I need to change the color of the link and show a tooltip dialog for the MouseOver event of the link. &lt;/p&gt;
&lt;p&gt;I tried to change the color, but could not succeed with the tooltip. Is there a combined solution which fulfills these requirements ?&lt;/p&gt;
&lt;p&gt;Thanks in advance.&lt;/p&gt;
</t>
  </si>
  <si>
    <t xml:space="preserve">&lt;p&gt;Usually it is said to be sufficient to add a 'title' attribute in tour DIV's and it will show up as tooltip on mouse-hover.&lt;/p&gt;
&lt;p&gt;But to make a basic tooltip with proper positioning, you can use the below. I have used it and it works !!&lt;/p&gt;
&lt;p&gt;JS (will have two mwthods, showTip and hideTip) :&lt;/p&gt;
&lt;pre&gt;&lt;code&gt;&amp;lt;script type="text/javascript"&amp;gt;
function showtip(e,message) {
var x=0;
var y=0;
var m;
var h;
if(!e)
var e=window.event;
if(e.pageX||e.pageY) { x=e.pageX;  y=e.pageY;  }
else if(e.clientX||e.clientY)
{ x=e.clientX+document.body.scrollLeft+document.documentElement.scrollLeft;y=e.clientY+document.body.scrollTop+document.documentElement.scrollTop;}
m=document.getElementById('myTooltip');
if((y&amp;gt;10)&amp;amp;&amp;amp;(y&amp;lt;450))
{  m.style.top=y-4+"px";  }
else{  m.style.top=y+4+"px";  }
var messageHeigth=(message.length/20)*10+25;
if((e.clientY+messageHeigth)&amp;gt;510)
{  m.style.top=y-messageHeigth+"px"; }
if(x&amp;lt;850) { m.style.left=x+20+"px";  }
else{  m.style.left=x-170+"px";  }
m.innerHTML=message;m.style.display="block";m.style.zIndex=203;
}
function hidetip(){
var m;
m=document.getElementById('myTooltip');m.style.display="none";
}
&amp;lt;/script&amp;gt;
&lt;/code&gt;&lt;/pre&gt;
&lt;p&gt;CSS:&lt;/p&gt;
&lt;pre&gt;&lt;code&gt;&amp;lt;style type="text/css"&amp;gt;
#myTooltip{padding: 5px; background-color: #FFF8DC;  border: 1px solid #DEB887; width:180px;font-family: Arial, Helvetica, sans-serif; font-size: 12px; color: #6b6b6b; display:none; position:absolute;left:0px;top:0px; }
&amp;lt;/style&amp;gt;
&lt;/code&gt;&lt;/pre&gt;
&lt;p&gt;And the HTML (will have an extra DIV below the href to show tooltip):&lt;/p&gt;
&lt;pre&gt;&lt;code&gt;&amp;lt;a href="javascript:void(0)" onmouseover="showtip(event, 'Sample tooltip text');"
onmouseout="hidetip();"&amp;gt;Hover mouse to see tooltip text.&amp;lt;/a&amp;gt;
&amp;lt;div id="myTooltip" &amp;gt;&amp;lt;/div&amp;gt;
&lt;/code&gt;&lt;/pre&gt;
&lt;p&gt;Hope it helps !!&lt;/p&gt;
</t>
  </si>
  <si>
    <t xml:space="preserve">&lt;p&gt;I am interested to install our "Connected" Salesforce app to customer's Salesforce setup when they run our product's installer.&lt;/p&gt;
&lt;p&gt;Is this functionality exposed via an API or any other mechanism?
Or is this something the Salesforce admin must do him / herself?&lt;/p&gt;
&lt;p&gt;Thanks a lot for looking into this :)&lt;/p&gt;
</t>
  </si>
  <si>
    <t xml:space="preserve">&lt;p&gt;I create a Employee object where I want to show Lookup Relationship field for Lead. Employee records are coping from Lead. so how to do ? &lt;/p&gt;
&lt;p&gt;Actully I wrote in class,&lt;/p&gt;
&lt;pre&gt;&lt;code&gt;emp.Source_Lead__c = lead.id;  // emp is Employee object &amp;amp; lead is Lead object.
&lt;/code&gt;&lt;/pre&gt;
&lt;p&gt;but it shows me Name, CompanyName in lookup so it wont access. 
like : 
Source Lead : eabc exyz, ecompany&lt;/p&gt;
&lt;p&gt;Help me....&lt;/p&gt;
</t>
  </si>
  <si>
    <t xml:space="preserve">&lt;p&gt;As far as I know, all QuickBase API calls are called using the following syntax: &lt;code&gt;http://&amp;lt;quickbase&amp;gt;/db/&amp;lt;dbid&amp;gt;?&lt;/code&gt;&lt;/p&gt;
&lt;p&gt;Is there a way to get the dbid field without navigating to that database table within QuickBase?&lt;/p&gt;
&lt;p&gt;If the above is not possible, would anyone recommend anything other than creating another table that stores the IDs of the tables you want?&lt;/p&gt;
&lt;p&gt;With the latter method, I believe I would only need to store one dbid and could pull down the rest (which I believe would still need to be user entered, but would be better than requiring them to change the code).&lt;/p&gt;
&lt;p&gt;Thanks for the help!&lt;/p&gt;
</t>
  </si>
  <si>
    <t xml:space="preserve">&lt;p&gt;&lt;strong&gt;&lt;a href="http://www.quickbase.com/api-guide/getschema.html" rel="nofollow"&gt;API_GetSchema&lt;/a&gt;&lt;/strong&gt; will return the list of dbids.&lt;/p&gt;
&lt;pre&gt;&lt;code&gt;https://www.quickbase.com/db/&amp;lt;yourApplicationId&amp;gt;?act=API_GetSchema&amp;amp;apptoken=&amp;lt;yourApplicationTokenId&amp;gt;&amp;amp;fmt=flat
&lt;/code&gt;&lt;/pre&gt;
</t>
  </si>
  <si>
    <t xml:space="preserve">&lt;p&gt;I am attempting to transfer data from a quickbase database to another application. I have the .xsd schema the receiving application will accept and the ability to export a flat .xml file from quickbase. Quickbase provides the ability to apply a .xsl style sheet to the .xml export which I assume would have the ability to apply the schema format to the export.The element names in the .xsd and element names in the .xml export match due to the quickbase fields being designed using the schema elements for the receiving app. &lt;/p&gt;
&lt;p&gt;The problem I have is I do not know how to create the required .xsl. Are there (free) tools that can generate an xsl if you have an .xml  with correct data elements and the required .xsd? If so what would you recommend? If not, any recommendations on a way forward would be greatly appreciated.&lt;/p&gt;
&lt;p&gt;I am currently using Eclipse EE with webtools xml plug-ins. &lt;/p&gt;
&lt;p&gt;disclaimer -this is my first question on stackoverflow (or any forum for that matter) so please be patient with me if I'm totally off-base...I am a noob.&lt;/p&gt;
&lt;p&gt;Thanks in advance,&lt;/p&gt;
&lt;p&gt;Jimmy&lt;/p&gt;
</t>
  </si>
  <si>
    <t xml:space="preserve">&lt;p&gt;I am trying to integrate the bryntum component(schedule) in php. I am not much aware in ext js.
 Please see the images &lt;a href="http://fgtpl.com/fugenx1/public_html/stackoverflow/bryntum.png" rel="nofollow"&gt;here&lt;/a&gt;&lt;/p&gt;
&lt;p&gt;Here, Name fields are fetching properly, whereas Capacity is not accessing. These values are coming from Zoho CRM. 
My code is like &lt;a href="http://fgtpl.com/fugenx1/public_html/stackoverflow/demo.zip" rel="nofollow"&gt;Click&lt;/a&gt;, whereas r-read.php file is the responsible file for fetching the record from CRM and store it in a json format. It is like &lt;/p&gt;
&lt;pre&gt;&lt;code&gt;{
    "success": true,
    "total": 9,
    "root": [{
        "Id": 1,
        "Name": "Sri Test",
        "Capicity": "190.0"
    }, {
        "Id": 2,
        "Name": "tester_test01",
        "Capicity": "500.0"
    }, {
        "Id": 3,
        "Name": "Tesing room 23",
        "Capicity": "5000.0"
    }, {
        "Id": 4,
        "Name": "Test for 6th product",
        "Capicity": "5000.0"
    }, {
        "Id": 5,
        "Name": "Banquet hall test-01",
        "Capicity": "500.0"
    }, {
        "Id": 6,
        "Name": "test room",
        "Capicity": "1000.0"
    }, {
        "Id": 7,
        "Name": "Grande Ballroom",
        "Capicity": "4000.0"
    }, {
        "Id": 8,
        "Name": "Cedar Room",
        "Capicity": "1400.0"
    }, {
        "Id": 9,
        "Name": "Maple Room",
        "Capicity": "1200.0"
    }]
}
&lt;/code&gt;&lt;/pre&gt;
&lt;p&gt;In the capacity column, it will show like 190.0 , 500.0, 5000.0 etc like Name column.&lt;/p&gt;
&lt;p&gt;Please let me know whether it clears to you.
Please help me.&lt;/p&gt;
&lt;p&gt;Thanks in advance.&lt;/p&gt;
</t>
  </si>
  <si>
    <t xml:space="preserve">&lt;p&gt;I'm not familier with the Bryntum schedular component, but most of the time when you have problems like these it's because you didn't define the &lt;code&gt;Capacity&lt;/code&gt; field in your model.&lt;/p&gt;
&lt;p&gt;I saw you used the following model: &lt;code&gt;Sch.model.Resource&lt;/code&gt;. Can it be that is only has the &lt;code&gt;Name&lt;/code&gt; field and not &lt;code&gt;Capacity&lt;/code&gt;? Your JSON response looks fine to me.&lt;/p&gt;
</t>
  </si>
  <si>
    <t xml:space="preserve">&lt;p&gt;I am new in zoho crm. How can I fetch all data from event table in zoho CRM? Is there any api? Please help me.&lt;/p&gt;
</t>
  </si>
  <si>
    <t xml:space="preserve">&lt;p&gt;you can use &lt;a href="https://crm.zoho.com/crm/private/xml/Events/getRecords?authtoken=Auth" rel="nofollow"&gt;https://crm.zoho.com/crm/private/xml/Events/getRecords?authtoken=Auth&lt;/a&gt; Token&amp;amp;scope=crmapi to get list of events.&lt;/p&gt;
</t>
  </si>
  <si>
    <t xml:space="preserve">&lt;p&gt;I am examining the REST api for the chatter system in Salesforce, but I am not finding all of the features that I am hoping for.  It appears that all access must be through a single user's oauth.  Is it possible to establish company-wide access to chatter?  The main use case is that I want to be able to post alerts from my system onto the company chatter feed.  These alerts do not come from a specific user, but rather come from the system as a whole.  Is this possible?&lt;/p&gt;
</t>
  </si>
  <si>
    <t xml:space="preserve">&lt;p&gt;Everything is done in the context of a user, what I've seen done is to give these systems a dedicated user account, for example we have a user called Jenkins that our Jenkins build server uses to post build results to chatter.&lt;/p&gt;
</t>
  </si>
  <si>
    <t xml:space="preserve">&lt;p&gt;Due to the way this is structured I can't bring back groups with no comments/feeds in them, unfortunately trying to invert this brings up multiple errors as &lt;code&gt;CollaborationGroup&lt;/code&gt; does not understand the relationship it has with &lt;code&gt;CollaborationGroupFeed&lt;/code&gt;.&lt;/p&gt;
&lt;p&gt;Here is the query:&lt;/p&gt;
&lt;pre&gt;&lt;code&gt;SELECT 
        c.Parent.Id, 
        c.Parent.OwnerId, 
        c.Parent.CreatedById, 
        c.Id, 
        c.ParentId, 
        (
          SELECT 
                  Id, 
                  FeedItemId, 
                  ParentId
          FROM FeedComments
        )
FROM CollaborationGroupFeed c
&lt;/code&gt;&lt;/pre&gt;
&lt;p&gt;I can't do it like this though for whatever reason:&lt;/p&gt;
&lt;pre&gt;&lt;code&gt;SELECT 
        Id, 
        OwnerId, 
        CreatedById, 
        (
          SELECT 
                  Id, 
                  ParentId
          FROM CollaborationGroupFeeds
        ),
        (
          SELECT 
                  Id, 
                  FeedItemId, 
                  ParentId
          FROM FeedComments
        )
FROM CollaborationGroup
&lt;/code&gt;&lt;/pre&gt;
&lt;blockquote&gt;
  &lt;p&gt;Didn't understand relationship 'CollaborationGroupFeed' in FROM part of query call.`&lt;/p&gt;
&lt;/blockquote&gt;
&lt;p&gt;&lt;strong&gt;EDIT&lt;/strong&gt;&lt;/p&gt;
&lt;p&gt;So lets say I have a Group that I just created called Foo&lt;/p&gt;
&lt;pre&gt;&lt;code&gt;[FOO]
&lt;/code&gt;&lt;/pre&gt;
&lt;p&gt;Foo has one Post in it &lt;code&gt;BlahPost&lt;/code&gt;&lt;/p&gt;
&lt;pre&gt;&lt;code&gt;[FOO]
|
|_BlahPost
&lt;/code&gt;&lt;/pre&gt;
&lt;p&gt;Lets say &lt;code&gt;BlahPost&lt;/code&gt; has a comment (or several)&lt;/p&gt;
&lt;pre&gt;&lt;code&gt;[FOO]
|
|_BlahPost
        |_Comment 1
        |_Comment 2
&lt;/code&gt;&lt;/pre&gt;
&lt;p&gt;The query above will return all of this.&lt;/p&gt;
&lt;p&gt;Now lets say I have a new Group Bar&lt;/p&gt;
&lt;pre&gt;&lt;code&gt;[Bar]
&lt;/code&gt;&lt;/pre&gt;
&lt;p&gt;Since there are NO posts/comments  the query above returns nothing since I'm working from child to parent,
and parent has no posts. I am looking for a query that starts at the parent &lt;code&gt;CollaborationGroup&lt;/code&gt; and moves
down to &lt;code&gt;CollaborationFeed&lt;/code&gt; which will display &lt;code&gt;FeedComment&lt;/code&gt;&lt;/p&gt;
&lt;p&gt;Make more sense? The order is mess up, I'm working from the middle and should be working from the top&lt;/p&gt;
</t>
  </si>
  <si>
    <t xml:space="preserve">&lt;p&gt;Try using Chatter in Apex, which is Chatter REST API resource actions exposed as static methods in the Apex ConnectApi namespace. It's a much easier way to access Chatter data. &lt;/p&gt;
&lt;p&gt;&lt;a href="http://www.salesforce.com/us/developer/docs/apexcode/Content/connectAPI_overview.htm" rel="nofollow"&gt;http://www.salesforce.com/us/developer/docs/apexcode/Content/connectAPI_overview.htm&lt;/a&gt;&lt;/p&gt;
&lt;p&gt;&lt;a href="http://www.salesforce.com/us/developer/docs/apexcode/Content/apex_classes_connect_api.htm" rel="nofollow"&gt;http://www.salesforce.com/us/developer/docs/apexcode/Content/apex_classes_connect_api.htm&lt;/a&gt;&lt;/p&gt;
</t>
  </si>
  <si>
    <t xml:space="preserve">&lt;p&gt;i want to execute one Zoho CRM API and write in my GAS &lt;/p&gt;
&lt;pre&gt;&lt;code&gt;  var result=UrlFetchApp.fetch('https://crm.zoho.com/crm/private/xml/Leads/insertRecords?authtoken=XXXXX&amp;amp;scope=crmapi&amp;amp;newFormat=1&amp;amp;xmlData=&amp;lt;Leads&amp;gt;&amp;lt;row no="1"&amp;gt;&amp;lt;FL val="Company"&amp;gt;Your Company&amp;lt;/FL&amp;gt;&amp;lt;FL val="First Name"&amp;gt;Hannah&amp;lt;/FL&amp;gt;&amp;lt;FL val="Last Name"&amp;gt;Smith&amp;lt;/FL&amp;gt;&amp;lt;FL val="Email"&amp;gt;testing@testing.com&amp;lt;/FL&amp;gt;&amp;lt;/row&amp;gt;&amp;lt;/Leads&amp;gt;');
&lt;/code&gt;&lt;/pre&gt;
&lt;p&gt;and i have one error &lt;/p&gt;
&lt;pre&gt;&lt;code&gt;Argument non valide : https://crm.zoho.com/crm/private/xml/Leads/insertRecords?authtoken=XXXXXX&amp;amp;scope=crmapi&amp;amp;newFormat=1&amp;amp;xmlData=&amp;lt;Leads&amp;gt;&amp;lt;row%20no="1"&amp;gt;&amp;lt;FL%20val="Company"&amp;gt;Your%20Company&amp;lt;/FL&amp;gt;&amp;lt;FL%20val="First%20Name"&amp;gt;Hannah&amp;lt;/FL&amp;gt;&amp;lt;FL%20val="Last%20Name"&amp;gt;Smith&amp;lt;/FL&amp;gt;&amp;lt;FL%20val="Email"&amp;gt;testing@testing.com&amp;lt;/FL&amp;gt;&amp;lt;/row&amp;gt;&amp;lt;/Leads&amp;gt; (ligne 35, fichier "MySQLtoZohoCRM")
&lt;/code&gt;&lt;/pre&gt;
&lt;p&gt;but if i paste this URL in my Chrome or FF it's run!!!&lt;/p&gt;
&lt;p&gt;&lt;a href="http://www.zoho.com/crm/help/api/insertrecords.htm" rel="nofollow"&gt;doc API&lt;/a&gt;&lt;/p&gt;
&lt;p&gt;Do you know why i have this error in GAS and not in Chrome ?&lt;/p&gt;
&lt;p&gt;Thanks&lt;/p&gt;
</t>
  </si>
  <si>
    <t xml:space="preserve">&lt;p&gt;i builded a flow in mule which create a case in Salesforce using 'Salesforce' connector. now i need to upload a file to that case using the same mule flow. This can be done programatically by the following code:&lt;/p&gt;
&lt;p&gt;try {&lt;/p&gt;
&lt;pre&gt;&lt;code&gt;    File f = new File("c:\java\test.docx");
    InputStream is = new FileInputStream(f);
    byte[] inbuff = new byte[(int)f.length()];        
    is.read(inbuff);
    Attachment attach = new Attachment();
    attach.setBody(inbuff);
    attach.setName("test.docx");
    attach.setIsPrivate(false);
    // attach to an object in SFDC 
    attach.setParentId("a0f600000008Q4f");
    SaveResult sr = binding.create(new com.sforce.soap.enterprise.sobject.SObject[] {attach})[0];
    if (sr.isSuccess()) {
        System.out.println("Successfully added attachment.");
    } else {
        System.out.println("Error adding attachment: " + sr.getErrors(0).getMessage());
    }
} catch (FileNotFoundException fnf) {
    System.out.println("File Not Found: " +fnf.getMessage());
} catch (IOException io) {
    System.out.println("IO: " +io.getMessage());            
}
&lt;/code&gt;&lt;/pre&gt;
&lt;p&gt;But to make it simple, does there is any mule connector which automatically done all this and attach a file to the particular created case.&lt;/p&gt;
</t>
  </si>
  <si>
    <t xml:space="preserve">&lt;p&gt;Yes you can use the Salesforce Cloud Connector for that. Example:&lt;/p&gt;
&lt;pre&gt;&lt;code&gt;&amp;lt;file:file-to-byte-array-transformer /&amp;gt;
&amp;lt;sfdc:create type="Attachment"&amp;gt;
    &amp;lt;sfdc:objects&amp;gt;
        &amp;lt;sfdc:object&amp;gt;
            &amp;lt;body&amp;gt;#[payload]&amp;lt;/body&amp;gt;
            &amp;lt;name&amp;gt;test.docx&amp;lt;/name&amp;gt;
            &amp;lt;parentid&amp;gt;#[message.inboundProperties['mysfdcparentid']]&amp;lt;/parentid&amp;gt;
        &amp;lt;/sfdc:object&amp;gt;
    &amp;lt;/sfdc:objects&amp;gt;
&amp;lt;/sfdc:create&amp;gt;
&lt;/code&gt;&lt;/pre&gt;
&lt;p&gt;In the example, I am setting the sobject type to 'Attachment'.&lt;/p&gt;
&lt;p&gt;The body element is the file itself. Note that the connector will handle the base64 encoding for you, you just need to provide it with a byte array. If you're using File, you can use file:file-to-byte-array-transformer for example.&lt;/p&gt;
&lt;p&gt;The parentid is set using MEL to get the value from a message property. So if you have a previous SFDC operation you can use MEL to extract the value of the previous sobject.&lt;/p&gt;
</t>
  </si>
  <si>
    <t xml:space="preserve">&lt;p&gt;I currently have my site hosted on freehostia, which doesn't allow SMTP.  As a work around for this I created an account at Zoho (www.zoho.com) which lets you link your domain to their server and send and receive email through them.
I have also installed phpmailer on my host as instructed.  &lt;/p&gt;
&lt;p&gt;I have created a test file using the smtp information given by Zoho, and as far as I can tell everything is set up correctly.&lt;br&gt;
The problem is that when I try to send mail I get the error:
&lt;strong&gt;Mailer Error: The following From address failed: donotreply@domain.com : Called Mail() without being connected&lt;/strong&gt;&lt;/p&gt;
&lt;p&gt;The code I have for my test file looks like this:&lt;/p&gt;
&lt;pre&gt;&lt;code&gt;&amp;lt;?php
require '../PHPMailer-master/class.phpmailer.php';
$mail = new PHPMailer();
$mail-&amp;gt;IsSMTP();
$mail-&amp;gt;SMTPAuth = true;
$mail-&amp;gt;SMTPSecure = "ssl";
$mail-&amp;gt;Host = "smtp.zoho.com";
$mail-&amp;gt;Port = 465;
$mail-&amp;gt;Username = "donotreply@domain.com";
$mail-&amp;gt;Password = "mypassword";
$mail-&amp;gt;From = "donotreply@domain.com";
$mail-&amp;gt;FromName = "Domain";
$mail-&amp;gt;AddAddress("testaddress@gmail.com");
$mail-&amp;gt;Subject = "Test with PHPMailer";
$mail-&amp;gt;Body = "This is a sample body text!";
$mail-&amp;gt;IsHTML (true);
if(!$mail-&amp;gt;Send()) {
  echo "Mailer Error: " . $mail-&amp;gt;ErrorInfo;
} else {
  echo "Message sent!";
}
?&amp;gt;
&lt;/code&gt;&lt;/pre&gt;
&lt;p&gt;Any advice?&lt;/p&gt;
</t>
  </si>
  <si>
    <t xml:space="preserve">&lt;p&gt;It turns out that the free plan through freehostia doesn't allow any outgoing connections, so trying to contact any outside mail server would have been impossible. 
Thanks for the suggestions though. &lt;/p&gt;
</t>
  </si>
  <si>
    <t xml:space="preserve">&lt;p&gt;I am writing a program for work that takes all of our ics files from our cal server, merges them into a single ics file, and then places that file on a webserver to be subscribed to.&lt;/p&gt;
&lt;p&gt;I have everything working great in the Mac's iCal program and the iPhones subscribe just fine, but Thunderbird with Lightning just chokes and dies. No errors in the Error Console, just nothing. &lt;/p&gt;
&lt;p&gt;I have verified that I am fully compliant to the standard, what gives here? Am I missing something special that the wonderful world of open source software has failed to provide me?&lt;/p&gt;
</t>
  </si>
  <si>
    <t xml:space="preserve">&lt;p&gt;You could run the ics through a few validators in case you have not:&lt;/p&gt;
&lt;p&gt;&lt;a href="http://severinghaus.org/projects/icv/" rel="nofollow"&gt;http://severinghaus.org/projects/icv/&lt;/a&gt;&lt;/p&gt;
&lt;p&gt;&lt;a href="http://icalvalid.cloudapp.net/" rel="nofollow"&gt;http://icalvalid.cloudapp.net/&lt;/a&gt;&lt;/p&gt;
&lt;p&gt;&lt;a href="http://mozilla-comm.github.io/ical.js/validator.html" rel="nofollow"&gt;http://mozilla-comm.github.io/ical.js/validator.html&lt;/a&gt;&lt;/p&gt;
&lt;p&gt;In Lightning, make sure you are using iCalendar / WebDAV when subscribing to the calendar. You can also use the advanced config editor (&lt;code&gt;Options -&amp;gt; Advanced -&amp;gt; General -&amp;gt; Config Editor&lt;/code&gt;) to enable the preferences &lt;code&gt;calendar.debug.log&lt;/code&gt; and &lt;code&gt;calendar.debug.log.verbose&lt;/code&gt;.&lt;/p&gt;
</t>
  </si>
  <si>
    <t xml:space="preserve">&lt;p&gt;I have tried several variations of this code. While debugging I see that it pulls the xml file, however I can not get it to populate the class I created. I have read the posts on here and the few examples around the web. I have tried the proxy class and others. Each time I get the response but I can not populate the class. I am also having problems trying to use an enumeration of the class. I get errors before compiling so I had to go the route that is below.&lt;/p&gt;
&lt;p&gt;I am using C# .Net 4.5 and Visual Studio 2012 along with the latest RestSharp.&lt;/p&gt;
&lt;p&gt;Note: I am a beginner with C# as you will be able to tell. This is a self learning project. One of my clients (I do IT services for small biz) gave me access to his Zoho to play with the API.&lt;/p&gt;
&lt;p&gt;Question:  I just need a suggestion or a pointing in the right direction.&lt;/p&gt;
&lt;p&gt;Thank you in advanced&lt;/p&gt;
&lt;p&gt;My Model:&lt;/p&gt;
&lt;pre&gt;&lt;code&gt;using System;
using System.Collections.Generic;
using System.Linq;
using System.Text;
using System.Threading.Tasks;
namespace Zoho.Mapping.Rest
{
    public class Potentials
    {
        public string potentialid { get; set; }
        public string smownerid { get; set; }
        public string potential_owner { get; set; }
        public string amount { get; set; }
        public string potential_name { get; set; }
        public string closing_date { get; set; }
        public string stage { get; set; }
        public string next_step { get; set; }
        public string lead_source { get; set; }
        public string smcreatorid { get; set; }
        public string created_by { get; set; }
        public string modifiedby { get; set; }
        public string modified_by { get; set; }
        public string created_time { get; set; }
        public string modified_time { get; set; }
        public string description { get; set; }
        public string contactid { get; set; }
        public string contact_name { get; set; }
        public string last_activity_time { get; set; }
        public string lead_conversion_time { get; set; }
        public string sales_cycle_duration { get; set; }
        public string overall_sales_duration { get; set; }
        public string best_daytime_contact { get; set; }
        public string priority { get; set; }
        public string services { get; set; }
        public string type_of_home { get; set; }
        public string home_phone { get; set; }
        public string source_description { get; set; }
        public string property_name { get; set; }
        public string current_mowing_service { get; set; }
        public string current_lawn_care_service { get; set; }
        public string current_mowing_price { get; set; }
        public string current_lawn_care_price { get; set; }
    }
}
&lt;/code&gt;&lt;/pre&gt;
&lt;p&gt;My Main Method&lt;/p&gt;
&lt;pre&gt;&lt;code&gt;using System;
using System.Collections.Generic;
using System.Linq;
using System.Text;
using System.Threading.Tasks;
using Zoho.Mapping.App_Code;
using Zoho.Mapping;
using Zoho.Mapping.Rest;
using RestSharp;
namespace testZoho
{
    class Program
    {
        static void Main(string[] args)
        {
            var userToken = "MyLongTokenNumberHERE";
            RestClient client = new RestClient();
            client.BaseUrl = "https://crm.zoho.com/crm/private/xml/";
            RestRequest request = new RestRequest(Method.GET);
            request.Resource = "{module}/{method}";
            request.AddParameter("module", "Potentials", ParameterType.UrlSegment);
            request.AddParameter("method", "getRecords", ParameterType.UrlSegment);
            request.AddParameter("authtoken", userToken);
            request.AddParameter("scope", "crmapi");
            request.AddParameter("newFormat", "1");
            request.AddParameter("selectColumns", "All");
            request.RootElement = "Potentials";
            //var response = client.Execute&amp;lt;Potentials&amp;gt;(request);
            IRestResponse responseListPotentials = client.Execute(request);
            var xmlContent = responseListPotentials.Content;
            Console.WriteLine(xmlContent);
            Console.ReadLine();
        }
    }
}
&lt;/code&gt;&lt;/pre&gt;
&lt;p&gt;The ZohoCRM API Output:&lt;/p&gt;
&lt;pre&gt;&lt;code&gt;&amp;lt;?xml version="1.0" encoding="UTF-8"?&amp;gt;
&amp;lt;response uri="/crm/private/xml/Potentials/getRecords"&amp;gt;
 &amp;lt;result&amp;gt;
  &amp;lt;Potentials&amp;gt;
   &amp;lt;row no="1"&amp;gt;
    &amp;lt;FL val="POTENTIALID"&amp;gt;683271000001660139&amp;lt;/FL&amp;gt;
    &amp;lt;FL val="SMOWNERID"&amp;gt;683271000000415037&amp;lt;/FL&amp;gt;
    &amp;lt;FL val="Potential Owner"&amp;gt;&amp;lt;![CDATA[Barbara Figueroa]]&amp;gt;&amp;lt;/FL&amp;gt;
    &amp;lt;FL val="Amount"&amp;gt;&amp;lt;![CDATA[0]]&amp;gt;&amp;lt;/FL&amp;gt;
    &amp;lt;FL val="Potential Name"&amp;gt;&amp;lt;![CDATA[Sist, Lee and Linda]]&amp;gt;&amp;lt;/FL&amp;gt;
    &amp;lt;FL val="Closing Date"&amp;gt;&amp;lt;![CDATA[2013-04-30]]&amp;gt;&amp;lt;/FL&amp;gt;
    &amp;lt;FL val="Stage"&amp;gt;&amp;lt;![CDATA[Qualified Meeting set]]&amp;gt;&amp;lt;/FL&amp;gt;
    &amp;lt;FL val="Next Step"&amp;gt;&amp;lt;![CDATA[null]]&amp;gt;&amp;lt;/FL&amp;gt;
    &amp;lt;FL val="Lead Source"&amp;gt;&amp;lt;![CDATA[Church Bulletin]]&amp;gt;&amp;lt;/FL&amp;gt;
    &amp;lt;FL val="SMCREATORID"&amp;gt;683271000000415037&amp;lt;/FL&amp;gt;
    &amp;lt;FL val="Created By"&amp;gt;&amp;lt;![CDATA[Barbara Figueroa]]&amp;gt;&amp;lt;/FL&amp;gt;
    &amp;lt;FL val="MODIFIEDBY"&amp;gt;683271000000415025&amp;lt;/FL&amp;gt;
    &amp;lt;FL val="Modified By"&amp;gt;&amp;lt;![CDATA[Barbara Suthard]]&amp;gt;&amp;lt;/FL&amp;gt;
    &amp;lt;FL val="Created Time"&amp;gt;&amp;lt;![CDATA[2013-04-16 17:18:24]]&amp;gt;&amp;lt;/FL&amp;gt;&amp;lt;FL val="Modified Time"&amp;gt;&amp;lt;![CDATA[2013-04-16 17:37:19]]&amp;gt;&amp;lt;/FL&amp;gt;
    &amp;lt;FL val="Description"&amp;gt;&amp;lt;![CDATA[LC, LCL, - Wants a face to face has a lot of lawn work clean up trimming etc.]]&amp;gt;&amp;lt;/FL&amp;gt;&amp;lt;FL val="CONTACTID"&amp;gt;683271000001660133&amp;lt;/FL&amp;gt;
    &amp;lt;FL val="Contact Name"&amp;gt;&amp;lt;![CDATA[Lee and Linda Sist]]&amp;gt;&amp;lt;/FL&amp;gt;
    &amp;lt;FL val="Last Activity Time"&amp;gt;&amp;lt;![CDATA[2013-04-16 17:37:19]]&amp;gt;&amp;lt;/FL&amp;gt;
    &amp;lt;FL val="Lead Conversion Time"&amp;gt;&amp;lt;![CDATA[null]]&amp;gt;&amp;lt;/FL&amp;gt;
    &amp;lt;FL val="Sales Cycle Duration"&amp;gt;&amp;lt;![CDATA[14]]&amp;gt;&amp;lt;/FL&amp;gt;
    &amp;lt;FL val="Overall Sales Duration"&amp;gt;&amp;lt;![CDATA[14]]&amp;gt;&amp;lt;/FL&amp;gt;
    &amp;lt;FL val="Best Daytime Contact"&amp;gt;&amp;lt;![CDATA[Phone (work)]]&amp;gt;&amp;lt;/FL&amp;gt;
    &amp;lt;FL val="Services"&amp;gt;&amp;lt;![CDATA[null]]&amp;gt;&amp;lt;/FL&amp;gt;
    &amp;lt;FL val="Priority"&amp;gt;&amp;lt;![CDATA[null]]&amp;gt;&amp;lt;/FL&amp;gt;
    &amp;lt;FL val="Type of Home"&amp;gt;&amp;lt;![CDATA[Single Family Home]]&amp;gt;&amp;lt;/FL&amp;gt;
    &amp;lt;FL val="Home Phone"&amp;gt;&amp;lt;![CDATA[null]]&amp;gt;&amp;lt;/FL&amp;gt;
    &amp;lt;FL val="Source description"&amp;gt;&amp;lt;![CDATA[null]]&amp;gt;&amp;lt;/FL&amp;gt;
    &amp;lt;FL val="Property Name"&amp;gt;&amp;lt;![CDATA[9757 Copeland Drive, Manassas, VA 20109]]&amp;gt;&amp;lt;/FL&amp;gt;
    &amp;lt;FL val="Current Mowing Service"&amp;gt;&amp;lt;![CDATA[None]]&amp;gt;&amp;lt;/FL&amp;gt;
    &amp;lt;FL val="Current Lawn Care Service"&amp;gt;&amp;lt;![CDATA[None]]&amp;gt;&amp;lt;/FL&amp;gt;
    &amp;lt;FL val="Current Mowing Price"&amp;gt;&amp;lt;![CDATA[0]]&amp;gt;&amp;lt;/FL&amp;gt;
    &amp;lt;FL val="Current Lawn Care Price"&amp;gt;&amp;lt;![CDATA[0]]&amp;gt;&amp;lt;/FL&amp;gt;
   &amp;lt;/row&amp;gt;
   &amp;lt;row no="2"&amp;gt;
    &amp;lt;FL val="POTENTIALID"&amp;gt;683271000001660123&amp;lt;/FL&amp;gt;
    &amp;lt;FL val="SMOWNERID"&amp;gt;683271000000415031&amp;lt;/FL&amp;gt;
    &amp;lt;FL val="Potential Owner"&amp;gt;&amp;lt;![CDATA[Robb Boutelle]]&amp;gt;&amp;lt;/FL&amp;gt;
    &amp;lt;FL val="Amount"&amp;gt;&amp;lt;![CDATA[0]]&amp;gt;&amp;lt;/FL&amp;gt;
    &amp;lt;FL val="Potential Name"&amp;gt;&amp;lt;![CDATA[Lapetina, Christine]]&amp;gt;&amp;lt;/FL&amp;gt;
    &amp;lt;FL val="Closing Date"&amp;gt;&amp;lt;![CDATA[2013-04-30]]&amp;gt;&amp;lt;/FL&amp;gt;
    &amp;lt;FL val="Stage"&amp;gt;&amp;lt;![CDATA[Unqualified]]&amp;gt;&amp;lt;/FL&amp;gt;
    &amp;lt;FL val="Next Step"&amp;gt;&amp;lt;![CDATA[null]]&amp;gt;&amp;lt;/FL&amp;gt;
    &amp;lt;FL val="Lead Source"&amp;gt;&amp;lt;![CDATA[Existing Customer]]&amp;gt;&amp;lt;/FL&amp;gt;
    &amp;lt;FL val="SMCREATORID"&amp;gt;683271000000415037&amp;lt;/FL&amp;gt;
    &amp;lt;FL val="Created By"&amp;gt;&amp;lt;![CDATA[Barbara Figueroa]]&amp;gt;&amp;lt;/FL&amp;gt;
    &amp;lt;FL val="MODIFIEDBY"&amp;gt;683271000000415037&amp;lt;/FL&amp;gt;
    &amp;lt;FL val="Modified By"&amp;gt;&amp;lt;![CDATA[Barbara Figueroa]]&amp;gt;&amp;lt;/FL&amp;gt;
    &amp;lt;FL val="Created Time"&amp;gt;&amp;lt;![CDATA[2013-04-16 15:30:23]]&amp;gt;&amp;lt;/FL&amp;gt;
    &amp;lt;FL val="Modified Time"&amp;gt;&amp;lt;![CDATA[2013-04-16 15:30:23]]&amp;gt;&amp;lt;/FL&amp;gt;
    &amp;lt;FL val="Description"&amp;gt;&amp;lt;![CDATA[LHS - Does not need an appt but call before going out so that he can unlock the gate.  He has a flagstone walkway that needs to be extended and redone]]&amp;gt;&amp;lt;/FL&amp;gt;
    &amp;lt;FL val="CONTACTID"&amp;gt;683271000000887054&amp;lt;/FL&amp;gt;
    &amp;lt;FL val="Contact Name"&amp;gt;&amp;lt;![CDATA[Christine Lapetina]]&amp;gt;&amp;lt;/FL&amp;gt;
    &amp;lt;FL val="Last Activity Time"&amp;gt;&amp;lt;![CDATA[2013-04-16 15:30:23]]&amp;gt;&amp;lt;/FL&amp;gt;
    &amp;lt;FL val="Lead Conversion Time"&amp;gt;&amp;lt;![CDATA[null]]&amp;gt;&amp;lt;/FL&amp;gt;
    &amp;lt;FL val="Sales Cycle Duration"&amp;gt;&amp;lt;![CDATA[14]]&amp;gt;&amp;lt;/FL&amp;gt;
    &amp;lt;FL val="Overall Sales Duration"&amp;gt;&amp;lt;![CDATA[14]]&amp;gt;&amp;lt;/FL&amp;gt;
    &amp;lt;FL val="Best Daytime Contact"&amp;gt;&amp;lt;![CDATA[Home]]&amp;gt;&amp;lt;/FL&amp;gt;
    &amp;lt;FL val="Services"&amp;gt;&amp;lt;![CDATA[Leaves]]&amp;gt;&amp;lt;/FL&amp;gt;
    &amp;lt;FL val="Priority"&amp;gt;&amp;lt;![CDATA[2]]&amp;gt;&amp;lt;/FL&amp;gt;
    &amp;lt;FL val="Type of Home"&amp;gt;&amp;lt;![CDATA[Single Family Home]]&amp;gt;&amp;lt;/FL&amp;gt;
    &amp;lt;FL val="Home Phone"&amp;gt;&amp;lt;![CDATA[null]]&amp;gt;&amp;lt;/FL&amp;gt;
    &amp;lt;FL val="Source description"&amp;gt;&amp;lt;![CDATA[null]]&amp;gt;&amp;lt;/FL&amp;gt;
    &amp;lt;FL val="Property Name"&amp;gt;&amp;lt;![CDATA[4812 Twinbrook Rd, Fairfax, VA 22032-2049]]&amp;gt;&amp;lt;/FL&amp;gt;
    &amp;lt;FL val="Current Mowing Service"&amp;gt;&amp;lt;![CDATA[None]]&amp;gt;&amp;lt;/FL&amp;gt;
    &amp;lt;FL val="Current Lawn Care Service"&amp;gt;&amp;lt;![CDATA[None]]&amp;gt;&amp;lt;/FL&amp;gt;
    &amp;lt;FL val="Current Mowing Price"&amp;gt;&amp;lt;![CDATA[0]]&amp;gt;&amp;lt;/FL&amp;gt;
    &amp;lt;FL val="Current Lawn Care Price"&amp;gt;&amp;lt;![CDATA[0]]&amp;gt;&amp;lt;/FL&amp;gt;
   &amp;lt;/row&amp;gt;
  &amp;lt;/Potentials&amp;gt;
 &amp;lt;/result&amp;gt;
&amp;lt;/response&amp;gt;
&lt;/code&gt;&lt;/pre&gt;
</t>
  </si>
  <si>
    <t xml:space="preserve">&lt;p&gt;If I am looking through text like this:&lt;/p&gt;
&lt;pre&gt;&lt;code&gt;hello bob hello hello hello
&lt;/code&gt;&lt;/pre&gt;
&lt;p&gt;I want to find the first instance of hello and take it out, so I use a pattern like this&lt;/p&gt;
&lt;pre&gt;&lt;code&gt;hello
&lt;/code&gt;&lt;/pre&gt;
&lt;p&gt;When I erase that pattern, this is what the text is&lt;/p&gt;
&lt;pre&gt;&lt;code&gt;bob
&lt;/code&gt;&lt;/pre&gt;
&lt;p&gt;but what I need is&lt;/p&gt;
&lt;pre&gt;&lt;code&gt;bob hello hello hello
&lt;/code&gt;&lt;/pre&gt;
&lt;p&gt;How do I modify it to only find the first occurrence of the pattern&lt;/p&gt;
</t>
  </si>
  <si>
    <t xml:space="preserve">&lt;p&gt;I need to group-by a couple of columns, so is there any component with which I can achieve this?&lt;/p&gt;
&lt;p&gt;&lt;img src="https://i.stack.imgur.com/LAebd.png" alt="enter image description here"&gt;&lt;/p&gt;
&lt;p&gt;What I need is that the column 2 has values that can be added/removed dynamically. So, is there any component which can solve this problem of adding/removing rows and columns under column 2 dynamically.&lt;/p&gt;
&lt;p&gt;Thanks in advance.&lt;/p&gt;
</t>
  </si>
  <si>
    <t xml:space="preserve">&lt;p&gt;You can create a &lt;em&gt;structure&lt;/em&gt; with the fields you're interested in getting from the database and create an &lt;em&gt;Advanced Query&lt;/em&gt; that has that structure as output.&lt;/p&gt;
&lt;p&gt;In the &lt;em&gt;Advanced Query&lt;/em&gt;'s SQL you can specify your &lt;em&gt;group by&lt;/em&gt; clauses like you would do with SQL.&lt;/p&gt;
</t>
  </si>
  <si>
    <t xml:space="preserve">&lt;p&gt;I would like to make CC charges via calls from zoho creator to PayPal.&lt;/p&gt;
&lt;p&gt;When looking at this example am not sure how to construct my Post [Deluge script]: &lt;a href="https://developer.paypal.com/webapps/developer/docs/integration/direct/accept-credit-cards/" rel="nofollow"&gt;https://developer.paypal.com/webapps/developer/docs/integration/direct/accept-credit-cards/&lt;/a&gt;&lt;/p&gt;
&lt;p&gt;Specifically, am not sure what is this: Authorization:Bearer
Is this related to the REST API credentials from PayPal?&lt;/p&gt;
&lt;p&gt;Zoho construct POST as URL + Map as variable etc.&lt;/p&gt;
&lt;p&gt;Any pointers are appreciated,&lt;/p&gt;
&lt;p&gt;Regards,&lt;/p&gt;
</t>
  </si>
  <si>
    <t xml:space="preserve">&lt;p&gt;I am an amateur developer looking for a unique solution that Google doesn't have an answer to.&lt;/p&gt;
&lt;p&gt;I need to create a time-table for a class. There are 6 hours with 6 teachers assigned to each subject. For the subject that I select, the respective teachers should be shown in the corresponding list.&lt;/p&gt;
&lt;p&gt;Refer the VF code below:&lt;/p&gt;
&lt;pre&gt;&lt;code&gt;&amp;lt;b&amp;gt;&amp;lt;i&amp;gt;{!$ObjectType.Class__c.fields.Firts_Hour_Subject__c.label}&amp;lt;/i&amp;gt;&amp;lt;/b&amp;gt;&amp;amp;nbsp;&amp;amp;nbsp;&amp;amp;nbsp;&amp;amp;nbsp;&amp;amp;nbsp;&amp;amp;nbsp;&amp;amp;nbsp;&amp;amp;nbsp;
            &amp;lt;apex:selectList size="1" multiselect="false" value="{!selectedSubject}"&amp;gt;
            &amp;lt;apex:selectOptions value="{!Subject}"/&amp;gt;              
            &amp;lt;apex:actionSupport event="onchange" reRender="render1"/&amp;gt;
            &amp;lt;/apex:selectList&amp;gt; 
             &amp;amp;nbsp;&amp;amp;nbsp;     
            &amp;lt;b&amp;gt;&amp;lt;i&amp;gt;{!$ObjectType.Class__c.fields.First_Hour_Teacher__c.label}&amp;lt;/i&amp;gt;&amp;lt;/b&amp;gt;&amp;amp;nbsp;&amp;amp;nbsp;&amp;amp;nbsp;&amp;amp;nbsp;&amp;amp;nbsp;&amp;amp;nbsp;&amp;amp;nbsp;
            &amp;lt;apex:selectList size="1" multiselect="false" id="render1"&amp;gt;
            &amp;lt;apex:selectOptions value="{!RelatedTeacher}"/&amp;gt;              
            &amp;lt;/apex:selectList&amp;gt;
&lt;/code&gt;&lt;/pre&gt;
&lt;p&gt;This repeats for a total of 6 times. I want to not create and pass 6 values, instead I want to use a single variable/array to pass the values to apex.&lt;/p&gt;
&lt;p&gt;This is the apex code:&lt;/p&gt;
&lt;pre&gt;&lt;code&gt;public class listReturn {
        public String SelectedSubject {get;set;}
//Other code.....
//This is the method that returns the list of teachers based on subjects.
public List&amp;lt;SelectOption&amp;gt; getRelatedTeacher(){
                    List&amp;lt;SelectOption&amp;gt; RelatedTeacher=new List&amp;lt;SelectOption&amp;gt;();
                    List&amp;lt;Teacher__c&amp;gt; teach = new List&amp;lt;Teacher__c&amp;gt;();
                    teach = [select Teacher__c.Name from Teacher__c where Teacher__c.Subject_del__r.Name = :SelectedSubject];
                    RelatedTeacher.add(new SelectOption('--SELECT TEACHER--','--SELECT TEACHER--'));
                    for(Teacher__c e:teach){
                        RelatedTeacher.add(new SelectOption(e.Name,e.Name));
                    }
                    return RelatedTeacher; 
        }
}
&lt;/code&gt;&lt;/pre&gt;
&lt;p&gt;(Edit) here I want to achieve something similar to dependent lookup field that is available in customization..now with that in mind I'm trying to pass the value from the subject selectlist to {!selectedSubject} in apex..the problem I'm facing is that my final output only takes value of last selectlist and returns the teacher list for all of the other selectlists..I want to use the same {!selectedsubject} var and control the teacher list based on the input from the other subject selectlists.&lt;/p&gt;
&lt;p&gt;Thanks in advance!&lt;/p&gt;
</t>
  </si>
  <si>
    <t xml:space="preserve">&lt;p&gt;I want the customize format for chatter digest mail. So, Are we able to modify the content of chatter daily digest sent through the mail? or is there any way to achieve this requirement? &lt;/p&gt;
&lt;p&gt;Thanks.&lt;/p&gt;
</t>
  </si>
  <si>
    <t xml:space="preserve">&lt;p&gt;I don't think there's any way to change the content of the digest emails.&lt;/p&gt;
</t>
  </si>
  <si>
    <t xml:space="preserve">&lt;p&gt;I am facing several issues related to the creation of an ICS file which has to be compatible with several clients, especially &lt;code&gt;iOS&lt;/code&gt;, &lt;code&gt;Gmail&lt;/code&gt;, &lt;code&gt;Outlook&lt;/code&gt;, &lt;code&gt;Android&lt;/code&gt; and &lt;code&gt;Windows Phone&lt;/code&gt;. Googling around, I found out the proposed standard from 2009, aka &lt;a href="http://tools.ietf.org/html/rfc5546" rel="nofollow"&gt;RFC5546&lt;/a&gt;. I read through this document and found a point which is very interesting and could potentially solve my issue. Section &lt;a href="http://tools.ietf.org/html/rfc5546#section-3.2" rel="nofollow"&gt;Methods for VEVENT Calendar Components&lt;/a&gt; explains the distinctions between methods REQUEST and PUBLISH. But, there are a couple of points which are not really clear to me:&lt;/p&gt;
&lt;ol&gt;
&lt;li&gt;What should PUBLISH do? Should it add a new calendar? Should it create a new calendar (like in Outlook or iOS) or should add the event in the existing user calendar (like in Gmail or Lightning)? &lt;em&gt;EDIT: note the calendar as a file attached to an e-mail.&lt;/em&gt; &lt;/li&gt;
&lt;li&gt;Can PUBLISH contain more than one event? From the document and logically, yes, but Gmail then adds only the first event of the list. Lightning adds only one event and then gives a 804a0004 error.&lt;/li&gt;
&lt;li&gt;How should REQUEST work? The document states: &lt;code&gt;VEVENT | 1+ | All components MUST have the same UID.&lt;/code&gt; which means a calendar may have more than 1 VEVENT but they must have the same UID. Then, how can I client distinguish between those events? And in fact no client I tried is able to distinguish the events generated with the same UID, but they add only the one with highest SEQUENCE. Logically, I don't want to send more than one event per invitation, but the RFC allows me to do that (and in my case study I want to), so how?&lt;/li&gt;
&lt;li&gt;With REQUEST, forgetting the statement &lt;code&gt;VEVENT | 1+ | All components MUST have the same UID.&lt;/code&gt;, so providing a unique UID to each event in the ICS file, Gmail and iOS add all the events contained in the file, while Lightning and Outlook add only the first one. Is there a way to pursue this path or since it should not be allowed I should find another way?&lt;/li&gt;
&lt;li&gt;Basically, how do you suggest to proceed to add more events with a single ICS file to the users' calendar for the platforms I mentioned?&lt;/li&gt;
&lt;/ol&gt;
&lt;p&gt;Sample ICS for PUBLISH:&lt;/p&gt;
&lt;pre&gt;&lt;code&gt;BEGIN:VCALENDAR
PRODID:-//prodid//product//IT
VERSION:2.0
METHOD:PUBLISH
CALSCALE:GREGORIAN
BEGIN:VEVENT
UID:uid1
DTSTAMP:20130515T121437Z
DTSTART:20130619T205000
DTEND:20130619T215000
DESCRIPTION:Desc 1
SUMMARY:Sum 1
LOCATION:location
ORGANIZER:mailto:organizer@somedomain
SEQUENCE:1
STATUS:CONFIRMED
END:VEVENT
BEGIN:VEVENT
UID:uid2
DTSTAMP:20130515T121437Z
DTSTART:20130719T205000
DTEND:20130719T215000
DESCRIPTION:Desc 2
SUMMARY:Sum 2
LOCATION:location
ORGANIZER:mailto:organizer@somedomain
SEQUENCE:1
STATUS:CONFIRMED
END:VEVENT
END:VCALENDAR
&lt;/code&gt;&lt;/pre&gt;
&lt;p&gt;Sample for REQUEST:&lt;/p&gt;
&lt;pre&gt;&lt;code&gt;BEGIN:VCALENDAR
PRODID:-//prodid//product//IT
VERSION:2.0
METHOD:REQUEST
CALSCALE:GREGORIAN
BEGIN:VEVENT
UID:uid1
DTSTAMP:20130515T121437Z
DTSTART:20130619T205000
DTEND:20130619T215000
DESCRIPTION:Desc 1
SUMMARY:Sum 1
LOCATION:location
ORGANIZER:mailto:organizer@somedomain
ATTENDEE;RSVP=TRUE;CN=attendee cn:mailto:attendee@email
SEQUENCE:1
STATUS:CONFIRMED
END:VEVENT
BEGIN:VEVENT
UID:uid2
DTSTAMP:20130515T121437Z
DTSTART:20130719T205000
DTEND:20130719T215000
DESCRIPTION:Desc 2
SUMMARY:Sum 2
LOCATION:location
ORGANIZER:mailto:organizer@somedomain
ATTENDEE;RSVP=TRUE;CN=attendee cn:mailto:attendee@email
SEQUENCE:1
STATUS:CONFIRMED
END:VEVENT
END:VCALENDAR
&lt;/code&gt;&lt;/pre&gt;
</t>
  </si>
  <si>
    <t xml:space="preserve">&lt;p&gt;I'm getting this error in production when trying to create a user (i'm using the devise gem).&lt;/p&gt;
&lt;pre&gt;&lt;code&gt;EOFError (end of file reached):
&lt;/code&gt;&lt;/pre&gt;
&lt;p&gt;I hit this problem before and it was due to my smtp settings using zoho mail.&lt;/p&gt;
&lt;p&gt;I believe my configuration below is what fixed the problem:&lt;/p&gt;
&lt;pre&gt;&lt;code&gt;ActionMailer::Base.delivery_method = :smtp  
ActionMailer::Base.smtp_settings = {            
  :address              =&amp;gt; "smtp.zoho.com", 
  :port                 =&amp;gt; 465,              
  :domain               =&amp;gt; 'example.com',   
  :user_name            =&amp;gt; 'user@example.com',
  :password             =&amp;gt; 'password',         
  :authentication       =&amp;gt; :login,
  :ssl                  =&amp;gt; true,
  :tls                  =&amp;gt; true,
  :enable_starttls_auto =&amp;gt; true    
}
&lt;/code&gt;&lt;/pre&gt;
&lt;p&gt;Now we've added SSL to the site and I believe that is what is causing this error to occur now.&lt;/p&gt;
&lt;p&gt;Does anyone have any insight into this error or zoho mail smtp settings with SSL?&lt;/p&gt;
</t>
  </si>
  <si>
    <t xml:space="preserve">&lt;p&gt;This error was caused by not having my config/initializers/devise.rb specifying the correct email address for &lt;code&gt;config.mailer_sender&lt;/code&gt;.&lt;/p&gt;
</t>
  </si>
  <si>
    <t xml:space="preserve">&lt;p&gt;I am new to ZohoCrm.&lt;/p&gt;
&lt;p&gt;Instead of passing the hardcoded data from c# to zoho CRM, I need to pass the data from the database table to Zoho. Then I need to synchronize both the database and update it to CRM&lt;/p&gt;
&lt;p&gt;Can any one help me?&lt;/p&gt;
</t>
  </si>
  <si>
    <t xml:space="preserve">&lt;p&gt;From &lt;a href="http://www.zoho.com/crm/help/api/" rel="nofollow"&gt;http://www.zoho.com/crm/help/api/&lt;/a&gt;&lt;/p&gt;
&lt;blockquote&gt;
  &lt;p&gt;Zoho CRM provides API (Application Programming Interface) for
  integrating CRM modules with third-party applications such as,
  accounting, ERP, e-commerce, self-service portals and others. With the
  Zoho CRM API, you can extract CRM data in XML or JSON format and
  develop new applications or integrate with your existing business
  applications. As the Zoho CRM API is independent of programming
  languages, you can develop applications in any programming language
  (Java, .Net, C, C++, PHP, etc.).&lt;/p&gt;
&lt;/blockquote&gt;
&lt;p&gt;.NET client for interacting with Zoho CRM service &lt;a href="https://github.com/deveel/zohocrmsharp" rel="nofollow"&gt;https://github.com/deveel/zohocrmsharp&lt;/a&gt;.&lt;/p&gt;
&lt;p&gt;Your work is the custom logic for "pass the data from data base table to Zoho"&lt;/p&gt;
</t>
  </si>
  <si>
    <t xml:space="preserve">&lt;p&gt;I am using the native Salesforce SDK on iOS to store data offline and synchronize with the server. I can update entries to the smartstore database. When I need to synchronize now I couldn't find the method in the SmartStore API which enables me to upload data to the salesforce server. Would you be able to point me in the right direction on how to achieve this?&lt;/p&gt;
</t>
  </si>
  <si>
    <t xml:space="preserve">&lt;p&gt;Ther is not a method in the smartstore sdk. You should do something like this:&lt;/p&gt;
&lt;pre&gt;&lt;code&gt;/**
 * Upload Queue to Salesforce
 **/
OfflineQueue.UploadQueue = function(callback,error) {
    console.log("OfflineQueue.UploadQueue");
    if(Util.checkConnection()) {
        console.log("OfflineQueue.UploadQueue -- app is online");
        //DF12 DEMO 23 -- UPLOAD QUEUE TO SFDC
        navigator.smartstore.soupExists('Queue',function(param){
            if(param)
            {
                console.log("OfflineQueue.UploadQueue -- Queue exists");
                OfflineQueue.LoadRecordsFromQueue(function(records) {
                    if(records.length==0){
                        console.log("OfflineQueue.UploadQueue -- no records in queue");
                        callback();
                    }
                    else {              
                        console.log("OfflineQueue.UploadQueue -- iterating records");
                        for(i in records){
                            forcetkClient.update('Password__c',records[i].Id,{"Username__c":records[i].Username__c,"Password__c":records[i].Password__c,"Name":records[i].Name,"URL__c":records[i].URL__c},function(){
                                console.log('QUEUED SFDC Update Success!');
                                //DF12 DEMO 24 -- ON SUCCESS, REMOVE RECORD FROM QUEUE
                                navigator.smartstore.removeFromSoup('Queue',[records[i]._soupEntryId],function(){
                                    console.log('Removed from Soup');
                                    if(i == records.length-1) {
                                        callback();
                                    }
                                },error);
                            },error);               
                        }
                    }
                },error);
            }
            else {
                console.log("Offline queue doesn't exist yet... must not be any records there...")
                callback();
            }
        },error);
    }
    else {
        console.log("We're offline, can't upload queue... how'd we even get here?")
        callback();
    }
}
&lt;/code&gt;&lt;/pre&gt;
&lt;p&gt;There is a complete sample of smartsore soups and forcetk on github &lt;a href="https://github.com/tomgersic/HazyPassword" rel="nofollow"&gt;https://github.com/tomgersic/HazyPassword&lt;/a&gt;&lt;/p&gt;
&lt;p&gt;I'm working on a plugin to wrapp this basic flow. &lt;/p&gt;
</t>
  </si>
  <si>
    <t xml:space="preserve">&lt;p&gt;I want to know how to create a read-only group + like + comment and not being able to post for members except admin and owner
* how to use triggers on the posting in this group?.&lt;/p&gt;
&lt;p&gt;i tried but it not work:&lt;/p&gt;
&lt;pre&gt;&lt;code&gt;trigger N_GroupReadOnly on FeedItem (before insert) {
ID groupId = [Select Id from CollaborationGroup where Name = 'Group_ReadOnly'].Id;
CollaborationGroup ownerId = [Select OwnerId From CollaborationGroup Where Name = 'Group_ReadOnly'];
for(FeedItem item : trigger.new){
    if((item.ParentId == groupId) &amp;amp;&amp;amp; (item.InsertedById != ownerId.OwnerId)){
        system.debug('you can not add post in this group');
        alert("you can not add post in this group");
        delete item ;
        return;
    }
    else{
        insert item;
    }
}
&lt;/code&gt;&lt;/pre&gt;
&lt;p&gt;}&lt;/p&gt;
&lt;p&gt;Thank you.&lt;/p&gt;
</t>
  </si>
  <si>
    <t xml:space="preserve">&lt;p&gt;Solution:&lt;/p&gt;
&lt;p&gt;&lt;a href="http://boards.developerforce.com/t5/Chatter-and-Chatter-API/read-only-Group-using-trigger/m-p/631067/thread-id/2912/highlight/false#M2915" rel="nofollow"&gt;as per this developerforce.com forum entry:&lt;/a&gt;&lt;/p&gt;
&lt;p&gt;&lt;strong&gt;Trigger&lt;/strong&gt;&lt;/p&gt;
&lt;pre&gt;&lt;code&gt;trigger GroupReadOnly on FeedItem (before insert) {    
    CollaborationGroup gp = [Select OwnerId, Id From CollaborationGroup Where Name = 'Group_ReadOnly'];
    List&amp;lt;FeedItem&amp;gt; feedItems = new List&amp;lt;FeedItem&amp;gt;();
    for(FeedItem item : trigger.new){
        if(item.ParentId == gp.Id)
        {
            feedItems.add(item);
        }      
    }
   if(feedItems.size() &amp;gt;0) GroupReadOnlyClass.FilterFeedItems(feedItems);
}
&lt;/code&gt;&lt;/pre&gt;
&lt;p&gt;&lt;strong&gt;Class&lt;/strong&gt;&lt;/p&gt;
&lt;pre&gt;&lt;code&gt;public class GroupReadOnlyClass{    
    public static void FilterFeedItems(List&amp;lt;FeedItem&amp;gt; feedItems){
        CollaborationGroup gp = [Select OwnerId, Id From CollaborationGroup Where Name = 'Group_ReadOnly'];
        for(FeedItem item :feedItems){
            if(item.ParentId == gp.Id)
             {
                if(UserInfo.getUserId()!= gp.OwnerId){
                    item.addError('You cannot post! Just Owner can post in this group');                    
                }        
            }
        }
    }
}
&lt;/code&gt;&lt;/pre&gt;
</t>
  </si>
  <si>
    <t xml:space="preserve">&lt;p&gt;Hello everyone I'm having problems with my HLSL shader. It's meanth to be a flashlight but the light power does not fade out per distance.&lt;/p&gt;
&lt;p&gt;What i want to do is to mae the effect i have to calculate the distance to the model it'll make effect on and then lower the light power the longer the distance is. Please help if u can :)&lt;/p&gt;
&lt;p&gt;Here is my HLSL code:&lt;/p&gt;
&lt;pre&gt;&lt;code&gt;float4x4 xWorldViewProjection;
float4x4 xLightsWorldViewProjection;
float4x4 xWorld;
float3 xLightPos;
float xLightPower;
float xAmbient;
Texture xTexture;
sampler TextureSampler = sampler_state { texture = &amp;lt;xTexture&amp;gt; ; magfilter = LINEAR;        
minfilter = LINEAR; mipfilter=LINEAR; AddressU = mirror; AddressV = mirror;};Texture    
xShadowMap;
sampler ShadowMapSampler = sampler_state { texture = &amp;lt;xShadowMap&amp;gt; ; magfilter = LINEAR; 
minfilter = LINEAR; mipfilter=LINEAR; AddressU = clamp; AddressV = clamp;};
Texture xLightTexture;
sampler LightSampler = sampler_state { texture = &amp;lt;xLightTexture&amp;gt; ; magfilter = LINEAR;   
minfilter=LINEAR; mipfilter = LINEAR; AddressU = clamp; AddressV = clamp;};
struct VertexToPixel
{
    float4 Position     : POSITION;    
    float2 TexCoords    : TEXCOORD0;
    float3 Normal        : TEXCOORD1;
    float3 Position3D    : TEXCOORD2;
};
struct PixelToFrame
{
    float4 Color        : COLOR0;
};
float DotProduct(float3 lightPos, float3 pos3D, float3 normal)
{
    float3 lightDir = normalize(pos3D - lightPos);
    return dot(-lightDir, normal);    
}
VertexToPixel SimplestVertexShader( float4 inPos : POSITION0, float3 inNormal: NORMAL0, float2 inTexCoords : TEXCOORD0)
{
    VertexToPixel Output = (VertexToPixel)0;
    Output.Position =mul(inPos, xWorldViewProjection);
    Output.TexCoords = inTexCoords;
    Output.Normal = normalize(mul(inNormal, (float3x3)xWorld));    
    Output.Position3D = mul(inPos, xWorld);
    return Output;
}
PixelToFrame OurFirstPixelShader(VertexToPixel PSIn)
{
    PixelToFrame Output = (PixelToFrame)0;    
    float diffuseLightingFactor = DotProduct(xLightPos, PSIn.Position3D, PSIn.Normal);
    diffuseLightingFactor = saturate(diffuseLightingFactor);
    diffuseLightingFactor *= xLightPower;
    PSIn.TexCoords.y--;
    float4 baseColor = tex2D(TextureSampler, PSIn.TexCoords);
    Output.Color = baseColor*(diffuseLightingFactor + xAmbient);
    return Output;
}
technique Simplest
{
    pass Pass0
    {
        VertexShader = compile vs_2_0 SimplestVertexShader();
        PixelShader = compile ps_2_0 OurFirstPixelShader();
    }
}
struct SMapVertexToPixel
{
    float4 Position     : POSITION;
    float4 Position2D    : TEXCOORD0;
};
struct SMapPixelToFrame
{
float4 Color : COLOR0;
};
SMapVertexToPixel ShadowMapVertexShader( float4 inPos : POSITION)
{
    SMapVertexToPixel Output = (SMapVertexToPixel)0;
    Output.Position = mul(inPos, xLightsWorldViewProjection);
    Output.Position2D = Output.Position;
    return Output;
}
SMapPixelToFrame ShadowMapPixelShader(SMapVertexToPixel PSIn)
{
    SMapPixelToFrame Output = (SMapPixelToFrame)0;            
    Output.Color = PSIn.Position2D.z/PSIn.Position2D.w;
    return Output;
}
technique ShadowMap
{
    pass Pass0
    {
        VertexShader = compile vs_2_0 ShadowMapVertexShader();
        PixelShader = compile ps_2_0 ShadowMapPixelShader();
    }
}
struct SSceneVertexToPixel
{
    float4 Position             : POSITION;
    float4 Pos2DAsSeenByLight    : TEXCOORD0;
    float2 TexCoords            : TEXCOORD1;
    float3 Normal                : TEXCOORD2;
    float4 Position3D            : TEXCOORD3;
};
struct SScenePixelToFrame
{
    float4 Color : COLOR0;
};
SSceneVertexToPixel ShadowedSceneVertexShader( float4 inPos : POSITION, float2 inTexCoords : TEXCOORD0, float3 inNormal : NORMAL)
{
    SSceneVertexToPixel Output = (SSceneVertexToPixel)0;
    Output.Position = mul(inPos, xWorldViewProjection);    
    Output.Pos2DAsSeenByLight = mul(inPos, xLightsWorldViewProjection);    
    Output.Normal = normalize(mul(inNormal, (float3x3)xWorld));    
    Output.Position3D = mul(inPos, xWorld);
    Output.TexCoords = inTexCoords;    
    return Output;
}
SScenePixelToFrame ShadowedScenePixelShader(SSceneVertexToPixel PSIn)
{
    SScenePixelToFrame Output = (SScenePixelToFrame)0;    
    float2 ProjectedTexCoords;
    ProjectedTexCoords[0] = PSIn.Pos2DAsSeenByLight.x/PSIn.Pos2DAsSeenByLight.w/2.0f +0.5f;
    ProjectedTexCoords[1] = -PSIn.Pos2DAsSeenByLight.y/PSIn.Pos2DAsSeenByLight.w/2.0f +0.5f;
    float diffuseLightingFactor = 0;
    if ((saturate(ProjectedTexCoords).x == ProjectedTexCoords.x) &amp;amp;&amp;amp; (saturate(ProjectedTexCoords).y == ProjectedTexCoords.y))
    {
        float depthStoredInShadowMap = tex2D(ShadowMapSampler, ProjectedTexCoords).r;
        float realDistance = PSIn.Pos2DAsSeenByLight.z/PSIn.Pos2DAsSeenByLight.w;
        if ((realDistance - 1.0f/100.0f) &amp;lt;= depthStoredInShadowMap)
        {
            diffuseLightingFactor = DotProduct(xLightPos, PSIn.Position3D, PSIn.Normal);
            diffuseLightingFactor = saturate(diffuseLightingFactor);
            diffuseLightingFactor *= xLightPower;            
            float lightTextureFactor = tex2D(LightSampler, ProjectedTexCoords).r;
            diffuseLightingFactor *= lightTextureFactor;
        }
    }
    float4 baseColor = tex2D(TextureSampler, PSIn.TexCoords);                
    Output.Color = baseColor*(diffuseLightingFactor + xAmbient);
    return Output;
}
technique ShadowedScene
{
    pass Pass0
    {
        VertexShader = compile vs_2_0 ShadowedSceneVertexShader();
        PixelShader = compile ps_2_0 ShadowedScenePixelShader();
    }
}
&lt;/code&gt;&lt;/pre&gt;
</t>
  </si>
  <si>
    <t xml:space="preserve">&lt;p&gt;I had previously created a script that automatically logs users into Zoho reports when they click on a link.  Essentially, it enables single sign on through a shared user ID to access Zoho Reports.&lt;/p&gt;
&lt;p&gt;This script has worked for a long time, but no longer does the trick.&lt;/p&gt;
&lt;p&gt;Here is the old script:&lt;/p&gt;
&lt;pre&gt;&lt;code&gt;&amp;lt;!DOCTYPE html PUBLIC "-//W3C//DTD XHTML 1.0 Transitional//EN" "http://www.w3.org/TR/xhtml1/DTD/xhtml1-transitional.dtd"&amp;gt;
&amp;lt;html xmlns="http://www.w3.org/1999/xhtml" xml:lang="en" lang="en"&amp;gt;
&amp;lt;head&amp;gt;
    &amp;lt;title&amp;gt;&amp;lt;/title&amp;gt;
    &amp;lt;script src="https://ajax.googleapis.com/ajax/libs/jquery/1.6.2/jquery.min.js"&amp;gt;&amp;lt;/script&amp;gt;
    &amp;lt;script&amp;gt;
    $(document).ready(function() {
    $.ajax({  
        type:"GET",        
        url: "https://accounts.zoho.com/login",  // Send the login info to this page
        data: { LOGIN_ID: "username", PASSWORD: "password", IS_AJAX: "true", remember :-1,  servicename: "ZohoReports"}, 
        dataType: "jsonp", 
        timeout: 200000,
        complete: function() { location.href="https://reports.zoho.com";}      
    });
    });
    &amp;lt;/script&amp;gt;
&amp;lt;/head&amp;gt;
&amp;lt;body&amp;gt;
&amp;lt;/body&amp;gt;
&amp;lt;/html&amp;gt;
&lt;/code&gt;&lt;/pre&gt;
&lt;p&gt;I've tried several modifications to the script, but I have not had any luck.
If anyone has some ideas, I'd be happy to hear them.&lt;/p&gt;
</t>
  </si>
  <si>
    <t xml:space="preserve">&lt;pre&gt;&lt;code&gt;I am trying to insert a lead into ZOHO CRM using php curl.Unable to create a lead dynamically.I am using auth token to send request to ho api with xml data.Not able to get the error to fix and insert lead.Please suggest the fix.Below is entire code i am running
&lt;/code&gt;&lt;/pre&gt;
&lt;p&gt;I am getting error as 4600.Unable to process your request. Please verify whether you have entered proper method name,parameter and parameter values.&lt;/p&gt;
&lt;p&gt;XMLdata is an xml with dynamic data passed with data to be inserted as the lead.&lt;/p&gt;
&lt;pre&gt;&lt;code&gt;$url = "https://crm.zoho.com/crm/private/xml/Leads/insertRecords?authtoken=195509dec8d5fae8082083bbe2fc04c5&amp;amp;scope=crmapi&amp;amp;newFormat=1&amp;amp;version=2&amp;amp;duplicateCheck=2";
$post=array("newFormat"=&amp;gt;'1',"xmlData"=&amp;gt;$xmlData);
$ch = curl_init();
curl_setopt($ch, CURLOPT_SSL_VERIFYPEER, false);
curl_setopt($ch,CURLOPT_URL,$url);
curl_setopt($ch, CURLOPT_FOLLOWLOCATION, 1);
curl_setopt($ch, CURLOPT_RETURNTRANSFER, 1);
curl_setopt($ch, CURLOPT_TIMEOUT, 30);
curl_setopt($ch, CURLOPT_POST, 1);
curl_setopt($ch,CURLOPT_POSTFIELDS,$post);
$result = curl_exec($ch);
curl_close($ch);
&lt;/code&gt;&lt;/pre&gt;
</t>
  </si>
  <si>
    <t xml:space="preserve">&lt;p&gt;Hi i am working on Salesforce mobile.I have to view salesforce attachments in my iphone app.For that i got access token successfully.
Now i am trying to get attachments binary data from salesforce to my iphone app 
But unable to get I am getting this error&lt;/p&gt;
&lt;pre&gt;&lt;code&gt;[{"message":"Session expired or invalid","errorCode":"INVALID_SESSION_ID"}]
&lt;/code&gt;&lt;/pre&gt;
&lt;p&gt;Here is my code&lt;/p&gt;
&lt;pre&gt;&lt;code&gt;    NSMutableURLRequest *blobRequest=[[NSMutableURLRequest alloc]init];
    NSString *blobPost = [NSString stringWithFormat:@"Authorization=OAuth%@",access_token];
    NSData *blobpostData = [blobPost dataUsingEncoding:NSASCIIStringEncoding allowLossyConversion:YES];
    NSString *blobpostLength = [NSString stringWithFormat:@"%d", [blobpostData length]];
    NSURL *blobUrl=[NSURL URLWithString:@"https://ap1.salesforce.com/services/data/v23.0/sobjects/Attachment/00P90000004TRoWEAW/Body"];
    [blobRequest setURL:blobUrl];
    [blobRequest setHTTPMethod:@"POST"];
    [blobRequest setValue:blobpostLength forHTTPHeaderField:@"Content-Length"];
    [blobRequest setValue:@"Base64" forHTTPHeaderField:@"Content-Type"];
    [blobRequest setHTTPBody:blobpostData];
    NSError *blobError;
    NSURLResponse *blobresponse;
    NSData *blobData=[NSURLConnection sendSynchronousRequest:blobRequest returningResponse:&amp;amp;blobresponse error:&amp;amp;blobError];
    NSString *dataresponse=[[NSString alloc]initWithData:blobData encoding:NSUTF8StringEncoding];
&lt;/code&gt;&lt;/pre&gt;
</t>
  </si>
  <si>
    <t xml:space="preserve">&lt;p&gt;i searched a little for the size of file in salesforce . i found this link 
    &lt;a href="http://help.salesforce.com/HTViewHelpDoc?id=collab_files_size_limits.htm&amp;amp;language=en_US" rel="nofollow"&gt;http://help.salesforce.com/HTViewHelpDoc?id=collab_files_size_limits.htm&amp;amp;language=en_US&lt;/a&gt;&lt;/p&gt;
&lt;p&gt;its showing that file size can be upto 2 GB.i have to store IDs in a text file and want to make it scalable for for nearly about 1 Million record .file size will be equal to 15 MB .can any one please provide some good tutorial how to create such kind of files and using it in apex for retrieving and updating data &lt;/p&gt;
</t>
  </si>
  <si>
    <t xml:space="preserve">&lt;p&gt;Story: As the developer, I want to get a Salesforce security token for a Chatter Free profile user so that my application can pull Chatter Feed.&lt;/p&gt;
&lt;p&gt;I’m developing a VS 2010 C# internal application to pull data from Chatter via Salesforce’s API.  Sample application I wrote using my Salesforce developers edition Chatter Free account functions just fine.  However, I’m unable to get a security token for the Chatter Free user account set up through my company.  Company has PE with API bundled in.  I’ve determined that some users in the company are able to request a security token and others are not .. yet I don’t see a pattern among the different user accounts.
My company does not want to provide our IPs to Salesforce.  &lt;/p&gt;
&lt;p&gt;How do I get a security token in this situation?&lt;/p&gt;
</t>
  </si>
  <si>
    <t xml:space="preserve">&lt;p&gt;Solution: A regular paid user account was set up specifically for our internal application's usage. This allowed me to get the needed security token and pull the chatter data feed into my custom applicaiton. Our company didn't have to change subscriptions.&lt;/p&gt;
</t>
  </si>
  <si>
    <t xml:space="preserve">&lt;p&gt;i am trying to update a ObjectPermissions Object in slaesforce such that a profile will get the permissions to access a object similar to other profile.
i write a code&lt;/p&gt;
&lt;p&gt;my code segment is &lt;/p&gt;
&lt;pre class="lang-apex prettyprint-override"&gt;&lt;code&gt; PermissionSet set1 = [SELECT Id From PermissionSet 
                         WHERE profileId = : SourceProfileId LIMIT 1] ;
 PermissionSet set2 = [SELECT Id FROM PermissionSet 
                         WHERE profileId = : TargetProfileId LIMIT 1];
 List&amp;lt;ObjectPermissions&amp;gt; oo = [SELECT Id,
                                      SObjectType,
                                      ParentId,
                                      PermissionsCreate,
                                      PermissionsDelete,
                                      PermissionsEdit,
                                      PermissionsModifyAllRecords,
                                      PermissionsRead,
                                      PermissionsViewAllRecords 
                                 FROM ObjectPermissions 
                                     WHERE ParentId = : set1.id];
 List&amp;lt;ObjectPermissions&amp;gt; oo1 = [SELECT ParentId,
                                      Id,
                                      SObjectType,
                                      PermissionsCreate,
                                      PermissionsDelete,
                                      PermissionsEdit,
                                      PermissionsModifyAllRecords,
                                      PermissionsRead,
                                      PermissionsViewAllRecords 
                                 FROM ObjectPermissions 
                                     WHERE ParentId = : set2.Id];
 Map&amp;lt;String , ObjectPermissions&amp;gt; source_obj = new Map&amp;lt;String, ObjectPermissions&amp;gt;();
 Map&amp;lt;String , ObjectPermissions&amp;gt; target_obj = new Map&amp;lt;String, ObjectPermissions&amp;gt;();
 for (ObjectPermissions o : oo) {
     source_obj.put(o.SObjectType, o);
 }
 for (ObjectPermissions o : oo1) {
     target_obj.put(o.SObjectType, o);
 }
 ObjectPermissions target, source;
 for (String s : source_obj.keySet() ) {
     if (target_obj.containsKey(s)) {
         target = target_obj.get(s);
         source = source_obj.get(s);
         System.debug('Source is:' + source);
         System.debug('Target is : ' + target);
         target.PermissionsCreate = source.PermissionsCreate;
         target.PermissionsDelete = source.PermissionsDelete;
         target.PermissionsEdit = source.PermissionsEdit;
         target.PermissionsModifyAllRecords = source.PermissionsModifyAllRecords;
         target.PermissionsRead = source.PermissionsRead;
         target.PermissionsViewAllRecords = source.PermissionsViewAllRecords;
         update target;
     } else {
         target = new ObjectPermissions(SObjectType = s );
         source = source_obj.get(s);
         target.PermissionsCreate = source.PermissionsCreate;
         target.PermissionsDelete = source.PermissionsDelete;
         target.PermissionsEdit = source.PermissionsEdit;
         target.PermissionsModifyAllRecords = source.PermissionsModifyAllRecords;
         target.PermissionsRead = source.PermissionsRead;
         target.PermissionsViewAllRecords = source.PermissionsViewAllRecords;
         insert target;
     }
 }
&lt;/code&gt;&lt;/pre&gt;
&lt;p&gt;when the control come to this line &lt;/p&gt;
&lt;p&gt;update target;
it is giving error &lt;/p&gt;
&lt;p&gt;Update failed. First exception on row 0 with id 110i0000007KNEvAAO; first error: INVALID_CROSS_REFERENCE_KEY, You can't create, edit, or delete records for this permission set parent because it's associated with a profile. Parent ID: 0PSi00000009BE9: []&lt;/p&gt;
&lt;p&gt;i am unable to figure it out why i am facing this error please some one help to resolve this error&lt;/p&gt;
</t>
  </si>
  <si>
    <t xml:space="preserve">&lt;p&gt;I was able to connect to salesforce with salesforce mobile SDK(Android) with using oAuth login, however I do not need their oAuth process, is there any solution to bypass the oAuth login and perform REST calls??&lt;/p&gt;
</t>
  </si>
  <si>
    <t xml:space="preserve">&lt;p&gt;I am working on salesforce attachment app.This app shows the Attachment list of particular objects like leads,Contacts,opportunity,cases,campaign.&lt;/p&gt;
&lt;p&gt;I have successfully uploaded the attachment like images,videos,audio from my app to salesforce account and also download it from salesforce in blob format and show it in my attachment successfully.&lt;/p&gt;
&lt;p&gt;For this I have created App on my salesforce account whose name is "salesforce attachment" and generate Consumer key,callback url,Client secrete successfully.&lt;/p&gt;
&lt;p&gt;Then I link this consumer key and callback url to my iOS app and I am login successfully.&lt;/p&gt;
&lt;p&gt;Now to access the attachment blob,firstly I needed access token.&lt;/p&gt;
&lt;p&gt;To get access token I used OAuth 2.0 token flow.
In this I have pass following parameter,
       grant_type=password,
        client_id=consumerKey,
       username=username,
       password=password,
       Redirect_uri=callbackUrl,&lt;/p&gt;
&lt;p&gt;by passing this parameter I have generate access token successfully.&lt;/p&gt;
&lt;p&gt;I am using this token every time when I need to get attachment data from salesforce.&lt;/p&gt;
&lt;p&gt;Now the problem is that when I login in to my iOS app with my salesforce account on which my salesforce app is created "Salesforce Attachment" my app is working fine.&lt;/p&gt;
&lt;p&gt;&lt;strong&gt;But when I login with another salesforce account in my iOS app.I am getting attachment list but not Attachment Blob&lt;/strong&gt;   &lt;/p&gt;
&lt;p&gt;I am getting following error,&lt;/p&gt;
&lt;pre&gt;&lt;code&gt;{ "message" : "The requested resource does not exist", "errorCode" : "NOT_FOUND" }.
&lt;/code&gt;&lt;/pre&gt;
&lt;p&gt;here is my code for getting attachment blob.&lt;/p&gt;
&lt;pre&gt;&lt;code&gt;           NSString *blobPost = [NSString stringWithFormat:@"OAuth %@",access_token];
           NSString *urlString=[NSString       stringWithFormat:@"%@%@/Body",instance_url,attachmentUrl];
        NSURL *blobUrl=[NSURL URLWithString:urlString];
        [blobRequest setURL:blobUrl];
         [blobRequest setHTTPMethod:@"GET"];
       blobRequest setValue:blobPost forHTTPHeaderField:@"Authorization"];
       [blobRequest setValue:@"application/pdf" forHTTPHeaderField:@"Content-Type"];
      [NSURLConnection
       sendAsynchronousRequest:blobRequest
       queue:[[NSOperationQueue alloc] init]
       completionHandler:^(NSURLResponse *response,
                      NSData *data,
                     NSError *error)
       {
       if ([data length] &amp;gt;0 &amp;amp;&amp;amp; error == nil)
       {
        //here i can get attachment data
         imageData=[[NSData alloc]initWithData:data];
        }
       else if ([data length] == 0 &amp;amp;&amp;amp; error == nil)
       {
         NSLog(@"Nothing was downloaded.");
          [HUD hide:NO];
         }
         else if (error != nil){
             NSLog(@"Error = %@", error);
         }
       }];
&lt;/code&gt;&lt;/pre&gt;
&lt;p&gt;I need your help.Thanks in advanced  &lt;/p&gt;
</t>
  </si>
  <si>
    <t xml:space="preserve">&lt;p&gt;I'm a newbie trying to build a test class for a registration handler that allows new chatter free users to be created for an org.  To create the chatter free user, the working trigger checks a new user's email domain against a predefined list of acceptable email domains that are stored in a custom object named DomainList. &lt;/p&gt;
&lt;p&gt;Looking for suggestions on how to better structure a test class for code coverage.  Any ideas appreciated, thanks! &lt;/p&gt;
&lt;pre class="lang-apex prettyprint-override"&gt;&lt;code&gt;global class RegHandlerDomain implements Auth.RegistrationHandler {
    global User createUser(Id portalId, Auth.UserData data) {
        String domain = data.email.split('@')[1];
        List&amp;lt;DomainList__c&amp;gt; listedDomains = [SELECT id,
                                                    name
                                             FROM DomainList__c
                                             WHERE Email_Domain__c = : domain];
        if (listedDomains.size() == 1)   {
            User u = new User();
            Profile p = [SELECT Id 
                         FROM profile WHERE name = 'Chatter Free User'];
            // Use incoming email for username
            u.username = data.email;
            u.email = data.email;
            u.lastName = data.lastName;
            u.firstName = data.firstName;
            u.alias = (data.username != null) ? data.username : data.identifier;
            if (u.alias.length() &amp;gt; 8) {
                u.alias = u.alias.substring(0, 8);
            }
            u.languagelocalekey = UserInfo.getLocale();
            u.localesidkey = UserInfo.getLocale();
            u.emailEncodingKey = 'UTF-8';
            u.timeZoneSidKey = 'America/Los_Angeles';
            u.profileId = p.Id;
            System.debug('Returning new user record for ' + data.username);
            return u;
        } else return null;
    }
    global void updateUser(Id userId, Id portalId, Auth.UserData data) {
        User u = new User(id = userId);
        u.email = data.email;
        u.lastName = data.lastName;
        u.firstName = data.firstName;
        System.debug('Updating user record for ' + data.username);
        update(u);
    }
}
&lt;/code&gt;&lt;/pre&gt;
&lt;p&gt;Test class is looking for a '}' before the insert&lt;/p&gt;
&lt;pre class="lang-apex prettyprint-override"&gt;&lt;code&gt;@isTest(SeeAllData = true)
public class RegHandlerTest {
    public void myTestMethod1() {
        //CREATE CHATTER FREE TEST USER
        Profile p = [select id 
                     from profile where name = 'Chatter Free User'];
        User u1 = new User(alias = 'chfree01',
                           email = 'chatterfreeuser101@testorg.com',
                           emailencodingkey = 'UTF-8',
                           lastname = 'Testing',
                           companyname = 'testorg',
                           languagelocalekey = 'en_US',
                           localesidkey = 'en_US',
                           profileId = p.Id,
                           timezonesidkey = 'America/Los_Angeles',
                           username = 'chatterfreeuser101@testorg.com');
        insert u1;
    }
    //CHECK NEW USER EMAIL DOMAIN TO SEE IF IN CUSTOM OBJECT DOMAINLIST
    List&amp;lt;DomainList__c&amp;gt; listedDomains = [select id, email_domain__c
                                         from DomainList__c 
                                         where name = 'testorg' LIMIT 1];
    if (listedDomains.size() == 1) System.debug('WORKS');
}
&lt;/code&gt;&lt;/pre&gt;
</t>
  </si>
  <si>
    <t xml:space="preserve">&lt;p&gt;Fir of all you need create a proper unit test, because your is not correct.&lt;/p&gt;
&lt;pre class="lang-apex prettyprint-override"&gt;&lt;code&gt;@isTest(SeeAllData = true)
public class RegHandlerTest {
    @isTest private static void verifyInsertChatterFreeUser() {
        //CREATE CHATTER FREE TEST USER
        Profile p = [SELECT id 
                     FROM profile 
                     WHERE name = 'Chatter Free User'];
        User u1 = new User(alias = 'chfree01',
                           email = 'chatterfreeuser101@testorg.com',
                           emailencodingkey = 'UTF-8',
                           lastname = 'Testing',
                           companyname = 'testorg',
                           languagelocalekey = 'en_US',
                           localesidkey = 'en_US',
                           profileId = p.Id,
                           timezonesidkey = 'America/Los_Angeles',
                           username = 'chatterfreeuser101@testorg.com');
        insert u1;
        // perform some assertions regarding expected state of user after insert
        //CHECK NEW USER EMAIL DOMAIN TO SEE IF IN CUSTOM OBJECT DOMAINLIST
        List&amp;lt;DomainList__c&amp;gt; listedDomains = [SELECT id, email_domain__c
                                             FROM DomainList__c 
                                             WHERE name = 'testorg' LIMIT 1];
        // as you've annotated class with SeeAllData=true, this assertion always will be true
        System.assertEquals(1, listedDomains.size()); 
    }
    @isTest private static void verifyUpdateChatterFreeUser() {
        //CREATE CHATTER FREE TEST USER
        Profile p = [SELECT id 
                     FROM profile 
                     WHERE name = 'Chatter Free User'];
        User u1 = new User(alias = 'chfree01',
                           email = 'chatterfreeuser101@testorg.com',
                           emailencodingkey = 'UTF-8',
                           lastname = 'Testing',
                           companyname = 'testorg',
                           languagelocalekey = 'en_US',
                           localesidkey = 'en_US',
                           profileId = p.Id,
                           timezonesidkey = 'America/Los_Angeles',
                           username = 'chatterfreeuser101@testorg.com');
        insert u1;
        // perform some assertion regarding expected state of user after insert
        // change something on user
        u1.email = 'test.chatter.free@gmail.com';
        update u1;
        // perform some assertions regarding expected state of user after update
        // System.assertEquals('expected value', u1.field);
    }
}
&lt;/code&gt;&lt;/pre&gt;
</t>
  </si>
  <si>
    <t xml:space="preserve">&lt;p&gt;I have code in a test html page that works fine. It builds an NxN multidimensional array that groups fields in a QuickBase form as it builds the page. Here is the code that populates the window.flds array:&lt;/p&gt;
&lt;pre&gt;&lt;code&gt;&amp;lt;script type="text/javascript"&amp;gt;
    var flds = [];
    function pushFields(groupIdx,srcVal){
        var iGroupIdx = groupIdx+1;
        if(iGroupIdx &amp;gt; window.flds.length){
            var fldsfloor = window.flds.length;
            for(var i = fldsfloor; i &amp;lt; iGroupIdx; i++){
                if(!window.flds[i]){
                    window.flds[i] = [];
                }
            }
        }
        var j = window.flds[groupIdx].length;
        window.flds[groupIdx][ j ] = srcVal;
    }
    //dummy code to populate window.flds manually:
    pushFields(17,101);
    pushFields(17,104);
    pushFields(5,102);
    pushFields(28,103);
    pushFields(28,105);
&amp;lt;/script&amp;gt;
&lt;/code&gt;&lt;/pre&gt;
&lt;p&gt;When I try to shoehorn it into the QuickBase template, it does not work. QuickBase uses jQuery to build the fields. How do I call the JavaScript function pushFields(x,y) from jQuery:&lt;/p&gt;
&lt;pre&gt;&lt;code&gt;function loadProcess(root, rid) {
    //... code doesn't get relevant until here:
    if(groupx == 5){
        var processRes = getResults("abcde1fgh", "{3.EX." + rid + "}", "3.102", "60");//the value of 3 would be 5 for the first parameter, and 102 would be the second parameter.
        var ctrl1 = "&amp;lt;br /&amp;gt; Date" + addControl(v[3], "Date", "", v[102], "", " ");
    }
    //... code doesn't get relevant again until here:
    if(groupx == 17){
        var processRes = getResults("abcde1fgh", "{3.EX." + rid + "}", "3.101.104", "60");//the value of 3 would be 17 for the first parameter, and 101 and 104 would be the second parameter.
        var ctrl2 = "&amp;lt;br /&amp;gt; FName" + addControl(v[3], "Text", "", v[101], "", " ");
        var ctrl3 = "&amp;lt;br /&amp;gt; LName" + addControl(v[3], "Text", "", v[104], "", " ");
    }
    //... code doesn't get relevant again until here:
    if(group3 == 28){
        var processRes = getResults("abcde1fgh", "{3.EX." + rid + "}", "3.103.105", "60");//the value of 3 would be 28 for the first parameter, and 103 and 105 would be the second parameter.
        var ctrl4 = "&amp;lt;br /&amp;gt; Email" + addControl(v[3], "Text", "", v[103], "", " ");
        var ctrl5 = "&amp;lt;br /&amp;gt; Phone" + addControl(v[3], "Text", "", v[105], "", " ");
    }
}
&lt;/code&gt;&lt;/pre&gt;
</t>
  </si>
  <si>
    <t xml:space="preserve">&lt;p&gt;Thanks, everyone, I was able to figure out a solution:&lt;/p&gt;
&lt;pre&gt;&lt;code&gt;                pushFields(102,v[3]);
&lt;/code&gt;&lt;/pre&gt;
</t>
  </si>
  <si>
    <t xml:space="preserve">&lt;p&gt;I am trying to access the Chatter API from JavaScript that is running on localhost (and will eventually be hosted somewhere). If I try a normal AJAX GET request, I get the Access-Control-Allow-Origin error.&lt;/p&gt;
&lt;p&gt;I have tried the Salesforce &lt;a href="http://www.salesforce.com/us/developer/docs/ajax/" rel="nofollow" title=" Salesforce AJAX toolkit"&gt;AJAX toolkit&lt;/a&gt; but it seems that needs to be run from a Force.com domain. I cannot use JSONP because the Chatter API only returns JSON.&lt;/p&gt;
&lt;p&gt;Does anyone know of a common workaround for my situation? Something equivalent to the LinkedIn JavaScript API for example?&lt;/p&gt;
</t>
  </si>
  <si>
    <t xml:space="preserve">&lt;p&gt;Hi guys i have been using &lt;strong&gt;salesforce Rest Api&lt;/strong&gt; for logging and now i wanted to &lt;strong&gt;create lead&lt;/strong&gt; using &lt;strong&gt;access token&lt;/strong&gt; that is returned to me by the Login call. But when i try to create the lead using the access token it isn't created and the response i get doesn't contain a &lt;strong&gt;Lead id&lt;/strong&gt;.&lt;/p&gt;
&lt;p&gt;I have been stuck on this for days and after a lot of Googling i couldn't find an answer.&lt;/p&gt;
&lt;p&gt;&lt;strong&gt;I want to implement this functionality in android but for now i am using Google chrome Plugin Advance Rest Client for Testing.&lt;/strong&gt;&lt;/p&gt;
&lt;p&gt;&lt;strong&gt;Create Lead URL--&gt;&lt;/strong&gt; &lt;a href="https://na14.salesforce.com/services/data/v21.0/sobjects/Lead" rel="nofollow"&gt;https://na14.salesforce.com/services/data/v21.0/sobjects/Lead&lt;/a&gt;&lt;/p&gt;
&lt;p&gt;&lt;strong&gt;Header --&gt;&lt;/strong&gt; &lt;/p&gt;
&lt;pre&gt;&lt;code&gt;Authorization: OAuth 00Di0000000Y4be!AR8AQHCnNzqTM1tItXuwTRdXfRmn7JbZlneSA3pMjmrw.5aZqz0JecaTj2coEXHbEi61iQEhHWg0lTc0BZ0k4U_1BccJvFaZ
&lt;/code&gt;&lt;/pre&gt;
&lt;p&gt;&lt;strong&gt;Payload or Body --&gt;&lt;/strong&gt;&lt;/p&gt;
&lt;pre&gt;&lt;code&gt;{"Phone":"789452",    
"Company":"Test Company",   
"Fax":"1238356"
,"LastName":"Micheal"
}
&lt;/code&gt;&lt;/pre&gt;
&lt;p&gt;&lt;strong&gt;Content-Type:&lt;/strong&gt; &lt;code&gt;application/json&lt;/code&gt;&lt;/p&gt;
&lt;p&gt;&lt;strong&gt;I am using a post Request.
And the Response i am getting is&lt;/strong&gt; &lt;/p&gt;
&lt;pre&gt;&lt;code&gt;    {
objectDescribe: {
name: "Lead"
label: "Lead"
keyPrefix: "00Q"
custom: false
labelPlural: "Leads"
layoutable: true
activateable: false
urls: {
sobject: "/services/data/v21.0/sobjects/Lead"
describe: "/services/data/v21.0/sobjects/Lead/describe"
rowTemplate: "/services/data/v21.0/sobjects/Lead/{ID}"
}-
searchable: true
deprecatedAndHidden: false
createable: true
updateable: true
deletable: true
customSetting: false
feedEnabled: true
mergeable: true
queryable: true
replicateable: true
retrieveable: true
undeletable: true
triggerable: true
}-
recentItems: [8]
0:  {
attributes: {
type: "Lead"
url: "/services/data/v21.0/sobjects/Lead/--SomeId---"
}-
Id: "--SomeId---"
Name: "Luna, Wilredo"
}-
1:  {
attributes: {
type: "Lead"
url: "/services/data/v21.0/sobjects/Lead/--SomeId---"
}-
Id: "--SomeId---"
Name: "Rannga, Lite"
}-
2:  {
attributes: {
type: "Lead"
url: "/services/data/v21.0/sobjects/Lead/--SomeId---"
}-
Id: "--SomeId---"
Name: "Sith, Aro"
}-
3:  {
attributes: {
type: "Lead"
url: "/services/data/v21.0/sobjects/Lead/--SomeId---"
}-
Id: "--SomeId---"
Name: "Smith, Aberen"
}-
4:  {
attributes: {
type: "Lead"
url: "/services/data/v21.0/sobjects/Lead/--SomeId---"
}-
Id: "--SomeId---"
Name: "RANAHAN, MICHAEL"
}-
5:  {
attributes: {
type: "Lead"
url: "/services/data/v21.0/sobjects/Lead/--SomeId---"
}-
Id: "--SomeId---"
Name: "RABADI, RAED"
}-
6:  {
attributes: {
type: "Lead"
url: "/services/data/v21.0/sobjects/Lead/--SomeId---"
}-
Id: "--SomeId---"
Name: "A., Christopher"
}-
7:  {
attributes: {
type: "Lead"
url: "/services/data/v21.0/sobjects/Lead/--SomeId---"
}-
Id: "--SomeId---"
Name: "Ratnayake, Sam"
}-
-
}
&lt;/code&gt;&lt;/pre&gt;
</t>
  </si>
  <si>
    <t xml:space="preserve">&lt;p&gt;I'm sending form data to ZOHO CRM. I'm adding some variables into the XML variable as follows.&lt;/p&gt;
&lt;pre&gt;&lt;code&gt; $xml = 
    '&amp;lt;?xml version="1.0" encoding="UTF-8"?&amp;gt;
    &amp;lt;Leads&amp;gt;
    &amp;lt;row no="1"&amp;gt;
    &amp;lt;FL val="First Name"&amp;gt;'.$name.'&amp;lt;/FL&amp;gt;
    &amp;lt;FL val="Last Name"&amp;gt; &amp;lt;/FL&amp;gt;
    &amp;lt;FL val="Email"&amp;gt;'.$email.'&amp;lt;/FL&amp;gt;
    &amp;lt;FL val="Phone"&amp;gt;'.$phone.'&amp;lt;/FL&amp;gt;
    &amp;lt;FL val="Zip Code"&amp;gt;'.$zip.'&amp;lt;/FL&amp;gt;
    &amp;lt;FL val="Description"&amp;gt;'.$lessonType.'&amp;lt;/FL&amp;gt;
    &amp;lt;FL val="Lead Source"&amp;gt;web&amp;lt;/FL&amp;gt;
    &amp;lt;FL val="Referrer URL"&amp;gt;'.$refURL.'&amp;lt;/FL&amp;gt;
    &amp;lt;/row&amp;gt;
    &amp;lt;/Leads&amp;gt;';
&lt;/code&gt;&lt;/pre&gt;
&lt;p&gt;But when I do this I get the following error.&lt;/p&gt;
&lt;blockquote&gt;
  &lt;p&gt;4600Unable to process your request. Please verify if the name and
  value is appropriate for the "xmlData" parameter.&lt;/p&gt;
&lt;/blockquote&gt;
&lt;p&gt;When I replace the variables in the $xml variable with static value and removed concatenation, it is successfully submitted. &lt;/p&gt;
&lt;p&gt;Please let me know how to fix this.&lt;/p&gt;
&lt;p&gt;Thanks 
Sam&lt;/p&gt;
</t>
  </si>
  <si>
    <t xml:space="preserve">&lt;p&gt;I want to pass some data captured in &lt;code&gt;Salesforce&lt;/code&gt; to my &lt;code&gt;Open CTI&lt;/code&gt; softphone and may have to invoke some event from &lt;code&gt;Salesforce&lt;/code&gt; like hangup, transfer etc. Any idea how to achieve that? I can use &lt;code&gt;jQuery&lt;/code&gt; to do so. Is there any better way to do so or any inbuilt feature?&lt;/p&gt;
</t>
  </si>
  <si>
    <t xml:space="preserve">&lt;p&gt;I used HTML5 postMessage to pass message from Salesforce to softPhone in JSON string. &lt;/p&gt;
</t>
  </si>
  <si>
    <t xml:space="preserve">&lt;p&gt;Currently I've setup 4 accounts at &lt;em&gt;zoho mail: a@site,  b@site, c@site, all@site&lt;/em&gt;.
a,b and c are forwarding their mails to &lt;em&gt;gmail&lt;/em&gt; accounts whereas &lt;em&gt;all@site&lt;/em&gt; is forwarding mail to a,b and c.&lt;/p&gt;
&lt;p&gt;What I'm trying to achieve is the following:&lt;/p&gt;
&lt;ol&gt;
&lt;li&gt;all@site receives an e-mail -&gt;  it forwards it to a@site, b@site,
c@site&lt;/li&gt;
&lt;li&gt;a@site receives an e-mail from all@site -&gt; forwards it to the gmail
forwarded account&lt;/li&gt;
&lt;li&gt;c@site receives an e-mail from all@site -&gt; forwards it to the gmail
forwarded account&lt;/li&gt;
&lt;li&gt;b@site receives an e-mail from all@site -&gt; forwards it to the gmail
forwarded account&lt;/li&gt;
&lt;/ol&gt;
&lt;p&gt;The problem is that when I send an email to &lt;em&gt;all@site&lt;/em&gt;, it just forwards it to a,b,c@site, but those 3 accounts do not forward those emails to the respective &lt;em&gt;gmail&lt;/em&gt; accounts.&lt;/p&gt;
&lt;p&gt;I would like to know if there is any easy way to achieve this as this is very important. &lt;/p&gt;
&lt;p&gt;Any help is greatly appreciated!&lt;/p&gt;
</t>
  </si>
  <si>
    <t xml:space="preserve">&lt;p&gt;Zoho doesn't allow multi-forwarding as it may create a loop.&lt;/p&gt;
</t>
  </si>
  <si>
    <t xml:space="preserve">&lt;p&gt;&lt;em&gt;quickbase error response:&lt;/em&gt;&lt;/p&gt;
&lt;p&gt;I am using 'Quickbase' database integration with "codeigniter" . when i add records to it show error code 3  i.e.  "insufficent" permissions . can any one help  i am new to "quickbase".&lt;/p&gt;
&lt;p&gt;respose from quickbase:&lt;/p&gt;
&lt;pre&gt;&lt;code&gt; SimpleXMLElement Object
(
    [action] =&amp;gt; API_AddRecord
    [errcode] =&amp;gt; 3
    [errtext] =&amp;gt; Insufficient permissions
    [errdetail] =&amp;gt; Oops.  You don't have permission to access that page
    [username] =&amp;gt; tbd1@brightline.com
)
&lt;/code&gt;&lt;/pre&gt;
</t>
  </si>
  <si>
    <t xml:space="preserve">&lt;p&gt;Looks like the user that you're using to API_Authenticate to Quickbase has insufficient permission to add a record to the table.&lt;/p&gt;
&lt;p&gt;From within Quickbase, click on Users and verify the role associated with the user. From within the role you can view/modify the permissions that are applied to any user with that role.&lt;/p&gt;
</t>
  </si>
  <si>
    <t xml:space="preserve">&lt;p&gt;I am trying to send email from my django-based website, but I got some problem - SMTPServerDisconnected Connection unexpectedly closed
My setting.py:&lt;/p&gt;
&lt;pre&gt;&lt;code&gt;EMAIL_USE_TLS = True
EMAIL_HOST = 'smtp.zoho.com'
EMAIL_PORT = 465
EMAIL_HOST_USER = 'me@mydomain.com'
EMAIL_HOST_PASSWORD = 'XXXXXX'
&lt;/code&gt;&lt;/pre&gt;
&lt;p&gt;I am using django 1.5.1, python 2.7.3. Anyone can solve this problem?&lt;/p&gt;
&lt;p&gt;Thanks for your help&lt;/p&gt;
</t>
  </si>
  <si>
    <t xml:space="preserve">&lt;p&gt;I'm having the same problem with connection timeouts. It seems to me that there are issues around SSL sockets in the default Django SMTP library. In the development version of Django there is an option to set &lt;code&gt;EMAIL_USE_SSL = True&lt;/code&gt; which allows for the use of an &lt;em&gt;implicit&lt;/em&gt; TLS connection (as opposed to &lt;em&gt;explicit&lt;/em&gt;, which is specified by &lt;code&gt;EMAIL_USE_TLS = True&lt;/code&gt;). Generally the former (implicit) uses port 465, while the latter (explicit) uses port 587. See the &lt;a href="https://docs.djangoproject.com/en/dev/ref/settings/#email-use-ssl"&gt;Django docs&lt;/a&gt; -- compare the development version with version 1.5. Note that the option &lt;code&gt;EMAIL_USE_SSL&lt;/code&gt; is NOT present in 1.5.&lt;/p&gt;
&lt;p&gt;Thus, the problem is that &lt;a href="https://www.zoho.com/mail/help/faq/imap-access1.html#f2a2"&gt;Zoho's default SMTP server uses port 465 and requires SSL&lt;/a&gt;, but the &lt;code&gt;EMAIL_USE_TLS&lt;/code&gt; option doesn't fulfill this requirement. (Side note: maybe try setting this option to &lt;code&gt;False&lt;/code&gt;? I didn't try that.) Anyway, my best guess is that this is a Django-specific issue and may not be solved until 1.7.&lt;/p&gt;
&lt;p&gt;As for a solution to your problem: you can definitely access Zoho's SMTP server with Python (2.7.1)'s &lt;code&gt;smtplib&lt;/code&gt; (see script below). So, if you want a slightly inelegant fix, you could go that route. I've tested this in Django 1.5.1 and it works like a charm.&lt;/p&gt;
&lt;p&gt;Here's the stand-alone Python script (which can be adapted for use in a Django project):&lt;/p&gt;
&lt;pre&gt;&lt;code&gt;import smtplib
from email.mime.text import MIMEText
# Define to/from
sender = 'sender@example.com'
recipient = 'recipient@example.com'
# Create message
msg = MIMEText("Message text")
msg['Subject'] = "Sent from python"
msg['From'] = sender
msg['To'] = recipient
# Create server object with SSL option
server = smtplib.SMTP_SSL('smtp.zoho.com', 465)
# Perform operations via server
server.login('sender@example.com', 'password')
server.sendmail(sender, [recipient], msg.as_string())
server.quit()
&lt;/code&gt;&lt;/pre&gt;
&lt;p&gt;Try checking that the above script runs with your Zoho credentials before plugging it into your web project. Good luck!&lt;/p&gt;
</t>
  </si>
  <si>
    <t xml:space="preserve">&lt;p&gt;i write a code in apex for setting the chatter photo of a user . i write a function&lt;/p&gt;
&lt;pre class="lang-apex prettyprint-override"&gt;&lt;code&gt;public PageReference setPhoto() {
    Http h = new Http();
    HttpRequest req = new HttpRequest();
    string firstImageURL = 'https://ap1.salesforce.com/resource/1377118388000/sample_pic';
    firstImageURL = firstImageURL.replace(' ', '%20');
    req.setEndpoint(firstImageURL);
    req.setMethod('GET');
    req.setHeader('Content-Type', 'image/jpeg');
    req.setCompressed(true);
    req.setTimeout(60000);
    HttpResponse res = null;
    res = h.send(req);
    blob image = res.getBodyAsBlob();
    ConnectApi.BinaryInput bb = ConnectApi.BinaryInput(image, 'image/png', 'myfile');
    System.debug('user is' + ConnectApi.ChatterUsers.setPhoto(null, '00590000001jFln', bb));
    return null;
}
&lt;/code&gt;&lt;/pre&gt;
&lt;p&gt;when i try to save it it is giving me error  &lt;/p&gt;
&lt;pre&gt;&lt;code&gt;Error: Compile Error: Method does not exist or incorrect signature: ConnectApi.BinaryInput(Blob, String, String) at line 28 column 27
&lt;/code&gt;&lt;/pre&gt;
&lt;p&gt;and i am following this &lt;a href="http://www.salesforce.com/us/developer/docs/apexcode/Content/connectAPI_inputs.htm#capi_binary_input" rel="nofollow"&gt;http://www.salesforce.com/us/developer/docs/apexcode/Content/connectAPI_inputs.htm#capi_binary_input&lt;/a&gt; 
can you please guideline whether this documentation is wrong or right ?? and how to get ConnectApi.BinaryInput instance&lt;/p&gt;
</t>
  </si>
  <si>
    <t xml:space="preserve">&lt;p&gt;You'are trying to use the instance method as a static. Create an instance of &lt;code&gt;ConnectApi.BinaryInput&lt;/code&gt;&lt;/p&gt;
&lt;pre class="lang-apex prettyprint-override"&gt;&lt;code&gt;ConnectApi.BinaryInput binaryInput = new ConnectApi.BinaryInput(fileBlob, null, filename);
&lt;/code&gt;&lt;/pre&gt;
</t>
  </si>
  <si>
    <t xml:space="preserve">&lt;p&gt;Query to select Single Best Record for each NameID, grouped by Date, My DataTable under Zoho Reports.&lt;/p&gt;
&lt;p&gt;-----&gt;&lt;/p&gt;
&lt;pre&gt;&lt;code&gt;ID  Name ID Name    Others Colmns   Date n Time Error Count     Best Unique Record for the Date
1   W0026   Hari      x  ¦    x   ¦     2013,08,30 14:09:18 13      
2   W0027   Johnson   x  ¦    x   ¦     2013,08,30 14:01:44 0       &amp;lt; This Record for Date 30th
3   W0029   Prem      x  ¦    x   ¦     2013,08,30 14:04:04 2       
4   W0038   Philip    x  ¦    x   ¦     2013,08,30 14:00:20 0       &amp;lt; This Record for Date 30th
5   W0039   Amit      x  ¦    x   ¦     2013,08,30 14:08:03 6       &amp;lt;Can Select Eihter of record ID's( 5 and 10) as Error Count of both ID's is Same, for Date 30th 
6   W0026   Hari      x  ¦    x   ¦     2013,08,30 8:09:18  10      &amp;lt; This Record for Date 30th
7   W0027   Johnson   x  ¦    x   ¦     2013,08,30 8:01:44  4       
8   W0029   Prem      x  ¦    x   ¦     2013,08,30 8:04:04  0       &amp;lt; This Record for Date 30th
9   W0038   Philip    x  ¦    x   ¦     2013,08,30 8:00:20  1       
10  W0039   Amit      x  ¦    x   ¦     2013,08,30 8:08:03  6       
11  W0026   Hari      x  ¦    x   ¦     2013,08,29 14:09:18 5       &amp;lt; This Record for Date 29th
12  W0027   Johnson   x  ¦    x   ¦     2013,08,29 14:01:44 1       
13  W0029   Prem      x  ¦    x   ¦     2013,08,29 14:04:04 1       &amp;lt; Latest or Any one if Error Count is Same (between ID 5 and 10) for Date 29th
14  W0038   Philip    x  ¦    x   ¦     2013,08,29 14:00:20 0       &amp;lt; This Record for Date 29th
15  W0039   Amit      x  ¦    x   ¦     2013,08,29 14:08:03 6       
16  W0026   Hari      x  ¦    x   ¦     2013,08,29 8:09:18  8       
17  W0027   Johnson   x  ¦    x   ¦     2013,08,29 8:01:44  0       &amp;lt; This Record for Date 29th
18  W0029   Prem      x  ¦    x   ¦     2013,08,29 8:04:04  1       
19  W0038   Philip    x  ¦    x   ¦     2013,08,29 8:00:20  1       
20  W0039   Amit      x  ¦    x   ¦     2013,08,29 8:08:03  0       &amp;lt; This Record for Date 29th
&lt;/code&gt;&lt;/pre&gt;
&lt;p&gt;-------&gt;
Where On each Working Date I get 2 Records for every Name ID.
I need to Query out the Best record(Complete Row).&lt;/p&gt;
&lt;p&gt;Best Record is selected based on the least value(Better Record) under column “Error Count” Grouped on Date and Result Sorted on Name ID . As shown in OutPut Table below.&lt;/p&gt;
&lt;p&gt;xxxxx&gt;&gt;&gt;&gt;
            Output expected from Query              &lt;/p&gt;
&lt;pre&gt;&lt;code&gt;    ID  Name ID Name      x  ¦    x   ¦     Date &amp;amp; Time Error Count                 Comment
    6   W0026   Hari      x  ¦    x   ¦     2013,08,30 8:09:18  10      
    2   W0027   Johnson   x  ¦    x   ¦     2013,08,30 14:01:44 0       
    8   W0029   Prem      x  ¦    x   ¦     2013,08,30 8:04:04  0        &amp;lt; BEST in Each Name ID on 30th
    4   W0038   Philip    x  ¦    x   ¦     2013,08,30 14:00:20 0       
    5   W0039   Amit      x  ¦    x   ¦     2013,08,30 14:08:03 6       
    11  W0026   Hari      x  ¦    x   ¦     2013,08,29 14:09:18 5       
    17  W0027   Johnson   x  ¦    x   ¦     2013,08,29 8:01:44  0       
    13  W0029   Prem      x  ¦    x   ¦     2013,08,29 14:04:04 1        &amp;lt; BEST in Each Name ID on 29th
    14  W0038   Philip    x  ¦    x   ¦     2013,08,29 14:00:20 0       
    20  W0039   Amit    
  x  ¦    x   ¦     2013,08,29 8:08:03  0
&lt;/code&gt;&lt;/pre&gt;
&lt;p&gt;xxxxxxx&gt;&gt;&gt;&lt;/p&gt;
&lt;p&gt;I am using the Zoho Reports(Entry Free Edition), Zoho Reports supports Simple SELECT SQL Querying in multiple dialects like ANSI, Oracle, Microsoft SQL Server, IBM DB2, MySQL, Sybase, PostgreSQL and Informix dialects. we can execute queries written in any of this dialects.&lt;/p&gt;
&lt;p&gt;Below is my Query , I feel there is Better way to Query, Pls Suggest.
(FYI: As of now zohoReports does not support SELECT query in FROM clause)&lt;/p&gt;
&lt;pre&gt;&lt;code&gt;SELECT  myTable.* FROM "myTable"
 WHERE myTable."ID"= (SELECT T."ID"=myTable."ID"
   FROM "myTable" AS T
  WHERE T."Error Count" &amp;lt; myTable."Error Count"
ORDER BY myTable."Error Count" DESC
LIMIT 1) 
GROUP BY myTable."Name ID", DATE(myTable."Date n Time")
&lt;/code&gt;&lt;/pre&gt;
&lt;p&gt;For Above Query I am getting Error as "Whenever a table alias is defined, kindly use table alias name before the respective columns used in SELECT query" But I have feel it is met. I am Struck here , need your Help.&lt;/p&gt;
</t>
  </si>
  <si>
    <t xml:space="preserve">&lt;p&gt;I don't know anything about Zoho.  However, the following idea should work in all the databases you mention:&lt;/p&gt;
&lt;pre&gt;&lt;code&gt;SELECT myTable.*
FROM "myTable"
WHERE myTable."ID" = (SELECT T."ID"
                      FROM "myTable" T
                      WHERE cast(T."date n time" as date) &amp;lt; cast(myTable."date n time" as date) and
                            T.Name = myTable.Name
                      ORDER BY myTable."Error Count"
                      LIMIT 1
                     ) 
&lt;/code&gt;&lt;/pre&gt;
&lt;p&gt;Two database differences are relevant.  The first is the conversion from a &lt;code&gt;datetime&lt;/code&gt; to a &lt;code&gt;date&lt;/code&gt;.  That might be database dependent.  The second is limiting the results to one row.  Different database have different ways of doing this.&lt;/p&gt;
&lt;p&gt;This is using something called a correlated subquery.  It fetches all rows that match on the date and name, and then returns the id from the row with the lowest error count.&lt;/p&gt;
</t>
  </si>
  <si>
    <t xml:space="preserve">&lt;p&gt;This is the my problem in very short way;&lt;/p&gt;
&lt;p&gt;Is it possible to get security token for Chatter Moderator User on salesforce ?&lt;/p&gt;
</t>
  </si>
  <si>
    <t xml:space="preserve">&lt;p&gt;I am trying to link Zoho CRM with Kashflow via their API. Zoho CRM stores my contacts and their addresses while through kashflow (online accounting software) I can send invoices. The end result is that I want all my Zoho contact details synced with kashflow. The kashflow website has links to helpful PHP code that I can use to access the kashflow API. &lt;a href="http://www.kashflow.com/developers/developer-resources/" rel="nofollow"&gt;Here is a link to it&lt;/a&gt;! and in zoho there are PHP code snippets that would help me access the contact details. &lt;/p&gt;
&lt;p&gt;If I write a .php or xml file that links the two APIs methods where do I store it? I've researched and all I can find are links to MySQL databses or linking the individual APIs to a website. Do I need a website to link the two website programs APIs?&lt;/p&gt;
&lt;p&gt;I hope that's not confusing, any tips to point me in the right direction or if anyone knows of a book or guide on how to find your way around APIs in general that would be most helpful.&lt;/p&gt;
</t>
  </si>
  <si>
    <t xml:space="preserve">&lt;p&gt;If Kashflow offers REST API, try CRM's webhook.&lt;/p&gt;
</t>
  </si>
  <si>
    <t xml:space="preserve">&lt;p&gt;I need to get a confirmation message to display after a form has been submitted, preferably right above the form. The form sends details to Zoho CRM (and was generated automatically by the CRM), so some of the values aren't flexible and the other script is generated by the CRM. Also, I wanted a file to begin downloading when the file is submitted, so currently returnURL="/myfile.pdf". Also #2 (which may or may not matter), this form is in a pop up div.&lt;/p&gt;
&lt;p&gt;I was trying to inject something like &lt;code&gt;javascript:document.getElementById('message').style.visibility='visible';&lt;/code&gt; in the onSubmit section, but it didn't show my message and it broke the check for required fields.&lt;/p&gt;
&lt;p&gt;What should I be doing to get this to work? I don't know JavaScript so I'm at a total loss. Help! (Please!)&lt;/p&gt;
&lt;p&gt;Here's my code, with some of the input and select fields omitted for brevity:&lt;/p&gt;
&lt;pre&gt;&lt;code&gt;&amp;lt;div id="message" style="visibility: hidden;
color: black;
font: 20px/22px sans serif;
border: solid 1px red;
width: 300px;"&amp;gt;Thanks a bunch&amp;lt;/div&amp;gt;
&amp;lt;form  style="display:inline;" accept-charset="UTF-8" action="https://crm.zoho.com/crm/WebToLeadForm" method="POST" name="WebToLeads202746000001545001" onSubmit='javascript:document.charset="UTF-8"; return checkMandatery()' accept-charset='UTF-8'&amp;gt;
&amp;lt;table id="essentialguide" width="300" border="0" cellspacing="0" cellpadding="5"&amp;gt;
&amp;lt;input type='text' style='display:none;' name='xnQsjsdp' value='2KHRA9qO5KM$'/&amp;gt;  &amp;lt;input type='hidden' name='zc_gad' id='zc_gad' value=''/&amp;gt;  
&amp;lt;input type='text' style='display:none;' name='xmIwtLD' value='5H7uZFz1HBbmsqZYnupu@m-@B6-MHnNR'/&amp;gt;  
&amp;lt;input type='text'  style='display:none;' name='actionType' value='TGVhZHM='/&amp;gt;  &amp;lt;input type='text' style='display:none;' name='returnURL' value='http://www.mysite.com/myfile.pdf' /&amp;gt;
&amp;lt;tbody&amp;gt;
&amp;lt;tr&amp;gt;
&amp;lt;td&amp;gt;First name: &amp;lt;input type="text" maxlength="40" name="First Name" size="40" /&amp;gt;&amp;lt;/td&amp;gt;
&amp;lt;/tr&amp;gt;
&amp;lt;tr&amp;gt;
&amp;lt;td&amp;gt;Last name: &amp;lt;input type="text" maxlength="80" name="Last Name" size="40" /&amp;gt;&amp;lt;/td&amp;gt;
&amp;lt;/tr&amp;gt;
&amp;lt;tr&amp;gt;
&amp;lt;td&amp;gt;Email: &amp;lt;input type="text" maxlength="100" name="Email" size="40" /&amp;gt;&amp;lt;/td&amp;gt;
&amp;lt;/tr&amp;gt;
&amp;lt;tr&amp;gt;
&amp;lt;td style="background-color: #fff;" colspan="2" align="center"&amp;gt;&amp;lt;input class="submit" type="submit" name="save" value="Submit" /&amp;gt;&amp;lt;/td&amp;gt;
&amp;lt;/tr&amp;gt;
&amp;lt;/tbody&amp;gt;
&amp;lt;/table&amp;gt;
&amp;lt;script type="text/javascript"&amp;gt;// &amp;lt;![CDATA[ var mndFileds=new Array('First Name','Last Name','Email');var fldLangVal=new Array('First Name','Last Name','Email');function checkMandatery(){for(i=0;i&amp;lt;mndFileds.length;i++){ var fieldObj=document.forms['WebToLeads202746000001545001'][mndFileds[i]];if(fieldObj) {if(((fieldObj.value).replace(/^\s+|\s+$/g, '')).length==0){alert(fldLangVal[i] +' cannot be empty'); fieldObj.focus(); return false;}else if(fieldObj.nodeName=='SELECT'){if(fieldObj.options[fieldObj.selectedIndex].value=='-None-'){alert(fldLangVal[i] +' cannot be none'); fieldObj.focus(); return false;}}}}}
// ]]&amp;gt;&amp;lt;/script&amp;gt;
&amp;lt;/form&amp;gt;
&lt;/code&gt;&lt;/pre&gt;
</t>
  </si>
  <si>
    <t xml:space="preserve">&lt;p&gt;I'm trying to connect a linkedin signup to an addition to Zoho's Recruit API&lt;/p&gt;
&lt;p&gt;When I use requestbin, It seems like it should work, but when I submit to Zoho, I get an error, could not parse data type. &lt;/p&gt;
&lt;p&gt;This is where the info was on how to structure an xml post to zoho's api &lt;/p&gt;
&lt;p&gt;&lt;a href="https://www.zoho.com/recruit/add-records.html" rel="nofollow"&gt;https://www.zoho.com/recruit/add-records.html&lt;/a&gt;&lt;/p&gt;
&lt;p&gt;Below is what my code looks like. Any advice on what I'm doing wrong? &lt;/p&gt;
&lt;pre&gt;&lt;code&gt;&amp;lt;?php
$post_body = file_get_contents('php://input');
$application = json_decode($post_body);
//shortcodes
$firstname = $application-&amp;gt;person-&amp;gt;firstName;
$lastname = $application-&amp;gt;person-&amp;gt;lastName;
$city = $application-&amp;gt;location-&amp;gt;name;
$email = $application-&amp;gt;person-&amp;gt;emailAddress;
$headline = $application-&amp;gt;person-&amp;gt;headline;
  /*
   * XML Sender/Client.
   */
  // Get our XML. You can declare it here or even load a file.
  $xml_builder = "
                  &amp;lt;Candidates&amp;gt;
                  &amp;lt;row no=\"1\"&amp;gt;
                  &amp;lt;FL val=\"First name\"&amp;gt;{$firstname}&amp;lt;/FL&amp;gt;
                  &amp;lt;FL val=\"Last name\"&amp;gt;{$lastname}&amp;lt;/FL&amp;gt;
                  &amp;lt;FL val=\"Contact address\"&amp;gt;{$lastname}&amp;lt;/FL&amp;gt;
                  &amp;lt;FL val=\"Email ID\"&amp;gt;{$email}&amp;lt;/FL&amp;gt;
                  &amp;lt;FL val=\"Current job title\"&amp;gt;{$headline}&amp;lt;/FL&amp;gt;
                  &amp;lt;/row&amp;gt;
                  &amp;lt;/Candidates&amp;gt;
                 ";
  // Initialize curl
    $curl = curl_init();
  $opts = array(
    CURLOPT_URL             =&amp;gt; 'https://recruit.zoho.com/ats/private/xml/Candidates/addRecords?authtoken=#secrettoken&amp;amp;scope=recruitapi&amp;amp;duplicateCheck=1&amp;amp;xmlData={$xml_builder}',
    CURLOPT_RETURNTRANSFER  =&amp;gt; true,
    CURLOPT_CUSTOMREQUEST   =&amp;gt; 'POST',
    CURLOPT_POST            =&amp;gt; 1,
    CURLOPT_POSTFIELDS      =&amp;gt; $xml_builder,
    CURLOPT_HTTPHEADER  =&amp;gt; array('Content-Type: text/xml','Content-Length: ' . strlen($xml_builder))                                                                       
  );
    // Set curl options
    curl_setopt_array($curl, $opts);
    // Get the results
    $result = curl_exec($curl);
    // Close resource
    curl_close($curl);
    echo $result;
    $fp = fopen('zoho.txt', 'w'); 
    fwrite($fp, $result); 
    fclose($fp);  
?&amp;gt;
&lt;/code&gt;&lt;/pre&gt;
</t>
  </si>
  <si>
    <t xml:space="preserve">&lt;p&gt;You have to specify the POSTFIELDS names. And following the documentation you sent (&lt;a href="https://www.zoho.com/recruit/add-records.html" rel="nofollow"&gt;https://www.zoho.com/recruit/add-records.html&lt;/a&gt;) you should remove the &lt;code&gt;xmlData&lt;/code&gt; and &lt;code&gt;duplicateCheck&lt;/code&gt; parameters from the URL, it's a POST only API.&lt;/p&gt;
&lt;p&gt;&lt;em&gt;I think you also should add the xml declaration (&lt;strong&gt;&lt;code&gt;&amp;lt;?xml version='1.0' standalone='yes'?&amp;gt;&lt;/code&gt;&lt;/strong&gt;)&lt;/em&gt;&lt;/p&gt;
&lt;p&gt;So the code for the CURLOPT_POSTFIELDS definition would be the following:&lt;/p&gt;
&lt;pre&gt;&lt;code&gt;$xml_builder = array(
              'duplicateCheck' =&amp;gt; 1 ,
              'xmlData' =&amp;gt; "
                           &amp;lt;?xml version='1.0' standalone='yes'?&amp;gt;
                           &amp;lt;Candidates&amp;gt;
                              &amp;lt;row no=\"1\"&amp;gt;
                              &amp;lt;FL val=\"First name\"&amp;gt;{$firstname}&amp;lt;/FL&amp;gt;
                              &amp;lt;FL val=\"Last name\"&amp;gt;{$lastname}&amp;lt;/FL&amp;gt;
                              &amp;lt;FL val=\"Contact address\"&amp;gt;{$lastname}&amp;lt;/FL&amp;gt;
                              &amp;lt;FL val=\"Email ID\"&amp;gt;{$email}&amp;lt;/FL&amp;gt;
                              &amp;lt;FL val=\"Current job title\"&amp;gt;{$headline}&amp;lt;/FL&amp;gt;
                              &amp;lt;/row&amp;gt;
                          &amp;lt;/Candidates&amp;gt;"
);
&lt;/code&gt;&lt;/pre&gt;
&lt;p&gt;And the $opts array should be like this:&lt;/p&gt;
&lt;pre&gt;&lt;code&gt;$opts = array(
    CURLOPT_URL  =&amp;gt;'https://recruit.zoho.com/ats/private/xml/Candidates/addRecords?authtoken=#secrettoken&amp;amp;scope=recruitapi',
    CURLOPT_RETURNTRANSFER  =&amp;gt; true,
    CURLOPT_CUSTOMREQUEST   =&amp;gt; 'POST',
    CURLOPT_POST            =&amp;gt; 1,
    CURLOPT_POSTFIELDS      =&amp;gt; $xml_builder                                                                   
);
&lt;/code&gt;&lt;/pre&gt;
</t>
  </si>
  <si>
    <t xml:space="preserve">&lt;p&gt;I have a custom object: One field I want to make as master-detail with User object such that when user is deleted .Object is also deleted, but when I try to make the master-detail relationship it is not showing the User Object. Can any one please tell me why this is, and how to resolve it??&lt;/p&gt;
</t>
  </si>
  <si>
    <t xml:space="preserve">&lt;p&gt;When I generate an Appian form, by default, a left navigation is included. How can I hide, or prevent from generating, the left navigation?&lt;/p&gt;
&lt;p&gt;Thank you.&lt;/p&gt;
</t>
  </si>
  <si>
    <t xml:space="preserve">&lt;p&gt;I have one .xml file which code is as follows.....&lt;/p&gt;
&lt;pre&gt;&lt;code&gt;&amp;lt;response uri="/crm/private/xml/Leads/getMyRecords"&amp;gt;
&amp;lt;result&amp;gt;
&amp;lt;Leads&amp;gt;
&amp;lt;row no="1"&amp;gt;
&amp;lt;FL val="LEADID"&amp;gt;967993000000074003&amp;lt;/FL&amp;gt;
&amp;lt;FL val="Company"&amp;gt;fff&amp;lt;/FL&amp;gt;
&amp;lt;FL val="First Name"&amp;gt;fffff&amp;lt;/FL&amp;gt;
&amp;lt;FL val="Last Name"&amp;gt;fffff&amp;lt;/FL&amp;gt;
&amp;lt;/row&amp;gt;
&amp;lt;row no="2"&amp;gt;
&amp;lt;FL val="LEADID"&amp;gt;967993000000074001&amp;lt;/FL&amp;gt;
&amp;lt;FL val="Company"&amp;gt;PHI&amp;lt;/FL&amp;gt;
&amp;lt;FL val="First Name"&amp;gt;San&amp;lt;/FL&amp;gt;
&amp;lt;FL val="Last Name"&amp;gt;Raut&amp;lt;/FL&amp;gt;
&amp;lt;/row&amp;gt;....
&lt;/code&gt;&lt;/pre&gt;
&lt;p&gt;so now i want to fetch value from this file which val attribute is Company, First Name, Last Name and LEADID.&lt;/p&gt;
</t>
  </si>
  <si>
    <t xml:space="preserve">&lt;p&gt;I'm struggling to get the best choice for me in terms of kind of license I need. I just want to connect my website using chatter through OAuth2 as well as I have been developing a canvas app. Everything has been done with my developer account in Salesforce but I have been wondering if I need to purchase any kind of salesforce license to use it. Even I have been wondering if I need a new license to upload my canvas app to salesforce appexchange.&lt;/p&gt;
&lt;p&gt;I will be really grateful if someone could tell me something about it because I don't really know what I should do due to salesforce licenses are expensive.&lt;/p&gt;
&lt;p&gt;Thank you so much&lt;/p&gt;
&lt;p&gt;Diego&lt;/p&gt;
</t>
  </si>
  <si>
    <t xml:space="preserve">&lt;p&gt;First of all I'm really sorry if i'm asking a Dumb Question. But unfortunately i can't find out a way to take inputs for my salesforce Application.
&lt;strong&gt;I am developing a simple CV Management app, but i can't figure out how to interact users(input data) to the App? I have created Candidate Custom object, and manually i can create the Candidates, but my requirement is to create records by Candidates themselves.&lt;/strong&gt;&lt;/p&gt;
&lt;p&gt;I followed SalesForce Tutorials and i found out a way to display data using VisualForce Custom Pages. But what i want to## Heading ## do is when i giving a link to the user, he can go to that link and there having form to fill with his personal data, and submit only. But i'm just confused how to user input data map with our Custom Candidate object fields. 
when i'm searching i saw some FormAssembly and Custom VisualForce Pages. But Problem is I don't hope to use any 3rd party apps. &lt;/p&gt;
&lt;p&gt;&lt;strong&gt;Tutorials says that;&lt;/strong&gt;&lt;/p&gt;
&lt;blockquote&gt;
  &lt;p&gt;In the past, to make Force.com data available to the general public, you had to set up a Web
  server, create custom Web pages (JSP, PHP, or other), and use the API to integrate Force.com
  apps with an external website. This is no longer the case, thanks to Sites!&lt;/p&gt;
&lt;/blockquote&gt;
&lt;p&gt;Please if you can, help me Friends, Really Appreciate it &amp;amp; Thank you soo much.. &lt;/p&gt;
</t>
  </si>
  <si>
    <t xml:space="preserve">&lt;p&gt;I have one problem in ZOHO CRM Developement.&lt;/p&gt;
&lt;p&gt;Scenario:-I have account of ZOHO CRM.when i create Leads in my ZOHO CRM also at the same time the record will get created in MySQL Database(My Local Database) with same values and i want to do it using PHP Code style.so please suggest me a some solution on this functionality.&lt;/p&gt;
</t>
  </si>
  <si>
    <t xml:space="preserve">&lt;p&gt;Is there any way I can query the image from SalesForce server as a blob object ?
We already have forcetk client queries which is retrieving all the data, but the image alone is returned as a link (salesforce link).&lt;/p&gt;
&lt;p&gt;Can we retrieve image as blob in the same REST query call ? &lt;/p&gt;
&lt;p&gt;The methods I saw required to make an extra call to fetch images, but here I have images in each row of the result, it would have been better if images come as a part of result object itself.&lt;/p&gt;
</t>
  </si>
  <si>
    <t xml:space="preserve">&lt;p&gt;I have a registration form. I don't want to create a form inside the CRM. I want to use my own code  to send data to Zoho CRM. I want when the user fill out the form and hit the submit button, the form send information into the database and at the meantime the information like first name and email address add to Zoho CRM. I googled it but there is no link to download ZOHO CRM API like the one that mailchimp have. I did that with mailchimp and they have a complete documentation. What I need is that I want to connect with ZOHO and send my contact form fields to Zoho contacts by java. Is there a sample code for that? I fond this : &lt;a href="https://code.google.com/p/spring-zohoreport/" rel="nofollow"&gt;https://code.google.com/p/spring-zohoreport/&lt;/a&gt; for connecting to zoho reports but I need to connect to zoho CRM. &lt;/p&gt;
&lt;p&gt;I will appreciate if anyone can help me.&lt;/p&gt;
</t>
  </si>
  <si>
    <t xml:space="preserve">&lt;p&gt;I am very new to Salesforce Apex. I created a simple Apex-Class to get all contacts in the salesforce website. &lt;/p&gt;
&lt;p&gt;I used javascript code to invoke that class as follows&lt;/p&gt;
&lt;pre&gt;&lt;code&gt;function runApex() {
  sforce.interaction.runApex('AccountRetrieval', 'getAccount', 'name=Rajeev', callback);
}
&lt;/code&gt;&lt;/pre&gt;
&lt;p&gt;It's working fine in my laptop. But how can my customers get to access that class to get all their contacts ?&lt;/p&gt;
</t>
  </si>
  <si>
    <t xml:space="preserve">&lt;p&gt;I am looking for some samples which I can use to post/retrieve feeds to/from groups in sales force chatter. While googling I have come across Chatter REST API in conjunction with RestKit. I was unable to run this sample which i have downloaded from github&lt;/p&gt;
&lt;p&gt;&lt;a href="https://github.com/cseymourSF/Chatter-API-iOS-Sample" rel="nofollow"&gt;https://github.com/cseymourSF/Chatter-API-iOS-Sample&lt;/a&gt;&lt;/p&gt;
&lt;p&gt;After running the code i am able to login to sales force via application. But for the below
Request :&lt;/p&gt;
&lt;p&gt;Sending asynchronous GET request to URL ///services/data/v23.0/chatter/users/userId.
(ex:///services/data/v23.0/chatter/users/me)&lt;/p&gt;
&lt;p&gt;Error:&lt;/p&gt;
&lt;p&gt;User fetch failed with error: Error Domain=NSURLErrorDomain Code=-1002 "unsupported URL" UserInfo=0xa58ffa0 {NSErrorFailingURLStringKey=///services/data/v23.0/chatter/users/userId, NSErrorFailingURLKey=///services/data/v23.0/chatter/users/userId, NSLocalizedDescription=unsupported URL, NSUnderlyingError=0xa5906d0 "unsupported URL"}&lt;/p&gt;
&lt;p&gt;and the current url i am suing is below:&lt;/p&gt;
&lt;p&gt;&lt;a href="https://na15.salesforce.com/services/data/v23.0/chatter/users/me" rel="nofollow"&gt;https://na15.salesforce.com/services/data/v23.0/chatter/users/me&lt;/a&gt;&lt;/p&gt;
&lt;p&gt;any help could be appreciated.&lt;/p&gt;
</t>
  </si>
  <si>
    <t xml:space="preserve">&lt;p&gt;Can anyone please tell me the process of posting the data captured from,a html web form into zoho CRM?&lt;/p&gt;
&lt;p&gt;I have created a normal client side html form with all the necessary validations using JavaScript now I want to store the data from that form into zoho CRM so that I can,analyze data better.&lt;/p&gt;
</t>
  </si>
  <si>
    <t xml:space="preserve">&lt;p&gt;Is it possible to measure data set in terms of bytes?&lt;/p&gt;
&lt;p&gt;I was searching for the same as I was required to calculate the bytes of the search I am making on to a QuickBase Table for some debugging process.&lt;/p&gt;
&lt;p&gt;Data set could be as simple as a result of the operation&lt;/p&gt;
&lt;blockquote&gt;
  &lt;p&gt;Select * from employees&lt;/p&gt;
&lt;/blockquote&gt;
&lt;p&gt;which fetches a 1000 something rows of 5 columns each&lt;/p&gt;
&lt;p&gt;Is it possible to calculate that in a PHP application?&lt;/p&gt;
&lt;p&gt;I have not been very successful while googling this.&lt;/p&gt;
&lt;p&gt;Any suggestions?&lt;/p&gt;
&lt;p&gt;Thanks. &lt;/p&gt;
</t>
  </si>
  <si>
    <t xml:space="preserve">&lt;p&gt;How do I create a Chatter Post that looks like &lt;a href="http://www.flickr.com/photos/69226159@N07/10694237645/" rel="nofollow"&gt;this&lt;/a&gt;?  &lt;/p&gt;
&lt;p&gt;What I want to do is, have a trigger that calls a function to create a chatter post when a new contact is created.  I want it to look like the image below.  Right now, I have a trigger on 'Contact' that calls a function, but I'm not sure of how to create a Chatter FeedItem that looks like this.&lt;/p&gt;
&lt;p&gt;&lt;a href="http://www.flickr.com/photos/69226159@N07/10694237645/" rel="nofollow"&gt;Sample Chatter Post&lt;/a&gt;&lt;/p&gt;
</t>
  </si>
  <si>
    <t xml:space="preserve">&lt;p&gt;That looks like an HTML-formatted chatter post.&lt;/p&gt;
&lt;p&gt;&lt;a href="https://success.salesforce.com/ideaView?id=08730000000hGNZAA2" rel="nofollow"&gt;https://success.salesforce.com/ideaView?id=08730000000hGNZAA2&lt;/a&gt;&lt;/p&gt;
&lt;p&gt;Vote it up.&lt;/p&gt;
</t>
  </si>
  <si>
    <t xml:space="preserve">&lt;p&gt;I am pretty new to SFDC. I am trying to implement a clone functionality of a custom object by which when I am cloning an object, the object as well as all the object in its related list are to be cloned. I have implemented the part of cloning a object but stuck how to get the object list associated with a object's related list. pls let me know , how to implement this.&lt;/p&gt;
&lt;p&gt;Thanks&lt;/p&gt;
</t>
  </si>
  <si>
    <t xml:space="preserve">&lt;p&gt;You can try this...&lt;/p&gt;
&lt;p&gt;public class PurchaseOrderCloneWithItemsController {&lt;/p&gt;
&lt;pre&gt;&lt;code&gt;//added an instance varaible for the standard controller
private ApexPages.StandardController controller {get; set;}
 // add the instance for the variables being passed by id on the url
private Purchase_Order__c po {get;set;}
// set the id of the record that is created -- ONLY USED BY THE TEST CLASS
public ID newRecordId {get;set;}
// initialize the controller
public PurchaseOrderCloneWithItemsController(ApexPages.StandardController controller) {
    //initialize the stanrdard controller
    this.controller = controller;
    // load the current record
    po = (Purchase_Order__c)controller.getRecord();
}
// method called from the VF's action attribute to clone the po
public PageReference cloneWithItems() {
     // setup the save point for rollback
     Savepoint sp = Database.setSavepoint();
     Purchase_Order__c newPO;
     try {
          //copy the purchase order - ONLY INCLUDE THE FIELDS YOU WANT TO CLONE
         po = [select Id, Name, Ship_To__c, PO_Number__c, Supplier__c, Supplier_Contact__c, Date_Needed__c, Status__c, Type_of_Purchase__c, Terms__c, Shipping__c, Discount__c from Purchase_Order__c where id = :po.id];
         newPO = po.clone(false);
         insert newPO;
         // set the id of the new po created for testing
           newRecordId = newPO.id;
         // copy over the line items - ONLY INCLUDE THE FIELDS YOU WANT TO CLONE
         List&amp;lt;Purchased_Item__c&amp;gt; items = new List&amp;lt;Purchased_Item__c&amp;gt;();
         for (Purchased_Item__c pi : [Select p.Id, p.Unit_Price__c, p.Quantity__c, p.Memo__c, p.Description__c From Purchased_Item__c p where Purchase_Order__c = :po.id]) {
              Purchased_Item__c newPI = pi.clone(false);
              newPI.Purchase_Order__c = newPO.id;
              items.add(newPI);
         }
         insert items;
     } catch (Exception e){
         // roll everything back in case of error
        Database.rollback(sp);
        ApexPages.addMessages(e);
        return null;
     }
    return new PageReference('/'+newPO.id+'/e?retURL=%2F'+newPO.id);
}
&lt;/code&gt;&lt;/pre&gt;
</t>
  </si>
  <si>
    <t xml:space="preserve">&lt;p&gt;Hi I was just trying an example with SFDC IOS native SDK.&lt;/p&gt;
&lt;p&gt;Here how to upload the offline stored data to salesforce once connection is back. Is this we have to take care it manually or something smartStore will detect and it will synchronise automatically ?.&lt;/p&gt;
&lt;p&gt;It it is manual how to do it with native IOS.&lt;/p&gt;
&lt;p&gt;or is there any tutorial that clearly explains this concept ?&lt;/p&gt;
&lt;p&gt;Also how to update and delete data in salesforce db ?&lt;/p&gt;
</t>
  </si>
  <si>
    <t xml:space="preserve">&lt;p&gt;I am trying to use getSearchRecordsByPDC method which can be found here &lt;a href="https://www.zoho.com/crm/help/api/getsearchrecordsbypdc.html#Request_URL" rel="nofollow"&gt;https://www.zoho.com/crm/help/api/getsearchrecordsbypdc.html#Request_URL&lt;/a&gt;&lt;/p&gt;
&lt;p&gt;I have this code:&lt;/p&gt;
&lt;pre&gt;&lt;code&gt;private $token = '1234567890abcdefg';
public $responseType = 'xml';
 public function getSearchRecordsByPDC($searchValue,$searchColumn='email')
 {
 $url = "https://crm.zoho.com/crm/private/".$this-&amp;gt;responseType."/Leads/getSearchRecordsByPDC?newFormat=1&amp;amp;authtoken=".$this-&amp;gt;token."&amp;amp;scope=crmapi&amp;amp;selectColumns=Leads(First Name,Lead Source,Phone,Mobile,Website,Lead Status,Description,Last Name,Website,Email,Lead Owner)&amp;amp;searchColumn=$searchColumn&amp;amp;searchValue=$searchValue";
 $result = $this-&amp;gt;curlRequest($url);
 return $result;
 }
 public function curlRequest($url)
 {
 $ch = curl_init();
 curl_setopt($ch, CURLOPT_URL, $url);
 curl_setopt($ch, CURLOPT_RETURNTRANSFER, 1); 
 curl_setopt($ch, CURLOPT_SSL_VERIFYPEER, false);
 $output = curl_exec($ch);
 curl_close($ch);
 return $output;
 }
$data = $zoho-&amp;gt;getSearchRecordsByPDC('my_email@gmail.com');
print_r($data);
&lt;/code&gt;&lt;/pre&gt;
&lt;p&gt;I just posted some snippets of my code to not appear it to be very long. &lt;/p&gt;
&lt;p&gt;When running this code. I am not getting any response, even an error message or whatsoever, like I am getting a blank response, no xml response or whatever. But when ever I try to copy and paste the &lt;code&gt;$url&lt;/code&gt; variable output into my web browser, I am getting response, and those response are valid.&lt;/p&gt;
&lt;p&gt;What's wrong with this? Your help will be greatly appreciated! Thanks!&lt;/p&gt;
</t>
  </si>
  <si>
    <t xml:space="preserve">&lt;pre&gt;&lt;code&gt;Dim Smtp_Server As New SmtpClient
Dim e_mail As New MailMessage()
Smtp_Server.UseDefaultCredentials = False
Smtp_Server.Credentials = New Net.NetworkCredential(abc@zoho.com,abc123)
Smtp_Server.Port = 465
Smtp_Server.EnableSsl = True
Smtp_Server.Host = "smtp.zoho.com"
e_mail = New MailMessage()
e_mail.From = New MailAddress(abc@zoho.com)
e_mail.To.Add("david@hotmail.com")
e_mail.Subject = "Testing"
e_mail.IsBodyHtml = False
Smtp_Server.Send(e_mail)
Return True
&lt;/code&gt;&lt;/pre&gt;
&lt;p&gt;Now I trying to send email to other person but the error show me the operation timed out, when using ZOHO to send. And I got find the solution but still fail to send. How can I solve it?&lt;/p&gt;
</t>
  </si>
  <si>
    <t xml:space="preserve">&lt;p&gt;I am fetching a set of 10 records by using this soql in below apex code in sfdc.
After fetching the records I need to only update a new value for ILR_&lt;em&gt;c field.(ilrItemClone.ILR&lt;/em&gt;_c= ilrClone.id) and then need to insert the set of new 10 records with all other fields being same as original records except from ILR__c.
But, my looping thru the list "ilrItem" is not working correctly and in the debug log I found I am getting the 1st set of record 10 times coming and hence its failing to insert the records in the system.&lt;/p&gt;
&lt;p&gt;Pls let me know how can I get traverse thru the all 10 records and get the desired record.
I am sure that I made a basic mistake in looping but couldnt figure it out.
Thanks for ur help.&lt;/p&gt;
&lt;p&gt;Here is the code piece.&lt;/p&gt;
&lt;pre class="lang-apex prettyprint-override"&gt;&lt;code&gt;    ilrItem = [ SELECT  Id, Name,
                        Account__c,
                        Comments__c,
                        ILR__c,
                        Precursor_Sample_Dropped__c,
                        PFE_Completed_Calls__c
                FROM ILR_Item__c
                WHERE  ILR__c = :presentId];
    for (ILR_Item__c ilrItems: ilrItem) {
        for(Integer i=0;i&amp;lt; ilrItem.size(); i++) {
            try {
                if (ilrItems!=null) {
                    ilrItemClone.Name= ilrItems.Name;
                    ilrItemClone.ILR__c= ilrClone.id;
                    ilrItemClone.Account__c= ilrItems.Account__c;
                    ilrItemClone.Comments__c= ilrItems.Comments__c;
                    ilrItemClone.PFE_Planned_Calls__c= ilrItems.PFE_Planned_Calls__c;
                    ilrItemClone.PFE_Completed_Calls__c= ilrItems.PFE_Completed_Calls__c;
                    ilrItemClist.add(ilrItemClone);
                }
            } catch(Exception e){}
        }
    }
    system.debug('********'+ilrItemClist);
    insert ilrItemClist;
}
&lt;/code&gt;&lt;/pre&gt;
</t>
  </si>
  <si>
    <t xml:space="preserve">&lt;p&gt;You do not need the second inner loop here, just remove it. Also you need to create a new instance of &lt;code&gt;ilrItems&lt;/code&gt; each time when you add a new values.&lt;/p&gt;
&lt;pre class="lang-apex prettyprint-override"&gt;&lt;code&gt;    ilrItem = [ SELECT  Id, Name,
                        Account__c,
                        Comments__c,
                        ILR__c,
                        Precursor_Sample_Dropped__c,
                        PFE_Completed_Calls__c
                FROM ILR_Item__c
                WHERE  ILR__c = :presentId];
    for (ILR_Item__c ilrItems: ilrItem) {
        try {
            if (ilrItems!=null) {
            // I do not know the type of object for ilrItemClone variable, because you define it above 
            ilrItemClone = new ilrItemClone__c(); 
            ilrItemClone.Name= ilrItems.Name;
            ilrItemClone.ILR__c= ilrClone.id;
            ilrItemClone.Account__c= ilrItems.Account__c;
            ilrItemClone.Comments__c= ilrItems.Comments__c;
            ilrItemClone.PFE_Planned_Calls__c= ilrItems.PFE_Planned_Calls__c;
            ilrItemClone.PFE_Completed_Calls__c= ilrItems.PFE_Completed_Calls__c;
            ilrItemClist.add(ilrItemClone);
            }
        } catch(Exception e){}
    }
    system.debug('********'+ilrItemClist);
    insert ilrItemClist;
}
&lt;/code&gt;&lt;/pre&gt;
&lt;p&gt;The other trouble is catching the common exception. It's a bad practice.&lt;/p&gt;
</t>
  </si>
  <si>
    <t xml:space="preserve">&lt;p&gt;I am doing all the steps to gain an oauth token for salesforce but unable to workout the final step. I want to gather the Users information (email, first name, lastname, thumbnail).&lt;/p&gt;
&lt;p&gt;So I get to the step where I can get this information :&lt;/p&gt;
&lt;pre&gt;&lt;code&gt;&amp;lt;OAuth&amp;gt;
&amp;lt;id&amp;gt;
   https://login.salesforce.com/id/00D90000000qdxPEAQ/00590000001hbAyAAI
&amp;lt;/id&amp;gt;
&amp;lt;issued_at&amp;gt;1386648423427&amp;lt;/issued_at&amp;gt;
&amp;lt;scope&amp;gt;id chatter_api&amp;lt;/scope&amp;gt;
&amp;lt;instance_url&amp;gt;https://ap1.salesforce.com&amp;lt;/instance_url&amp;gt;
&amp;lt;signature&amp;gt;YlnejSL3ZKkSmbnt916sLZuzt13UNUFGi+kGCjU7ql0=&amp;lt;/signature&amp;gt;
&amp;lt;access_token&amp;gt;
00D90000000qdxP!AQsAQIcR.oo6y.EDuf3B4fzctQ2e7DK0L1kGjgxGSl.dBgetu3lUbZp.VDZjSIi7O1LXmTMWFZmOJVeRS.IQfvPL8VmhxLaC
&amp;lt;/access_token&amp;gt;
&amp;lt;/OAuth&amp;gt;
&lt;/code&gt;&lt;/pre&gt;
&lt;p&gt;but from here, I am not sure how to get the users information (returned as XML or JSON).
From a browser, can't I go to &lt;a href="https://login.salesforce.com/id/00D50000000IZ3ZEAW/00550000001fg5OAAQ" rel="nofollow"&gt;https://login.salesforce.com/id/00D50000000IZ3ZEAW/00550000001fg5OAAQ&lt;/a&gt;  followed by some auth key?  (I dont have CURL installed).&lt;/p&gt;
&lt;p&gt;Whenever I try go to this in the URL it states  &lt;/p&gt;
&lt;pre&gt;&lt;code&gt;   Missing_OAuth_Token
&lt;/code&gt;&lt;/pre&gt;
</t>
  </si>
  <si>
    <t xml:space="preserve">&lt;p&gt;i am using the below code to connect to salesforce using php&lt;/p&gt;
&lt;pre&gt;&lt;code&gt; require_once ('SforcePartnerClient.php');
require_once ('SforceHeaderOptions.php');  
require_once ('SforceMetadataClient.php'); 
$mySforceConnection = new SforcePartnerClient(); 
$mySforceConnection-&amp;gt;createConnection("cniRegistration.wsdl");
$loginResult = $mySforceConnection-&amp;gt;login("username", "password.token");
$queryOptions = new QueryOptions(200);
try {
  $sObject = new stdclass();
  $sObject-&amp;gt;Name = 'Smith';
  $sObject-&amp;gt;Phone = '510-555-5555';
  $sObject-&amp;gt;fieldsToNull = NULL;
  echo "**** Creating the following:\r\n";
  $createResponse = $mySforceConnection-&amp;gt;create($sObject, 'Account');
  $ids = array();
  foreach ($createResponse as $createResult) {
    print_r($createResult);
    array_push($ids, $createResult-&amp;gt;id);
  }
} catch (Exception $e) {
  echo $e-&amp;gt;faultstring;
}
&lt;/code&gt;&lt;/pre&gt;
&lt;p&gt;But the above code is connect to salesforce database.
But is not executing the create commands. it's giving me the below error message&lt;/p&gt;
&lt;p&gt;Creating the following: &lt;strong&gt;Element {}item invalid at this location&lt;/strong&gt;&lt;/p&gt;
&lt;p&gt;can any one suggest me to overcome the above problem&lt;/p&gt;
</t>
  </si>
  <si>
    <t xml:space="preserve">&lt;p&gt;Zoho Creator is a great system for quickly creating simple cloud applications.  I've run into a problem with sub-forms, though: currently, Zoho Creator does not provide functionality for sorting sub-form records by a specified column.  Instead, it sorts records in the order in which they were added.&lt;/p&gt;
&lt;p&gt;My sub-form is a Creator Form that's linked to another Creator Form (basically, 2 different tables).  The forms are linked with a bi-directional lookup relationship.&lt;/p&gt;
&lt;p&gt;I've seen and tried implementing these "hacks", but none of them work for my situation:&lt;/p&gt;
&lt;ul&gt;
&lt;li&gt;[Zoho Forums, "Subforms sorting rows"][1]&lt;/li&gt;
&lt;li&gt;[Zoho Forums, "Hack to sort rows of a subform and pre-populate row fields that I want to preset"][2]&lt;/li&gt;
&lt;/ul&gt;
&lt;p&gt;I also called Zoho tech support, and after looking at my application, they said that sorting sub-form records is not currently possible.&lt;/p&gt;
&lt;p&gt;Any other ideas?  &lt;/p&gt;
</t>
  </si>
  <si>
    <t xml:space="preserve">&lt;p&gt;My tested solution is still a hack, but until Zoho implements a method to sort sub-form records via the GUI, this will have to do.&lt;/p&gt;
&lt;p&gt;First, create a function that you can call from anywhere (e.g. when a new sub-form record is added or changed)--for details on that, go here: &lt;a href="http://www.zoho.com/creator/help/script/functions.html" rel="nofollow"&gt;http://www.zoho.com/creator/help/script/functions.html&lt;/a&gt;&lt;/p&gt;
&lt;p&gt;This function will first duplicate the sub-form records by the parent record ID (sorting by the appropriate column) and then delete all sub-form records that were inserted before the script started:&lt;/p&gt;
&lt;pre&gt;&lt;code&gt;int SubFormRecords_SortByAnything_ReturnCount(int ParentRecordID)
{
    scriptStartTime = zoho.currenttime;
    for each rSubFormRecord in SubFormRecords  [ParentFieldName = input.ParentRecordID] sort by FieldName1, FieldName3, FieldName2
    {
        NewSubFormRecordID = insert into SubFormRecords
        [
            FieldName1 = rSubFormRecord.FieldName1
            FieldName2 = rSubFormRecord.FieldName2
            FieldName3 = rSubFormRecord.FieldName3
        ];
    }
    delete from SubFormRecords[ (Series == input.ParentRecordID &amp;amp;&amp;amp; Added_Time &amp;lt; scriptStartTime) ];
    return SubFormRecords[ParentFieldName == input.EventID].count();
}
&lt;/code&gt;&lt;/pre&gt;
&lt;p&gt;Once the above sorting function is in place (customized for your application), call it when appropriate.  I call it when adding a record associated with the sub-form, or when I change the sorting column values.&lt;/p&gt;
&lt;p&gt;That works well, and as long as you don't have complex logic associated with adding and deleting records, it should have minimal impact on application performance.&lt;/p&gt;
&lt;p&gt;Please let me know whether that works for you, and if you have any better ideas.&lt;/p&gt;
&lt;p&gt;&lt;strong&gt;Caveat:&lt;/strong&gt; This solution is not suitable for forms containing additional sub-form records because deleting the records will delete linked sub-form values.&lt;/p&gt;
&lt;p&gt;Thanks.&lt;/p&gt;
</t>
  </si>
  <si>
    <t xml:space="preserve">&lt;p&gt;there are many standard objects e.g. AccountcontactRole, LetterHead, Approval etc. which can be retrieved using Salesforce APIs. What is the way to see these objects in Salesforce environment in browser?&lt;/p&gt;
</t>
  </si>
  <si>
    <t xml:space="preserve">&lt;p&gt;Very roughly speaking - easiest cheat is to simply put the Id in the URL. So if your Salesforce instance is &lt;code&gt;https://na1.salesforce.com&lt;/code&gt; then adding &lt;code&gt;/001....&lt;/code&gt; (any valid Account Id) will take you to this account. Similarly &lt;code&gt;/016...&lt;/code&gt; will take you to "this" Letterhead record.&lt;/p&gt;
&lt;p&gt;Some data is easily accessible to users - for example AccountContactRole should be available as related list under Account. If it isn't - probably the administrator removed it from page layout because the company decided to use only the straightforward Account - Contact relationship.&lt;/p&gt;
&lt;p&gt;Some data like Letterheads, EmailTemplates, Approval processes is visible in the setup area (not all users have the "View Setup and Configuration" permission in their Profiles!)&lt;/p&gt;
&lt;p&gt;&lt;code&gt;*Share&lt;/code&gt; records (like AccountShare) would be visible after you click the Sharing button on the page layout (if it's not visible - again, check with Admin).&lt;/p&gt;
&lt;hr&gt;
&lt;p&gt;If you're using API to fetch the data, you probably can also use "describe" calls to fetch info which objects are available, what fields are present in the tables... Sometimes the "Frontdoor URLs" property is set (although I confess I'm not sure how to get it, &lt;a href="http://www.salesforce.com/us/developer/docs/apexcode/Content/apex_Schema_DescribeSObjectResult_instance_methods.htm" rel="nofollow noreferrer"&gt;http://www.salesforce.com/us/developer/docs/apexcode/Content/apex_Schema_DescribeSObjectResult_instance_methods.htm&lt;/a&gt; doesn't mention it).&lt;/p&gt;
&lt;p&gt;Also -  if you haven't noticed yet - all Accounts start with "001". Try to guess where "/001" and "/001/o" links would lead.&lt;/p&gt;
&lt;p&gt;&lt;img src="https://i.stack.imgur.com/6iGoo.png" alt="enter image description here"&gt;&lt;/p&gt;
</t>
  </si>
  <si>
    <t xml:space="preserve">&lt;p&gt;I have use Outbound Message in salesforce. When the Trigger is Occur on the particular object  outbound Message to pass particular End URL. here I want to receive the Outbound Message from the Mulesoft(EndPoint URL) . I have tried HTTP,UDP,TCP,Genric these Kind of endpoint URL but its not working. How i can Use the Mulesoft end point URL. by using Local host its possible or not. Because I have used Localhost:8081 this kind of URL only. what are all the way i have to receive salesforce outbound Message. Thanks &lt;/p&gt;
</t>
  </si>
  <si>
    <t xml:space="preserve">&lt;p&gt;I want to integrate salesforce with mule. In Salesforce i am using Outbound message. In outbound Message asking Endpoint URL. but i need integrate with salesforce to mule. so How i can give the Endpoint URL Address. Which Endpoint URL is suitable for connect with Mule. how can i connect and Which Endpoint Component will go to use in mule. how i receive the Outbound message in mule from salesforce. In salesforce i know the outbound message creation. I don't know the Endpoint URL. Normal Salesforce Endpoint URL link to some other Webpage. but here i should need Mule Endpoint URL. How i can give this. Please Suggest it. Thanks.&lt;/p&gt;
</t>
  </si>
  <si>
    <t xml:space="preserve">&lt;p&gt;you need to create a http-endpoint in your mule flow, and specify to which URL it should listen to.
example of such endpoint declaration is:&lt;/p&gt;
&lt;pre&gt;&lt;code&gt;&amp;lt;http:endpoint  name="myEndpoint"  address="http://myExample.info/exampleAddress" exchange-pattern="request-response"/&amp;gt;
&lt;/code&gt;&lt;/pre&gt;
&lt;p&gt;&lt;strong&gt;update&lt;/strong&gt; &lt;br&gt;
set the address for endpoint to the available port, so if 80 is not occupied - it's ok to have it for example address="http://localhost:80/exampleAddress/"&lt;/p&gt;
</t>
  </si>
  <si>
    <t xml:space="preserve">&lt;p&gt;I'm using the &lt;a href="https://github.com/QuickbaseAdmirer/QuickBase-C-Sharp-SDK" rel="nofollow"&gt;Quickbase C# SDK&lt;/a&gt; to submit a form to Quickbase from an external site. I want to attach a file along with the form and can't seem to figure out how to do so.&lt;/p&gt;
&lt;p&gt;Below is a stripped version of my code:&lt;/p&gt;
&lt;p&gt;ASPX&lt;/p&gt;
&lt;pre&gt;&lt;code&gt;&amp;lt;form id="form1" runat="server"&amp;gt;
&amp;lt;asp:TextBox ID="txtFileName" CssClass="textbox" Columns="40" runat="server"&amp;gt;&amp;lt;/asp:TextBox&amp;gt;
&amp;lt;input type="file" id="attachment1" runat="server" /&amp;gt;
&amp;lt;asp:Button ID="btnSubmit" runat="server" Text="Submit" OnClick="btnSubmit_Click" /&amp;gt;
&amp;lt;/form&amp;gt;
&lt;/code&gt;&lt;/pre&gt;
&lt;p&gt;CS&lt;/p&gt;
&lt;pre&gt;&lt;code&gt;protected void btnSubmit_Click(object sender, EventArgs e)
{
    IQClient client = QuickBase.Login("username", "password", "domain"); 
    IQApplication app = client.Connect("db_id", "app_token";
    AppInfo appInfo = app.GetApplicationInfo();
    IQTable table = app.GetTable("table_id");
    IQRecord newRecord = table.NewRecord();
    newRecord["File Name"] = txtFileName.Text;
    // attach file?
    newRecord.AcceptChanges();
    table.AcceptChanges();
    client.Logout();
}
&lt;/code&gt;&lt;/pre&gt;
&lt;p&gt;Thanks in advance.&lt;/p&gt;
</t>
  </si>
  <si>
    <t xml:space="preserve">&lt;p&gt;In Vinyl, I can define a type alias for a record to make it easier to export to other modules:&lt;/p&gt;
&lt;pre&gt;&lt;code&gt;import Data.Vinyl
name = Field :: "name" ::: String
age = Field :: "age" ::: Int
type Person = ["name" ::: String, "age" ::: Int]
&lt;/code&gt;&lt;/pre&gt;
&lt;p&gt;Now suppose I add another field storing height. &lt;/p&gt;
&lt;pre&gt;&lt;code&gt;height = Field :: "height" ::: Int
&lt;/code&gt;&lt;/pre&gt;
&lt;p&gt;I would like to nicely construct a type alias for the record containing a &lt;code&gt;Person&lt;/code&gt; and &lt;code&gt;height&lt;/code&gt;. Naively, that might look something like this:&lt;/p&gt;
&lt;pre&gt;&lt;code&gt;type MeasuredPerson = ("height" ::: Int) : Person
&lt;/code&gt;&lt;/pre&gt;
&lt;p&gt;This syntax doesn't work, obviously! Is there a way to do this? Are there any good references that explain the type-level array syntax that seems to be in use here?&lt;/p&gt;
</t>
  </si>
  <si>
    <t xml:space="preserve">&lt;p&gt;Turns out there's a very easy answer to this which I managed to miss:&lt;/p&gt;
&lt;p&gt;&lt;code&gt;Data.Vinyl.Rec&lt;/code&gt; defines both cons and append for type level lists, so the following works:&lt;/p&gt;
&lt;pre&gt;&lt;code&gt;type MeasuredPerson = ("height" ::: Int) ': Person
&lt;/code&gt;&lt;/pre&gt;
&lt;p&gt;If I had two lists, I could append them as follows:&lt;/p&gt;
&lt;pre&gt;&lt;code&gt;type Other = Person ++ Address
&lt;/code&gt;&lt;/pre&gt;
</t>
  </si>
  <si>
    <t xml:space="preserve">&lt;p&gt;I am currently doing preliminary research for a project which, if it is feasible, will consist of a Thunderbird extension with Lightning integration. My question is this: &lt;strong&gt;How do I use a Thunderbird extension to programmatically change the CSS in Lightning?&lt;/strong&gt;  &lt;/p&gt;
&lt;p&gt;Specifically, I want to change the background on the Lightning UI from the normal color to a picture from within my extension -- the idea being that the user downloads the extension, and voila, he has an interesting background. Do you have any idea how I could achieve this?&lt;/p&gt;
</t>
  </si>
  <si>
    <t xml:space="preserve">&lt;p&gt;I'm trying to get jQuery to run on Quickbase.  I've run this code in jsfiddle and it works fine.  It's really simple code to test out the html pages in Quickbase.  I am currently using the built in html pages option and adding the code below but the scripting does not work.  What am I missing?&lt;/p&gt;
&lt;pre&gt;&lt;code&gt;&amp;lt;style&amp;gt;
.test{
color:blue;
}
&amp;lt;/style&amp;gt;
&amp;lt;body&amp;gt;
&amp;lt;h1 class="test"&amp;gt;
test
&amp;lt;/h1&amp;gt;
&amp;lt;div id="mydiv"&amp;gt;&amp;lt;/div&amp;gt; 
&amp;lt;script type="text/ javascript"&amp;gt;
var version = $().jquery;
$("#mydiv").html("QuickBase is using jQuery version " + version);
&amp;lt;/script&amp;gt;
&amp;lt;script type="text/javascript"&amp;gt;
$('document').ready(function(){
    $('h1').css('border','solid 2px red');
});
&amp;lt;/script&amp;gt;
&amp;lt;/body&amp;gt;
&lt;/code&gt;&lt;/pre&gt;
</t>
  </si>
  <si>
    <t xml:space="preserve">&lt;p&gt;Even though QuickBase says that jQuery is on by default in the code pages that can be built you will still have to call it in each page should you need it.&lt;/p&gt;
</t>
  </si>
  <si>
    <t xml:space="preserve">&lt;p&gt;I am trying to add a lead to a Zoho CRM module with Python. I keep getting:&lt;/p&gt;
&lt;p&gt;&amp;lt; response&gt;&amp;lt; error&gt;&amp;lt; code&gt;4600&amp;lt; /code&gt;&amp;lt; message&gt;Unable to process your request. Please    verify if the name and value is appropriate for the "xmlData" parameter.&amp;lt; /message&gt;&amp;lt; /error&gt;&amp;lt; /response&gt;&lt;/p&gt;
&lt;p&gt;from the server. I have no idea if I am posting correctly or if it is a problem with our Xml Data. I am using urllib and urllib2 to format the post request.&lt;/p&gt;
&lt;p&gt;The post request looks like this.&lt;/p&gt;
&lt;pre&gt;&lt;code&gt;    url = ("https://crm.zoho.com/crm/private/xml/Leads/insertRecords?authtoken="
            ""+str(self.authToken)+"&amp;amp;scope=crmapi")
    params = {"xmlData":self.xml}
    data = urllib.urlencode(params)
    request = urllib2.Request(url = url, data =data)
    request.add_header("Content-Type",'application/xml')
    response = urllib2.urlopen(request)
&lt;/code&gt;&lt;/pre&gt;
</t>
  </si>
  <si>
    <t xml:space="preserve">&lt;p&gt;You cannot combine HTTP GET query parameters (ones in URL) and HTTP POST parameters.&lt;/p&gt;
&lt;p&gt;This is limitation on the HTTP protocol level, not in Python or Zoho.&lt;/p&gt;
&lt;p&gt;Most likely you are doing it wrong. Revisit Zoho documentation how it should be done.&lt;/p&gt;
&lt;p&gt;Here is another old library doing Zoho + CRM, written in Python. You might want to check it for inspiration: &lt;a href="https://github.com/miohtama/mfabrik.zoho" rel="nofollow"&gt;https://github.com/miohtama/mfabrik.zoho&lt;/a&gt; &lt;/p&gt;
</t>
  </si>
  <si>
    <t xml:space="preserve">&lt;p&gt;I have send Case object details from salesforce to Jira via MULE soft using outbound message. After Create the Case in Jira Salesforce Outbound Message expect some acknowledgement how can i create the acknowledgement. i have used some XML Code to send Outbound Message but its not working its show some error. &lt;/p&gt;
&lt;pre&gt;&lt;code&gt;&amp;lt;?xml version="1.0" encoding="utf-8"?&amp;gt;
&amp;lt;soapenv:Envelope xmlns:soapenv="&amp;lt;a rel="nofollow" class="external free" href="http://schemas.xmlsoap.org/soap/envelope/"&amp;gt;http://schemas.xmlsoap.org/soap/envelope/&amp;lt;/a&amp;gt;" xmlns="urn:partner.soap.sforce.com"&amp;gt;
    &amp;lt;soapenv:Body&amp;gt;
        &amp;lt;createResponse&amp;gt;
            &amp;lt;result&amp;gt;
                &amp;lt;id&amp;gt;003D000000OY9omIAD&amp;lt;/id&amp;gt;
                &amp;lt;success&amp;gt;true&amp;lt;/success&amp;gt;
            &amp;lt;/result&amp;gt;
            &amp;lt;result&amp;gt;
                &amp;lt;id&amp;gt;001D000000HTK3aIAH&amp;lt;/id&amp;gt;
                &amp;lt;success&amp;gt;true&amp;lt;/success&amp;gt;
            &amp;lt;/result&amp;gt;
        &amp;lt;/createResponse&amp;gt;
    &amp;lt;/soapenv:Body&amp;gt;
&amp;lt;/soapenv:Envelope&amp;gt;
&lt;/code&gt;&lt;/pre&gt;
&lt;p&gt;The Following Error was i have faced
1.SOAP response was a nack
2.org.xml.sax.SAXException: SimpleDeserializer encountered a child element, which is NOT expected, in something it was trying to d
3.XSD:Boolean Error
How can i solve it these things and correct my XML Code. Thanks &lt;/p&gt;
</t>
  </si>
  <si>
    <t xml:space="preserve">&lt;p&gt;You can use some tool like the free &lt;a href="http://www.soapui.org/" rel="nofollow"&gt;SoapUI&lt;/a&gt;  to generate example requests and responses from wsdl. Just install SoapUI, create a new SOAP project with the wsdl from Salesforce, add the generated request to a Mock Service, and let SoapUI generate a Mock Response. There's your example, which should look something like this, with the ? replaced with true/false:&lt;/p&gt;
&lt;pre&gt;&lt;code&gt;&amp;lt;soapenv:Envelope xmlns:soapenv="http://schemas.xmlsoap.org/soap/envelope/" xmlns:out="http://soap.sforce.com/2005/09/outbound"&amp;gt;
  &amp;lt;soapenv:Header/&amp;gt;
  &amp;lt;soapenv:Body&amp;gt;
    &amp;lt;out:notificationsResponse&amp;gt;
      &amp;lt;out:Ack&amp;gt;?&amp;lt;/out:Ack&amp;gt;
    &amp;lt;/out:notificationsResponse&amp;gt;
  &amp;lt;/soapenv:Body&amp;gt;
&amp;lt;/soapenv:Envelope&amp;gt;
&lt;/code&gt;&lt;/pre&gt;
</t>
  </si>
  <si>
    <t xml:space="preserve">&lt;p&gt;I need help to create api Proxies that join 2 services Zoho Creator and ebay Trading API&lt;/p&gt;
&lt;p&gt;Zoho Creator have possibility to send https POST with json but constructor in Zoho doesn’t support multilayer json (only simple pair), eBay trading api accept only https XML&lt;/p&gt;
&lt;p&gt;I send simple json request&lt;/p&gt;
&lt;pre&gt;&lt;code&gt;{“XMLDATA”:”&amp;lt;GeteBayOfficialTimeRequest xmlns="urn:ebay:apis:eBLBaseComponents"&amp;gt;...}
&lt;/code&gt;&lt;/pre&gt;
&lt;p&gt;i need to convert this into XML request with value of XMLDATA in the body
and change type of Content-type: in the header to "text/xml"&lt;/p&gt;
&lt;p&gt;When i post request from Zoho creator, i obtain in apigee
Content-type: application/x-www-form-urlencoded
Content-length: 234
Content:
&lt;code&gt;XMLDATA=%3CGeteBayOfficialTimeRequest+xmlns%3D%22urn%3Aebay%3Aapis%3AeBLBaseComponents%22%3E+%3CRequesterCredentials%3E+%3CeBayAuthToken%3EMyToken%3C%2FeBayAuthToken%3E+%3C%2FRequesterCredentials%3E+%3C%2FGeteBayOfficialTimeRequest%3E&lt;/code&gt;&lt;/p&gt;
&lt;p&gt;Value of XMLDATA - url encoded.&lt;/p&gt;
&lt;p&gt;Can someone help me how to get it work.&lt;/p&gt;
&lt;p&gt;On exit i need:&lt;/p&gt;
&lt;p&gt;&lt;code&gt;Content-type: text/xml&lt;/code&gt;&lt;/p&gt;
&lt;p&gt;Content like:&lt;/p&gt;
&lt;pre&gt;&lt;code&gt;&amp;lt;?xml version="1.0" encoding="utf-8"?&amp;gt;&amp;lt;GeteBayOfficialTimeRequest xmlns="urn:ebay:apis:eBLBaseComponents"&amp;gt;&amp;lt;RequesterCredentials&amp;gt;&amp;lt;eBayAuthToken&amp;gt;
&lt;/code&gt;&lt;/pre&gt;
</t>
  </si>
  <si>
    <t xml:space="preserve">&lt;p&gt;well i get it works.
In Zoho Creator&lt;/p&gt;
&lt;pre&gt;&lt;code&gt;headerMap = map();
headerMap.put("X-EBAY-API-COMPATIBILITY-LEVEL", "855");
headerMap.put("X-EBAY-API-DEV-NAME", "...");
headerMap.put("X-EBAY-API-APP-NAME", "...");
headerMap.put("X-EBAY-API-CERT-NAME", "...");
headerMap.put("X-EBAY-API-SITEID", "3");
headerMap.put("X-EBAY-API-CALL-NAME", "GetItem");
token = “...”;
reqMap = map();
reqMap.put("token", token);
reqMap.put("xmlns", "urn:ebay:apis:eBLBaseComponents");
reqMap.put("body", "&amp;lt;ItemID&amp;gt;...itemid...&amp;lt;/ItemID&amp;gt;");
url = ".....apigeeurl......";
resp = postUrl(url, reqMap, headerMap);
&lt;/code&gt;&lt;/pre&gt;
&lt;p&gt;1) ExtractVariables Policy&lt;/p&gt;
&lt;pre&gt;&lt;code&gt;&amp;lt;ExtractVariables async="false" continueOnError="false" enabled="true" name="extractform"&amp;gt;
&amp;lt;DisplayName&amp;gt;ExtractVar&amp;lt;/DisplayName&amp;gt;
&amp;lt;FaultRules/&amp;gt;
&amp;lt;Properties/&amp;gt;
&amp;lt;Header name="X-EBAY-API-CALL-NAME"&amp;gt;
    &amp;lt;Pattern ignoreCase="false"&amp;gt;{CallName}&amp;lt;/Pattern&amp;gt;
&amp;lt;/Header&amp;gt;
&amp;lt;FormParam name="token"&amp;gt;
    &amp;lt;Pattern&amp;gt;{token}&amp;lt;/Pattern&amp;gt;
&amp;lt;/FormParam&amp;gt;
&amp;lt;FormParam name="xmlns"&amp;gt;
    &amp;lt;Pattern&amp;gt;{xmlns}&amp;lt;/Pattern&amp;gt;
&amp;lt;/FormParam&amp;gt;
  &amp;lt;FormParam name="body"&amp;gt;
    &amp;lt;Pattern&amp;gt;{body}&amp;lt;/Pattern&amp;gt;
&amp;lt;/FormParam&amp;gt;
&amp;lt;IgnoreUnresolvedVariables&amp;gt;true&amp;lt;/IgnoreUnresolvedVariables&amp;gt;
&amp;lt;Source clearPayload="false"&amp;gt;request&amp;lt;/Source&amp;gt;
&amp;lt;/ExtractVariables&amp;gt;
&lt;/code&gt;&lt;/pre&gt;
&lt;p&gt;2) AssignMessage Policy to create new POST&lt;/p&gt;
&lt;pre&gt;&lt;code&gt;&amp;lt;AssignMessage async="false" continueOnError="false" enabled="true" name="getebayofficialtime"&amp;gt;
&amp;lt;DisplayName&amp;gt;FormXml&amp;lt;/DisplayName&amp;gt;
&amp;lt;FaultRules/&amp;gt;
&amp;lt;Properties/&amp;gt;
&amp;lt;Set&amp;gt;
    &amp;lt;Headers&amp;gt;
        &amp;lt;Header name="Content-type"&amp;gt;text/xml&amp;lt;/Header&amp;gt;
    &amp;lt;/Headers&amp;gt;
    &amp;lt;Payload&amp;gt;
&amp;amp;lt;?xml version="1.0" encoding="utf-8"?&amp;amp;gt;
&amp;amp;lt;{CallName}Request xmlns="{xmlns}"&amp;amp;gt;
&amp;amp;lt;RequesterCredentials&amp;amp;gt;
&amp;amp;lt;eBayAuthToken&amp;amp;gt;{token}&amp;amp;lt;/eBayAuthToken&amp;amp;gt;
&amp;amp;lt;/RequesterCredentials&amp;amp;gt;
{body}
&amp;amp;lt;/{CallName}Request&amp;amp;gt;
&amp;lt;/Payload&amp;gt;
&amp;lt;/Set&amp;gt;
&amp;lt;IgnoreUnresolvedVariables&amp;gt;true&amp;lt;/IgnoreUnresolvedVariables&amp;gt;
&amp;lt;AssignTo createNew="false" transport="http" type="request"/&amp;gt;
&amp;lt;/AssignMessage&amp;gt;
&lt;/code&gt;&lt;/pre&gt;
</t>
  </si>
  <si>
    <t xml:space="preserve">&lt;p&gt;I'm trying to connect using kettle spoon installed in one of our db server but I'm getting the error below. I tried using the same .ktr file on my laptop and it is working fine..
I'm sure that the username and password are correct..&lt;/p&gt;
&lt;p&gt;java.lang.Exception: 
Error connecting to Salesforce!
; nested exception is: 
    java.net.ConnectException: Connection timed out: connect&lt;/p&gt;
&lt;pre&gt;&lt;code&gt;at org.pentaho.di.ui.trans.steps.salesforceinput.SalesforceInputDialog.test(SalesforceInputDialog.java:1396)
at org.pentaho.di.ui.trans.steps.salesforceinput.SalesforceInputDialog.access$2000(SalesforceInputDialog.java:96)
at org.pentaho.di.ui.trans.steps.salesforceinput.SalesforceInputDialog$23.handleEvent(SalesforceInputDialog.java:1229)
at org.eclipse.swt.widgets.EventTable.sendEvent(Unknown Source)
at org.eclipse.swt.widgets.Widget.sendEvent(Unknown Source)
at org.eclipse.swt.widgets.Display.runDeferredEvents(Unknown Source)
at org.eclipse.swt.widgets.Display.readAndDispatch(Unknown Source)
at org.pentaho.di.ui.trans.steps.salesforceinput.SalesforceInputDialog.open(SalesforceInputDialog.java:1292)
at org.pentaho.di.ui.spoon.delegates.SpoonStepsDelegate.editStep(SpoonStepsDelegate.java:136)
at org.pentaho.di.ui.spoon.Spoon.editStep(Spoon.java:7756)
at org.pentaho.di.ui.spoon.trans.TransGraph.editStep(TransGraph.java:2756)
at org.pentaho.di.ui.spoon.trans.TransGraph.mouseDoubleClick(TransGraph.java:705)
at org.eclipse.swt.widgets.TypedListener.handleEvent(Unknown Source)
at org.eclipse.swt.widgets.EventTable.sendEvent(Unknown Source)
at org.eclipse.swt.widgets.Widget.sendEvent(Unknown Source)
at org.eclipse.swt.widgets.Display.runDeferredEvents(Unknown Source)
at org.eclipse.swt.widgets.Display.readAndDispatch(Unknown Source)
at org.pentaho.di.ui.spoon.Spoon.readAndDispatch(Spoon.java:1183)
at org.pentaho.di.ui.spoon.Spoon.start(Spoon.java:6968)
at org.pentaho.di.ui.spoon.Spoon.main(Spoon.java:567)
at sun.reflect.NativeMethodAccessorImpl.invoke0(Native Method)
at sun.reflect.NativeMethodAccessorImpl.invoke(Unknown Source)
at sun.reflect.DelegatingMethodAccessorImpl.invoke(Unknown Source)
at java.lang.reflect.Method.invoke(Unknown Source)
at org.pentaho.commons.launcher.Launcher.main(Launcher.java:134)
&lt;/code&gt;&lt;/pre&gt;
</t>
  </si>
  <si>
    <t xml:space="preserve">&lt;p&gt;Can anyone tell me is it possible to display the fields present in a related list in the corresponding page layout ? If yes then how ?&lt;/p&gt;
</t>
  </si>
  <si>
    <t xml:space="preserve">&lt;p&gt;When any changes made to our profiles in chatter that is displayed on our profile saying " This person has changed his name " so is there a possibility that we could delete this message in chatter ???&lt;/p&gt;
</t>
  </si>
  <si>
    <t xml:space="preserve">&lt;p&gt;No u can't delete them, but u can block them to create whenever u update your profile
from feed tracking settings&lt;/p&gt;
&lt;pre&gt;&lt;code&gt;setup &amp;gt; customize &amp;gt; chatter &amp;gt; Feed tracking
&lt;/code&gt;&lt;/pre&gt;
&lt;p&gt;click on User object and untick all checkboxes then save.&lt;/p&gt;
&lt;p&gt;remember: this  will not delete your existing feeds but now it will not create feeds whenever u update your profile.&lt;/p&gt;
&lt;p&gt;take a loook at &lt;a href="http://wiki.developerforce.com/page/An_Introduction_to_Salesforce_Chatter" rel="nofollow"&gt;http://wiki.developerforce.com/page/An_Introduction_to_Salesforce_Chatter&lt;/a&gt;
for more info.&lt;/p&gt;
</t>
  </si>
  <si>
    <t xml:space="preserve">&lt;p&gt;I'm wondering if there's a nice way to refer to types of values without explicitly aliasing them using &lt;code&gt;type&lt;/code&gt; in code (not at runtime - there is no reification going on here).&lt;/p&gt;
&lt;p&gt;Take the following code (using &lt;a href="http://hackage.haskell.org/package/vinyl-0.2" rel="noreferrer"&gt;Data.Vinyl&lt;/a&gt;):&lt;/p&gt;
&lt;pre&gt;&lt;code&gt;{-# LANGUAGE DataKinds, TypeOperators #-}
import Data.Vinyl
name = Field :: "name" ::: String
age = Field :: "age" ::: Int
type Person = ["name" ::: String, "age" ::: Int]
&lt;/code&gt;&lt;/pre&gt;
&lt;p&gt;Here we have the types &lt;code&gt;"name" ::: String&lt;/code&gt; and &lt;code&gt;"age" ::: Int&lt;/code&gt; repeated in two places. If we reuse fields in multiple records, this can become multiple places. Despite the fact that the &lt;code&gt;Person&lt;/code&gt; type is really &lt;em&gt;referring&lt;/em&gt; to the constituent fields, the type declarations are independent. So changing &lt;code&gt;age&lt;/code&gt; to be represented by &lt;code&gt;Float&lt;/code&gt;, say, requires changes in various places.&lt;/p&gt;
&lt;p&gt;Obviously it's not necessary to explicitly type things, since they will be inferred. However, in my case the record types are being returned from an options parser, and thus exported. Likewise, one could write the following:&lt;/p&gt;
&lt;pre&gt;&lt;code&gt;type Name = "name" ::: String
name = Field :: Name
type Age = "age" ::: Int
age = Field :: Age
type Person = [Name, Age]
&lt;/code&gt;&lt;/pre&gt;
&lt;p&gt;However, this then involves another load of type aliases and double the number of lines. What I would &lt;em&gt;like&lt;/em&gt; to be able to write is the following:&lt;/p&gt;
&lt;pre&gt;&lt;code&gt;name = Field :: "name" ::: String
age = Field :: "age" ::: Int
type Person = [typeof name, typeof age]
&lt;/code&gt;&lt;/pre&gt;
&lt;p&gt;This explicitly links the type of a &lt;code&gt;Person&lt;/code&gt; to the types of its fields.&lt;/p&gt;
&lt;p&gt;Is there a way (preferably sans-TH, but I'd be interested even involving TH) to do this? &lt;/p&gt;
</t>
  </si>
  <si>
    <t xml:space="preserve">&lt;p&gt;It should be easy enough to make a &lt;code&gt;String -&amp;gt; [Name] -&amp;gt; DecsQ&lt;/code&gt; function out of
the following. Too bad with ghc7.6 (at least), the check for cycles in type
synonyms seems to stop the prettier &lt;code&gt;type Person = $(listOfT ['name, 'age])&lt;/code&gt; from
working out.&lt;/p&gt;
&lt;pre&gt;&lt;code&gt;{-# LANGUAGE DataKinds, TemplateHaskell, TypeOperators #-}
import Language.Haskell.TH
import Control.Applicative
import Data.Vinyl
name = Field :: "name" ::: String
age = Field :: "age" ::: Int
let listOfT (n:ns) = do
        VarI _ ty _ _ &amp;lt;- reify n
        (appT promotedConsT) (return ty) `appT` listOfT ns
    listOfT [] = promotedNilT
 in return &amp;lt;$&amp;gt; tySynD (mkName "Person") [] (listOfT ['name, 'age])
&lt;/code&gt;&lt;/pre&gt;
</t>
  </si>
  <si>
    <t xml:space="preserve">&lt;p&gt;I am exploring Zoho-invoice api and trying to integrate with my application. But i am stuck and cant find out what is the reason. &lt;/p&gt;
&lt;p&gt;Please help : &lt;/p&gt;
&lt;p&gt;This is how i am calling the API :&lt;/p&gt;
&lt;pre&gt;&lt;code&gt;$fields = array(
                    'contact_name' =&amp;gt; urlencode([name]),
                    'billing_address' =&amp;gt; array('address' =&amp;gt; urlencode([address]), 'city' =&amp;gt; urlencode([city]), 'state' =&amp;gt; urlencode([state]), 'zip' =&amp;gt; urlencode([pincode]), 'country' =&amp;gt; urlencode([country])),
                    'contact_person_id' =&amp;gt; urlencode([id]),
                    'email' =&amp;gt; urlencode([email])
            );
$jsonData = json_encode($fields);
//Initialize connection 
$ch = curl_init("https://invoice.zoho.com/api/v3/contacts?authtoken=[authtoken]&amp;amp;organization_id=[id]&amp;amp;JSONString={$jsonData}"); 
curl_setopt($ch, CURLOPT_VERBOSE, 1);//standard i/o streams 
curl_setopt($ch, CURLOPT_SSL_VERIFYPEER, FALSE);// Turn off the server and peer verification 
curl_setopt($ch, CURLOPT_SSL_VERIFYHOST, FALSE); 
curl_setopt($ch, CURLOPT_RETURNTRANSFER, TRUE);//Set to return data to string ($response) 
curl_setopt($ch, CURLOPT_POST, TRUE);//Regular post   
//Execute cUrl session 
$response = curl_exec($ch);
curl_close($ch);
&lt;/code&gt;&lt;/pre&gt;
&lt;p&gt;I am sending correct auth-token and organization key. &lt;/p&gt;
&lt;p&gt;But I am getting this error response : &lt;/p&gt;
&lt;pre&gt;&lt;code&gt; "code":1048,"message":"Sorry, there was an internal error. Please contact support@zohoinvoice.com for assistance."
&lt;/code&gt;&lt;/pre&gt;
&lt;p&gt;Any help will be appreciated. Thank you&lt;/p&gt;
</t>
  </si>
  <si>
    <t xml:space="preserve">&lt;p&gt;I didn't see you posting your json data in your code. Add these with your code:&lt;/p&gt;
&lt;pre&gt;&lt;code&gt;curl_setopt($ch, CURLOPT_HTTPHEADER, array("Content-Type: application/json") );
curl_setopt($ch, CURLOPT_POSTFIELDS,$jsonData);
&lt;/code&gt;&lt;/pre&gt;
</t>
  </si>
  <si>
    <t xml:space="preserve">&lt;p&gt;I am trying to display logged in user's profile picture using  following:&lt;/p&gt;
&lt;pre&gt;&lt;code&gt;    NSLog(@"url is : %@",[SFAccountManager sharedInstance].idData.pictureUrl);
    profilePicData=[NSData dataWithContentsOfURL:[SFAccountManager sharedInstance].idData.pictureUrl];
    if ( profilePicData )
    {
        NSArray       *paths = NSSearchPathForDirectoriesInDomains(NSDocumentDirectory, NSUserDomainMask, YES);
        NSString  *documentsDirectory = [paths objectAtIndex:0];
        NSString  *filePath = [NSString stringWithFormat:@"%@/%@", documentsDirectory,@"filename.jpg"];
        NSLog(@"pic path:  %@",filePath);
        [profilePicData writeToFile:filePath atomically:YES];
    }
    NSLog(@"pic data:  %@",profilePicData);
}
&lt;/code&gt;&lt;/pre&gt;
&lt;p&gt;in NSLog("%@", [NSData dataWithContentsOfURL:[SFAccountManager sharedInstance].idData.pictureUrl]); shows some data but does not display picture in UIImageView.&lt;/p&gt;
&lt;p&gt;Any Help would be appreciated .&lt;/p&gt;
</t>
  </si>
  <si>
    <t xml:space="preserve">&lt;p&gt;Calling salesforce Rest API and getting user information .&lt;/p&gt;
&lt;pre&gt;&lt;code&gt;    NSString *path=@"/services/data/v29.0/chatter/users/me";
    SFRestMethod method=0;
    SFRestRequest *request = [SFRestRequest requestWithMethod:method path:path queryParams:queryParams];
    [[SFRestAPI sharedInstance] send:request delegate:self];
&lt;/code&gt;&lt;/pre&gt;
&lt;p&gt;this will return json response. 
- (void)request:(SFRestRequest *)request didLoadResponse:(id)dataResponse {….}&lt;/p&gt;
&lt;p&gt;&lt;strong&gt;Parse required photo dictionary from it and use fullEmailPhotoUrl to load/save images.&lt;/strong&gt; 
&lt;strong&gt;using largePhotoUrl and largePhotoUrl did not load picture for me.&lt;/strong&gt;
Eg. of photo dictionary parsed:&lt;/p&gt;
&lt;p&gt;photo =             {&lt;/p&gt;
&lt;p&gt;fullEmailPhotoUrl = "&lt;a href="https://na14.salesforce.com/ncsphoto/" rel="nofollow"&gt;https://na14.salesforce.com/ncsphoto/&lt;/a&gt;&amp;lt;&lt;code&gt;SOMEIDENTIFIERS&lt;/code&gt;&gt;";&lt;/p&gt;
&lt;p&gt;largePhotoUrl = "&lt;a href="https://c.na14.content.force.com/profilephoto/" rel="nofollow"&gt;https://c.na14.content.force.com/profilephoto/&lt;/a&gt;&amp;lt;&lt;code&gt;SOMEIDENTIFIERS&lt;/code&gt;&gt;/F";&lt;/p&gt;
&lt;p&gt;photoVersionId = &amp;lt;&lt;code&gt;PHOTOID&lt;/code&gt;&gt;;&lt;/p&gt;
&lt;p&gt;smallPhotoUrl = "&lt;a href="https://c.na14.content.force.com/profilephoto/" rel="nofollow"&gt;https://c.na14.content.force.com/profilephoto/&lt;/a&gt;&amp;lt;&lt;code&gt;SOMEIDENTIFIERS&lt;/code&gt;&gt;/T";&lt;/p&gt;
&lt;p&gt;standardEmailPhotoUrl = "&lt;a href="https://na14.salesforce.com/ncsphoto/" rel="nofollow"&gt;https://na14.salesforce.com/ncsphoto/&lt;/a&gt;&amp;lt;&lt;code&gt;SOMEIDENTIFIERS&lt;/code&gt;&gt;";&lt;/p&gt;
&lt;p&gt;url = "/services/data/v29.0/chatter/users/&amp;lt;&lt;code&gt;SOMEIDENTIFIERS&lt;/code&gt;&gt;/photo";&lt;/p&gt;
&lt;pre&gt;&lt;code&gt;};
&lt;/code&gt;&lt;/pre&gt;
</t>
  </si>
  <si>
    <t xml:space="preserve">&lt;p&gt;I have the following code:&lt;/p&gt;
&lt;pre&gt;&lt;code&gt;type Drawable = '["object" ::: Object, "transform" ::: M44 GL.GLfloat]
objXfrm :: "transform" ::: M44 GL.GLfloat
objXfrm = Field
objRec :: "object" ::: Object
objRec = Field
drawObject :: (Drawable `ISubset` a) =&amp;gt; M44 GL.GLfloat -&amp;gt; PlainRec a -&amp;gt; IO ()
drawObject camera obj =
    withVAO vao $ do
        GL.currentProgram $= Just (program shdr)
        setUniforms shdr (modelView =: (rGet objXfrm obj !*! camera))
        GL.polygonMode $= (GL.Line, GL.Line)
        GL.drawElements GL.Triangles inds GL.UnsignedInt nullPtr
    where Object {objVAO = vao, objNumIndices = inds, objShader = shdr}
              = rGet objRec obj
&lt;/code&gt;&lt;/pre&gt;
&lt;p&gt;When I get rid of the type on &lt;code&gt;drawObject&lt;/code&gt; it compiles fine, but with the type I get&lt;/p&gt;
&lt;pre&gt;&lt;code&gt;  Could not deduce (IElem * ("transform" ::: V4 (V4 GL.GLfloat)) a)
      arising from a use of `rGet'
    from the context (ISubset * Drawable a)
...
  Could not deduce (IElem * ("object" ::: Object) a)
      arising from a use of `rGet'
    from the context (ISubset * Drawable a)
&lt;/code&gt;&lt;/pre&gt;
&lt;p&gt;The type that GHC deduces for me is&lt;/p&gt;
&lt;pre&gt;&lt;code&gt;drawObject
  :: (IElem * ("object" ::: Object) rs,
      IElem * ("transform" ::: V4 (V4 GL.GLfloat)) rs) =&amp;gt;
     V4 (V4 GL.GLfloat)
     -&amp;gt; Rec rs Data.Functor.Identity.Identity -&amp;gt; IO ()
&lt;/code&gt;&lt;/pre&gt;
&lt;p&gt;And that works fine as a type signature, but the one with &lt;code&gt;ISubset&lt;/code&gt; does not. The error is exactly the same if I interchange the arguments to &lt;code&gt;ISubset&lt;/code&gt;. What is going on here?&lt;/p&gt;
</t>
  </si>
  <si>
    <t xml:space="preserve">&lt;p&gt;Looking at the source code for Vinyl, &lt;code&gt;IElem x xs&lt;/code&gt; (which is a synonym for &lt;code&gt;Implicit (Elem x xs)&lt;/code&gt;) has two instances:&lt;/p&gt;
&lt;pre&gt;&lt;code&gt;instance Implicit (Elem x (x ': xs)) where
    implicitly = Here
instance Implicit (Elem x xs) =&amp;gt; Implicit (Elem x (y ': xs)) where
    implicitly = There implicitly
&lt;/code&gt;&lt;/pre&gt;
&lt;p&gt;Note that there is no mention of &lt;code&gt;Subset&lt;/code&gt; here. Logically, &lt;code&gt;(x ∈ xs) ∧ (xs ⊆ ys) ⇒ (x ∈ ys)&lt;/code&gt;, but since there is no instance with the signature &lt;code&gt;Implicit (Subset xs ys), Implicit (Elem x xs) =&amp;gt; Implicit (Elem x ys)&lt;/code&gt;, Haskell has no way of inferring the appropriate instance. Furthermore, no such instance can be written because doing so would result in some nasty instance overlap.&lt;/p&gt;
&lt;p&gt;As a possible workaround, we can manipulate the membership witnesses (&lt;code&gt;Elem&lt;/code&gt; and &lt;code&gt;Subset&lt;/code&gt;) directly in order to force the appropriate instances (this is totally untested, and may fail miserably):&lt;/p&gt;
&lt;pre&gt;&lt;code&gt;{-# LANGUAGE RankNTypes, ScopedTypeVariables, and possibly more... #-}
-- Lift an Elem value to a constraint.
withElem :: Elem x xs -&amp;gt; (forall r. IElem x xs =&amp;gt; r) -&amp;gt; r
withElem Here x = x
withElem (There e) x = withElem e x
-- Witness of (x ∈ xs) ⇒ (xs ⊆ ys) ⇒ (x ∈ ys)
subsetElem :: Elem x xs -&amp;gt; Subset xs ys -&amp;gt; Elem x ys
subsetElem Here (SubsetCons e _) = e
subsetElem (There e) (SubsetCons _ s) = There (subsetElem e s)
-- Utility for retrieving Elem values from Fields (:::).
fieldElem :: IElem x xs =&amp;gt; x -&amp;gt; Elem x xs
fieldElem _ = implicitly
inSubset :: IElem x xs =&amp;gt; x -&amp;gt; Subset xs ys -&amp;gt; (forall r. IElem x ys =&amp;gt; r) -&amp;gt; r
inSubset f s x = withElem (subsetElem (fieldElem f) s) x
drawObject :: forall a. (Drawable `ISubset` a) =&amp;gt; M44 GL.GLfloat-&amp;gt; PlainRec a -&amp;gt; IO ()
drawObject camera obj =
    inSubset objRec subset $
    inSubset objXfrm subset $
        -- The desired instances should now be available here
        ...
  where
    subset = implicitly :: Subset Drawable a
    ...
&lt;/code&gt;&lt;/pre&gt;
</t>
  </si>
  <si>
    <t xml:space="preserve">&lt;p&gt;I have uninstalled and re-installed lightning 2.6.4 - and the options are there but are grayed out.  It is not disabled.  I have a combination of local and google calendars.  Anyone know what is going on?  I googled this and could not find anything, only way-old versions of both software...&lt;/p&gt;
&lt;p&gt;Thanks&lt;/p&gt;
</t>
  </si>
  <si>
    <t xml:space="preserve">&lt;p&gt;I'm on a eSpace that stopped automatically creating menu items when I drag a entity onto a flow.
What are the steps I can take to make Service Studio resume this behaviour?&lt;/p&gt;
</t>
  </si>
  <si>
    <t xml:space="preserve">&lt;p&gt;Check out what is necessary for &lt;a href="http://www.outsystems.com/help/servicestudio/8.0/default.htm#Web_User_Interface/About_Scaffolding_a_CRUD.htm" rel="nofollow"&gt;that magic to happen here&lt;/a&gt;: . Check the topic about menu entries. It will tell that you need to have the menu set in the theme. You'll also need to have static entities for MenuItem and MenuSutItem - this last one is not mandatory.&lt;/p&gt;
&lt;p&gt;Menu items are only automatically created for the list screens. You need to have a Menu web block defined for the theme and it needs to comply &lt;a href="http://www.outsystems.com/help/servicestudio/8.0/User_Interface/Design_Screen_Layouts.htm#Design_Menu_Layout" rel="nofollow"&gt;with some rules described here&lt;/a&gt; &lt;/p&gt;
&lt;p&gt;I hope this helps you.&lt;/p&gt;
</t>
  </si>
  <si>
    <t xml:space="preserve">&lt;p&gt;How to get all table names in salesforce data using query. for example, In postgreSQL If i give  SELECT table_name FROM information_schema.tables , it will give all table names from information_schema. Same way how can i get all table names from salesforce data?.&lt;/p&gt;
</t>
  </si>
  <si>
    <t xml:space="preserve">&lt;p&gt;You can't do this with a query, but you can use the &lt;a href="http://www.salesforce.com/us/developer/docs/api/index_Left.htm#StartTopic=Content/sforce_api_calls_describeglobal.htm?CSHID=sforce_api_calls_describeglobal.htm" rel="nofollow"&gt;describeGlobal&lt;/a&gt; call (via SOAP or REST), or the &lt;a href="http://www.salesforce.com/us/developer/docs/apexcode/index_Left.htm#StartTopic=Content/Chunk1531839598.htm#apex_methods_system_schema" rel="nofollow"&gt;Schema&lt;/a&gt; object in apex to obtain schema information include table &amp;amp; field names, types, etc.&lt;/p&gt;
</t>
  </si>
  <si>
    <t xml:space="preserve">&lt;p&gt;I am trying to display Image in page which is Uploaded in the form.In the page first I fetched the  ID of the Record and based on the Record I want to display the Image
 I have used this code&lt;/p&gt;
&lt;pre&gt;&lt;code&gt;&amp;lt;img src='https://creatorexport.zoho.com/DownloadFile.do?filepath=/&amp;lt;%=rec.FileUpload%&amp;gt;&amp;amp;sharedBy=userName&amp;amp;appLinkName=app1&amp;amp;viewLinkName=view1'&amp;gt;
&lt;/code&gt;&lt;/pre&gt;
&lt;p&gt;//style&lt;/p&gt;
&lt;p&gt;but It is not displaying the Image. Can anyone please let me know where I have to change so that it displays Image?&lt;/p&gt;
</t>
  </si>
  <si>
    <t xml:space="preserve">&lt;p&gt;I'm trying to update and insert Leads using the Zoho CRM API and I sometimes get the following error:&lt;/p&gt;
&lt;pre&gt;&lt;code&gt;&amp;lt;response&amp;gt;&amp;lt;error&amp;gt;&amp;lt;code&amp;gt;4600&amp;lt;/code&amp;gt;&amp;lt;message&amp;gt;Unable to process your request. Please verify if the     name and value is appropriate for the "xmlData" parameter.&amp;lt;/message&amp;gt;&amp;lt;/error&amp;gt;&amp;lt;/response&amp;gt;
&lt;/code&gt;&lt;/pre&gt;
&lt;p&gt;My problem is that sometimes everything works fine and sometimes I get this error, but I'm struggling to see any difference between 'good' XML and 'bad' XML. I'm enclosing all values in CDATA tags.&lt;/p&gt;
</t>
  </si>
  <si>
    <t xml:space="preserve">&lt;p&gt;I have been looking into &lt;strong&gt;Salesforce&lt;/strong&gt; and &lt;strong&gt;Team Foundation 2013&lt;/strong&gt; integration lately. Is there any addins or solution to do so? &lt;/p&gt;
</t>
  </si>
  <si>
    <t xml:space="preserve">&lt;p&gt;Using the vinyl library, is there a way to filter out a set of records by either their type, or some other property? I want to be able to mix in the values of shader uniforms with other properties of my objects, and be able to extract them later to call &lt;code&gt;Graphics.VinylGL.Uniforms.setAllUniforms&lt;/code&gt; on. I would rather not use &lt;code&gt;HList&lt;/code&gt; because IMO vinyl is nicer.&lt;/p&gt;
</t>
  </si>
  <si>
    <t xml:space="preserve">&lt;p&gt;I Have a application to process pay slip of an Employee. I have a stateless form in which I select Employee Id and salary information and when I click on the submit button then it redirects me to the page in which the actual salary information form is embedded.In this embedded page I am not able to do the filtering of selected Employee ID.
Is there any way to do filtering of selected employee ID from stateless form.&lt;/p&gt;
</t>
  </si>
  <si>
    <t xml:space="preserve">&lt;p&gt;I am quite new to iOS and i am trying to post something from my App on salesforce(like we share something on twitter). For that i want to first display the login screen if user is already not logged in and if user is logged in he can post on salesforce from  my app. Please guide me to a tutorial or some sample code. i have done a hell lot of searching on web but didn't find any good tutorial. i have already added the SDK to my project but not able to figure out how implement all this. &lt;/p&gt;
&lt;p&gt;Thank you.&lt;/p&gt;
</t>
  </si>
  <si>
    <t xml:space="preserve">&lt;p&gt;I'm trying to add automagical json parsing to Data.Vinyl&lt;/p&gt;
&lt;p&gt;Here is an instance for FromJSON for records with exactly one element.&lt;/p&gt;
&lt;p&gt;It almost works, but I can't satisfy the KnownSymbol constraint, it seems to auto generate a new type variable on me.&lt;/p&gt;
&lt;pre&gt;&lt;code&gt;instance (KnownSymbol sym, FromJSON a) =&amp;gt; FromJSON (PlainRec '[ sym ::: a ]) where
    parseJSON (Object v) = (field =:) &amp;lt;$&amp;gt; (v .: json_name)
        where field = Field :: (sym ::: a)
              json_name = T.pack $ show field
&lt;/code&gt;&lt;/pre&gt;
&lt;p&gt;The error is&lt;/p&gt;
&lt;pre&gt;&lt;code&gt;Could not deduce (KnownSymbol sym0) arising from a use of ‛show’
from the context (KnownSymbol sym, FromJSON a)
&lt;/code&gt;&lt;/pre&gt;
&lt;p&gt;More context &lt;a href="http://lpaste.net/101005" rel="nofollow"&gt;http://lpaste.net/101005&lt;/a&gt;&lt;/p&gt;
&lt;p&gt;If I replace all instances of &lt;code&gt;sym&lt;/code&gt; with &lt;code&gt;"name"&lt;/code&gt;, it works, and runs and it is wonderful.  Now, I could use template Haskell to generate all the instances ahead of time, since I have a closed list of field names that I'll actually use, but that seems like such a shame.  I know next to nothing about Data.Proxy, having just seen in used to define the show instance for the records of Data.Proxy.&lt;/p&gt;
</t>
  </si>
  <si>
    <t xml:space="preserve">&lt;p&gt;You just have to enable &lt;code&gt;ScopedTypeVariables&lt;/code&gt;.&lt;/p&gt;
</t>
  </si>
  <si>
    <t xml:space="preserve">&lt;p&gt;I am currently implementing iOS Salesforce Chatter integration into iPad app. When Salesforce Mobile SDK was added (inlcuding MKNetworkKit-iOS) I got duplicate error on Reachability.o. I understand that we have Reachability added into MKNewtorkKit-iOS, but I also have to have access to it from insdie my project.&lt;/p&gt;
&lt;p&gt;Currently I am accessing reachability (from within my code) by adding 
#import "Reachability.h"&lt;/p&gt;
&lt;p&gt;If I get read of Reachibility class from my project, I need to gain access to MKNetworkKit-iOS copy of reachability class, but I can't import anything like "MKNetworkKit-iOS/Reachabilty.h" - tried quite a few combination hoping that Xcode autocomplete did not work properly for this library, but no luck.&lt;/p&gt;
&lt;p&gt;Currently using Xcode 5.1 with iOS SDK 7.1 and latest Salesfroce Mobile SDK 2.1.1 (all changes pulled today).&lt;/p&gt;
&lt;p&gt;Error I am seeing:&lt;/p&gt;
&lt;blockquote&gt;
  &lt;p&gt;duplicate symbol _kReachabilityChangedNotification in:
      /FULL_PATH_TO_BUILD_LOCATION/Build/Intermediates/LDPConference.build/Debug-iphoneos/LDPConference.build/Objects-normal/armv7/Reachability.o
      /FULL_PATH_TO_PROJECT/SalesforceMobileSDK/MKNetworkKit-iOS/libMKNetworkKit-iOS.a(Reachability.o)
  duplicate symbol _OBJC_CLASS_$_Reachability in:
      /FULL_PATH_TO_BUILD_LOCATION/Build/Intermediates/LDPConference.build/Debug-iphoneos/LDPConference.build/Objects-normal/armv7/Reachability.o
      /FULL_PATH_TO_PROJECT/SalesforceMobileSDK/MKNetworkKit-iOS/libMKNetworkKit-iOS.a(Reachability.o)
  duplicate symbol _OBJC_METACLASS_$_Reachability in:
      /FULL_PATH_TO_BUILD_LOCATION/Build/Intermediates/LDPConference.build/Debug-iphoneos/LDPConference.build/Objects-normal/armv7/Reachability.o
      /FULL_PATH_TO_PROJECT/SalesforceMobileSDK/MKNetworkKit-iOS/libMKNetworkKit-iOS.a(Reachability.o)
  ld: 3 duplicate symbols for architecture armv7 clang: error: linker
  command failed with exit code 1 (use -v to see invocation)&lt;/p&gt;
&lt;/blockquote&gt;
&lt;p&gt;Thanks a lot of your time looking into this,
J&lt;/p&gt;
</t>
  </si>
  <si>
    <t xml:space="preserve">&lt;p&gt;We are developing VF pages that will ultimately be integrated into the service console.
One of the requirements is that the VF pages always be in edit mode, and on clicking the save button (or alternatively pressing ctrl+s), the fields should be saved without refreshing the page or the form. Edit mode is achieved using &lt;/p&gt;
&lt;blockquote&gt;
  &lt;p&gt;&lt;code&gt;&amp;lt;apex:pageBlock title="Edit Case" mode="edit"&amp;gt;&lt;/code&gt;&lt;/p&gt;
&lt;/blockquote&gt;
&lt;p&gt;Is it possible to implement the save functionality while still using the standard controller save method since it always returns a page reference?
If not, what would be the best way to proceed?&lt;/p&gt;
</t>
  </si>
  <si>
    <t xml:space="preserve">&lt;p&gt;You should be able to leverage QuickSave while specifying the &lt;code&gt;rerender&lt;/code&gt; attribute to skip the page redirect/refresh:&lt;/p&gt;
&lt;pre&gt;&lt;code&gt;&amp;lt;apex:commandButton action="{!quicksave}" value="Save" rerender="null" /&amp;gt;
&lt;/code&gt;&lt;/pre&gt;
&lt;p&gt;If you want to rerender a specific portion of the page after the save has occured, replace &lt;code&gt;null&lt;/code&gt; with the appropriate VF component ID.&lt;/p&gt;
</t>
  </si>
  <si>
    <t xml:space="preserve">&lt;p&gt;After login to the salesforce in my app I am making service call which returns the list of products with attributes like productName and product image url.&lt;/p&gt;
&lt;p&gt;I am trying to download the image from product image url in this way&lt;/p&gt;
&lt;pre&gt;&lt;code&gt;SFOAuthCredentials *credentials =[SFAccountManager sharedInstance].credentials;
NSString *urlString = [NSString stringWithFormat:@"%@?oauth_token=%@",imageUrl,credentials.accessToken];
NSURL *imgUrl = [[NSURL alloc] initWithString:[URLString stringByAddingPercentEscapesUsingEncoding: NSUTF8StringEncoding]];
    NSURLRequest *imgRequest=[[NSURLRequest alloc]initWithURL:imgUrl];
    [NSURLConnection sendAsynchronousRequest:imgRequest queue:[NSOperationQueue mainQueue] completionHandler:^(NSURLResponse *response, NSData *data, NSError *connectionError) {
        UIImage *image=[[UIImage alloc] initWithData:data];
        NSLog(@"Image Object %@",image);
    }];
&lt;/code&gt;&lt;/pre&gt;
&lt;p&gt;I am getting the data object of size around 1820 bytes, but while converting NSData to UIImage by using UIImage classsMethod [UIImage iamgeWithData:data] or instance method [UIImage alloc] initWithData:data] I am getting null&lt;/p&gt;
&lt;p&gt;Can anyone help me to fix this issue?.&lt;/p&gt;
</t>
  </si>
  <si>
    <t xml:space="preserve">&lt;p&gt;I have two methods in my application, both return similar objects from different web services.&lt;/p&gt;
&lt;p&gt;The first one compiles ok, but the second one &lt;em&gt;which I have just added&lt;/em&gt; won't compile, giving me an error message 'method must return a value'&lt;/p&gt;
&lt;p&gt;here is my code:&lt;/p&gt;
&lt;pre&gt;&lt;code&gt;public SforceService() {
        this.Url = global::email2case_winForm.Properties.Settings.Default.email2case_sforce_SforceService;
        if ((this.IsLocalFileSystemWebService(this.Url) == true)) {
            this.UseDefaultCredentials = true;
            this.useDefaultCredentialsSetExplicitly = false;
        }
        else {
            this.useDefaultCredentialsSetExplicitly = true;
        }
    }
    public SforceServiceSandbox()
    {
        // 
        // 
        this.Url = global::email2case_winForm.Properties.Settings.Default.SForceService;
        if ((this.IsLocalFileSystemWebService(this.Url) == true))
        {
            this.UseDefaultCredentials = true;
            this.useDefaultCredentialsSetExplicitly = false;
        }
        else
        {
            this.useDefaultCredentialsSetExplicitly = true;
        }
    }
&lt;/code&gt;&lt;/pre&gt;
&lt;p&gt;What am I missing please, is there a special declaration that I should add?&lt;/p&gt;
</t>
  </si>
  <si>
    <t xml:space="preserve">&lt;pre&gt;&lt;code&gt;public SforceService()
{
}
&lt;/code&gt;&lt;/pre&gt;
&lt;p&gt;This syntax is for a constructor which is called when creating the class. The name must be the same as the class name.&lt;/p&gt;
&lt;p&gt;If you want a method with no return type use &lt;code&gt;void&lt;/code&gt;&lt;/p&gt;
&lt;pre&gt;&lt;code&gt;public void SforceServiceSandbox()
{
}
&lt;/code&gt;&lt;/pre&gt;
&lt;p&gt;It looks like you want one class to handle 2 scenerios. In which case you have two options,&lt;/p&gt;
&lt;p&gt;Two classes&lt;/p&gt;
&lt;pre&gt;&lt;code&gt;public class SforceService
{
    public SforceService() {
        this.Url = global::email2case_winForm.Properties.Settings.Default.email2case_sforce_SforceService;
        if ((this.IsLocalFileSystemWebService(this.Url) == true)) {
            this.UseDefaultCredentials = true;
            this.useDefaultCredentialsSetExplicitly = false;
        }
        else {
            this.useDefaultCredentialsSetExplicitly = true;
        }
    }
}
public class SforceServiceSandbox
{
    public SforceServiceSandbox()
    {
        this.Url = global::email2case_winForm.Properties.Settings.Default.SForceService;
        if ((this.IsLocalFileSystemWebService(this.Url) == true))
        {
            this.UseDefaultCredentials = true;
            this.useDefaultCredentialsSetExplicitly = false;
        }
        else
        {
            this.useDefaultCredentialsSetExplicitly = true;
        }
    }
}
&lt;/code&gt;&lt;/pre&gt;
&lt;p&gt;Or one class where you pass in a url&lt;/p&gt;
&lt;pre&gt;&lt;code&gt;public class SforceService
{
    private SforceService() { }
    public SforceService(TypeOfUrl url)
    {
        this.Url = url;
        if ((this.IsLocalFileSystemWebService(this.Url) == true))
        {
            this.UseDefaultCredentials = true;
            this.useDefaultCredentialsSetExplicitly = false;
        }
        else
        {
            this.useDefaultCredentialsSetExplicitly = true;
        }
    }
}
&lt;/code&gt;&lt;/pre&gt;
</t>
  </si>
  <si>
    <t xml:space="preserve">&lt;p&gt;I am trying three Zoho Invoice API's but they are not working.&lt;/p&gt;
&lt;p&gt;The Invoice API's are:&lt;/p&gt;
&lt;ol&gt;
&lt;li&gt;List Contacts(Get Method)&lt;/li&gt;
&lt;li&gt;List Customer Payments(Get Method)&lt;/li&gt;
&lt;li&gt;&lt;p&gt;Create a Customer Payment(Post Method)&lt;/p&gt;&lt;/li&gt;
&lt;li&gt;&lt;p&gt;List Contacts(Get Method)&lt;/p&gt;&lt;/li&gt;
&lt;/ol&gt;
&lt;p&gt;For List Contacts I have used the url as
&lt;a href="https://invoice.zoho.com/api/contacts/?authtoken=" rel="nofollow"&gt;https://invoice.zoho.com/api/contacts/?authtoken=&lt;/a&gt;&amp;amp;scope=invoiceapi&lt;/p&gt;
&lt;p&gt;but my response is&lt;/p&gt;
&lt;pre&gt;&lt;code&gt;&amp;lt;Response status="0"&amp;gt;
&amp;lt;Code&amp;gt;5&amp;lt;/Code&amp;gt;
&amp;lt;Message&amp;gt;
&amp;lt;![CDATA[ Invalid URL Passed ]]&amp;gt;
&amp;lt;/Message&amp;gt;
&amp;lt;/Response&amp;gt;
&lt;/code&gt;&lt;/pre&gt;
&lt;ol&gt;
&lt;li&gt;List Customer Payments(Get Method)&lt;/li&gt;
&lt;/ol&gt;
&lt;p&gt;For List Customer Payments I have used URL as&lt;/p&gt;
&lt;p&gt;&lt;a href="https://invoice.zoho.com/api/customerpayments?authtoken=" rel="nofollow"&gt;https://invoice.zoho.com/api/customerpayments?authtoken=&lt;/a&gt;&amp;amp;scope=invoiceapi&lt;/p&gt;
&lt;p&gt;My response is&lt;/p&gt;
&lt;pre&gt;&lt;code&gt;&amp;lt;Response status="0"&amp;gt;
&amp;lt;Code&amp;gt;5&amp;lt;/Code&amp;gt;
&amp;lt;Message&amp;gt;
&amp;lt;![CDATA[ Invalid URL Passed ]]&amp;gt;
&amp;lt;/Message&amp;gt;
&amp;lt;/Response&amp;gt;
&lt;/code&gt;&lt;/pre&gt;
&lt;ol&gt;
&lt;li&gt;Create a Customer Payment(Post Method)&lt;/li&gt;
&lt;/ol&gt;
&lt;p&gt;To create a customer Payment I am using create map fields and Post URL method like below&lt;/p&gt;
&lt;pre&gt;&lt;code&gt;&amp;lt;%{
map1 = map();
    map1.put("date", "2014-3-24");
    map1.put("amount", "10100");
    map1.put("customer_id", "&amp;lt;my custome ID&amp;gt;");
    map1.put("invoice_id", "&amp;lt;my Invoice ID&amp;gt;");
    map1.put("authtoken", "&amp;lt;my authtoken&amp;gt;");
    map1.put("scope", "invoiceapi");
    post = postUrl("https://invoice.zoho.com/api/customerpayments", map1,false);
    PostResponseCode=post.get("responseCode");
    PostResponseText=post.get("responseText");%&amp;gt;
    &amp;lt;%=PostResponseCode%&amp;gt;&amp;lt;br/&amp;gt;
    &amp;lt;%=PostResponseText%&amp;gt;
&amp;lt;%}%&amp;gt;
&lt;/code&gt;&lt;/pre&gt;
&lt;p&gt;but my Response is&lt;/p&gt;
&lt;p&gt;500
The server encountered an unexpected condition which prevented it from fulfilling the request&lt;/p&gt;
&lt;p&gt;Can anyone please help me with this&lt;/p&gt;
</t>
  </si>
  <si>
    <t xml:space="preserve">&lt;p&gt;I have created a product2 but  i am being unable to add standard price to that product in asp.net application.here is my code&lt;/p&gt;
&lt;pre&gt;&lt;code&gt;Product2 p = new Product2();
    p.Name = "randi";
    p.IsActive = true;
    saveresults = SfdcBinding.create(new sObject[] { p });
    p.Id = saveresults[0].id;
     QueryResult qr = SfdcBinding.query("select ID, Name, IsStandard from PriceBook2 WHERE IsStandard=true");
    sObject[] records = qr.records;
    string ID = records[0].Id;
    PricebookEntry pbe = new PricebookEntry();
    pbe.Pricebook2Id = ID;
    pbe.Product2Id=p.Id;
    pbe.IsActive=true;
    pbe.UnitPrice=100.0;
    pbe.UseStandardPrice= false;`enter code here`
   saveresults =  SfdcBinding.create(new sObject[] { pbe });
&lt;/code&gt;&lt;/pre&gt;
&lt;p&gt;but it is not working? can anybody help me please?&lt;/p&gt;
</t>
  </si>
  <si>
    <t xml:space="preserve">&lt;p&gt;I am trying to get all the records of a field from a form but I am getting only one record from a form.&lt;/p&gt;
&lt;p&gt;I am using the below code&lt;/p&gt;
&lt;pre&gt;&lt;code&gt;&amp;lt;%{
Alphabet_List = Alphabet[ID&amp;gt;0].Character;%&amp;gt;
&amp;lt;%=Alphabet_List%&amp;gt;
&amp;lt;%}%&amp;gt;
&lt;/code&gt;&lt;/pre&gt;
&lt;ol&gt;
&lt;li&gt;Alphabet is a form name&lt;/li&gt;
&lt;li&gt;Character is a field name which contains A-Z.&lt;/li&gt;
&lt;/ol&gt;
&lt;p&gt;when running this code I am getting only "A" but the output I am expecting is A-Z.&lt;/p&gt;
&lt;p&gt;Please help me with this&lt;/p&gt;
</t>
  </si>
  <si>
    <t xml:space="preserve">&lt;p&gt;Hello StackOverflow Community, &lt;/p&gt;
&lt;p&gt;I develop in Force.com and am strong in Visualforce and Apex. I am not strong in Javascript but tend to get by when necessary. On a recent project, I am struggling with something very basic and I figured SO was the best place to find help.&lt;/p&gt;
&lt;p&gt;I utilize apex:pageblocktable(s) to drive "available actions" to the user. Basically the page loads, the system queries my external static "action" table and compares the data in the current record to the action table records. Upon completion, the user is presented with the result: available actions.&lt;/p&gt;
&lt;p&gt;I am running into one problem. There are some actions that I cannot pass the ?id= as a parameter due to the user selecting a generic action. To solve this I need a simple IF CONDITION within my javascript formula. Below I have posted my code... Your thoughts?&lt;/p&gt;
&lt;p&gt;Thanks in advance!&lt;/p&gt;
&lt;p&gt;&lt;strong&gt;CURRENT CODE:&lt;/strong&gt;&lt;/p&gt;
&lt;pre&gt;&lt;code&gt;&amp;lt;apex:pageBlock mode="edit" title="Other Actions"&amp;gt;
&amp;lt;apex:pageBlockTable value="{!OtherActions}" var="action"&amp;gt;
&amp;lt;apex:column&amp;gt;
&amp;lt;a href="javascript:sforce.console.openPrimaryTab(null, 'https://na15.salesforce.com/apex/{!action.URL__c}?actionname={!action.Name}', true, null, null, null);"&amp;gt;{!action.Name}&amp;lt;/a&amp;gt;
&amp;lt;/apex:column&amp;gt;
&amp;lt;/apex:pageBlockTable&amp;gt;
&amp;lt;/apex:pageBlock&amp;gt;
&lt;/code&gt;&lt;/pre&gt;
&lt;p&gt;&lt;strong&gt;MY ATTEMPT:&lt;/strong&gt;&lt;/p&gt;
&lt;p&gt;The code below works. However, for some reason the action selected by the user acts as though it is is always the last action in the list. For example, if three actions load and you select the 2nd. The system will behave as though you selected the 3rd action...always&lt;/p&gt;
&lt;pre&gt;&lt;code&gt;&amp;lt;apex:pageBlock mode="edit" title="Other Actions"&amp;gt;
&amp;lt;apex:pageBlockTable value="{!OtherActions}" var="action"&amp;gt;
&amp;lt;apex:column&amp;gt;
&amp;lt;a href="#" onclick="MyFunction();return false;"&amp;gt;{!action.Name}&amp;lt;/a&amp;gt;
&amp;lt;script type="text/javascript"&amp;gt;
    function MyFunction() {
        if({!action.Name} == 'Test'){
        sforce.console.openPrimaryTab(null , 'https://na15.salesforce.com/apex/{!action.URL__c}?id={!action.id}&amp;amp;actionname={!action.Name}', true, ' ', null, null);
        }
        else{
        sforce.console.openPrimaryTab(null , 'https://na15.salesforce.com/apex/{!action.URL__c}?actionname={!action.Name}', true, ' ', null, null);
        }        
    }
&amp;lt;/script&amp;gt;
&amp;lt;/apex:column&amp;gt;
&amp;lt;/apex:pageBlockTable&amp;gt;
&amp;lt;/apex:pageBlock&amp;gt;
&lt;/code&gt;&lt;/pre&gt;
</t>
  </si>
  <si>
    <t xml:space="preserve">&lt;p&gt;I figured it out. I had to pass the parameters to the Java functions. Here is the final VisualForce / Java Combo&lt;/p&gt;
&lt;p&gt;&lt;strong&gt;VF&lt;/strong&gt;&lt;/p&gt;
&lt;pre&gt;&lt;code&gt;&amp;lt;apex:column &amp;gt;
&amp;lt;A HREF="#" onClick="openAction('{!action.External__c}', '{!action.ID}', '{!action.Name}', '{!action.URL__c}');return false"&amp;gt;{!action.Name}&amp;lt;/A&amp;gt;
&amp;lt;/apex:column&amp;gt;
&lt;/code&gt;&lt;/pre&gt;
&lt;p&gt;&lt;strong&gt;java&lt;/strong&gt;&lt;/p&gt;
&lt;pre&gt;&lt;code&gt;  &amp;lt;script type="text/javascript"&amp;gt; 
    var TabID;
    var previousOnload = window.onload;       
    window.onload = function() {
    if (previousOnload) {
    previousOnload();
    }               
    setTimeout('setTabTitle()', '500');
    setTimeout('getTabID()', '500');
    }
    function setTabTitle() {
    sforce.console.setTabTitle('{!Member__c.Name}');
    }
    function getTabID() {
    sforce.console.getEnclosingPrimaryTabId(setTabID);
    }
    var setTabID = function setTabID(result) {
    TabID = result.id;
    }
    function openAction(external, id, name, url) {
        if(external == 'true'){
        sforce.console.openPrimaryTab(TabID, 'https://na15.salesforce.com/apex/' + url, true, ' ');
        }
        else{
        sforce.console.openPrimaryTab(null, 'https://na15.salesforce.com/apex/' + url + '?id=' + id, true, ' ');
        }
    }
&amp;lt;/script&amp;gt;
&lt;/code&gt;&lt;/pre&gt;
</t>
  </si>
  <si>
    <t xml:space="preserve">&lt;p&gt;iam trying to read emails from company specific generated email server, this is my code and i am not able to establish connection with server since it's a linux server.&lt;/p&gt;
&lt;pre&gt;&lt;code&gt; public class Testing {
     public static void main(String[] args) {
         String from = "email";
         String pass = "pwd";
         String to = "toId";
         String host = "pop.zoho.com";
         String port = "995";
         Properties properties = System.getProperties();
         properties.put("mail.smtp.starttls.enable", "true");
         properties.put("mail.smtp.host", host);
         properties.put("mail.smtp.user", from);
         properties.put("mail.smtp.password", pass);
         properties.put("mail.smtp.port", "995");
         properties.put("mail.smtp.auth", "true");
         Session session = Session.getDefaultInstance(properties);
         try {
             MimeMessage message = new MimeMessage(session);
             message.setFrom(new InternetAddress(from));
             message.addRecipient(Message.RecipientType.TO,
                 new InternetAddress(to));
             message.setSubject("This is the Subject Line!");
             message.setText("This is actual message");
             Transport transport = session.getTransport("smtp");
             transport.connect(host, from, pass);
             transport.sendMessage(message, message.getAllRecipients());
             transport.close();
             System.out.println("Sent message successfully....");
         } catch (MessagingException mex) {
             mex.printStackTrace();
         }
     }
 }
&lt;/code&gt;&lt;/pre&gt;
&lt;p&gt;Please do the need full help
thanks in advance&lt;/p&gt;
</t>
  </si>
  <si>
    <t xml:space="preserve">&lt;p&gt;Does Zoho Creator have a built-in way of letting me serve views to users that are styled with Bootstrap or use jQuery controls or otherwise are just HTML albeit using ZC as the backend?&lt;/p&gt;
&lt;p&gt;If not, is there a simple way of serving a custom frontend like this on a separate host but connecting it up to use ZC as the backend?&lt;/p&gt;
</t>
  </si>
  <si>
    <t xml:space="preserve">&lt;p&gt;I am working on java application for getting attachments from salesforce.&lt;/p&gt;
&lt;p&gt;I have to show the salesforce attachments in my java application for particular object like Leads,Contacts etc. For that i am using Rest Api and got response body. But in response body there is url but i want binary data of attachment body.&lt;/p&gt;
&lt;p&gt;I get response in body in following format:&lt;/p&gt;
&lt;pre&gt;&lt;code&gt;{
Body = "/services/data/v23.0/sobjects/Attachment/00P90000004SRFlEAO/Body";
ContentType = "application/video";
Name = "Video.MOV";
attributes =     {
   type = Attachment;
    url = "/services/data/v23.0/sobjects/Attachment/00P90000004SRFlEAO";
};
&lt;/code&gt;&lt;/pre&gt;
&lt;p&gt;}&lt;/p&gt;
</t>
  </si>
  <si>
    <t xml:space="preserve">&lt;p&gt;As the titel might slightly suggest I have the following issue:&lt;/p&gt;
&lt;p&gt;A wordpress website running on XAMPP which is accessable from the internet. Now since i only have a domain name and not a service with emails included I've setup my email under zoho.com...&lt;/p&gt;
&lt;p&gt;Send emails from a email adress to the setup adress at zoho.com works just fine... Now comes the problem:&lt;/p&gt;
&lt;p&gt;When I try to use a contact form on wordpress (Which is running on xampp) it fails to work.&lt;/p&gt;
&lt;p&gt;I have adjusted my sendmail.ini and php.ini with the following:&lt;/p&gt;
&lt;p&gt;In php.ini:&lt;/p&gt;
&lt;pre&gt;&lt;code&gt;SMTP = smtp.zoho.com
smtp_port = 465
sendmail_path = "\"C:\xampp\sendmail\sendmail.exe\" -t" // This was commented with a ; in front and i uncommented it.
; sendmail_path="C:\xampp\mailtodisk\mailtodisk.exe" // This was uncommented (did not have the ;) i commented it otherwise it would safe the mails on the drive
&lt;/code&gt;&lt;/pre&gt;
&lt;p&gt;in sendmail.ini i adjusted the following:&lt;/p&gt;
&lt;pre&gt;&lt;code&gt;smtp_server= smtp.zoho.com
smtp_port=465
smtp_ssl=ssl
error_logfile=error.log
debug_logfile=debug.log
auth_username=bla@mydomain.com // This is adjusted to dummydata in this post.
auth_password=mypassword  // This is adjusted to dummydata in this post.
&lt;/code&gt;&lt;/pre&gt;
&lt;p&gt;However i still get a crash file when i try the contact form saying the following:&lt;/p&gt;
&lt;pre&gt;&lt;code&gt;(deleted some data out of here, which had nothing to do with the error, such as my pc name and my language etc etc.)
display mode      : 1920x1080, 32 bit
process id        : $c48
allocated memory  : 26,24 MB
command line      : "C:\xampp\sendmail\sendmail.exe" -t
executable        : sendmail.exe
exec. date/time   : 2011-06-18 01:10
compiled with     : Delphi 2006/07
madExcept version : 3.0l
callstack crc     : $1d5da2f6, $4f4b1b87, $4f4b1b87
exception number  : 1
exception class   : EIdSocketError
exception message : Socket Error # 10060 Connection timed out.
    main thread ($1ac4):
    00435e23 +0073 sendmail.exe IdStack                         706  +42 TIdStack.RaiseSocketError
    00435daa +0016 sendmail.exe IdStack                         660   +1 TIdStack.RaiseLastSocketError
    0045f2e8 +0100 sendmail.exe IdSSLOpenSSLHeaders           16464  +22 EIdOpenSSLAPISSLError.RaiseExceptionCode
    0045f1d9 +0021 sendmail.exe IdSSLOpenSSLHeaders           16433   +1 EIdOpenSSLAPISSLError.RaiseException
    00466686 +012a sendmail.exe IdSSLOpenSSL                   2668  +17 TIdSSLSocket.Connect
    00465a1c +00dc sendmail.exe IdSSLOpenSSL                   2262  +21 TIdSSLIOHandlerSocketOpenSSL.OpenEncodedConnection
    004655f6 +0062 sendmail.exe IdSSLOpenSSL                   2106   +9 TIdSSLIOHandlerSocketOpenSSL.StartSSL
    00465587 +006b sendmail.exe IdSSLOpenSSL                   2093  +15 TIdSSLIOHandlerSocketOpenSSL.ConnectClient
    00444a9f +0063 sendmail.exe IdIOHandlerSocket               335  +13 TIdIOHandlerSocket.Open
    00465637 +0007 sendmail.exe IdSSLOpenSSL                   2122   +1 TIdSSLIOHandlerSocketOpenSSL.Open
    0044157d +0235 sendmail.exe IdTCPClient                     318  +53 TIdTCPClientCustom.Connect
    00445cc8 +00a4 sendmail.exe IdExplicitTLSClientServerBase   257  +23 TIdExplicitTLSClient.Connect
    0045ab7b +0017 sendmail.exe IdSMTP                          373   +2 TIdSMTP.Connect
    004b5f14 +1060 sendmail.exe sendmail                        808 +326 initialization
    7773919d +000c KERNEL32.DLL                                          BaseThreadInitThunk
    stack dump:
    0018fbac  28 5e 43 00 de fa ed 0e - 01 00 00 00 07 00 00 00  (^C.............
    0018fbbc  c0 fb 18 00 28 5e 43 00 - 80 cc 1d 02 ec 28 43 00  ....(^C......(C.
    0018fbcc  c0 3f 46 00 78 1d 1f 02 - fc fb 18 00 dc fb 18 00  .?F.x...........
    0018fbdc  10 fc 18 00 c8 4b 40 00 - fc fb 18 00 05 00 00 00  .....K@.........
    0018fbec  00 00 00 00 00 00 00 00 - 4c 27 00 00 30 50 1d 02  ........L'..0P..
    0018fbfc  08 fc 18 00 ad 5d 43 00 - 30 50 1d 02 f0 fc 18 00  .....]C.0P......
    0018fc0c  ed f2 45 00 14 fd 18 00 - c8 4b 40 00 f0 fc 18 00  ..E......K@.....
    0018fc1c  f8 38 82 03 ff ff ff ff - c0 3f 46 00 00 00 00 00  .8.......?F.....
    0018fc2c  00 00 00 00 00 00 00 00 - 00 00 00 00 00 00 00 00  ................
    0018fc3c  eb 61 ce 7c c0 f6 82 03 - e7 6c 74 c9 6f e6 00 12  .a.|.....lt.o...
    0018fc4c  e0 fa 82 03 20 11 00 00 - f8 38 82 03 f7 ec 00 12  .........8......
    0018fc5c  00 00 00 00 00 00 00 00 - e0 fa 82 03 06 00 00 00  ................
    0018fc6c  01 00 00 00 58 37 82 03 - f9 27 04 11 00 f3 03 12  ....X7...'......
    0018fc7c  4b 6b 74 c9 38 fa 00 12 - f8 38 82 03 16 00 00 00  Kkt.8....8......
    0018fc8c  e0 fa 82 03 04 00 00 00 - 00 00 00 00 00 00 00 00  ................
    0018fc9c  f8 38 82 03 00 00 00 00 - f8 38 82 03 ce 86 00 12  .8.......8......
    0018fcac  f8 38 82 03 20 11 00 00 - 21 11 00 00 ff ff ff ff  .8......!.......
    0018fcbc  20 4e 00 00 d4 fc 18 00 - 20 11 00 00 00 00 00 00  .N..............
    0018fccc  00 00 00 00 ff ff ff ff - ad d5 01 12 a0 3a 82 03  .............:..
    0018fcdc  04 00 00 00 00 00 00 00 - ff ff ff ff 00 00 00 00  ................
    disassembling:
    [...]
    00435e13       push    eax
    00435e14       mov     ecx, [ebp-8]
    00435e17       mov     dl, 1
    00435e19       mov     eax, [$4352ac]
    00435e1e       call    -$717 ($43570c)        ; IdStack.EIdSocketError.CreateError
    00435e23     &amp;gt; call    -$3113c ($404cec)      ; System.@RaiseExcept
    00435e28 707   xor     eax, eax
    00435e2a       pop     edx
    00435e2b       pop     ecx
    00435e2c       pop     ecx
    00435e2d       mov     fs:[eax], edx
    [...]
&lt;/code&gt;&lt;/pre&gt;
&lt;p&gt;ANY HELP IS HIGHLY APPRICIATED!&lt;/p&gt;
</t>
  </si>
  <si>
    <t xml:space="preserve">&lt;p&gt;I can't get my emails to send when using SMTP with my codeigniter app.&lt;/p&gt;
&lt;p&gt;There are many similar questions on SO, but none that solve my problem so that's why I'm asking again.&lt;/p&gt;
&lt;p&gt;Here's the error i'm getting:&lt;/p&gt;
&lt;pre&gt;&lt;code&gt;hello: 
The following SMTP error was encountered:
Failed to send AUTH LOGIN command. Error:
from: 
The following SMTP error was encountered:
to: 
The following SMTP error was encountered:
data: 
The following SMTP error was encountered:
The following SMTP error was encountered:
Unable to send email using PHP SMTP. Your server might not be configured to send mail using this method.
User-Agent: CodeIgniter
Date: Tue, 22 Apr 2014 22:54:12 -0400
From: 
Return-Path: 
To: myemail@gmail.com
Subject: =?utf-8?Q?Request_from_C&amp;amp;J_Builders_Contact_form?=
Reply-To: "donotreply@C&amp;amp;JBuilders.us" 
X-Sender: donotreply@C&amp;amp;JBuilders.us
X-Mailer: CodeIgniter
X-Priority: 3 (Normal)
Message-ID: &amp;lt;53572b54551be@C&amp;amp;JBuilders.us&amp;gt;
Mime-Version: 1.0
Content-Type: text/plain; charset=utf-8
Content-Transfer-Encoding: 8bit
From: jeff
Email: jeff@gmail.com
Phone: 555555555
Message: asdfs fds
Here's my config/email.php:
&amp;lt;?php  if (!defined('BASEPATH')) exit('No direct script access allowed');
$config['useragent'] = "CodeIgniter";
$config['protocol'] = "smtp";
$config['_smtp_auth']   = TRUE;
$config['smtp_host'] = "smtp.zoho.com";
$config['smtp_user'] = "donotreply@cjbuilders.info";
$config['smtp_pass'] = "mypassword";
$config['smtp_port'] = 465;
$config['wordwrap'] = TRUE;
$config['wrapchars'] = 76;
$config['mailtype'] = "text";
$config['charset'] = "utf-8";
$config['validate'] = FALSE;
$config['priority'] = 3;
$config['crlf'] = "\r\n";
$config['newline'] = "\r\n";
$config['bcc_batch_mode'] = TRUE;
$config['bcc_batch_size'] = "200";
?&amp;gt; 
&lt;/code&gt;&lt;/pre&gt;
&lt;p&gt;Here's my controller snippet that sends the email:&lt;/p&gt;
&lt;pre&gt;&lt;code&gt;// sends the email to 
$this-&amp;gt;email-&amp;gt;from('donotreply@C&amp;amp;JBuilders.us');
$this-&amp;gt;email-&amp;gt;to('myemail@gmail.com');
$this-&amp;gt;email-&amp;gt;subject('Request from C&amp;amp;amp;J Builders Contact form');
$this-&amp;gt;email-&amp;gt;message('From: '.$this-&amp;gt;input-&amp;gt;post('name')."\n".
              'Email: '.$this-&amp;gt;input-&amp;gt;post('email')."\n".
              'Phone: '.$this-&amp;gt;input-&amp;gt;post('phone')."\n".
              'Message: '.$this-&amp;gt;input-&amp;gt;post('message')."\n");
$this-&amp;gt;email-&amp;gt;send();
echo $this-&amp;gt;email-&amp;gt;print_debugger();
&lt;/code&gt;&lt;/pre&gt;
</t>
  </si>
  <si>
    <t xml:space="preserve">&lt;p&gt;For SSL add &lt;code&gt;ssl://&lt;/code&gt; to Your SMTP host address&lt;/p&gt;
&lt;pre&gt;&lt;code&gt;$config['smtp_host'] = "ssl://smtp.zoho.com";
&lt;/code&gt;&lt;/pre&gt;
</t>
  </si>
  <si>
    <t xml:space="preserve">&lt;p&gt;Yes Please note that I am very new to Salesforce , so please understand if I am not clear or not specific at anything.&lt;/p&gt;
&lt;p&gt;I am new at Salesforce, and I need to make an App in ASP.NET which help clients/users to add hours/some field details at salesforce.&lt;/p&gt;
&lt;p&gt;So what I need is, I need to make an web Application which will get details from Salesforce ( the details it self are custom object which I am explaining ahead) and do some calculations at my web App a&amp;amp; return back the result &amp;amp; display it at Salesforce.&lt;/p&gt;
&lt;p&gt;So in summary :
1) Which way we can integrate .NET Web App at Salesforce
2) How we can make custom fields/page required which will be going to use at Web App &amp;amp; display at Salesforce page.&lt;/p&gt;
&lt;p&gt;3) How we can make a custom UI &amp;amp; fields at Salesforce ?
4) How this field can be fetch/expose on submit at Web App?&lt;/p&gt;
&lt;p&gt;** 5) Which API to use ? ( My case is we are planning that we will provide a way at Salesforce that a user can insert total hours, todays hours invested , remaining hours...based on these we can bill them. so for all of these calculations can be managed with which API ?) &lt;/p&gt;
&lt;p&gt;6) Also how can I display the results &amp;amp; other things at Salesforce, I mean can I design page , if yes then which options I have to design page other then Apex??&lt;/p&gt;
&lt;p&gt;.... there are many more things  I need to take care of &amp;amp; need to know . but as I am new at Salesforce so please guide me Tech Experts.&lt;/p&gt;
&lt;p&gt;Thanks in advance.&lt;/p&gt;
</t>
  </si>
  <si>
    <t xml:space="preserve">&lt;p&gt;This is a rather broad question, so I will give you the high-level steps of what needs to be done:&lt;/p&gt;
&lt;p&gt;1) Create a Custom Object using Build; Create; Objects menu.&lt;/p&gt;
&lt;p&gt;2) Save your enterprise WSDL under Build; Develop; API menu.  Typically you open the wsdl in a browser and save the web page as something.wsdl&lt;/p&gt;
&lt;p&gt;3) In .NET create a web service reference using the enterprise WSDL you saved in a local file&lt;/p&gt;
&lt;p&gt;4) You can write and read from to the custom object (or any Salesforce object) using the SF API.  To do so, you will need to write &lt;a href="http://www.salesforce.com/us/developer/docs/officetoolkit/Content/sforce_api_calls_soql.htm" rel="nofollow"&gt;SOQL&lt;/a&gt;.  &lt;/p&gt;
&lt;p&gt;Once you have step 1,2,3 done, then you should look at the SF documentation on binding to the API and how to run insert and update statements in SOQL.  It is too much info for a SO question.&lt;/p&gt;
</t>
  </si>
  <si>
    <t xml:space="preserve">&lt;p&gt;I am looking to implement some customization, calculation, at custom page. And Yes I am new to Sales force , very new.&lt;/p&gt;
&lt;p&gt;So I need to know that what are the ways to build an App for SF? ( My custom App will be in AP.NET language)&lt;/p&gt;
&lt;p&gt;Also what are the ways to design custom page &amp;amp; internal implementation  at Salesforce?&lt;/p&gt;
&lt;p&gt;My requirement : Need one custom page, there will be one form &amp;amp; fields where one user will add some info , no of hours for the task etc... and some calculations I need to do at their local while some may be done at custom App, also I need to send the data on submit/save the form.&lt;/p&gt;
&lt;p&gt;So what is the best way?&lt;/p&gt;
&lt;p&gt;I have made one simple App using ASP.NET web services through generating WSDL &amp;amp; used the service classes I am able to get data
But still not sure what need to be done after this???&lt;br&gt;
I know its vast question but I need some summarized steps from where I can get to know the steps &amp;amp; other info that I should know but need to develop it fast , as always !! &lt;/p&gt;
&lt;p&gt;Thanks in advance All Tech Leads...&lt;/p&gt;
</t>
  </si>
  <si>
    <t xml:space="preserve">&lt;p&gt;There are two general approaches for integrating an ASP.NET app with Salesforce.&lt;/p&gt;
&lt;ol&gt;
&lt;li&gt;Create a &lt;a href="http://www.salesforce.com/us/developer/docs/platform_connect/index_Left.htm" rel="nofollow"&gt;Canvas App&lt;/a&gt; in Salesforce that will surface your ASP.NET site in an iframe. Salesforce will POST a signed request to your ASP.NET site that you can use to verify the request came from Salesforce and get a valid Session ID for making calls back into Salesforce via the API.&lt;/li&gt;
&lt;li&gt;Create a &lt;a href="https://developer.salesforce.com/page/Single_Sign_On_for_Composite_Apps" rel="nofollow"&gt;Composite App&lt;/a&gt;. This is the older version of a Canvas App. Again, your ASP.NET site will appear in an iframe. Here the Salesforce SessionId and orginating Server URL are passed on the query string.&lt;/li&gt;
&lt;/ol&gt;
&lt;p&gt;I'd say go with the Canvas App. You can easily play this within a Visualforce page as required.&lt;/p&gt;
&lt;p&gt;Incidentally, there is a dedicated StackExchange site for Salesforce questions at &lt;a href="http://salesforce.stackexchange.com"&gt;salesforce.stackexchange.com&lt;/a&gt;.&lt;/p&gt;
</t>
  </si>
  <si>
    <t xml:space="preserve">&lt;p&gt;The CURL that i want to convert is&lt;/p&gt;
&lt;pre&gt;&lt;code&gt;curl –insecure -H "Authorization: Bearer c25laGEyMDE0QHZ5b21sYWJzLmNvbTpwdW5lQDEyM2lSWWx6MFdtbjBxRjExcDVyQTE5eDRNNVk" -H "Content-Type: application/json" -d @Incident.txt https://na15.salesforce.com/services/apexrest/Incident/
&lt;/code&gt;&lt;/pre&gt;
&lt;p&gt;and the java code I am using is to do this is&lt;/p&gt;
&lt;pre&gt;&lt;code&gt;import java.io.InputStreamReader;
import java.io.OutputStreamWriter;
import java.net.HttpURLConnection;
import java.net.URL;
public class Test {
    public static void main(String[] args) {
        try {
            String url = "https://na15.salesforce.com/services/apexrest/Incident/";
            URL obj = new URL(url);
            HttpURLConnection conn = (HttpURLConnection) obj.openConnection();
            conn.setRequestProperty("Content-Type", "application/json");
            conn.setDoOutput(true);
            conn.setRequestMethod("PUT");
            String userpass = "username" + ":" + "password+securitytoken_of_force.com";
            String basicAuth = "Basic " + javax.xml.bind.DatatypeConverter.printBase64Binary(userpass.getBytes());
            System.out.println(basicAuth);
            conn.setRequestProperty ("Authorization : Bearer", basicAuth);
            String data =  "{\"srd1\":\"HardwareIssue\"}";
            OutputStreamWriter out = new OutputStreamWriter(conn.getOutputStream());
            out.write(data);
            out.close();
            new InputStreamReader(conn.getInputStream());   
        } catch (Exception e) {
            e.printStackTrace();
        }
     } 
 } 
&lt;/code&gt;&lt;/pre&gt;
&lt;p&gt;But while executing the code I am facing the below error&lt;/p&gt;
&lt;blockquote&gt;
  &lt;p&gt;"Server returned HTTP response code: 401 for
  URL:&lt;a href="https://na15.salesforce.com/services/apexrest/Incident/" rel="nofollow"&gt;https://na15.salesforce.com/services/apexrest/Incident/&lt;/a&gt;."&lt;/p&gt;
&lt;/blockquote&gt;
&lt;p&gt;I am new in doing this, please suggest.&lt;/p&gt;
</t>
  </si>
  <si>
    <t xml:space="preserve">&lt;p&gt;I am trying to access Salesforce through my Mule flows using "sfdc:config-with-oauth". Is there any way I can achieve this without redirecting the user to a Login page? I know there is a SSO login dance which I have to do manually, but was hoping it was simpler than that. I found this documentation &lt;a href="http://mulesoft.github.io/salesforce-connector/mule/sfdc-config-with-oauth.html" rel="nofollow noreferrer"&gt;http://mulesoft.github.io/salesforce-connector/mule/sfdc-config-with-oauth.html&lt;/a&gt;. It shows "sfdc:authorize/", but that is not accurate. sfdc:authorize has DISPLAY as a required attribute. What is the meaning of "IMMEDIATE" attribute? Is it possible, somehow, to give Username/Password along with Consumer Key/Secret to "sfdc:config-with-oauth"?&lt;/p&gt;
&lt;p&gt;My Mule flow already has User credentials.&lt;/p&gt;
&lt;p&gt;I am using Mule Studio 3.5.0&lt;/p&gt;
&lt;p&gt;I have also asked the question on salesforce.stacktrace but no response. &lt;a href="https://salesforce.stackexchange.com/questions/34693/mule-sfdc-connector-without-user-interaction-using-sfdcconfig-with-oauth"&gt;https://salesforce.stackexchange.com/questions/34693/mule-sfdc-connector-without-user-interaction-using-sfdcconfig-with-oauth&lt;/a&gt;&lt;/p&gt;
</t>
  </si>
  <si>
    <t xml:space="preserve">&lt;p&gt;Use the SFDC connector without OAuth:&lt;/p&gt;
&lt;p&gt;&lt;a href="http://mulesoft.github.io/salesforce-connector/6.1.0/mule/sfdc-config.html" rel="nofollow"&gt;http://mulesoft.github.io/salesforce-connector/6.1.0/mule/sfdc-config.html&lt;/a&gt;&lt;/p&gt;
&lt;p&gt;You can then configure username and password in the connector's config.&lt;/p&gt;
</t>
  </si>
  <si>
    <t xml:space="preserve">&lt;p&gt;I'm trying to use Zoho's SMTP servers to send registration emails from a MyBB installation. However, the emails are never sent and when I check the logs I notice that the error is.&lt;/p&gt;
&lt;pre&gt;&lt;code&gt;Month Day Year:Hour:Minute host=smtp.zoho.com tls=on auth=on user=user[at]mydomain.com from=user[at]mydomain.com recipients=some.user[at]gmail.com smtpstatus=553 smtpmsg='553 Relaying disallowed' errormsg='the server did not accept the mail' exitcode=EX_UNAVAILABLE
&lt;/code&gt;&lt;/pre&gt;
&lt;p&gt;(&lt;em&gt;Some parts were masked to hide private information!&lt;/em&gt;)&lt;/p&gt;
&lt;p&gt;This is the sendmail path set in php.ini&lt;/p&gt;
&lt;pre&gt;&lt;code&gt;sendmail_path = "/usr/bin/msmtp -C /etc/msmtp/myserver --logfile /var/log/msmtp/myserver.log -a default -t"
&lt;/code&gt;&lt;/pre&gt;
&lt;p&gt;(&lt;em&gt;Some parts were masked to hide private information!&lt;/em&gt;)&lt;/p&gt;
&lt;p&gt;This is the myserver configuration for MSMTP&lt;/p&gt;
&lt;pre&gt;&lt;code&gt;# Define here some setting that can be useful for every account
defaults
    logfile /var/log/msmtp/general.log
# Settings for default account
account default
    protocol smtp
    host smtp.zoho.com
    tls on
    tls_starttls off
    tls_certcheck off
    port 465
    auth plain
    user user[at]mydomain.com
    password **********
    from user[at]mydomain.com
    logfile /var/log/msmtp/myserver.log
# If you don't use any "-a" parameter in your command line,
# the default account "default" will be used.
# account default: default # (disabled because this gives a "redefined" error)
&lt;/code&gt;&lt;/pre&gt;
&lt;p&gt;(&lt;em&gt;Some parts were masked to hide private information!&lt;/em&gt;)&lt;/p&gt;
&lt;p&gt;The problem is that I know it's working and that no ports are blocked because when I use the same command in the command line. The email is successfully sent and received.&lt;/p&gt;
&lt;pre&gt;&lt;code&gt;sudo echo -e "Subject: Test Mail\r\n\r\nThis is a test mail" | msmtp --debug -a default --from=user[at]mydomain.com -t some.user[at]gmail.com --file=/etc/msmtp/myserver
&lt;/code&gt;&lt;/pre&gt;
&lt;p&gt;(&lt;em&gt;Some parts were masked to hide private information!&lt;/em&gt;)&lt;/p&gt;
&lt;p&gt;Which means that it's either something wrong with the way MyBB sends emails or it's something wrong with my PHP configuration or command line that I have set in php.ini file.&lt;/p&gt;
&lt;p&gt;I've searched this all day but every result that I get is either not related to PHP or it never worked from the beginning. And mine is working from the command line but not from PHP.&lt;/p&gt;
&lt;p&gt;I use UFW on the server and every port is completely opened so I'me guessing it's not related to blocked ports.&lt;/p&gt;
&lt;p&gt;It worked with Gmail but every email was sent to spam folder and it didn't worked every time with every email.&lt;/p&gt;
&lt;p&gt;EDIT:
I've tried to send an email with PHP5-CLI and it worked. So I'm guessing that it's either something wrong with PHP5-FPM or MyBB. &lt;/p&gt;
</t>
  </si>
  <si>
    <t xml:space="preserve">&lt;p&gt;we'd like to implement OpenGraph on an intranet application, so that when people share a URL from the application into a social network (Yammer, Jive, Chatter ...), it would show a nice thumbnail, description, and so forth.&lt;/p&gt;
&lt;p&gt;The problem: because Yammer is not connected to the intranet, it follows the redirections and serves OpenGraph data from the login page...&lt;/p&gt;
&lt;p&gt;Is there a way to behave properly in such a case ?&lt;/p&gt;
&lt;p&gt;We've come up with 3 possible solutions:&lt;/p&gt;
&lt;ul&gt;
&lt;li&gt;Implement an unknown but possibly existing part of the OpenGraph protocol, to serve private pages, ignoring as well as possible the redirections&lt;/li&gt;
&lt;li&gt;Doing some kind of cloaking - detecting the agent is Yammer or Chatter, and serve a dedicated page&lt;/li&gt;
&lt;li&gt;Keeping the OpenGraph meta data in some kind of session, and serves them from the login page (where the social network eventually ends up...)&lt;/li&gt;
&lt;/ul&gt;
&lt;p&gt;Thanks for your input if you've been confronted to this problem too !&lt;/p&gt;
</t>
  </si>
  <si>
    <t xml:space="preserve">&lt;p&gt;Third solution sounds like the best one. Since it is allowed (by your rules) to show part of a data outside your intranet, you have to add individual thumbnail and description in the meta tags of login page.&lt;/p&gt;
&lt;ul&gt;
&lt;li&gt;If a user is logged in, he can see all the data from page yoursite.com/username/post123/ (as usual),&lt;/li&gt;
&lt;li&gt;But if user is not logged in (like any bot), he will see login form (with thumbnail and description in meta tags) on the same address yoursite.com/username/post123/&lt;/li&gt;
&lt;li&gt;So all bots will see proper OG data, all users will be able to login as usual.&lt;/li&gt;
&lt;/ul&gt;
&lt;p&gt;(i.e. you shouldn't redirect not logged in visitors to the page yoursite.com/loginpage. You have to show a login form on all such pages)&lt;/p&gt;
</t>
  </si>
  <si>
    <t xml:space="preserve">&lt;p&gt;Lets say i have an inline VF page&lt;/p&gt;       
&lt;p&gt; Code Snippet &lt;/p&gt;
&lt;pre&gt;&lt;code&gt;&amp;lt;apex:page&amp;gt;
    &amp;lt;apex:pageBlockTable value="{!tempList}" var="c" width="100%" columns="11"&amp;gt;
    &amp;lt;apex:column value="{!c.OwnerId}" headerValue="Case Owner"&amp;gt;
    &amp;lt;/apex:column&amp;gt;
    &amp;lt;/apex:pageBlocktable&amp;gt;
&amp;lt;/apex:page&amp;gt;
&lt;/code&gt;&lt;/pre&gt;
&lt;p&gt;From the contrioller i get the tempList (List created on Case).&lt;/p&gt;
&lt;p&gt;Now in the inline VF page i want to remove the hyper link for the case owner name that got displayed in my page. &lt;/p&gt;
&lt;p&gt;&lt;p&gt; Any Thoughts ? &lt;/p&gt;&lt;/p&gt;
</t>
  </si>
  <si>
    <t xml:space="preserve">&lt;p&gt;I am using the following query to try to pull fields off of a User lookup on the Account.  There is a field on the Account called Dedicated_Rep__c which is a user lookup.  I am building my button off the opportunity, and I want to be able to pull the Opportunity's Account's Dedicated Rep's First Name, Last Name, and Email.  Here's my code:&lt;/p&gt;
&lt;pre&gt;&lt;code&gt;    function getDedicatedAccountRep (oppId) {
var result = sforce.connection.query("select Account.Id, Account.Dedicated_CS_Rep__r.FirstName from Opportunity where Id = '" + oppId + "' ");
if(!result || result['size'] != 1) { 
    return null;
    }
    var DedRepRole = result.getArray('records')[0];
    return DedRepRole.Account;
}
var dedicatedRep = getDedicatedAccountRep('{!Opportunity.Id}'); 
&lt;/code&gt;&lt;/pre&gt;
&lt;p&gt;I am getting an error:&lt;/p&gt;
&lt;p&gt;Cannot read property 'Dedicated_CS_Rep__c' of undefined&lt;/p&gt;
&lt;p&gt;I am referencing the code later in the button and I am instantiating it by putting: dedicatedRep.Dedicated_CS_Rep__r.FirstName&lt;/p&gt;
</t>
  </si>
  <si>
    <t xml:space="preserve">&lt;p&gt;I had to post a message to a chatter group within our organization 
when a user submits his application for grants. 
I was searching through the web and found that there are many postings but nobody talked about all the steps required to post a comment to chatter group. 
Through this post I want to help some other users who are looking for similar solution.&lt;/p&gt;
&lt;p&gt;First and foremost one has to create a salesforce developer account.&lt;/p&gt;
&lt;p&gt;1) login to salesforce developer account and click on setup -&gt; Build -&gt; Create -&gt; Apps
scroll down and click on new in a Connected Apps section and create a connected app by entering basic Information and click Enable OAuth Settings to open the API section &lt;/p&gt;
&lt;p&gt;2) Obtain the consumer key and secret.
Here is the URL explaining about this process
(Scroll down to topic 'Configuring OAuth 2.0 Access for your Application')&lt;/p&gt;
&lt;p&gt;&lt;a href="https://developer.salesforce.com/page/Digging_Deeper_into_OAuth_2.0_on_Force.com" rel="nofollow"&gt;https://developer.salesforce.com/page/Digging_Deeper_into_OAuth_2.0_on_Force.com&lt;/a&gt;&lt;/p&gt;
&lt;p&gt;3) Now click on logged in user name-&gt; My Settings-&gt; Personal-&gt; Reset My Security Token
once you click this, an email will be sent to your registered email account with security token.&lt;/p&gt;
&lt;p&gt;4) Create a group in Chatter and click on the group name and copy the group id(g=0F9FXXX) from browser bar (&lt;a href="https://na1x.salesforce.com/...../GroupProfilePage?g=0F9Fxxxxxxxxxxxxxf" rel="nofollow"&gt;https://na1x.salesforce.com/...../GroupProfilePage?g=0F9Fxxxxxxxxxxxxxf&lt;/a&gt;) into your file and keep it.&lt;/p&gt;
&lt;p&gt;5) Once we are done with chatter let us move to Java application to post comment to a group &lt;/p&gt;
&lt;p&gt;Here is the java helper class I used to post a comment along with an attachment.
Both commons-httpclient-3.1 and httpclient-4.3.jar are required along with jsonxxxx.jar&lt;/p&gt;
&lt;pre&gt;&lt;code&gt;import java.io.BufferedReader;
import java.io.File;
import java.io.InputStreamReader;
import java.util.ArrayList;
import java.util.Date;
import java.util.List;
import org.apache.commons.httpclient.HttpClient;
import org.apache.commons.httpclient.methods.PostMethod;
import org.apache.commons.httpclient.methods.multipart.*;
import org.apache.http.HttpEntity;
import org.apache.http.HttpResponse;
import org.apache.http.client.config.RequestConfig;
import org.apache.http.client.entity.UrlEncodedFormEntity;
import org.apache.http.client.methods.HttpPost;
import org.apache.http.impl.client.CloseableHttpClient;
import org.apache.http.impl.client.HttpClients;
import org.apache.http.message.BasicNameValuePair;
import org.json.JSONObject;
public class ChatterHelper
{
  public static void postOnChatterGroup()
 {
 public static final String SALESFORCE_USERNAME = "xyz@abc.com";
 public static final String SALESFORCE_PASSWORD = "password+securityToken";
 public static final String SALESFORCE_CONSUMER_KEY="3MVG9JZ_r.Qzxxx.xxx.xxxx.xxx.xx1";
 public static final String SALESFORCE_SECRET = "345345345345345345";
 public static final String SALESFORCE_CHATTER_GROUP = "0F9xxxxxxxxxxx";
try
{
  StringBuffer sbf = new StringBuffer();
  RequestConfig requestConfig =    RequestConfig.custom().setSocketTimeout(30000).
  setConnectTimeout(30000).build();
  CloseableHttpClient httpClient = HttpClients.createDefault();
  String baseUrl =  "https://na1.salesforce.com/services/oauth2/token";
  // Send a post request to the OAuth URL.
  HttpPost oauthPost = new HttpPost(baseUrl);
  oauthPost.setConfig(requestConfig);
  List&amp;lt;BasicNameValuePair&amp;gt; parametersBody = new ArrayList&amp;lt;BasicNameValuePair&amp;gt;();
  // keep this as it is
  parametersBody.add(new BasicNameValuePair("grant_type", "password"));
  parametersBody.add(new BasicNameValuePair("username", SALESFORCE_USERNAME));
  parametersBody.add(new BasicNameValuePair("password", SALESFORCE_PASSWORD));
  parametersBody.add(new BasicNameValuePair("client_id", SALESFORCE_CONSUMER_KEY));
  parametersBody.add(new BasicNameValuePair("client_secret", SALESFORCE_SECRET));
  oauthPost.setEntity(new UrlEncodedFormEntity(parametersBody));
  // Execute the request.
  HttpResponse response = httpClient.execute(oauthPost);
  HttpEntity entity = response.getEntity();
  if (entity != null)
  {
   BufferedReader rd = new BufferedReader(new InputStreamReader(
   entity.getContent(), "UTF-8"));
    String line = "";
    while ((line = rd.readLine()) != null)
    {
      sbf.append(line);
    }
  }
  JSONObject jObj = new JSONObject(sbf.toString());
  String accessToken = jObj.get("access_token").toString();
  String instanceUrl = jObj.get("instance_url").toString();
  String textMsg = "Here is the comment";
  File contentFile = new File("c:/xyz/abc.pdf");
  String desc = "This file is uploaded by xyz user";
  String fileName = "View PDF";
  final PostMethod postMethod = new PostMethod(instanceUrl +
  "/services/data/v23.0/chatter/feeds/record/" + 
  SALESFORCE_CHATTER_GROUP + "/feed-items");
  Part[] parts = {
      new StringPart("desc", desc),
      new StringPart("fileName", fileName),
      new StringPart("text", textMsg),
      new FilePart("feedItemFileUpload", contentFile),
  };
  postMethod.setRequestEntity(new MultipartRequestEntity(parts,  
  postMethod.getParams()));
  postMethod.setRequestHeader("Authorization", "OAuth " + accessToken);
  postMethod.addRequestHeader("X-PrettyPrint", "1");
  HttpClient client = new HttpClient();
  client.getParams().setSoTimeout(Constant.URL_SOCKET_TIMEOUT);
  client.executeMethod(postMethod);
}
catch (Exception e)
{
  e.printStackTrace();
}
 }
}
&lt;/code&gt;&lt;/pre&gt;
&lt;p&gt;6) Go back to chatter and you should see a message along with abc.pdf.&lt;/p&gt;
&lt;p&gt;Hope it helps some one.&lt;/p&gt;
</t>
  </si>
  <si>
    <t xml:space="preserve">&lt;p&gt;Hi I have a critical application which talks to salesforce rest services .I need to do regular health checks programatically in this application so I can check if SF is up or not which shall signal further processing in my app.&lt;/p&gt;
&lt;p&gt;Is there a url I can ping in SF for healthcheck ?&lt;/p&gt;
</t>
  </si>
  <si>
    <t xml:space="preserve">&lt;p&gt;I have a class that can access the site url in the salesforce.
The site url "&lt;a href="https://somesalesforce.com/smsToApex" rel="nofollow noreferrer"&gt;https://somesalesforce.com/smsToApex&lt;/a&gt;" and same as the twilio account sms URL but this class can't called. &lt;img src="https://i.stack.imgur.com/LSj7H.png" alt="enter image description here"&gt;I have reference &lt;a href="https://developer.salesforce.com/blogs/developer-relations/2012/04/sms-to-lead-with-the-twilio-library-for-salesforce.html#comment-1449666487" rel="nofollow noreferrer"&gt;this document&lt;/a&gt;.The twilio SMS url correct are not how to check?The Twilio account SMS url and salesforce site url are same as of now.Whenever SMS is came via twilio then automatically Case is createin the sandbox.But here not happened.I doing correct producer are not?.Can someone please help me.How to resolve this problem.I have checked the twilio sms url like this "&lt;a href="https://somesalesforce.com/service/apexrest/smsToApex" rel="nofollow noreferrer"&gt;https://somesalesforce.com/service/apexrest/smsToApex&lt;/a&gt;".which url I will give both Salesforce site url, Twilio SMS url.&lt;/p&gt;
&lt;pre&gt;&lt;code&gt;@RestResource(urlMapping='/smsToApex')
global class smsToApex 
{   
    Static TwilioAccount account = TwilioAPI.getDefaultAccount();         
    @HttpPost
    global static void incomingSMS() 
    {        
        // This will error out with System.LimitException if we would exceed
        // our daily email limit
        Messaging.reserveSingleEmailCapacity(1);
        String expectedSignature = RestContext.request.headers.get('X-Twilio-Signature');
        system.debug('ES' + expectedSignature);
        String url = 'https://' + RestContext.request.headers.get('Host') + '/services/apexrest' + RestContext.request.requestURI;
        Map &amp;lt;String, String&amp;gt; params = RestContext.request.params;
       system.debug('smsToApex========&amp;gt;'+params);
        // Validate signature
        if (!TwilioAPI.getDefaultClient().validateRequest(expectedSignature, url, params)) {
            RestContext.response.statusCode = 403;
            RestContext.response.responseBody = Blob.valueOf('Failure! Rcvd '+expectedSignature+'\nURL '+url/*+'\nHeaders'+RestContext.request.headers*/);
            return;
        }       
        RestContext.response.responseBody = Blob.valueOf('ok');        
        String caseFrom = params.get('From');
         String caseTo = params.get('To');
        String   caseBody = params.get('Body');          
          System.debug('Step 4 smsToApex caseFrom==&amp;gt;'+caseFrom);
          System.debug('Step 5 smsToApex caseTo===&amp;gt;'+caseTo);
          System.debug('Step 6 smsToApex caseBody===&amp;gt;'+caseBody);          
           Case ca = new Case();
            ca.Subject = 'Test smsToApex caseFrom'+caseFrom;
            ca.Description = 'Test smsToApex caseBody'+caseBody+','+caseTo;
            ca.Origin = 'Phone';
            INSERT ca;                  
     }                       
}
&lt;/code&gt;&lt;/pre&gt;
</t>
  </si>
  <si>
    <t xml:space="preserve">&lt;p&gt;I´m testing some confirmation emails in my development environment while developing a Rails app. The emails are sent to different email accounts (zoho and gmail accounts) from a zoho account. Everything was working ok, I have done many tests today, but suddenly (without any change), I have stopped receiving new emails. The logs still looks good.&lt;/p&gt;
&lt;p&gt;See the summarized logs:&lt;/p&gt;
&lt;pre&gt;&lt;code&gt;Sent mail to business@yanpy.com (2150.1ms)
Date: Thu, 03 Jul 2014 18:09:13 +0200
From: Yanpy &amp;lt;business@yanpy.com&amp;gt;
To: Yanpy &amp;lt;business@yanpy.com&amp;gt;
Message-ID: &amp;lt;53b58029827cb_242d2d6ebcc402cc@ubuntu.mail&amp;gt;
Subject: El usuario cliente.yanpy@gmail.com ha enviado la solicitud de reserva
 [FJGLZLFW] a propietario.yanpy@gmail.com.
Mime-Version: 1.0
Content-Type: multipart/related;
 boundary="--==_mimepart_53b58028802be_242d2d6ebcc400c0";
 charset=UTF-8
Content-Transfer-Encoding: 7bit
----==_mimepart_53b58028802be_242d2d6ebcc400c0
Content-Type: multipart/alternative;
 boundary="--==_mimepart_53b58029798a3_242d2d6ebcc401a8";
 charset=UTF-8
Content-Transfer-Encoding: 7bit
----==_mimepart_53b58029798a3_242d2d6ebcc401a8
Content-Type: text/plain;
 charset=UTF-8
Content-Transfer-Encoding: 7bit
Yanpy
Hola Admin,
-----------
El usuario cliente.yanpy@gmail.com ha enviado la solicitud
de reserva [FJGLZLFW] del barco Barquito de papel de
propietario.yanpy@gmail.com.
Un saludo,
El equipo de Yanpy.
----==_mimepart_53b58029798a3_242d2d6ebcc401a8
Content-Type: text/html;
 charset=UTF-8
Content-Transfer-Encoding: 7bit
&amp;lt;!DOCTYPE html&amp;gt;
...
&lt;/code&gt;&lt;/pre&gt;
&lt;p&gt;I´m not sure it´s zoho problem, but I think it´s related to it. Is there any limitation of emails received or send from an account in a day. I have done many tests today.&lt;/p&gt;
&lt;p&gt;There are several guys working on local environments and the email service has stopped working for all of them.&lt;/p&gt;
&lt;p&gt;Thanks,
Roberto.&lt;/p&gt;
</t>
  </si>
  <si>
    <t xml:space="preserve">&lt;p&gt;I found out the problem. &lt;/p&gt;
&lt;p&gt;I´m using Amazon SES as email service. I have reached the 200 emails sent limit per day.&lt;/p&gt;
</t>
  </si>
  <si>
    <t xml:space="preserve">&lt;p&gt;I am currently working with a QuickBase database trying to make a custom report using moustache.js, When I was looking into moustach.js I noticed you needed to have your data in JSON format so I used (&lt;a href="http://pastie.org/9364908#16" rel="nofollow"&gt;http://pastie.org/9364908#16&lt;/a&gt;) to get my data into JSON which then comes out like (&lt;a href="http://pastie.org/9364674#18" rel="nofollow"&gt;http://pastie.org/9364674#18&lt;/a&gt;)&lt;/p&gt;
&lt;p&gt;My question is when I make the template for this, does it need to be all contained in the page that the call to get the json data is? I have looked at examples of mustache templates, but all I can find is it being used with data supplied right then made in JSON format, but my data I need is being supplied when I make the call so how would I go about setting that up.? &lt;/p&gt;
</t>
  </si>
  <si>
    <t xml:space="preserve">&lt;p&gt;I am trying to build a flot chart using data from Quickbase. In order to accomplish this I have to be able to reference the flot.js files. In my html page I have scripts that call the js files located in Quickbase where the src is equal to the url link to the read-only version of the js file. However, the html page does not seem to be referencing the js pages. Does anyone have any suggestions? Thanks. &lt;/p&gt;
</t>
  </si>
  <si>
    <t xml:space="preserve">&lt;p&gt;Use a script similar to this, but replace the part before .quickbase, the db, and the pagename value.&lt;/p&gt;
&lt;pre&gt;&lt;code&gt;&amp;lt;script src="https://haversineconsulting.quickbase.com/db/bipznmwx8?a=dbpage&amp;amp;pagename=myscript.js"&amp;gt;&amp;lt;/script&amp;gt;
&lt;/code&gt;&lt;/pre&gt;
&lt;p&gt;Or&lt;/p&gt;
&lt;pre&gt;&lt;code&gt;&amp;lt;script src="bipznmwx8?a=dbpage&amp;amp;pagename=myscript.js"&amp;gt;&amp;lt;/script&amp;gt;
&lt;/code&gt;&lt;/pre&gt;
&lt;p&gt;See &lt;a href="https://quickbase-community.intuit.com/questions/811560-javascript-libraries" rel="nofollow"&gt;https://quickbase-community.intuit.com/questions/811560-javascript-libraries&lt;/a&gt;&lt;/p&gt;
</t>
  </si>
  <si>
    <t xml:space="preserve">&lt;p&gt;I am trying a scenario in case object.&lt;/p&gt;
&lt;p&gt;Whenever a case is created with today's date the status of the case should be NEW.&lt;/p&gt;
&lt;p&gt;On the next day, as the created date of the above would be yesterday date the status of case should get changed to ESCALATED.&lt;/p&gt;
&lt;p&gt;If 5 days are passed, then status of case should be CLOSED.&lt;/p&gt;
&lt;p&gt;I tried this with validation rule but it end up with "Picklist fields are only supported in certain functions."&lt;/p&gt;
&lt;p&gt;So what is the other alternative to get the above anticipated behaviour in case object.&lt;/p&gt;
&lt;pre&gt;&lt;code&gt;IF(  DATEVALUE(CreatedDate)   =  TODAY() , Status  =  "New" ,null)
&lt;/code&gt;&lt;/pre&gt;
&lt;p&gt;FYR.. I am trying the above in VR.&lt;/p&gt;
</t>
  </si>
  <si>
    <t xml:space="preserve">&lt;p&gt;I am trying to do a bulk import using CSV. I'm coding in ruby So using RestClient gem for calling the Zoho Report API. How should I pass the value for ZOHO_FILE? I tried &lt;/p&gt;
&lt;pre&gt;&lt;code&gt;RestClient.post(ZOHO_REPORT_API, {ZOHO_FILE =&amp;gt; File.open("path/to/csvfile")})
&lt;/code&gt;&lt;/pre&gt;
&lt;p&gt;But its not working. The error which I'm getting is &lt;code&gt;The file content is not \"multipart\/form-data\" format.&lt;/code&gt;&lt;/p&gt;
&lt;p&gt;Please help me to find out the right way to pass ZOHO_FILE value.&lt;/p&gt;
</t>
  </si>
  <si>
    <t xml:space="preserve">&lt;p&gt;I got the answer for the same. &lt;/p&gt;
&lt;p&gt;ZOHO provides an uploading tool for the same. Its easy to understand and implement. Please have a look at &lt;a href="https://reports.wiki.zoho.com/Uploading-data-from-CSV-files-console-mode.html" rel="nofollow"&gt;ZOHO Upload Tool&lt;/a&gt; &lt;/p&gt;
</t>
  </si>
  <si>
    <t xml:space="preserve">&lt;p&gt;I am new to salesforce .
I have appended a tab which contains a visualforce page in my salesforce 1 app I want to make it availaible to some salesforce users.
How to do that?
how to add already existing users in my group.
thank you
Any guidance would be highly appreciated
Thanks&lt;/p&gt;
</t>
  </si>
  <si>
    <t xml:space="preserve">&lt;p&gt;salesforce provide two types of format, &lt;/p&gt;
&lt;pre&gt;&lt;code&gt;Person account 
and Business Account, 
&lt;/code&gt;&lt;/pre&gt;
&lt;p&gt;Is there any way we can determine if the Salesforce supports Person Accounts or standard Business Accounts.&lt;/p&gt;
&lt;p&gt;using salesforce API and php integration.&lt;/p&gt;
&lt;p&gt;Thanks&lt;/p&gt;
</t>
  </si>
  <si>
    <t xml:space="preserve">&lt;p&gt;It seems like, when I walkthrough each record and display the image link, it links to some type of default path that looks like a broken link.&lt;/p&gt;
&lt;p&gt;&lt;/p&gt;
&lt;p&gt;I looked it up over and over but there is nothing that I can see that works.&lt;/p&gt;
&lt;p&gt;Does anyone know how to make an uploaded image show up on a page?&lt;/p&gt;
&lt;p&gt;Thank you.&lt;/p&gt;
</t>
  </si>
  <si>
    <t xml:space="preserve">&lt;p&gt;I got something that is completely doing my head in. In the fullcalendar (mendix) widget I'm trying to show a 24H format. Whatever I try... It's just not working. I've filled in the custom date format, H:(mm) but it just doesn't work!&lt;/p&gt;
&lt;p&gt;What I'm seeing right now is this:&lt;/p&gt;
&lt;p&gt;&lt;img src="https://i.stack.imgur.com/5bvDk.png" alt="http://puu.sh/b3ilY/0e7661cc0c.png"&gt;&lt;/p&gt;
&lt;p&gt;I want to see the 24H timeformat in H:mm, so 14:00 - 15:00 - 16:00 etc!&lt;/p&gt;
&lt;p&gt;Can someone help?&lt;/p&gt;
&lt;p&gt;Thanks&lt;/p&gt;
</t>
  </si>
  <si>
    <t xml:space="preserve">&lt;p&gt;Here is my requirement.&lt;/p&gt;
&lt;p&gt;When i enter my domain Like "ww.abc.com"  in the Url of a browser. then it should redirect to the force.com site Url like "newdeveloper.force.com" site created in salesforce. but in the url it should show me as "www.abc.com".
the mapping should be done in back-end.&lt;/p&gt;
&lt;p&gt;Please help me in this issue.&lt;/p&gt;
&lt;p&gt;Thanks in Advance&lt;/p&gt;
</t>
  </si>
  <si>
    <t xml:space="preserve">&lt;p&gt;I am using this application as a basis for what i am looking to do. &lt;a href="https://github.com/sgshawnblanchard/CanvasNodeJS" rel="nofollow"&gt;https://github.com/sgshawnblanchard/CanvasNodeJS&lt;/a&gt;&lt;/p&gt;
&lt;p&gt;The issue I am having is that I don't think I quite understand what needs to happen in order to be able to post to the Chatter feed via the Canvas application. I have everything working, however on this page: &lt;a href="https://github.com/sgshawnblanchard/CanvasNodeJS/blob/master/public/index.html" rel="nofollow"&gt;https://github.com/sgshawnblanchard/CanvasNodeJS/blob/master/public/index.html&lt;/a&gt;&lt;/p&gt;
&lt;p&gt;you will see that he is posting a "signed request", here is where I am getting confused. I understand that I need to post, and that value will let salesforce know that I have permission to post to the feed, however how do I get that value?  In the example you see.&lt;/p&gt;
&lt;pre&gt;&lt;code&gt;&amp;lt;form action="canvas" method="post"&amp;gt;
            &amp;lt;input id="signed_request" name="signed_request" type="text" value="Pxy%2FPFsGb%2FfH1ORo%2B0vqdJjCi97Bypek0hzST8UIGzY%3D.eyJjb250ZXh0Ijp7InVzZXIiOnsibGFuZ3VhZ2UiOiJlbl9VUyIsInRpbWVab25lIjoiQW1lcmljYS9DaGljYWdvIiwibG9jYWxlIjoiZW5fVVMiLCJmdWxsTmFtZSI6IlNoYXduIEJsYW5jaGFyZCIsInVzZXJJZCI6IjAwNTQwMDAwMDAxQ3ppQ0FBUyIsInVzZXJUeXBlIjoiU1RBTkRBUkQiLCJ1c2VyTmFtZSI6InNoYXduX2JsYW5jaGFyZEBzY2h1bWFjaGVyZ3JvdXAuY29tLmNhbnZhcyIsImVtYWlsIjoic2hhd25fYmxhbmNoYXJkQHNjaHVtYWNoZXJncm91cC5jb20uY2FudmFzIiwicHJvZmlsZVBob3RvVXJsIjoiaHR0cHM6Ly9zZ2NvcnAtLWNhbnZhcy0tYy5jczE1LmNvbnRlbnQuZm9yY2UuY29tL3Byb2ZpbGVwaG90by83MjllMDAwMDAwMDAybm8vRiIsInByb2ZpbGVJZCI6IjAwZTMwMDAwMDAwaFFWMCIsImZpcnN0TmFtZSI6IlNoYXduIiwibGFzdE5hbWUiOiJCbGFuY2hhcmQiLCJhY2Nlc3NpYmlsaXR5TW9kZUVuYWJsZWQiOmZhbHNlLCJyb2xlSWQiOiIwMEU0MDAwMDAwMGtaU1kiLCJjdXJyZW5jeUlTT0NvZGUiOiJVU0QiLCJwcm9maWxlVGh1bWJuYWlsVXJsIjoiaHR0cHM6Ly9zZ2NvcnAtLWNhbnZhcy0tYy5jczE1LmNvbnRlbnQuZm9yY2UuY29tL3Byb2ZpbGVwaG90by83MjllMDAwMDAwMDAybm8vVCJ9LCJlbnZpcm9ubWVudCI6eyJwYXJhbWV0ZXJzIjp7fSwiZGltZW5zaW9ucyI6eyJ3aWR0aCI6IjgwMHB4IiwiaGVpZ2h0IjoiOTAwcHgifSwibG9jYXRpb25VcmwiOiJodHRwczovL3NnY29ycC0tY2FudmFzLmNzMTUubXkuc2FsZXNmb3JjZS5jb20vX3VpL3BsYXRmb3JtL2Nvbm5lY3QvdWkvQ2FudmFzUHJldmlld2VyVWk%2FcmV0VVJMPSUyRnVpJTJGc2V0dXAlMkZTZXR1cCUzRnNldHVwaWQlM0RTdHVkaW8mc2V0dXBpZD1DYW52YXNQcmV2aWV3ZXJVaSIsInVpVGhlbWUiOiJUaGVtZTMiLCJ2ZXJzaW9uIjp7ImFwaSI6IjI3LjAiLCJzZWFzb24iOiJTUFJJTkcifX0sIm9yZ2FuaXphdGlvbiI6eyJuYW1lIjoiVGhlIFNjaHVtYWNoZXIgR3JvdXAiLCJvcmdhbml6YXRpb25JZCI6IjAwRGUwMDAwMDAwN3ZpYkVBQSIsIm11bHRpY3VycmVuY3lFbmFibGVkIjpmYWxzZSwiY3VycmVuY3lJc29Db2RlIjoiVVNEIn0sImxpbmtzIjp7ImVudGVycHJpc2VVcmwiOiIvc2VydmljZXMvU29hcC9jLzI3LjAvMDBEZTAwMDAwMDA3dmliIiwibWV0YWRhdGFVcmwiOiIvc2VydmljZXMvU29hcC9tLzI3LjAvMDBEZTAwMDAwMDA3dmliIiwicGFydG5lclVybCI6Ii9zZXJ2aWNlcy9Tb2FwL3UvMjcuMC8wMERlMDAwMDAwMDd2aWIiLCJyZXN0VXJsIjoiL3NlcnZpY2VzL2RhdGEvdjI3LjAvIiwic29iamVjdFVybCI6Ii9zZXJ2aWNlcy9kYXRhL3YyNy4wL3NvYmplY3RzLyIsInNlYXJjaFVybCI6Ii9zZXJ2aWNlcy9kYXRhL3YyNy4wL3NlYXJjaC8iLCJxdWVyeVVybCI6Ii9zZXJ2aWNlcy9kYXRhL3YyNy4wL3F1ZXJ5LyIsInJlY2VudEl0ZW1zVXJsIjoiL3NlcnZpY2VzL2RhdGEvdjI3LjAvcmVjZW50LyIsInVzZXJVcmwiOiIvMDA1NDAwMDAwMDFDemlDQUFTIiwiY2hhdHRlckZlZWRzVXJsIjoiL3NlcnZpY2VzL2RhdGEvdjI3LjAvY2hhdHRlci9mZWVkcyIsImNoYXR0ZXJHcm91cHNVcmwiOiIvc2VydmljZXMvZGF0YS92MjcuMC9jaGF0dGVyL2dyb3VwcyIsImNoYXR0ZXJVc2Vyc1VybCI6Ii9zZXJ2aWNlcy9kYXRhL3YyNy4wL2NoYXR0ZXIvdXNlcnMiLCJjaGF0dGVyRmVlZEl0ZW1zVXJsIjoiL3NlcnZpY2VzL2RhdGEvdjI3LjAvY2hhdHRlci9mZWVkLWl0ZW1zIn19LCJhbGdvcml0aG0iOiJITUFDU0hBMjU2IiwidXNlcklkIjoiMDA1NDAwMDAwMDFDemlDIiwiY2xpZW50Ijp7Imluc3RhbmNlSWQiOiIwNlBlMDAwMDAwMDhPS2YiLCJjbGllbnRJZCI6IjNNVkc5ZFBHenBjM2tXeWQuSWtvcTJuVG5uTVI3OWkuOWphR0d5aVBQRDk1WXhNMHNDZDNaRWplX0Jhb1NpU0FtaXU3OWFqdVZQekJJbXdDRFB6UlAiLCJ0YXJnZXRPcmlnaW4iOiJodHRwczovL3NnY29ycC0tY2FudmFzLmNzMTUubXkuc2FsZXNmb3JjZS5jb20iLCJpbnN0YW5jZVVybCI6Imh0dHBzOi8vc2djb3JwLS1jYW52YXMuY3MxNS5teS5zYWxlc2ZvcmNlLmNvbSIsIm9hdXRoVG9rZW4iOiIwMERlMDAwMDAwMDd2aWIhQVFrQVFIS1EwaFIudUl5alFuVW1ZeF9KZTVfek9CUUJ4RGY0ZF9NNFpTMGc0dmJ1am4yS0Y3UjcwN3AweVI2TGI5ZUxLZDVzcVZxd2xUUnpTXzhySzVNNnpBVmZINWNrIn0sImlzc3VlZEF0IjpudWxsfQ%3D%3D" /&amp;gt;
            &amp;lt;input type="submit" value="submit"/&amp;gt;
        &amp;lt;/form&amp;gt;
&lt;/code&gt;&lt;/pre&gt;
&lt;p&gt;I understand that the this value is comprised on 2 things, found here &lt;a href="http://www.salesforce.com/us/developer/docs/platform_connect/Content/canvas_app_signed_req_authentication.htm" rel="nofollow"&gt;http://www.salesforce.com/us/developer/docs/platform_connect/Content/canvas_app_signed_req_authentication.htm&lt;/a&gt;&lt;/p&gt;
&lt;blockquote&gt;
  &lt;p&gt;The signed request is a string of the following elements concatenated: &lt;/p&gt;
  &lt;p&gt;The canvas app consumer secret encrypted with HMAC SHA–256 algorithm A period (“.”)&lt;/p&gt;
  &lt;p&gt;The context and authorization token JSON encoded in Base64&lt;/p&gt;
  &lt;p&gt;The signed request looks similar to this, although it will be much
   longer:
   9Rpl6rE7R2bSNjoSfYdERk8nffmgtKQNhr5U/5eSJPI=.eyJjb250ZXh0Ijp7InVzZXIiOnsibGFuZ3V....&lt;/p&gt;
&lt;/blockquote&gt;
&lt;p&gt;I know how to get my secret from inside of SalesForce setting, however I have no idea what "The context and authorization token JSON encoded in Base64" means&lt;/p&gt;
&lt;p&gt;Am I correct in thinking that I need to get these static values and create a long string much like what the developer did in the example and post it, along with whatever message I want to send to Chatter?  Or am I missing something?&lt;/p&gt;
&lt;p&gt;Here is another video that I watched, however the guy ran out of time and didn't show how it actually worked &lt;a href="https://www.youtube.com/watch?v=kcNBwOqj2qA" rel="nofollow"&gt;https://www.youtube.com/watch?v=kcNBwOqj2qA&lt;/a&gt;&lt;/p&gt;
</t>
  </si>
  <si>
    <t xml:space="preserve">&lt;p&gt;I am trying to modify some jquery/js code in a quickbase app that was build for us. I am trying to use jquery/js to get the client name of a building report we are working on and output it onto a html page. I am able to locate the html for the client name using chrome web developer tool:&lt;/p&gt;
&lt;pre class="lang-html prettyprint-override"&gt;&lt;code&gt;&amp;lt;input type="text" size="40" name="_fid_6" id="_fid_6" onblur="OnBF(this)" onfocus="OnFF(this)" value="Test Client"&amp;gt;
&lt;/code&gt;&lt;/pre&gt;
&lt;p&gt;In the html file, I see the following jquery/js lines that will write out information about the building we are writing about but I don't know how to call the input for the client name:&lt;/p&gt;
&lt;pre class="lang-js prettyprint-override"&gt;&lt;code&gt;//Fetch Building Information
$.get(urlBuilding,function(rec){
//Get all returned records
    $("record", rec).each(function(j){
        rid  =$(this).find('record_id_').text();
        name  =$(this).find('name').text();
        address  =$(this).find('address').text();
        city  =$(this).find('city').text();
        province  =$(this).find('province').text();
        postal_code  =$(this).find('postal_code').text();
        number_of_units  =$(this).find('number_of_units').text();
        age  =$(this).find('age').text();
        year_of_construction  =$(this).find('year_of_construction').text();
        photo  = $(this).find('photo_embed_tag').text();
        current_rfs = $(this).find('current_rfs').text();
        document.write('&amp;lt;h3&amp;gt;' + name + '&amp;lt;/h3&amp;gt;');
        document.write('&amp;lt;table&amp;gt;');
        document.write('&amp;lt;tr&amp;gt;&amp;lt;td&amp;gt;&amp;lt;/td&amp;gt;&amp;lt;td&amp;gt;'+photo+'&amp;lt;/td&amp;gt;&amp;lt;/td&amp;gt;&amp;lt;td&amp;gt;&amp;lt;/td&amp;gt;&amp;lt;/tr&amp;gt;');
        document.write('&amp;lt;tr&amp;gt;&amp;lt;td&amp;gt;&amp;lt;strong&amp;gt; Address:  &amp;lt;/strong&amp;gt;&amp;lt;/td&amp;gt;&amp;lt;td&amp;gt;'+address+'&amp;lt;/td&amp;gt;&amp;lt;td&amp;gt;&amp;lt;/td&amp;gt;&amp;lt;/tr&amp;gt;');
        document.write('&amp;lt;tr&amp;gt;&amp;lt;td&amp;gt;&amp;lt;strong&amp;gt; City:  &amp;lt;/strong&amp;gt;&amp;lt;/td&amp;gt;&amp;lt;td&amp;gt;'+city+'&amp;lt;/td&amp;gt;&amp;lt;/td&amp;gt;&amp;lt;td&amp;gt;&amp;lt;/td&amp;gt;&amp;lt;/tr&amp;gt;');
        document.write('&amp;lt;tr&amp;gt;&amp;lt;td&amp;gt;&amp;lt;strong&amp;gt; Province:  &amp;lt;/strong&amp;gt;&amp;lt;/td&amp;gt;&amp;lt;td&amp;gt;'+province+'&amp;lt;/td&amp;gt;&amp;lt;/td&amp;gt;&amp;lt;td&amp;gt;&amp;lt;/td&amp;gt;&amp;lt;/tr&amp;gt;');
        document.write('&amp;lt;tr&amp;gt;&amp;lt;td&amp;gt;&amp;lt;strong&amp;gt; Postal Code:  &amp;lt;/strong&amp;gt;&amp;lt;/td&amp;gt;&amp;lt;td&amp;gt;'+postal_code+'&amp;lt;/td&amp;gt;&amp;lt;/td&amp;gt;&amp;lt;td&amp;gt;&amp;lt;/td&amp;gt;&amp;lt;/tr&amp;gt;');
        document.write('&amp;lt;tr&amp;gt;&amp;lt;td&amp;gt;&amp;lt;strong&amp;gt; Units:  &amp;lt;/strong&amp;gt;&amp;lt;/td&amp;gt;&amp;lt;td&amp;gt;'+number_of_units+'&amp;lt;/td&amp;gt;&amp;lt;/td&amp;gt;&amp;lt;td&amp;gt;&amp;lt;/td&amp;gt;&amp;lt;/tr&amp;gt;');
        document.write('&amp;lt;tr&amp;gt;&amp;lt;td&amp;gt;&amp;lt;strong&amp;gt; Age:  &amp;lt;/strong&amp;gt;&amp;lt;/td&amp;gt;&amp;lt;td&amp;gt;'+age+'&amp;lt;/td&amp;gt;&amp;lt;/td&amp;gt;&amp;lt;td&amp;gt;&amp;lt;/td&amp;gt;&amp;lt;/tr&amp;gt;');
        document.write('&amp;lt;tr&amp;gt;&amp;lt;td&amp;gt;&amp;lt;strong&amp;gt; Yr of Construction:  &amp;lt;/strong&amp;gt;&amp;lt;/td&amp;gt;&amp;lt;td&amp;gt;'+year_of_construction+'&amp;lt;/td&amp;gt;&amp;lt;/td&amp;gt;&amp;lt;td&amp;gt;&amp;lt;/td&amp;gt;&amp;lt;/tr&amp;gt;');
        document.write('&amp;lt;/table&amp;gt;');
    });
&lt;/code&gt;&lt;/pre&gt;
&lt;p&gt;After looking at the app more, I was thinking maybe I can't get the client name in the building information section because the client name isn't part of the building... there is a section above the code that has looks like this:&lt;/p&gt;
&lt;pre class="lang-js prettyprint-override"&gt;&lt;code&gt;//Get the current user's client id
$.get("main?act=API_GetUserInfo",function(xml){
    id = $("user", xml).attr("id");
    email=$("email",xml).text();
    //Set url to query for user's client id
    url="";
    url += "bi3cnb6ep";
    url += "?act=API_DoQuery";
    url += "&amp;amp;query={12.EX.'" + email + "'}&amp;amp;clist=14";
});
&lt;/code&gt;&lt;/pre&gt;
</t>
  </si>
  <si>
    <t xml:space="preserve">&lt;p&gt;This question is related to the post in the below link&lt;/p&gt;
&lt;p&gt;&lt;a href="https://stackoverflow.com/questions/20787497/automate-creating-communities-user/25609931#25609931"&gt;automate creating communities user&lt;/a&gt;&lt;/p&gt;
&lt;p&gt;If the community user can be created with the automated process, how is the password for the user is set?&lt;/p&gt;
&lt;p&gt;Generally, If community user is created, an email will be sent to the email id with a set password link and user has to click the link and set the password manually, even after creating the user automatically.&lt;/p&gt;
&lt;p&gt;My question, is there a way to automate the password setting also? or can we set the default password while community user creation and then override the password using the System class method named 'SetPassword' for the community user?&lt;/p&gt;
&lt;p&gt;Thanks&lt;/p&gt;
</t>
  </si>
  <si>
    <t xml:space="preserve">&lt;p&gt;One of the JSON API that I am consuming returns response that varies its data structure depending upon how many results are returned from the query. I am consuming it from C# and using JSON.NET to deserialize the response.&lt;/p&gt;
&lt;p&gt;Here is the JSON that is returned from the API&lt;/p&gt;
&lt;p&gt;&lt;strong&gt;Multiple Result Response:&lt;/strong&gt;&lt;/p&gt;
&lt;pre&gt;&lt;code&gt;{
  "response": {
    "result": {
      "Leads": {
        "row": [
          {
            "no": "1",
...
...
...
&lt;/code&gt;&lt;/pre&gt;
&lt;p&gt;&lt;strong&gt;Single Result Response:&lt;/strong&gt;&lt;/p&gt;
&lt;pre&gt;&lt;code&gt;{
  "response": {
    "result": {
      "Leads": {
        "row": {
          "no": "1",
...
...
...
&lt;/code&gt;&lt;/pre&gt;
&lt;p&gt;Note the difference at "row" node which is either is an array in case of multiple results and object in case of single result.&lt;/p&gt;
&lt;p&gt;Here are classes that I use to deserialize this data&lt;/p&gt;
&lt;p&gt;&lt;strong&gt;Classes:&lt;/strong&gt;&lt;/p&gt;
&lt;pre&gt;&lt;code&gt;public class ZohoLeadResponseRootJson
{
    public ZohoLeadResponseJson Response { get; set; }
}
public class ZohoLeadResponseJson
{
    public ZohoLeadResultJson Result { get; set; }
}
public class ZohoLeadResultJson
{
    public ZohoDataMultiRowJson Leads { get; set; }
}
public class ZohoDataMultiRowJson
{
    public List&amp;lt;ZohoDataRowJson&amp;gt; Row { get; set; }
}
public class ZohoDataRowJson
{
    public int No { get; set; }
    ...
}
&lt;/code&gt;&lt;/pre&gt;
&lt;p&gt;The "Multiple Result Response" is deserialized without any problem but when there is only one result in the response, because of the data structure change, the response can't be deserialized. I get an exception&lt;/p&gt;
&lt;pre&gt;&lt;code&gt;Newtonsoft.Json.JsonSerializationException: Cannot deserialize the current JSON 
object (e.g. {"name":"value"}) into type 
'System.Collections.Generic.List`1[MyNamespace.ZohoDataRowJson]' 
because the type requires a JSON array (e.g. [1,2,3]) to deserialize correctly.
To fix this error either change the JSON to a JSON array (e.g. [1,2,3]) 
or change the deserialized type so that it is a normal .NET type (e.g. not a 
primitive type like integer, not a collection type like an array or List&amp;lt;T&amp;gt;) 
that can be deserialized from a JSON object. JsonObjectAttribute can also be 
added to the type to force it to deserialize from a JSON object.
Path 'response.result.Notes.row.no', line 1, position 44.
&lt;/code&gt;&lt;/pre&gt;
&lt;p&gt;Is there a way to handle this in Json.Net with some attribute and hopefully without having to write a converter?&lt;/p&gt;
</t>
  </si>
  <si>
    <t xml:space="preserve">&lt;p&gt;The is inspired by an &lt;a href="https://stackoverflow.com/questions/22052430/how-to-handle-json-that-returns-both-a-string-and-a-string-array/22053420#22053420"&gt;answer&lt;/a&gt; to a similar question.&lt;/p&gt;
&lt;pre&gt;&lt;code&gt;public class ZohoDataMultiRowJson
{
    [JsonConverter(typeof(ArrayOrObjectConverter&amp;lt;ZohoDataRowJson&amp;gt;))]
    public List&amp;lt;ZohoDataRowJson&amp;gt; Row { get; set; }
}
public class ArrayOrObjectConverter&amp;lt;T&amp;gt; : JsonConverter
{
    public override void WriteJson(JsonWriter writer, object value, JsonSerializer serializer)
    {
        throw new NotImplementedException();
    }
    public override object ReadJson(JsonReader reader, Type objectType, object existingValue, JsonSerializer serializer)
    {
        if (reader.TokenType == JsonToken.StartArray)
        {
            return serializer.Deserialize&amp;lt;List&amp;lt;T&amp;gt;&amp;gt;(reader);
        }
        else if (reader.TokenType == JsonToken.StartObject)
        {
            return new List&amp;lt;T&amp;gt;
            {
                (T) serializer.Deserialize&amp;lt;T&amp;gt;(reader)
            };
        }
        else
        {
            throw new NotSupportedException("Unexpected JSON to deserialize");
        }
    }
    public override bool CanConvert(Type objectType)
    {
        throw new NotImplementedException();
    }
}
&lt;/code&gt;&lt;/pre&gt;
</t>
  </si>
  <si>
    <t xml:space="preserve">&lt;p&gt;I am working on Salesforce1 (Aura platform). I am trying to pass values from client-side (javascript) to server-side controller(Apex-code).
I tried by using &lt;code&gt;setParams();&lt;/code&gt; in JavaScript and &lt;code&gt;@key&lt;/code&gt; annotation in Apex but &lt;code&gt;@key&lt;/code&gt; is not supported in Apex.&lt;/p&gt;
&lt;p&gt;Thanks in advance.&lt;/p&gt;
&lt;p&gt;I am giving sample code here...&lt;/p&gt;
&lt;p&gt;&lt;strong&gt;APPLICATION code&lt;/strong&gt;:&lt;/p&gt;
&lt;pre&gt;&lt;code&gt;     &amp;lt;aura:application&amp;gt;
      &amp;lt;PlumQ:example/&amp;gt;
     &amp;lt;/aura:application&amp;gt;
&lt;/code&gt;&lt;/pre&gt;
&lt;p&gt;&lt;strong&gt;COMPONENT code:&lt;/strong&gt;&lt;/p&gt;
&lt;pre&gt;&lt;code&gt;&amp;lt;aura:component model="PlumQ.ExampleServerSideController"&amp;gt;
  &amp;lt;aura:attribute name="firstName" type="String" default="HELLO worlD"/&amp;gt;
  &amp;lt;ui:inputtext label="Name" aura:id="id1" value="{!v.firstName}" placeholder = "enter name" /&amp;gt;
   &amp;lt;ui:button label="Native Aura Button" press="{!c.echo}"/&amp;gt;
&amp;lt;/aura:component&amp;gt;
&lt;/code&gt;&lt;/pre&gt;
&lt;p&gt;&lt;strong&gt;**client-side-controller(JAVASCRIPT):**&lt;/strong&gt;&lt;/p&gt;
&lt;pre&gt;&lt;code&gt; ({
   "echo" : function(component) {
          alert('in client-Side-process');
          var b =component.get("v.firstName");
          alert('firstnaaaaame:::::::::::::'+b);
           var a = component.get("m.serverEcho");
           alert('After ServerSide Process');
          a.setParams({ firstName : component.get("v.firstName") });
           a.setCallback(this, function(action) {
                        if (action.getState() === "ERROR") {
                                     alert("Server Error: " + action.getError()[0].message);
                          }
                        else{
                                     alert("From server: " + action.getReturnValue());
                       }
});
             $A.enqueueAction(a);
&lt;/code&gt;&lt;/pre&gt;
&lt;p&gt;}
  })&lt;/p&gt;
&lt;p&gt;&lt;strong&gt;server-side-controller(APEX CLASS):&lt;/strong&gt;&lt;/p&gt;
&lt;pre&gt;&lt;code&gt;  public class ExampleServerSideController {
  @AuraEnabled
  public static String serverEcho(@Key("firstName") String firstName){
  System.out.println("In Example Trival controllerrrrr"+firstName);
  return ("From server: " +firstName);
   }
  }
&lt;/code&gt;&lt;/pre&gt;
</t>
  </si>
  <si>
    <t xml:space="preserve">&lt;p&gt;I want to create new user account in sales-force using email address in php. is possible that ?&lt;/p&gt;
</t>
  </si>
  <si>
    <t xml:space="preserve">&lt;p&gt;Here is a perfect tutorial i find out - &lt;a href="http://ahmeddirie.com/technology/web-development/salesforce-php-soap-api-creating-contacts-accounts-and-associating-records/" rel="nofollow"&gt;http://ahmeddirie.com/technology/web-development/salesforce-php-soap-api-creating-contacts-accounts-and-associating-records/&lt;/a&gt;&lt;/p&gt;
</t>
  </si>
  <si>
    <t xml:space="preserve">&lt;p&gt;From default Zoho Creator does not have this issue. To disable this red cross from a subform. Does anyone know if there is any 'hack' deluge script which cancels the on click event of this button?&lt;/p&gt;
&lt;p&gt;&lt;img src="https://i.stack.imgur.com/hRf45.png" alt="enter image description here"&gt;&lt;/p&gt;
</t>
  </si>
  <si>
    <t xml:space="preserve">&lt;p&gt;Its possible, if you embed your form into html page and apply css like this:&lt;/p&gt;
&lt;pre&gt;&lt;code&gt;  #Attendors1-1 a[elname="zc-hideFormFieldEl"]{
    pointer-events: none;
    visibility:hidden;
  }
&lt;/code&gt;&lt;/pre&gt;
&lt;p&gt;Use Chrome developer tool to find right tags&lt;/p&gt;
</t>
  </si>
  <si>
    <t xml:space="preserve">&lt;p&gt;I came across this problem, and I think right now there is no way to bulkify a trigger and include multiple chatter feed items with @mention?&lt;/p&gt;
</t>
  </si>
  <si>
    <t xml:space="preserve">&lt;p&gt;Please let me know is it possible to display the custom visualforce page upon clicking the Approve/Reject Link on the record instead of  displaying standrad Salesforce Approve  page.&lt;/p&gt;
&lt;p&gt;If it is  possible then please let me know how that could be acheived?&lt;/p&gt;
</t>
  </si>
  <si>
    <t xml:space="preserve">&lt;p&gt;All -&lt;/p&gt;
&lt;p&gt;I am trying to create a custom button for the Sales console. This button is calling a specific E-Mail Template and prepopulating data.&lt;/p&gt;
&lt;p&gt;I know how to leverage the JavaScript for Custom Buttons that bring up web pages or links for the Salesforce Console, but when I try to combine that functionality with the JavaScript to auto select a template for e-mail I get the following error:&lt;/p&gt;
&lt;p&gt;Unexpected token ILLEGAL&lt;/p&gt;
&lt;p&gt;Here is my code......what am I missing here?&lt;/p&gt;
&lt;pre&gt;&lt;code&gt;    srcUp('
         location.replace('
                /email/author/emailauthor.jsp?retURL=/{!Case.Id}&amp;amp;p3_lkid={!Case.Id}&amp;amp;rtype=003&amp;amp;p2_lkid={!Case.ContactId}&amp;amp;template_id=00XG0000001bHA9/
         ');
    ');
&lt;/code&gt;&lt;/pre&gt;
</t>
  </si>
  <si>
    <t xml:space="preserve">&lt;p&gt;I'm using the Quickbase API via a PHP  SDK to call the &lt;em&gt;gen_results_table()&lt;/em&gt; function and retrieve a javascript array. The multidimensional array returns as a string in PHP. Anyone know the best way to access the array? I currently have this as a start:&lt;/p&gt;
&lt;pre&gt;&lt;code&gt;&amp;lt;?php
$rawdata = $qbconnect-&amp;gt;gen_results_table($queries, '', '', '11.12.13', '', 'num-3' ) ;
?&amp;gt;
&lt;/code&gt;&lt;/pre&gt;
&lt;p&gt;&lt;em&gt;var_dump($rawdata)&lt;/em&gt; yields:&lt;/p&gt;
&lt;p&gt;string(1377) "var qdb_numcols = 3; var qdb_numrows = 10; var qdb_heading = new Array(); qdb_heading[0] = "Year"; qdb_heading[1] = "Month"; qdb_heading[2] = "Total"; var qdb_data = new Array(); qdb_data[0] = new Array(); qdb_data[0][0] = "2013"; qdb_data[0][1] = "January"; qdb_data[0][2] = "$9.16"; qdb_data[1] = new Array(); qdb_data[1][0] = "2013"; qdb_data[1][1] = "January"; qdb_data[1][2] = "$64.80"; qdb_data[2] = new Array(); qdb_data[2][0] = "2013"; qdb_data[2][1] = "January"; qdb_data[2][2] = "$164.88"; "&lt;/p&gt;
&lt;pre&gt;&lt;code&gt;&amp;lt;script&amp;gt;
var js_var = "&amp;lt;?php echo rawurlencode($rawdata); ?&amp;gt;";
document.write(unescape(js_var)) ;
&amp;lt;/script&amp;gt;
&lt;/code&gt;&lt;/pre&gt;
&lt;p&gt;&lt;em&gt;document.write(unescape(js_var))&lt;/em&gt; yields:&lt;/p&gt;
&lt;p&gt;var qdb_numcols = 3; var qdb_numrows = 1; var qdb_heading = new Array(); qdb_heading[0] = "Year"; qdb_heading[1] = "Month"; qdb_heading[2] = "Total"; var qdb_data = new Array(); qdb_data[0] = new Array(); qdb_data[0][0] = "2013"; qdb_data[0][1] = "January"; qdb_data[0][2] = "$9.16"; &lt;/p&gt;
&lt;p&gt;Now I just need a way to access what's stored in &lt;em&gt;js_var&lt;/em&gt;. &lt;/p&gt;
</t>
  </si>
  <si>
    <t xml:space="preserve">&lt;p&gt;All you need to do is dump the raw data in your HTML code between &lt;code&gt;script&lt;/code&gt; tags:&lt;/p&gt;
&lt;pre&gt;&lt;code&gt;&amp;lt;script&amp;gt;
    &amp;lt;?php echo rawurlencode($rawdata); ?&amp;gt;
    console.log(qdb_numcols); // &amp;lt;-- the data is now available
&amp;lt;/script&amp;gt;
&lt;/code&gt;&lt;/pre&gt;
</t>
  </si>
  <si>
    <t xml:space="preserve">&lt;p&gt;A short tutorial in W3schools about PHP Sessions writes the following:&lt;/p&gt;
&lt;blockquote&gt;
  &lt;p&gt;When you work with an application, you open it, do some changes, and then you close it. This is much like a Session. The computer knows who you are. It knows when you start the application and when you end. But on the internet there is one problem: the web server does not know who you are or what you do, because the HTTP address doesn't maintain state.
  Session variables solve this problem by storing user information to be used across multiple pages (e.g. username, favorite color, etc). By default, session variables last until the user closes the browser.
  So; Session variables hold information about one single user, and are available to all pages in one application.&lt;/p&gt;
&lt;/blockquote&gt;
&lt;p&gt;I would like to ask you if there is something similar in Zoho Creator. The reason why I am asking is because I have an application with 3 pages (each page has an embedded form). Each page redirects to the other (1st Page -&gt; 2nd Page -&gt; 3rd Page) and passes data through them via openurl. The final result is an HTML Page with the data of these 3 Pages (they have a unique ID). &lt;/p&gt;
&lt;p&gt;Let's say that I am in the second page and for some reason (electricity blackout, do another job and close the browser) I want to escape from the application and the next time to continue from the same point, is there any way to do that??&lt;/p&gt;
</t>
  </si>
  <si>
    <t xml:space="preserve">&lt;p&gt;I can suggest you next way
On first page generate unique session Id for the user and pass this id as a parameter to next page in URL. You can crypt in this id pointer to record from first form for example..&lt;/p&gt;
</t>
  </si>
  <si>
    <t xml:space="preserve">&lt;p&gt;I'm trying to set up a Zoho Creator application that will request a signature on an Envelope created from a Template. I'm able to use &lt;a href="http://iodocs.docusign.com/?version=v2" rel="nofollow"&gt;&lt;strong&gt;this tool&lt;/strong&gt;&lt;/a&gt; to do it, but when I try to do the same thing using Zoho Creator's postURL() function, I get the following response from DocuSign:&lt;/p&gt;
&lt;pre&gt;&lt;code&gt;Response Code = 415
Response Text = HTTP Error
&lt;/code&gt;&lt;/pre&gt;
&lt;p&gt;&lt;a href="http://community.docusign.com/t5/DocuSign-API-Integration-Ruby-Salesforce-and-Other-READ-ONLY/Docusign-Integration-With-Zoho-Application/td-p/12517a" rel="nofollow"&gt;&lt;strong&gt;This post&lt;/strong&gt;&lt;/a&gt; seems to describe the exact same error.  The response given is unclear, and I can't find the documentation that is supposed to have been updated.&lt;/p&gt;
&lt;p&gt;Here is some of my Creator code:&lt;/p&gt;
&lt;pre&gt;&lt;code&gt;void test3()
{
// Login
username = "XXX";
usernameEmail = "XXX";
password = "XXX";
integratorKey = "XXX";
templateId = "XXX";
authenticateStr = "&amp;lt;DocuSignCredentials&amp;gt;&amp;lt;Username&amp;gt;" + username + "&amp;lt;/Username&amp;gt;&amp;lt;Password&amp;gt;" + password + "&amp;lt;/Password&amp;gt;&amp;lt;IntegratorKey&amp;gt;" + integratorKey + "&amp;lt;/IntegratorKey&amp;gt;&amp;lt;/DocuSignCredentials&amp;gt;";
loginUrl = "https://demo.docusign.net/restapi/v2/login_information";
loginHeaders = { "X-DocuSign-Authentication" : authenticateStr, "Accept" : "application/json" };
loginGet = getUrl(loginUrl, loginHeaders,false);
loginResponseCode = loginGet.get("responseCode");
loginResponseText = loginGet.get("responseText");          
if (loginResponseCode  !=  "200")
{
    info "Error calling webservice; status is " + loginResponseCode;
}
&lt;/code&gt;&lt;/pre&gt;
&lt;p&gt;Creator can't process the response properly, so I have to clean it up here&lt;/p&gt;
&lt;pre&gt;&lt;code&gt;loginResponseText = loginResponseText.replaceAll("\r\n","");
loginResponseText = loginResponseText.getSuffix("[");
loginResponseText = loginResponseText.getPrefix("]");
loginResponseMap = loginResponseText.toMap();
info loginResponseMap;
baseUrl = loginResponseMap.get("baseUrl");
accountID = loginResponseMap.get(("accountId"));
url = baseUrl + "/envelopes";
headers = map();
headers.put("X-DocuSign-Authentication", "{\"Username\":\"XXX\",\"Password\":\"XXX\",\"IntegratorKey\":\"XXX\"}");
requestBody2 = "{\n \"envelopeDefinition\" : \"{\n  \"-xmlns\" : \"http://www.docusign.com/restapi\",\n =\"xmlns:i\":\"http://www.w3.org/2001/XMLSchema-instance\",\n \"emailSubject\": \"test email subject\",\n  \"emailBlurb\": \"test email blurb\",\n  \"templateId\": \"1D489D22-55D9-4320-8C16-28DE11C4AB09\",\n  \"status\": \"created\",\n  \"messageLock\": \"false\"\n}}";
envelopePOST = postUrl(url,requestBody2,headers,false);
postResponseCode = envelopePOST.get("responseCode");
postResponseText = envelopePOST.get("responseText");
info "envelopePOST = " + envelopePOST;
info "Response Code = " + postResponseCode;
info "Response Text = " + postResponseText;
}
&lt;/code&gt;&lt;/pre&gt;
&lt;p&gt;Can anyone from Zoho Creator or DocuSign help me figure out what I have to do to get the same result from the Creator app that I get from the DocuSign API tester I linked to above?&lt;/p&gt;
</t>
  </si>
  <si>
    <t xml:space="preserve">&lt;p&gt;I am using Thunderbird with the Lightning extension to organize my calendars. As it is very common to send around winmail.dat files to quickly import a new event to a calendar, I am faced with the issue to use this winmail.dat file to do so.&lt;/p&gt;
&lt;p&gt;Has anybody found a way to do this in a comfortable way? What I &lt;strong&gt;don't&lt;/strong&gt; want is to download the winmail.dat file first, convert it with some (online) tool and then be able to import it. It has to be a &lt;strong&gt;direct and very quick way&lt;/strong&gt; as otherwise I would prefer to create the event entry manually. Thanks!&lt;/p&gt;
</t>
  </si>
  <si>
    <t xml:space="preserve">&lt;p&gt;I have integrated Xero and DocuSign API's in Sugar CRM. Now I want to integrate Xero with Zoho CRM. Can I embed Xero API in Zaho CRM.&lt;/p&gt;
&lt;p&gt;In Zoho CRM we can send notification to a rest web service or URL.&lt;/p&gt;
&lt;p&gt;I know that I can integrate Xero with Zoho CRM through developing a third party web Application in which I can use Zoho CRM API.&lt;/p&gt;
&lt;p&gt;Can we import or export any module or code file from Zoho CRM?&lt;/p&gt;
&lt;p&gt;Any other Solution, Suggestion OR Guidelines..&lt;/p&gt;
&lt;p&gt;&lt;strong&gt;I mean, Can we add our External API code into Zoho CRM? OR the solution is achieved only using third party integration application using ZOHO CRM API?&lt;/strong&gt;&lt;/p&gt;
&lt;p&gt;Thanks.&lt;/p&gt;
</t>
  </si>
  <si>
    <t xml:space="preserve">&lt;p&gt;I made some customization in my demo Zoho CRM module and now I want to reuse these customization in my original Zoho CRM.&lt;/p&gt;
&lt;p&gt;Can I export or publish these customization from my demo Zoho CRM and import in my original Zoho CRM?&lt;/p&gt;
&lt;p&gt;If yes then guide me to export &amp;amp; import these customization in between to different Zoho CRM accounts.&lt;/p&gt;
</t>
  </si>
  <si>
    <t xml:space="preserve">&lt;p&gt;I am trying to develop a Rails application for QuickBase for which there is no adapter. I checked online for the QuickBase adapter but it is not working as it is for a very old version of rails and the author told me that he no longer supports it.&lt;/p&gt;
&lt;p&gt;I want to be able to use the Active Record and the associated concepts of a typical rails application, but intervene and modify how the create, update and show actions work. I have created the application to create a new record successfully. However, when I want to be able to edit the record, I have first modified the edit action to go to my own database and get the data into an active record object.&lt;/p&gt;
&lt;p&gt;To create an empty Active Record I said $user = User.new
Then I populated all the attributes with the data from my custom database. But the form still shows the Create User button, instead of Update User button. Apparently, I guess this is because the persist? method is returning false as this is a "new" object. But I know this is not a new one. So how do I influence the @user object to think it is a persistent one?&lt;/p&gt;
&lt;p&gt;Alternatively, is there a way I can create the blank @user object without the new function?&lt;/p&gt;
&lt;p&gt;I have checked all over the place, but couldn't find any clue on how to accomplish this. Thank you so much for your help.&lt;/p&gt;
</t>
  </si>
  <si>
    <t xml:space="preserve">&lt;p&gt;Can anybody please help me in configuring smtp server with phplists.
I am using zoho mail for custom domain.
I am using recent version of phplist.&lt;/p&gt;
&lt;p&gt;Thank you.&lt;/p&gt;
</t>
  </si>
  <si>
    <t xml:space="preserve">&lt;p&gt;I am new to auraJS and have gone through documentation but did not understand what is the role of sandbox in application. According to docs sandbox.on() is subscriber(listener) and sandbox.emit is publisher. but what are the argument passed in these functions and how i can call a function of other component with sendbox.emit(). i have code in the application like&lt;/p&gt;
&lt;pre&gt;&lt;code&gt;sandbox.emit('layout:add-requested', this.collection, layoutModel);
&lt;/code&gt;&lt;/pre&gt;
&lt;p&gt;and through debugging i come to know above line of code calls renderAddLayout() of other component's view. but i could not find any relationship or asynchronous call which can trigger the renderAddLayout() function();&lt;/p&gt;
</t>
  </si>
  <si>
    <t xml:space="preserve">&lt;p&gt;I'm trying to send mail with PHPMailer but it fails... I have activated the debug mode to show my errors but I don't understand the message returned by the SMTP server.&lt;/p&gt;
&lt;p&gt;My code :&lt;/p&gt;
&lt;pre&gt;&lt;code&gt;&amp;lt;?php
require 'PHPMailer-master/PHPMailerAutoload.php';
$mail = new PHPMailer;
$mail-&amp;gt;SMTPDebug = 3;                               // Enable verbose debug output
$mail-&amp;gt;isSMTP();                                      // Set mailer to use SMTP
$mail-&amp;gt;Host = 'smtp.zoho.com';  // Specify main and backup SMTP servers
$mail-&amp;gt;SMTPAuth = true;                               // Enable SMTP authentication
$mail-&amp;gt;Username = '...@....info';                 // SMTP username
$mail-&amp;gt;Password = '...';                           // SMTP password
$mail-&amp;gt;SMTPSecure = 'tls';                            // Enable TLS encryption, `ssl` also accepted
$mail-&amp;gt;Port = 587;                                    // TCP port to connect to
$mail-&amp;gt;addAddress('...@gmail.com', '... ...');     // Add a recipient
$mail-&amp;gt;WordWrap = 50;                                 // Set word wrap to 50 characters
$mail-&amp;gt;isHTML(true);                                  // Set email format to HTML
$mail-&amp;gt;Subject = 'Here is the subject';
$mail-&amp;gt;Body    = 'This is the HTML message body &amp;lt;b&amp;gt;in bold!&amp;lt;/b&amp;gt;';
$mail-&amp;gt;AltBody = 'This is the body in plain text for non-HTML mail clients';
if(!$mail-&amp;gt;send()) {
echo 'Message could not be sent.';
echo 'Mailer Error: ' . $mail-&amp;gt;ErrorInfo;
} else {
echo 'Message has been sent';
}
?&amp;gt;
&lt;/code&gt;&lt;/pre&gt;
&lt;p&gt;This returns :&lt;/p&gt;
&lt;pre&gt;&lt;code&gt;2014-11-10 16:19:19 Connection: opening to smtp.zoho.com:587, t=300, opt=array ( ) 
2014-11-10 16:19:19 Connection: opened 
2014-11-10 16:19:19 SERVER -&amp;gt; CLIENT: 220 mx.zohomail.com SMTP Server ready November 10, 2014 8:19:22 AM PST 
2014-11-10 16:19:19 CLIENT -&amp;gt; SERVER: EHLO izanagi1995.info 
2014-11-10 16:19:20 SERVER -&amp;gt; CLIENT: 250-mx.zohomail.com Hello izanagi1995.info (ns396731.ip-37-59-1.eu (37.59.1.75)) 250-STARTTLS 250 SIZE 25000000 
2014-11-10 16:19:20 CLIENT -&amp;gt; SERVER: STARTTLS 2014-11-10 16:19:20 SERVER -&amp;gt; CLIENT: 220 Ready to start TLS. 
2014-11-10 16:19:21 CLIENT -&amp;gt; SERVER: EHLO izanagi1995.info 
2014-11-10 16:21:34 SERVER -&amp;gt; CLIENT: 250-mx.zohomail.com Hello izanagi1995.info (ns396731.ip-37-59-1.eu (37.59.1.75)) 250-AUTH LOGIN PLAIN 250 SIZE 25000000 
2014-11-10 16:21:34 CLIENT -&amp;gt; SERVER: AUTH LOGIN 
2014-11-10 16:21:34 SERVER -&amp;gt; CLIENT: 
2014-11-10 16:21:34 SMTP ERROR: AUTH command failed: 
2014-11-10 16:21:34 SMTP NOTICE: EOF caught while checking if connected 
2014-11-10 16:21:34 Connection: closed 
2014-11-10 16:21:34 SMTP connect() failed. Message could not be sent.Mailer Error: SMTP connect() failed.
&lt;/code&gt;&lt;/pre&gt;
&lt;p&gt;It seems that the auth is not correct... Can you help me?&lt;/p&gt;
&lt;p&gt;Thank you!&lt;/p&gt;
</t>
  </si>
  <si>
    <t xml:space="preserve">&lt;p&gt;I have a XML From Quickbase that I am trying to get foreach into smarty. The xml looks like below.  is a child of , and there are multiple records.  In Smarty I have a foreach bracket with the url of the xml. I Can't seem to get anyting to show up. there are no compile errors. Any Help Appreciated. &lt;/p&gt;
&lt;p&gt;&lt;strong&gt;MyXML:&lt;/strong&gt;&lt;/p&gt;
&lt;pre&gt;&lt;code&gt;&amp;lt;qdbapi&amp;gt;
    &amp;lt;action&amp;gt;API_DoQuery&amp;lt;/action&amp;gt;
    &amp;lt;errcode&amp;gt;0&amp;lt;/errcode&amp;gt;
    &amp;lt;errtext&amp;gt;No error&amp;lt;/errtext&amp;gt;
    &amp;lt;dbinfo&amp;gt;
        &amp;lt;name&amp;gt;Part Details&amp;lt;/name&amp;gt;
        &amp;lt;desc/&amp;gt;
    &amp;lt;/dbinfo&amp;gt;
    &amp;lt;variables&amp;gt;&amp;lt;/variables&amp;gt;
    &amp;lt;chdbids&amp;gt;&amp;lt;/chdbids&amp;gt;
    &amp;lt;record&amp;gt;
        &amp;lt;related_bid&amp;gt;48&amp;lt;/related_bid&amp;gt;
        &amp;lt;part_note&amp;gt;This is a note 1&amp;lt;/part_note&amp;gt;
        &amp;lt;record_id_&amp;gt;24&amp;lt;/record_id_&amp;gt;
        &amp;lt;update_id&amp;gt;1417012758913&amp;lt;/update_id&amp;gt;
    &amp;lt;/record&amp;gt;
    &amp;lt;record&amp;gt;
        &amp;lt;related_bid&amp;gt;48&amp;lt;/related_bid&amp;gt;
        &amp;lt;part_note&amp;gt;This is a note 2&amp;lt;/part_note&amp;gt;
        &amp;lt;record_id_&amp;gt;24&amp;lt;/record_id_&amp;gt;
        &amp;lt;update_id&amp;gt;1417012758913&amp;lt;/update_id&amp;gt;
    &amp;lt;/record&amp;gt;
&amp;lt;/qdbapi&amp;gt;
&lt;/code&gt;&lt;/pre&gt;
&lt;p&gt;&lt;strong&gt;my Smarty:&lt;/strong&gt;&lt;/p&gt;
&lt;pre&gt;&lt;code&gt; {$xml = simplexml_load_file('myquickbasexmlurl')}
     {foreach $xml-&amp;gt;qdbapi-&amp;gt;record as $detail}
         {$detail-&amp;gt;record_id_} - {$detail-&amp;gt;part_note}
     {/foreach}
&lt;/code&gt;&lt;/pre&gt;
&lt;p&gt;Thank You&lt;/p&gt;
</t>
  </si>
  <si>
    <t xml:space="preserve">&lt;p&gt;I am trying to access FeedItems and topics(tags) associated to each FeedItem in a chatter Group. I am not able to figure out the relationship between FeedItems and Topics tagged with FeedItem.&lt;/p&gt;
&lt;p&gt;I am able to get all the FeedItems in a chatter Group using the following soql Query:
&lt;strong&gt;SELECT c.id, c.CreatedDate, c.InsertedBy.Name FROM CollaborationGroupFeed c 
WHERE c.Parent.Name = 'Chatter_Group_name'&lt;/strong&gt;&lt;/p&gt;
&lt;p&gt;Similarly I can get all the Topics using following soql Query:&lt;/p&gt;
&lt;p&gt;&lt;strong&gt;Select Id, Name from Topic&lt;/strong&gt;&lt;/p&gt;
&lt;p&gt;But i need to get each FeedItem with Topics tagged with it (if any). &lt;/p&gt;
&lt;p&gt;&lt;strong&gt;Following is the image to better understand it.&lt;/strong&gt;
&lt;img src="https://i.stack.imgur.com/fiwSS.png" alt="enter image description here"&gt;&lt;/p&gt;
&lt;p&gt;I need to get the topics mentioned in the black rectangle.&lt;/p&gt;
&lt;p&gt;Can anyone help me to get the Required output? Let me know if Other information is required regarding this.&lt;/p&gt;
</t>
  </si>
  <si>
    <t xml:space="preserve">&lt;p&gt;I'm trying to do the following, in Zoho .. but I can't figure out how to do &lt;code&gt;ROW_COUNT()&lt;/code&gt;, &lt;code&gt;OVER&lt;/code&gt; and &lt;code&gt;PARTITION(..)&lt;/code&gt;..&lt;/p&gt;
&lt;pre&gt;&lt;code&gt;User  | Class | Age
Foo   | "A"   | 10
Bah   | "A"   | 12
Fred  | "B"   | 11
Jane  | "A"   | 11
&lt;/code&gt;&lt;/pre&gt;
&lt;p&gt;and I'm after the eldest child, in each class.&lt;/p&gt;
&lt;p&gt;Results&lt;/p&gt;
&lt;pre&gt;&lt;code&gt;Class "A": Bah (12 years old)
Class "B": Fred (11 years old).
&lt;/code&gt;&lt;/pre&gt;
&lt;p&gt;This can be done quite simply with a &lt;code&gt;ROW_NUMBER, OVER PARTITION&lt;/code&gt;&lt;/p&gt;
&lt;p&gt;Can this be done in ZOHO?&lt;/p&gt;
</t>
  </si>
  <si>
    <t xml:space="preserve">&lt;p&gt;When I create a new case and assign it to a user in salesforce, I want a popup to show up on their screen to show that they have a new case.  I have tried several different things but cannot get this to work.  Is this something anyone can help me with?!  Thanks!&lt;/p&gt;
&lt;p&gt;Kevin&lt;/p&gt;
</t>
  </si>
  <si>
    <t xml:space="preserve">&lt;p&gt;I will work on a new project related to salesforce. Actually what we want to do is to have a salesforce API that contains our database and this API will accept connections from our clients. Once we establish the connection the user will have the access to our database too. Since I dont know anything about salesforce right now, I just wanted to ask you if you have some ideas on how to do that ? Is there any existing API doing that ? or We need to implement our new API for salesforce ? &lt;/p&gt;
</t>
  </si>
  <si>
    <t xml:space="preserve">&lt;p&gt;Salesforce provides several APIs out of the box that can be used to access the data stored in your Organization. &lt;/p&gt;
&lt;p&gt;Have a look at the REST API, Enterprise API and the Partner API. See &lt;a href="https://help.salesforce.com/HTViewHelpDoc?id=integrate_what_is_api.htm" rel="nofollow"&gt;Which API Should I Use?&lt;/a&gt;.&lt;/p&gt;
&lt;p&gt;If none of those suit your needs you can use Apex to create your own REST or SOAP based services.&lt;/p&gt;
</t>
  </si>
  <si>
    <t xml:space="preserve">&lt;p&gt;How to track django user details using zoho CRM?  &lt;/p&gt;
&lt;p&gt;I am new zoho CRM, I got the few information and details how ZOHO CRm will be.  &lt;/p&gt;
&lt;p&gt;Now I want to know one thing, I had implement the django project and also have a account in zoho CRM. Now I would like to Tacke all my user details from app database in zoho crm.  &lt;/p&gt;
&lt;p&gt;how to export app database users to zoho CRM and how to track the user behaviour?  &lt;/p&gt;
</t>
  </si>
  <si>
    <t xml:space="preserve">&lt;p&gt;I am trying to create a table that would have current month sales and previous month sales next to each other. A problem I am having is it does not include the varid's if they do not have current sales. My final outcome would be a table similar to this. &lt;/p&gt;
&lt;pre&gt;&lt;code&gt;Varid       Date     Current Month Billings Prior Month Billings
----------- -------- ---------------------- --------------------
1           1/1/2014 5                      4
2           1/1/2014 0                      4
3           2/1/2014 5                      0
4           3/1/2014 6                      4
5           3/1/2014 0                      4
6           6/1/2014 1                      0
&lt;/code&gt;&lt;/pre&gt;
&lt;p&gt;I am using a program called zoho reports that does not allow a full join. So far my query reads like this:&lt;/p&gt;
&lt;pre&gt;&lt;code&gt;SELECT
    TS."Var ID",
    TS."date",
     TS."CC Billings" as "current Month",
    COALESCE(TS2."CC BIllings", 0) AS "Prior Month Billings"
FROM
    "All Actual Billings" TS
LEFT OUTER JOIN "All Actual Billings" TS2 ON
    TS2."Var ID" = TS."Var ID" AND
        (TS2."date"= DATE_SUB(TS."date", INTERVAL 1 month) )
&lt;/code&gt;&lt;/pre&gt;
&lt;p&gt;Database structure looks like this. 
&lt;img src="https://i.stack.imgur.com/vl1Od.jpg" alt="enter image description here"&gt;&lt;/p&gt;
</t>
  </si>
  <si>
    <t xml:space="preserve">&lt;p&gt;Can we use TFS as Source Code Repository for Salesforce? If yes then is there any TFS/Salesforce API which can be used to fetch the latest code from Salesforce Dev Org?&lt;/p&gt;
</t>
  </si>
  <si>
    <t xml:space="preserve">&lt;p&gt;I am working with a program named zoho reports and trying to change names of objects in the file I uploaded. ZOHO cannot rename the example. I want to use SQL, preferably Postgres.&lt;/p&gt;
&lt;p&gt;&lt;code&gt;phonenumber&lt;/code&gt;:&lt;/p&gt;
&lt;pre&gt;&lt;code&gt;1. 5203123333
2. 8323125547
3. 6025456564
4. 43654xxx3
&lt;/code&gt;&lt;/pre&gt;
&lt;p&gt;I want them to display as:&lt;/p&gt;
&lt;pre&gt;&lt;code&gt;1. TUCSON,AZ
2. Houston,TX
3. Chandler,AZ
4. WHATEVER
&lt;/code&gt;&lt;/pre&gt;
&lt;p&gt;I have used this:&lt;/p&gt;
&lt;pre&gt;&lt;code&gt;SELECT "TO", replace("TO",
    '4802xxx82', 'Chandler'), replace("TO",
    '832xxxx84', 'Houston, TX'), FROM "Craiglist-December Calls" 
&lt;/code&gt;&lt;/pre&gt;
&lt;p&gt;Works but returns a new column. I need only one new column.&lt;/p&gt;
&lt;p&gt;Then I tried an &lt;code&gt;IF&lt;/code&gt; condition, but error after I try more then three renames.&lt;/p&gt;
&lt;pre&gt;&lt;code&gt;if("To"='83xxxx284','Houston TX',if("To"='818xxxx6','Santa Clarita CA','0'))
&lt;/code&gt;&lt;/pre&gt;
&lt;p&gt;Trying to replace about 8 numbers with names, so I can graph them by name not number.&lt;br&gt;
Is there a way to rename all these number in the same column with Postgres?&lt;/p&gt;
</t>
  </si>
  <si>
    <t xml:space="preserve">&lt;p&gt;As I understand it you want &lt;em&gt;"the same column"&lt;/em&gt;, meaning the same column &lt;em&gt;name&lt;/em&gt;. So use a &lt;a href="http://www.postgresql.org/docs/9.4/static/sql-select.html#SQL-FROM" rel="nofollow"&gt;column alias&lt;/a&gt;. And use a &lt;a href="http://www.postgresql.org/docs/current/interactive/functions-conditional.html#FUNCTIONS-CASE" rel="nofollow"&gt;"simple" &lt;code&gt;CASE&lt;/code&gt; statement&lt;/a&gt;:&lt;/p&gt;
&lt;pre&gt;&lt;code&gt;SELECT CASE "TO"            -- "simple" CASE
          WHEN '4802xxx82' THEN 'Chandler'
          WHEN '832xxxx84' THEN 'Houston, TX'
          WHEN ...          -- 6 more ...
          ELSE "TO"
       END &lt;b&gt;AS "TO"&lt;/b&gt;          -- column alias (output column name)
FROM   "Craiglist-December Calls";&lt;/code&gt;&lt;/pre&gt;
&lt;p&gt;Your column names are not chosen wisely. Never use keywords as identifiers. If you double-quote identifiers to allow illegal names, you need to double-quote the now case-sensitive!) name for the rest of its life. &lt;strike&gt;&lt;code&gt;"To"&lt;/code&gt;&lt;/strike&gt; is &lt;em&gt;not&lt;/em&gt; a valid reference to &lt;code&gt;"TO"&lt;/code&gt;.&lt;/p&gt;
&lt;p&gt;Start with the &lt;a href="http://www.postgresql.org/docs/current/interactive/sql-syntax-lexical.html#SQL-SYNTAX-IDENTIFIERS" rel="nofollow"&gt;manual about identifiers&lt;/a&gt;.&lt;/p&gt;
</t>
  </si>
  <si>
    <t xml:space="preserve">&lt;p&gt;Dear CSS/Salesforce gurus,&lt;/p&gt;
&lt;p&gt;I am looking for a solution where the headers derived from many tables needs to be printed on all the pages (as headers) as soon as the page-break is applied. I am not able to print the headers apart from the first page.Also i need to make sure that the data table values are not split in different pages. Please assist me.&lt;/p&gt;
&lt;p&gt;Please look my code below&lt;/p&gt;
&lt;p&gt;Please help me with a head-start on this!!!&lt;/p&gt;
&lt;p&gt;&lt;div class="snippet" data-lang="js" data-hide="false" data-console="false" data-babel="false"&gt;
&lt;div class="snippet-code"&gt;
&lt;pre class="snippet-code-html lang-html prettyprint-override"&gt;&lt;code&gt;&amp;lt;table style="border-collapse: collapse;-fs-table-paginate: paginate;" width="100%"&amp;gt;
  &amp;lt;thead&amp;gt;
    &amp;lt;tr&amp;gt;
      &amp;lt;th style="border-left: 1px solid #000000;font-size:9px;"&amp;gt;{!mapQuotationVariables[iSerial_No].Arabic__c}
        &amp;lt;br/&amp;gt;{!mapQuotationVariables[iSerial_No].English__c}&amp;lt;/th&amp;gt;
      &amp;lt;th style="font-size:9px;"&amp;gt;{!mapQuotationVariables[iItem_Code_Desc].Arabic__c}
        &amp;lt;br/&amp;gt;{!mapQuotationVariables[iItem_Code_Desc].English__c}&amp;lt;/th&amp;gt;
      &amp;lt;th style="font-size:9px;"&amp;gt;{!mapQuotationVariables[iQuantity].Arabic__c}
        &amp;lt;br/&amp;gt;{!mapQuotationVariables[iQuantity].English__c}&amp;lt;/th&amp;gt;
      &amp;lt;th style="font-size:9px;"&amp;gt;{!mapQuotationVariables[iUnit].Arabic__c}
        &amp;lt;br/&amp;gt;{!mapQuotationVariables[iUnit].English__c}&amp;lt;/th&amp;gt;
      &amp;lt;th style="font-size:9px;"&amp;gt;{!mapQuotationVariables[iUnit_Price].Arabic__c}
        &amp;lt;br/&amp;gt;{!mapQuotationVariables[iUnit_Price].English__c}&amp;lt;/th&amp;gt;
      &amp;lt;apex:outputPanel rendered="{!IsCustomerQuote}"&amp;gt;
        &amp;lt;th&amp;gt;{!mapQuotationVariables[iDiscount].Arabic__c}
          &amp;lt;br/&amp;gt;{!mapQuotationVariables[iDiscount].English__c}&amp;lt;/th&amp;gt;
      &amp;lt;/apex:outputPanel&amp;gt;
      &amp;lt;th style="border-right: 1px solid #000000;"&amp;gt;{!mapQuotationVariables[iItem_total].Arabic__c}
        &amp;lt;br/&amp;gt;{!mapQuotationVariables[iItem_total].English__c}&amp;lt;/th&amp;gt;
    &amp;lt;/tr&amp;gt;
  &amp;lt;/thead&amp;gt;
  &amp;lt;tbody&amp;gt;
    &amp;lt;apex:variable var="sr" value="{!1}" /&amp;gt;
    &amp;lt;apex:repeat value="{!lstQuoteLineItem}" var="qLine"&amp;gt;
      &amp;lt;tr&amp;gt;
        &amp;lt;td style="border-style: solid;vertical-align: top;"&amp;gt;{!sr}&amp;lt;/td&amp;gt;
        &amp;lt;td style="border-style: solid;"&amp;gt;
          &amp;lt;table width="100%" style="border-collapse: collapse;font-size: 8px;"&amp;gt;
            &amp;lt;tr style="height:4px;"&amp;gt;
              &amp;lt;td width="33%" style="text-align:left;padding:0px;"&amp;gt;
                {!qLine.PricebookEntry.Product2.ProductCode}
              &amp;lt;/td&amp;gt;
              &amp;lt;td width="33%" style="text-align:right;padding:0px;"&amp;gt;
                {!qLine.PricebookEntry.Product2.Manufacturer__r.Name}
              &amp;lt;/td&amp;gt;
              &amp;lt;td width="33%" style="text-align:right;padding:0px;"&amp;gt;
                {!qLine.PricebookEntry.Product2.Manufacturer__r.Country__c}
              &amp;lt;/td&amp;gt;
            &amp;lt;/tr&amp;gt;
            &amp;lt;tr width="100%" style="height:3px;"&amp;gt;
              &amp;lt;td colspan="3" style="text-align:left;padding:2px;"&amp;gt;
                {!qLine.PricebookEntry.Product2.Name}
              &amp;lt;/td&amp;gt;
            &amp;lt;/tr&amp;gt;
            &amp;lt;tr width="100%" style="height:3px;"&amp;gt;
              &amp;lt;td colspan="3" style="text-align:left;padding:2px;"&amp;gt;
                {!qLine.PricebookEntry.Product2.Arabic_Product_Name__c}
              &amp;lt;/td&amp;gt;
            &amp;lt;/tr&amp;gt;
            &amp;lt;tr width="100%" style="height:3px;"&amp;gt;
              &amp;lt;td colspan="3" style="text-align:left;padding:2px;"&amp;gt;
                &amp;lt;apex:outputText value="{!qLine.PricebookEntry.Product2.Product_Description_Split__c}" escape="false" /&amp;gt;
                &amp;lt;!--&amp;lt;output&amp;gt;&amp;lt;apex:outputText value="{!qLine.PricebookEntry.Product2.Product_Description_Split__c}"/&amp;gt;&amp;lt;/output&amp;gt;--&amp;gt;
              &amp;lt;/td&amp;gt;
            &amp;lt;/tr&amp;gt;
          &amp;lt;/table&amp;gt;
        &amp;lt;/td&amp;gt;
        &amp;lt;td style="border-style: solid;vertical-align: top;"&amp;gt;
          &amp;lt;apex:outputText value="{0, number,###,##0}"&amp;gt;
            &amp;lt;apex:param value="{!qLine.Quantity}" /&amp;gt;
          &amp;lt;/apex:outputText&amp;gt;
        &amp;lt;/td&amp;gt;
        &amp;lt;td style="border-style: solid;vertical-align: top;"&amp;gt;{!qLine.PricebookEntry.Product2.Unit__c}&amp;lt;/td&amp;gt;
        &amp;lt;td style="border-style: solid;vertical-align: top;"&amp;gt;
          {!Quote.CurrencyISOCode} &amp;amp;nbsp;
          &amp;lt;apex:outputText value="{0, number,###,##0}" rendered="{!!IsCustomerQuote}"&amp;gt;
            &amp;lt;apex:param value="{!qLine.Customer_List_Price__c}" /&amp;gt;
          &amp;lt;/apex:outputText&amp;gt;
          &amp;lt;apex:outputText value="{0, number,###,##0}" rendered="{!IsCustomerQuote}"&amp;gt;
            &amp;lt;apex:param value="{!qLine.Customer_List_Price__c}" /&amp;gt;
          &amp;lt;/apex:outputText&amp;gt;
        &amp;lt;/td&amp;gt;
        &amp;lt;apex:outputPanel rendered="{!IsCustomerQuote}"&amp;gt;
          &amp;lt;td style="border-style: solid;vertical-align: top;"&amp;gt;
            {!Quote.CurrencyISOCode} &amp;amp;nbsp;
            &amp;lt;apex:outputText value="{0, number,###,##0}" rendered="{!IsCustomerQuote}"&amp;gt;
              &amp;lt;apex:param value="{!qLine.Customer_Discount_Amount__c}" /&amp;gt;
            &amp;lt;/apex:outputText&amp;gt;
          &amp;lt;/td&amp;gt;
        &amp;lt;/apex:outputPanel&amp;gt;
        &amp;lt;td style="border-style: solid;vertical-align: top;"&amp;gt;
          {!Quote.CurrencyISOCode} &amp;amp;nbsp;
          &amp;lt;apex:outputText value="{0, number,###,##0}" rendered="{!!IsCustomerQuote}"&amp;gt;
            &amp;lt;apex:param value="{!qLine.Customer_List_Price_Total__c}" /&amp;gt;
          &amp;lt;/apex:outputText&amp;gt;
          &amp;lt;apex:outputText value="{0, number,###,##0}" rendered="{!IsCustomerQuote}"&amp;gt;
            &amp;lt;apex:param value="{!qLine.Customer_List_Price_Total__c - qLine.Customer_Discount_Amount__c}" /&amp;gt;
          &amp;lt;/apex:outputText&amp;gt;
        &amp;lt;/td&amp;gt;
        &amp;lt;apex:variable var="sr" value="{!sr + 1}" /&amp;gt;
        &amp;lt;div style="page-break-before:always;" /&amp;gt;
      &amp;lt;/tr&amp;gt;
    &amp;lt;/apex:repeat&amp;gt;
  &amp;lt;/tbody&amp;gt;
&amp;lt;/table&amp;gt;&lt;/code&gt;&lt;/pre&gt;
&lt;/div&gt;
&lt;/div&gt;
&lt;/p&gt;
&lt;p&gt;Thanks,
&lt;br&gt; Raja&lt;/p&gt;
</t>
  </si>
  <si>
    <t xml:space="preserve">&lt;p&gt;I am facing a issue. I have to fetch data from ZOHO crm to ZOHO creator and want to fill zoho creator form with that fetched value. I have used webhook to send data from ZOHO crm to ZOHO creator but it saves crm value in database. But i don't want to save in database. I want that value to be fill in creator form.   &lt;/p&gt;
</t>
  </si>
  <si>
    <t xml:space="preserve">&lt;p&gt;My previous response contained the wrong link, so here's an updated explanation:&lt;/p&gt;
&lt;p&gt;You can pre-populate a form with default values by passing parameters to the form URL.  The format you should follow is:&lt;/p&gt;
&lt;pre&gt;&lt;code&gt;http://creator.zoho.crom/&amp;lt;user name&amp;gt;/&amp;lt;application name&amp;gt;/#Form:&amp;lt;form name&amp;gt;?&amp;lt;field name&amp;gt;=&amp;lt;default value&amp;gt;&amp;amp;&amp;lt;field name 2&amp;gt;=&amp;lt;value 2&amp;gt;
&lt;/code&gt;&lt;/pre&gt;
&lt;p&gt;The example given in Zoho's support article is:&lt;/p&gt;
&lt;pre&gt;&lt;code&gt;http://creator.zoho.com/zchelp/employee-manager/#Form:Employee?Employee_ID=1234
&lt;/code&gt;&lt;/pre&gt;
&lt;p&gt;Here's a link to the Zoho Creator support article explaining how to pass parameters into the URL to pre-popluate the form fields with values:&lt;/p&gt;
&lt;p&gt;&lt;a href="https://www.zoho.com/creator/help/url-pattern/functionality-based-urls.html#To_set_default_values_for_form_fields" rel="nofollow"&gt;https://www.zoho.com/creator/help/url-pattern/functionality-based-urls.html#To_set_default_values_for_form_fields&lt;/a&gt;&lt;/p&gt;
&lt;p&gt;In the CRM I manage, I added a link into each Zoho CRM record so that when you click it, it will open your Creator form in a new tab and fill it in with the CRM record data. I could set something up like this in a few hours; contact me if you need help.&lt;/p&gt;
</t>
  </si>
  <si>
    <t xml:space="preserve">&lt;p&gt;I want to get data from zoho crm to stateless form in zoho creator using webhook. How can i do that. Please help me.&lt;/p&gt;
</t>
  </si>
  <si>
    <t xml:space="preserve">&lt;p&gt;If I understand correctly, you're trying to take CRM record data, then open up a stateless Creator form and populate it with the data from the CRM record.&lt;/p&gt;
&lt;p&gt;Here's how I have done it in the past:&lt;/p&gt;
&lt;ol&gt;
&lt;li&gt;Add custom link to CRM module&lt;/li&gt;
&lt;li&gt;&lt;p&gt;Link opens stateless form &amp;amp; passes CRM
data in as parameters following this format:&lt;/p&gt;
&lt;pre&gt;&lt;code&gt;http://creator.zoho.com/{user name}/{application name}/#Form:{form name}?{field name}={default value}&amp;amp;{field name 2}={value 2}
&lt;/code&gt;&lt;/pre&gt;&lt;/li&gt;
&lt;/ol&gt;
</t>
  </si>
  <si>
    <t xml:space="preserve">&lt;p&gt;I've imported the Outsystems Now android app into Android Studio. After several hours of trying to import the project and resolve all module imports. I'm currently getting this error with I can't find out whats wrong.&lt;/p&gt;
&lt;p&gt;This is the app i'm trying to build run:
&lt;a href="https://github.com/OutSystems/OutSystemsNow-Android" rel="nofollow"&gt;OutsystemsNow-Android&lt;/a&gt;&lt;/p&gt;
&lt;pre&gt;&lt;code&gt;Error:Execution failed for task ':dexDebug'.
&amp;gt; com.android.ide.common.internal.LoggedErrorException: Failed to run command:
/Users/nblocal/Desktop/android_Eclipse/sdk/build-tools/21.1.1/dx --dex --output /Users/nblocal/Desktop/git-OutSystems/OutSystemsNow-Android-master/outsystems-app-android/Outsytems/platforms/android/build/intermediates/dex/debug --input-list=/Users/nblocal/Desktop/git-OutSystems/OutSystemsNow-Android-master/outsystems-app-android/Outsytems/platforms/android/build/intermediates/tmp/dex/debug/inputList.txt
Error Code:
    2
Output:
UNEXPECTED TOP-LEVEL EXCEPTION:
com.android.dex.DexException: Multiple dex files define Landroid/support/v7/app/ActionBar$Callback;
    at com.android.dx.merge.DexMerger.readSortableTypes(DexMerger.java:596)
    at com.android.dx.merge.DexMerger.getSortedTypes(DexMerger.java:554)
    at com.android.dx.merge.DexMerger.mergeClassDefs(DexMerger.java:535)
    at com.android.dx.merge.DexMerger.mergeDexes(DexMerger.java:171)
    at com.android.dx.merge.DexMerger.merge(DexMerger.java:189)
    at com.android.dx.command.dexer.Main.mergeLibraryDexBuffers(Main.java:454)
    at com.android.dx.command.dexer.Main.runMonoDex(Main.java:302)
    at com.android.dx.command.dexer.Main.run(Main.java:245)
    at com.android.dx.command.dexer.Main.main(Main.java:214)
    at com.android.dx.command.Main.main(Main.java:106)
&lt;/code&gt;&lt;/pre&gt;
&lt;p&gt;I've search for similar erros and tried most of the solutions presented on stack overflow but none have solved my problem :\&lt;/p&gt;
&lt;p&gt;build.gradle:&lt;/p&gt;
&lt;pre&gt;&lt;code&gt;import java.util.regex.Pattern
apply plugin: 'android'
buildscript {
    repositories {
        mavenCentral()
    }
    dependencies {
        classpath 'com.android.tools.build:gradle:1.0.1'
    }
}
ext.multiarch=false
dependencies {
    compile fileTree(dir: 'libs', include: '*.jar')
    for (subproject in getProjectList()) {
        compile project(subproject)
    }
    compile 'com.android.support:appcompat-v7:19.0.0'
}
android {
    sourceSets {
        main {
            manifest.srcFile 'AndroidManifest.xml'
            java.srcDirs = ['src']
            resources.srcDirs = ['src']
            aidl.srcDirs = ['src']
            renderscript.srcDirs = ['src']
            res.srcDirs = ['res']
            assets.srcDirs = ['assets']
        }
    }
    defaultConfig {
        versionCode Integer.parseInt("" + getVersionCodeFromManifest() + "0")
    }
    compileSdkVersion 19
    buildToolsVersion '21.1.1'
    if (multiarch || System.env.BUILD_MULTIPLE_APKS) {
        productFlavors {
            armv7 {
                versionCode defaultConfig.versionCode + 2
                ndk {
                    abiFilters "armeabi-v7a", ""
                }
            }
            x86 {
                versionCode defaultConfig.versionCode + 4
                ndk {
                    abiFilters "x86", ""
                }
            }
            all {
                ndk {
                    abiFilters "all", ""
                }
            }
        }
    }
    compileOptions {
        sourceCompatibility JavaVersion.VERSION_1_7
        targetCompatibility JavaVersion.VERSION_1_7
    }
}
task wrapper(type: Wrapper) {
    gradleVersion = '1.12'
}
def getVersionCodeFromManifest() {
    def manifestFile = file(android.sourceSets.main.manifest.srcFile)
    def pattern = Pattern.compile("versionCode=\"(\\d+)\"")
    def matcher = pattern.matcher(manifestFile.getText())
    matcher.find()
    return Integer.parseInt(matcher.group(1))
}
def getProjectList() {
    def manifestFile = file("project.properties")
    def pattern = Pattern.compile("android.library.reference.(\\d+)\\s*=\\s*(.*)")
    def matcher = pattern.matcher(manifestFile.getText())
    def projects = []
    while (matcher.find()) {
      projects.add(":" + matcher.group(2).replace("/",":"))
    }
    return projects
}
&lt;/code&gt;&lt;/pre&gt;
&lt;p&gt;modules:&lt;/p&gt;
&lt;p&gt;build.gradle(CordovaLib):&lt;/p&gt;
&lt;pre&gt;&lt;code&gt;buildscript {
    repositories {
        mavenCentral()
    }
    dependencies {
        classpath 'com.android.tools.build:gradle:1.0.1'
    }
}
apply plugin: 'android-library'
android {
    compileSdkVersion 19
    buildToolsVersion "19.1.0"
    compileOptions {
        sourceCompatibility JavaVersion.VERSION_1_7
        targetCompatibility JavaVersion.VERSION_1_7
    }
    sourceSets {
        main {
            manifest.srcFile 'AndroidManifest.xml'
            java.srcDirs = ['src']
            resources.srcDirs = ['src']
            aidl.srcDirs = ['src']
            renderscript.srcDirs = ['src']
            res.srcDirs = ['res']
            assets.srcDirs = ['assets']
        }
    }
}
&lt;/code&gt;&lt;/pre&gt;
&lt;p&gt;build.gradle(AndroidUniversalImageLoaderLib)&lt;/p&gt;
&lt;pre&gt;&lt;code&gt;apply plugin: 'com.android.library'
android {
    compileSdkVersion 19
    buildToolsVersion "19.1.0"
    defaultConfig {
        minSdkVersion 5
        targetSdkVersion 19
    }
    buildTypes {
        release {
            minifyEnabled false
            proguardFiles getDefaultProguardFile('proguard-android.txt'), 'proguard-rules.txt'
        }
    }
}
&lt;/code&gt;&lt;/pre&gt;
</t>
  </si>
  <si>
    <t xml:space="preserve">&lt;p&gt;The "generic" answer to this kind of problem is that your project is including multiple libraries and some library appears twice (because it may already be included in one of your included libraries).&lt;/p&gt;
&lt;p&gt;In this specific case it appears that the following class is defined multiple times (probably because the library it is part of is included multiple times):&lt;/p&gt;
&lt;pre&gt;&lt;code&gt;android/support/v7/app/ActionBar$Callback;
&lt;/code&gt;&lt;/pre&gt;
&lt;p&gt;You can see what libraries your project is using by running the following gradle command:&lt;/p&gt;
&lt;pre&gt;&lt;code&gt;gradle -q dependencies 
&lt;/code&gt;&lt;/pre&gt;
&lt;p&gt;Once you find a duplicated library you can remove it by specifying "exclude" in the dependency section.  Something like the following:&lt;/p&gt;
&lt;pre&gt;&lt;code&gt;compile ('com.android.support:appcompat-v7:+'){
    exclude module: 'support-v4'
}
&lt;/code&gt;&lt;/pre&gt;
</t>
  </si>
  <si>
    <t xml:space="preserve">&lt;p&gt;I want to ensure our server able to connect and send emails using Zoho's service. How do I test this purely via terminal connected to my server's ssh?&lt;/p&gt;
&lt;p&gt;Server's setting is Linux Ubuntu but a platform agnostic answer would be most appreciated.&lt;/p&gt;
&lt;p&gt;Following is Zoho's mail server details:
&lt;a href="https://www.zoho.com/mail/help/zoho-smtp.html" rel="nofollow"&gt;https://www.zoho.com/mail/help/zoho-smtp.html&lt;/a&gt;&lt;/p&gt;
</t>
  </si>
  <si>
    <t xml:space="preserve">&lt;p&gt;In the following document: &lt;a href="http://www.ietf.org/rfc/rfc2487.txt" rel="nofollow"&gt;http://www.ietf.org/rfc/rfc2487.txt&lt;/a&gt;&lt;/p&gt;
&lt;p&gt;It stated that after running starttls client must do .&lt;/p&gt;
&lt;p&gt;What should I write there in place of that?&lt;/p&gt;
&lt;p&gt;My aim is to emulate a connection to Zoho's mail server: &lt;a href="https://www.zoho.com/mail/help/zoho-smtp.html" rel="nofollow"&gt;https://www.zoho.com/mail/help/zoho-smtp.html&lt;/a&gt; through command line.&lt;/p&gt;
&lt;p&gt;Can anyone help, please?&lt;/p&gt;
</t>
  </si>
  <si>
    <t xml:space="preserve">&lt;p&gt;I have a table that I am trying to get the percent using the CASE statement&lt;/p&gt;
&lt;pre&gt;&lt;code&gt;SELECT "Agent",
(100* ( max(case when "Agent"= 'Agent1' then "TOTAL"  end)/
max(case when "Agent" = 'TOTAL'  then "TOTAL" end) ))
    as "Agent1%"
From "SumofAgent"
group by Agent
&lt;/code&gt;&lt;/pre&gt;
&lt;p&gt;the Query shows a blank next to the new column. I am thinking it might be because the value is to small..is that possible?&lt;/p&gt;
&lt;p&gt;My table look like this:&lt;/p&gt;
&lt;pre&gt;&lt;code&gt;Agent       TOTAL
-----       -----
Agent1       13
Agent2       21
Agent3       49
TOTAL        1343
&lt;/code&gt;&lt;/pre&gt;
&lt;p&gt;(13/1343)*100=0.96%&lt;/p&gt;
&lt;p&gt;I have tried the case statements by them self's &lt;code&gt;max(case when "Agent" = 'TOTAL'  then "TOTAL" end)&lt;/code&gt; and &lt;code&gt;max(case when "Agent"= 'Agent1' then "TOTAL"  end)&lt;/code&gt;. They are pulling the right values but when you try to do the math it does not show anything.&lt;/p&gt;
&lt;p&gt;Using Zoho reports but will use PostgreSQL to test&lt;/p&gt;
</t>
  </si>
  <si>
    <t xml:space="preserve">&lt;p&gt;RubyZoho::Crm::Account.all returns 202 accounts while there are more accounts.
The same RubyZoho::Crm::Contact.all &amp;amp; RubyZoho::Crm::Products.all.&lt;/p&gt;
&lt;p&gt;what can i to do to receive all objects?&lt;/p&gt;
&lt;p&gt;thanks in advance&lt;/p&gt;
</t>
  </si>
  <si>
    <t xml:space="preserve">&lt;p&gt;According to some research I did, the restriction of 200 entries is setted in Zoho Api.
The way i have found to get all records using RubyZoho:&lt;/p&gt;
&lt;pre&gt;&lt;code&gt;def get_zoho_objects module_name
   objects = []
   first_index = 1
   block_size = 200
   to_index = block_size
   loop do
      puts "from index: #{first_index} to index: #{to_index}"
      return_objects = RubyZoho.configuration.api.some(module_name, first_index, to_index)
      break if return_objects == nil
      objects += return_objects
      first_index = to_index + 1
      to_index += block_size
   end
   objects
end
&lt;/code&gt;&lt;/pre&gt;
&lt;p&gt;usage:&lt;/p&gt;
&lt;pre&gt;&lt;code&gt;all_accounts = get_zoho_objects "Accounts"
&lt;/code&gt;&lt;/pre&gt;
</t>
  </si>
  <si>
    <t xml:space="preserve">&lt;p&gt;Using Mozilla Thunderbird 31.4.0 on Ubuntu Linux, along with Lighning Calendar.  For some reason, every time I send a meeting invite, it adds a invitee with the email address 
unknown@somewhere.com.&lt;/p&gt;
&lt;p&gt;I have no idea where this is coming from but would like to stop it.&lt;/p&gt;
</t>
  </si>
  <si>
    <t xml:space="preserve">&lt;p&gt;I'm having trouble getting the Zoho Recruit API to work properly.  I haven't found any good documentation, so I've been going on the documentation here: &lt;a href="https://www.zoho.com/recruit/api.html" rel="nofollow"&gt;https://www.zoho.com/recruit/api.html&lt;/a&gt;&lt;/p&gt;
&lt;p&gt;My URL is: &lt;a href="http://home.pointybracket.net/zoho/index.php" rel="nofollow"&gt;http://home.pointybracket.net/zoho/index.php&lt;/a&gt;&lt;/p&gt;
&lt;p&gt;My code is: &lt;a href="http://pastebin.com/neyTBR8h" rel="nofollow"&gt;http://pastebin.com/neyTBR8h&lt;/a&gt;&lt;/p&gt;
&lt;p&gt;My boss wants to know if I can integrate a clients job openings hosted on zoho recruit, into their website.  So luckily, Zoho recruit offers an API.  I've been trying to run a test here to see roughly what this job would entail, and what to charge the client, but I'm running into problems.&lt;/p&gt;
&lt;p&gt;When I visit my test page (noted above as the URL), if I'm currently logged into zoho recruit in my browser, it redirects the page to &lt;a href="https://recruit.zoho.com/recruit/ShowHomePage.do" rel="nofollow"&gt;https://recruit.zoho.com/recruit/ShowHomePage.do&lt;/a&gt;&lt;/p&gt;
&lt;p&gt;If I'm not logged in, it simply displays this page (&lt;a href="https://recruit.zoho.com/recruit/ShowHomePage.do" rel="nofollow"&gt;https://recruit.zoho.com/recruit/ShowHomePage.do&lt;/a&gt;) within my own (like it actually loads the content of this page into my page, so I'm still on my page, but it doesn't list the test job that I've added.).&lt;/p&gt;
&lt;p&gt;My hopes are that somehow I can get data returned to my php script, so I can format the open jobs in HTML and echo them onto the page.&lt;/p&gt;
</t>
  </si>
  <si>
    <t xml:space="preserve">&lt;p&gt;The issue was that the official documentations for the Zoho Recruit API was actually wrong.  Docs: &lt;a href="https://www.zoho.com/recruit/get-records.html" rel="nofollow"&gt;https://www.zoho.com/recruit/get-records.html&lt;/a&gt;&lt;/p&gt;
&lt;p&gt;So the URL they say to use:&lt;/p&gt;
&lt;pre&gt;&lt;code&gt;http://recruit.zoho.com/ats/private/json/Module/getRecords?authtoken=Auth Token&amp;amp;scope=recruitapi
&lt;/code&gt;&lt;/pre&gt;
&lt;p&gt;The correct URL replaces "ats" with "recruit", becoming:&lt;/p&gt;
&lt;pre&gt;&lt;code&gt;http://recruit.zoho.com/recruit/private/json/Module/getRecords?authtoken=Auth Token&amp;amp;scope=recruitapi
&lt;/code&gt;&lt;/pre&gt;
&lt;p&gt;After I had changed the URL, I'm finally receiving json data from Zoho Recruits servers.&lt;/p&gt;
&lt;p&gt;Hope this might help someone else.&lt;/p&gt;
</t>
  </si>
  <si>
    <t xml:space="preserve">&lt;p&gt;I am currently trying to understand if it is possible to either embed SFDC portal / comunity pages or components (cases, knowledge, Ideas) into an external web site.&lt;/p&gt;
&lt;p&gt;Have an existing public facing website that allows customers to login, from within that want to expose the cases, knowledge &amp;amp; chatter functionality from SFDC community into that site.&lt;/p&gt;
&lt;p&gt;Looking for the end user experience to be seamless and avoid any popups regarding security/credentials. Ideally it as if that data was coming from our website and not SFDC.&lt;/p&gt;
&lt;p&gt;Thinking of using the OAuth 2.0 JWT Bearer Token Flow to perform the authentication from  our website into SFDC and leverage SFDC community license.&lt;/p&gt;
&lt;p&gt;What i am struggling with is how to then expose cases for example without having to use the API to just get a list of case records and then have to rebuild the case page UI in my own website.&lt;/p&gt;
&lt;p&gt;All thoughts &amp;amp; suggestions or examples of this in action would be greatly appreciated - Thanks!&lt;/p&gt;
</t>
  </si>
  <si>
    <t xml:space="preserve">&lt;p&gt;I use &lt;a href="https://github.com/VinylRecords/Vinyl/" rel="nofollow"&gt;vinyl&lt;/a&gt; to declare a number of different record types, some of which have a field called &lt;code&gt;Content&lt;/code&gt; with a specific type &lt;code&gt;LanguageContent&lt;/code&gt;. For the functions that depend on the field being present in the record, I want to have a type like:&lt;/p&gt;
&lt;pre&gt;&lt;code&gt;getContent :: HasContent a =&amp;gt; a -&amp;gt; LanguageContent
getContent a = a ^. rlens SContent . unAttr
&lt;/code&gt;&lt;/pre&gt;
&lt;p&gt;(Function given for illustration only; there are many functions taking something that &lt;code&gt;HasContent&lt;/code&gt; and doing different things with it.)&lt;/p&gt;
&lt;p&gt;Now I just need to declare &lt;code&gt;HasContent&lt;/code&gt; as a constraint. The closest I can get using &lt;code&gt;Data.Vinyl.Notation&lt;/code&gt; is:&lt;/p&gt;
&lt;pre&gt;&lt;code&gt;getContent :: (Content ∈ fs) =&amp;gt; Rec Attr fs -&amp;gt; LanguageContent
&lt;/code&gt;&lt;/pre&gt;
&lt;p&gt;A type family can be declared but the function does not typecheck:&lt;/p&gt;
&lt;pre&gt;&lt;code&gt;type family HasContent c :: Constraint
type instance HasContent (Rec Attr rs) = Content ∈ rs
getContent :: HasContent a =&amp;gt; a -&amp;gt; LanguageContent
getContent a = a ^. rlens SContent . unAttr
Could not deduce (a ~ Rec Attr rs0)
from the context (HasContent a)
&lt;/code&gt;&lt;/pre&gt;
&lt;p&gt;I can make a constraint with two parameters which works but isn't ideal (&lt;code&gt;rs&lt;/code&gt; is a parameter that I have to repeat everywhere):&lt;/p&gt;
&lt;pre&gt;&lt;code&gt;type HasContent c rs = (c ~ Rec Attr rs, Content ∈ rs)
&lt;/code&gt;&lt;/pre&gt;
&lt;p&gt;Without the extra parameter (see answer by @ChristianConkle), I just get:&lt;/p&gt;
&lt;pre&gt;&lt;code&gt;type HasContent c = (c ~ Rec Attr rs, Content ∈ rs)
Not in scope: type variable ‘rs’
&lt;/code&gt;&lt;/pre&gt;
&lt;p&gt;How do I declare a constraint which only holds for such &lt;code&gt;Rec Attr fs&lt;/code&gt; that &lt;code&gt;Content ∈ fs&lt;/code&gt;?&lt;/p&gt;
</t>
  </si>
  <si>
    <t xml:space="preserve">&lt;p&gt;I'm working on a booking application and i'm creating a query that calculates the occupation rate of an Hotel by month. To do that i must check the checkin and checkout dates of all bookings and increment some variables and associate them to the corresponding months. 
I only need to measure this rates on the current year.
If a booking has a checkout date or checkin date in wich the month is March (for example) i need to increment the variable that corresponds to the ocupation in that month. And i need to do this for every booking in that year interval.&lt;/p&gt;
&lt;p&gt;Booking has a checkin date and a checkout date, the other attributes are not relevant for this query, the input parameters are BeginDate (2015-01-01 ) and EndDate (2015-12-31).&lt;/p&gt;
&lt;pre&gt;&lt;code&gt;Month       Ocupation
[JANUARY] | 29
[FEBRUARY] | 20
[MARCH] | 30
....... | ... 
&lt;/code&gt;&lt;/pre&gt;
&lt;p&gt;This is what i did so far, i'm kinda lost at this moment. Any help would be appreciated.&lt;/p&gt;
&lt;pre&gt;&lt;code&gt;   Select  
        SUM(CASE WHEN datename(month, [CheckIn]) = 'January' or datename(month, [CheckOut]) = 'January' THEN 1 ELSE 0 END)  January,
        SUM(CASE WHEN datename(month, [CheckIn]) = 'February' or datename(month, [CheckOut]) = 'February' THEN 1 ELSE 0 END) February,
        SUM(CASE WHEN datename(month, [CheckIn]) = 'March' or datename(month, [CheckOut]) = 'March' THEN 1 ELSE 0 END) March,
        SUM(CASE WHEN datename(month, [CheckIn]) = 'April' or datename(month, [CheckOut]) = 'April' THEN 1 ELSE 0 END)  April,
        SUM(CASE WHEN datename(month, [CheckIn]) = 'May' or datename(month, [CheckOut]) = 'May' THEN 1 ELSE 0 END)  May,
        SUM(CASE WHEN datename(month, [CheckIn]) = 'June' or datename(month, [CheckOut]) = 'June' THEN 1 ELSE 0 END) June,
        SUM(CASE WHEN datename(month, [CheckIn]) = 'July' or datename(month, [CheckOut]) = 'July' THEN 1 ELSE 0 END) July,
        SUM(CASE WHEN datename(month, [CheckIn]) = 'August' or datename(month, [CheckOut]) = 'August' THEN 1 ELSE 0 END) August,
        SUM(CASE WHEN datename(month, [CheckIn]) = 'September' or datename(month, [CheckOut]) = 'September' THEN 1 ELSE 0 END) September,
        SUM(CASE WHEN datename(month, [CheckIn]) = 'October' or datename(month, [CheckOut]) = 'October' THEN 1 ELSE 0 END) October,
        SUM(CASE WHEN datename(month, [CheckIn]) = 'November' or datename(month, [CheckOut]) = 'November' THEN 1 ELSE 0 END) November,
        SUM(CASE WHEN datename(month, [CheckIn]) = 'December' or datename(month, [CheckOut]) = 'December' THEN 1 ELSE 0 END) December
FROM {Booking} INNER JOIN {Status} ON {Booking}.[StatusId] = {Status}.[Id]
WHERE {Booking}.[CheckIn] &amp;gt;= @BeginDate AND {Booking}.[CheckOut]  &amp;lt;= @EndDate AND {Status}.[Label] &amp;lt;&amp;gt; 'Canceled' 
&lt;/code&gt;&lt;/pre&gt;
</t>
  </si>
  <si>
    <t xml:space="preserve">&lt;p&gt;Assuming that you want to count bookings where CheckIn and CheckOut occurs in the same month as 1 occupation for that month, and bookings that have CheckIn and CheckOut in different months as 1 for each month then this query should work:&lt;/p&gt;
&lt;pre&gt;&lt;code&gt;SELECT 
    Month, 
    'Occupation' = COUNT(MonthNo)
FROM Booking 
OUTER APPLY (
    SELECT MonthNo, Month FROM (
       VALUES (1, 'January'), (2, 'February'), (3, 'March'),(4, 'April'), (5, 'May')
    ) AS Months (MonthNo, Month) 
    WHERE MonthNo BETWEEN MONTH(CheckIn) AND MONTH(CheckOut)
) c
-- WHERE CheckIn &amp;gt;= @BeginDate 
--   AND CheckOut  &amp;lt;= @EndDate 
--   AND [Status].[Label] &amp;lt;&amp;gt; 'Canceled' 
GROUP BY Month, MonthNo ORDER BY MonthNo
&lt;/code&gt;&lt;/pre&gt;
&lt;p&gt;I used a table value constructor to make the table with month numbers and names inline, but if you already have a suitable calendar table (which you should) then use that instead.&lt;/p&gt;
&lt;p&gt;Given a input table like:&lt;/p&gt;
&lt;pre&gt;&lt;code&gt;Id  CheckIn     CheckOut
1   2015-01-30  2015-03-31 -- 1 for Jan, Feb, Mar
2   2015-01-03  2015-01-05 -- 1 for Jan
3   2015-01-30  2015-02-05 -- 1 for Jan, Feb
4   2015-01-30  2015-01-31 -- 1 for Jan
5   2015-02-01  2015-02-03 -- 1 for Feb
6   2015-03-22  2015-04-01 -- 1 for Mar, Apr
7   2015-03-23  2015-04-03 -- 1 for Mar, Apr
8   2015-03-30  2015-03-31 -- 1 for Mar
9   2015-04-01  2015-04-03 -- 1 for Apr
10  2015-04-28  2015-05-01 -- 1 for Apr, May
11  2015-05-01  2015-05-03 -- 1 for May
&lt;/code&gt;&lt;/pre&gt;
&lt;p&gt;it would produce an output like:&lt;/p&gt;
&lt;pre&gt;&lt;code&gt;Month   Occupation
January     4
February    3
March       4
April       4
May         2
&lt;/code&gt;&lt;/pre&gt;
</t>
  </si>
  <si>
    <t xml:space="preserve">&lt;p&gt;I'm testing the Heroko Connect addon and receiving an error when trying to sync objects related to Chatter, namely:&lt;/p&gt;
&lt;ul&gt;
&lt;li&gt;FeedComment&lt;/li&gt;
&lt;li&gt;FeedLike&lt;/li&gt;
&lt;/ul&gt;
&lt;p&gt;I was able to sync FeedItem and User, but receiving the following message on the above objects:&lt;/p&gt;
&lt;pre&gt;&lt;code&gt;Unable to create mapping for 'FeedLike'. {"error": "{u'CreatedDate': {}, u'FeedItemId': {}, u'Id': {}, u'CreatedById': {}, u'IsDeleted': {}, u'InsertedById': {}} is not valid under any of the given schemas"}. Status code: 400 (Bad Request)
&lt;/code&gt;&lt;/pre&gt;
&lt;p&gt;I am using a Developer Org as the Sys Admin. &lt;/p&gt;
</t>
  </si>
  <si>
    <t xml:space="preserve">&lt;p&gt;After connecting Heroku Support, I received this response. Sounds like a no go for now.&lt;/p&gt;
&lt;blockquote&gt;
  &lt;p&gt;The issue with FeedComment and FeedLike is that you cannot query them
  directly without querying the parents first. Eg for feedLikes you can
  only query the table when you specify a parent of the like. At this
  time we're not able to sync these objects as a result.&lt;/p&gt;
&lt;/blockquote&gt;
</t>
  </si>
  <si>
    <t xml:space="preserve">&lt;p&gt;i'm making an application to manage hotel bookings and i need to show the ocupation rate per month in a year. I made a query that kinda solves the problem but i want presented in another format.&lt;/p&gt;
&lt;p&gt;My current query return the following table (2x12):&lt;/p&gt;
&lt;pre&gt;&lt;code&gt;January|February|March|April| ..... and so on
   20      15     18     20   ..... and so on
&lt;/code&gt;&lt;/pre&gt;
&lt;p&gt;And i want something like this (12x2):&lt;/p&gt;
&lt;pre&gt;&lt;code&gt;January|20
February|15
March|18
... |... 
&lt;/code&gt;&lt;/pre&gt;
&lt;p&gt;This is my query:&lt;/p&gt;
&lt;pre&gt;&lt;code&gt;Select  
        SUM(CASE WHEN datename(month, [CheckIn]) = 'January' or datename(month, [CheckOut]) = 'January' THEN 1 ELSE 0 END) January,
        SUM(CASE WHEN datename(month, [CheckIn]) = 'February' or datename(month, [CheckOut]) = 'February' THEN 1 ELSE 0 END) February,
        SUM(CASE WHEN datename(month, [CheckIn]) = 'March' or datename(month, [CheckOut]) = 'March' THEN 1 ELSE 0 END) March,
        SUM(CASE WHEN datename(month, [CheckIn]) = 'April' or datename(month, [CheckOut]) = 'April' THEN 1 ELSE 0 END)  April,
        SUM(CASE WHEN datename(month, [CheckIn]) = 'May' or datename(month, [CheckOut]) = 'May' THEN 1 ELSE 0 END)  May,
        SUM(CASE WHEN datename(month, [CheckIn]) = 'June' or datename(month, [CheckOut]) = 'June' THEN 1 ELSE 0 END) June,
        SUM(CASE WHEN datename(month, [CheckIn]) = 'July' or datename(month, [CheckOut]) = 'July' THEN 1 ELSE 0 END) July,
        SUM(CASE WHEN datename(month, [CheckIn]) = 'August' or datename(month, [CheckOut]) = 'August' THEN 1 ELSE 0 END) August,
        SUM(CASE WHEN datename(month, [CheckIn]) = 'September' or datename(month, [CheckOut]) = 'September' THEN 1 ELSE 0 END) September,
        SUM(CASE WHEN datename(month, [CheckIn]) = 'October' or datename(month, [CheckOut]) = 'October' THEN 1 ELSE 0 END) October,
        SUM(CASE WHEN datename(month, [CheckIn]) = 'November' or datename(month, [CheckOut]) = 'November' THEN 1 ELSE 0 END) November,
        SUM(CASE WHEN datename(month, [CheckIn]) = 'December' or datename(month, [CheckOut]) = 'December' THEN 1 ELSE 0 END) December
FROM {Booking} INNER JOIN {Status} ON {Booking}.[StatusId] = {Status}.[Id]
WHERE {Booking}.[CheckIn] &amp;gt;= @BeginDate AND {Booking}.[CheckOut]  &amp;lt;= @EndDate AND {Status}.[Label] &amp;lt;&amp;gt; 'Canceled' 
&lt;/code&gt;&lt;/pre&gt;
&lt;p&gt;Any help would be appreciated, i'm stuck and theres is not that much info on the web, thanks!&lt;/p&gt;
</t>
  </si>
  <si>
    <t xml:space="preserve">&lt;p&gt;Looks like you're trying to do an &lt;code&gt;UNPIVOT&lt;/code&gt;:&lt;/p&gt;
&lt;pre&gt;&lt;code&gt;SELECT Month, CheckIns
FROM
  (Select  
        SUM(CASE WHEN datename(month, [CheckIn]) = 'January' or datename(month, [CheckOut]) = 'January' THEN 1 ELSE 0 END) January,
        SUM(CASE WHEN datename(month, [CheckIn]) = 'February' or datename(month, [CheckOut]) = 'February' THEN 1 ELSE 0 END) February,
        SUM(CASE WHEN datename(month, [CheckIn]) = 'March' or datename(month, [CheckOut]) = 'March' THEN 1 ELSE 0 END) March,
        SUM(CASE WHEN datename(month, [CheckIn]) = 'April' or datename(month, [CheckOut]) = 'April' THEN 1 ELSE 0 END)  April,
        SUM(CASE WHEN datename(month, [CheckIn]) = 'May' or datename(month, [CheckOut]) = 'May' THEN 1 ELSE 0 END)  May,
        SUM(CASE WHEN datename(month, [CheckIn]) = 'June' or datename(month, [CheckOut]) = 'June' THEN 1 ELSE 0 END) June,
        SUM(CASE WHEN datename(month, [CheckIn]) = 'July' or datename(month, [CheckOut]) = 'July' THEN 1 ELSE 0 END) July,
        SUM(CASE WHEN datename(month, [CheckIn]) = 'August' or datename(month, [CheckOut]) = 'August' THEN 1 ELSE 0 END) August,
        SUM(CASE WHEN datename(month, [CheckIn]) = 'September' or datename(month, [CheckOut]) = 'September' THEN 1 ELSE 0 END) September,
        SUM(CASE WHEN datename(month, [CheckIn]) = 'October' or datename(month, [CheckOut]) = 'October' THEN 1 ELSE 0 END) October,
        SUM(CASE WHEN datename(month, [CheckIn]) = 'November' or datename(month, [CheckOut]) = 'November' THEN 1 ELSE 0 END) November,
        SUM(CASE WHEN datename(month, [CheckIn]) = 'December' or datename(month, [CheckOut]) = 'December' THEN 1 ELSE 0 END) December
  FROM {Booking} INNER JOIN {Status} ON {Booking}.[StatusId] = {Status}.[Id]
  WHERE {Booking}.[CheckIn] &amp;gt;= @BeginDate AND {Booking}.[CheckOut]  &amp;lt;= @EndDate AND {Status}.[Label] &amp;lt;&amp;gt; 'Canceled'
) monthTotals
UNPIVOT
(CheckIns FOR Month IN
   (January, February, March, April, May, June, July, August, September, October, November, December)
) AS upvt
&lt;/code&gt;&lt;/pre&gt;
&lt;p&gt;&lt;a href="http://sqlfiddle.com/#!6/3ae43/2" rel="nofollow"&gt;Here's a simplified SQLFiddle of this&lt;/a&gt;&lt;/p&gt;
&lt;p&gt;And &lt;a href="https://technet.microsoft.com/en-us/library/ms177410(v=sql.105).aspx" rel="nofollow"&gt;here's a doc page&lt;/a&gt; on &lt;code&gt;PIVOT&lt;/code&gt; and &lt;code&gt;UNPIVOT&lt;/code&gt;&lt;/p&gt;
</t>
  </si>
  <si>
    <t xml:space="preserve">&lt;p&gt;My object is &lt;code&gt;Consumer&lt;/code&gt;:&lt;/p&gt;
&lt;p&gt;Here is a &lt;code&gt;Consumer&lt;/code&gt; object has a following fields and want to create a record. But the null pointer exception is reported.&lt;/p&gt;
&lt;p&gt;&lt;strong&gt;Visualforce page:&lt;/strong&gt;&lt;/p&gt;
&lt;pre&gt;&lt;code&gt;&amp;lt;apex:page controller="signup1" &amp;gt;
&amp;lt;apex:form &amp;gt;
&amp;lt;h1&amp;gt;User SignUp&amp;lt;/h1&amp;gt;
&amp;lt;apex:panelGrid columns="2" style="margin-top:2em;"&amp;gt;
&amp;lt;p&amp;gt;&amp;lt;b&amp;gt;Name :&amp;lt;/b&amp;gt;&amp;lt;br /&amp;gt;
&amp;lt;apex:inputField id="name" value="{!con.Name}"/&amp;gt;
&amp;lt;/p&amp;gt;
&amp;lt;p&amp;gt;&amp;lt;b&amp;gt;Address :&amp;lt;/b&amp;gt;&amp;lt;br /&amp;gt;
&amp;lt;apex:inputField id="address" value="{!con.address__c}"/&amp;gt;
&amp;lt;/p&amp;gt;
&amp;lt;p&amp;gt;&amp;lt;b&amp;gt;Email Id :&amp;lt;/b&amp;gt;&amp;lt;br /&amp;gt;
&amp;lt;apex:inputField required="true" id="emailid" value="{!con.email_id__c}"/&amp;gt;
&amp;lt;/p&amp;gt;
&amp;lt;p&amp;gt;&amp;lt;b&amp;gt;Password :&amp;lt;/b&amp;gt;&amp;lt;br /&amp;gt;
&amp;lt;apex:inputSecret id="password" value="{!con.password__c}"/&amp;gt;
&amp;lt;/p&amp;gt;
&amp;lt;p&amp;gt;&amp;lt;b&amp;gt;Confirm Password :&amp;lt;/b&amp;gt;&amp;lt;br /&amp;gt;
&amp;lt;apex:inputSecret id="confirmpassword" value="{!con.Confirm_Password__c}"/&amp;gt;
&amp;lt;/p&amp;gt;
&amp;lt;p&amp;gt;&amp;lt;b&amp;gt;Security Question :&amp;lt;/b&amp;gt;&amp;lt;br /&amp;gt;
&amp;lt;apex:inputField required="true" id="securityquestion" value="{!con.Security_Question__c}"/&amp;gt;
&amp;lt;/p&amp;gt;
&amp;lt;p&amp;gt;&amp;lt;b&amp;gt;Answer :&amp;lt;/b&amp;gt;&amp;lt;br /&amp;gt;
&amp;lt;apex:inputField required="true" id="answer" value="{!con.Answer__c}" /&amp;gt;
&amp;lt;/p&amp;gt;
&amp;lt;p&amp;gt;&amp;lt;b&amp;gt;Ph No :&amp;lt;/b&amp;gt;&amp;lt;br /&amp;gt;
&amp;lt;apex:inputField required="true" id="phno" value="{!con.phone__c}"/&amp;gt;
&amp;lt;/p&amp;gt;
&amp;lt;p&amp;gt;&amp;lt;b&amp;gt;Pan Card No :&amp;lt;/b&amp;gt;&amp;lt;br /&amp;gt;
&amp;lt;apex:inputField required="true" id="pancardno" value="{!con.Pan_Card_No__c}"/&amp;gt;
&amp;lt;/p&amp;gt;
&amp;lt;p&amp;gt; &amp;lt;apex:commandButton action="{!registerUser}" value="SignUp" id="SignUp"/&amp;gt;&amp;lt;/p&amp;gt;
&amp;lt;/apex:panelGrid&amp;gt;
&amp;lt;/apex:form&amp;gt;
&amp;lt;/apex:page&amp;gt;
controller :
public class signup1
{
    Consumer__c con = new Consumer__c();
    public void signup1()
    {
        con = [SELECT Name, address__c, email_id__c, password__c, Confirm_Password__c, Security_Question__c, Answer__c, phone__c from Consumer__c where  Name =: ApexPages.currentPage().getParameters().get('Name')];
    }
    public Consumer__c getcon()
    {
    return con;
    }
  public PageReference registerUser() 
  {
      try
      {
          insert Con;
      }
      catch(System.DMLException e)
      {
         ApexPages.addMessages(e);
         return null;
      }
      PageReference pageRef = new PageReference(ApexPages.currentPage().getUrl());
      pageRef.setRedirect(true);
      return pageRef;
  } 
}
&lt;/code&gt;&lt;/pre&gt;
&lt;p&gt;I cannot insert data into the &lt;code&gt;Consumer&lt;/code&gt; object due to the null exception.&lt;/p&gt;
</t>
  </si>
  <si>
    <t xml:space="preserve">&lt;p&gt;I was recently brought on by a company that uses Quickbase. They have limited systems in place to talk to the Quickbase application, so I am trying to incorporate the PHP SDK in order to add/edit records in Quickbase using a front end designed by myself so customers can submit a form from the web into Quickbase.&lt;/p&gt;
&lt;p&gt;I'm coming across a problem right away trying to get the SDK to even respond with something other than an error. Currently it doesn't respond with anything when trying to add a record.&lt;/p&gt;
&lt;p&gt;I keep reading that a recent (~2-3 years ago) change has caused this to be a bit difficult to use.&lt;/p&gt;
&lt;p&gt;below is my codesnippet from a php page called "addnewcustomer.php"&lt;/p&gt;
&lt;pre&gt;&lt;code&gt; include_once('quickbase.php');
 //my PHP SDK Options located inside quickbase.php
var $user_name   = 'username';  // QuickBase user who will access the QuickBase
var $passwd      = 'pw';    // Password of this user
var $db_id       = 'dbid';  // Table/Database ID of the QuickBase being accessed
var $app_token   = 'my app token';
var $xml         = true;
var $user_id     = '';
var $qb_site     = "www.mycompany.quickbase.com";
var $qb_ssl      = "https://www.mycompany.quickbase.com/db/";
var $ticketHours = 12;
 $quickbase = new QuickBase('myusername', 'mypw', true, "dbid", "token", "realm", hour);  
$fields = array(
        array(
            'fid'   =&amp;gt; '148',
            'value' =&amp;gt; $agentid), //agentid
        array(
            'fid'   =&amp;gt; '15',
            'value' =&amp;gt; $city), //city
        array(
            'fid'   =&amp;gt; '16',
            'value' =&amp;gt; $state), //state
        array(
            'fid'   =&amp;gt; '14',
            'value' =&amp;gt; $address), //address
        array(
            'fid'   =&amp;gt; '524',
            'value' =&amp;gt; $apt), //apt #
        array(
            'fid'   =&amp;gt; '17',
            'value' =&amp;gt; $zip), //zip code
        array(
            'fid'   =&amp;gt; '33',
            'value' =&amp;gt; $rentown), //rent/own
        array(
            'fid'   =&amp;gt; '28',
            'value' =&amp;gt; $first), //first name
        array(
            'fid'   =&amp;gt; '29',
            'value' =&amp;gt; $last), //last name
        array(
            'fid'   =&amp;gt; '21',
            'value' =&amp;gt; $email), //email
        array(
            'fid'   =&amp;gt; '18',
            'value' =&amp;gt; $phone) //phone
            );
$quickbase-&amp;gt;add_record($fields);
&lt;/code&gt;&lt;/pre&gt;
&lt;p&gt;It currently responds with nothing, ie. blank response. If I change the realm with something inaccurate I get an error of "Fatal error: Uncaught exception 'Exception' with message 'String could not be parsed as XML'", which makes me think I have everything setup correctly.&lt;/p&gt;
&lt;p&gt;What should a successful entry return? What am I doing wrong?&lt;/p&gt;
</t>
  </si>
  <si>
    <t xml:space="preserve">&lt;p&gt;Using the Mendix Business Modeler to build web-applications is fundamentally different than developing web-applications using technologies like Java/Spring/JSF. But, I'm going to try to compare the two for the sake of this question:&lt;/p&gt;
&lt;p&gt;In a Java/Spring based application, I can integrate my application with the 3rd party product Ehcache to cache data at the method level. For example, I can configure ehcache to store the return value for a given method (with a specific time-to-live). Whenever this method is called, ecache will automatically check if the method has been called previously with the same parameters and if there is a stored return value in the cache. If so, the method is never actually executed and instead the cached method return value is immediately returned. &lt;/p&gt;
&lt;p&gt;I would like to have the same capabilities within Mendix, but in this case I would be caching Microflow return values. Also, I don't want to be forced to add actions all over the place explicitly telling the Microflow to check the cache. I would like to register my Microflows for caching in one centralized place, or simply flag each Microflow for being cached. In other words, this question is just as much about the concept of aspect-oriented-programming (AOP) in Mendix as it is about caching: is there a way to get hooks into Microflow invocation so I can apply pre and post execution operations? In my opinion the same reasons why AOP has it's place an purpose in Java exist in Mendix.&lt;/p&gt;
</t>
  </si>
  <si>
    <t xml:space="preserve">&lt;p&gt;When working with the Mendix application it tries to do as much for you as possible, in this case that means that the platform already has an object cache to keep all objects that need caching.
Internally the Mendix platform uses Ehcache to do that. &lt;/p&gt;
&lt;p&gt;However it is not really possible to influence that cache as you would normally do in Java/Spring.This is due to all the functionality of the Mendix Platform, that already tries to cache all objects as efficiently as possible.&lt;br&gt;
Every object you create is always added to the cache. When working with that object it stays in cache until the Platform detects that the specific object can no longer be accessed either through the UI or a microflow.
There are also API calls available that instruct the platform to retain the object in cache regardless of it's usage. But that doesn't provide you with the flexibility as you asked for.
&lt;br&gt;
&lt;br&gt;&lt;br&gt;
But specifically on your question, my initial response would be: Why would you want to cache a microflow output?&lt;br&gt;
Objects are already cached in memory, and the browser client only refreshes the cache when instructed. Any objects that you are using will be cached. 
Also when looking at most of the microflows that we use, I don't think it is likely that I would want to cache the output instead of re-running the microflows. Due to the design of the majority of the microflows I think it is likely that most microflows can return a slightly different output every time you execute it.&lt;/p&gt;
&lt;p&gt;There are many listener classes you can subscribe to in the Mendix platform that allow you to trigger something in addition to the default action. But that would require some detailed knowledge of the current behavior.&lt;br&gt;
For example you can override the login action, but if you don't perform all the correct validations you could make the login process less secure. &lt;/p&gt;
</t>
  </si>
  <si>
    <t xml:space="preserve">&lt;p&gt;When using the FileManager widget to upload files, the backing FileDocument entity will contain the binary contents of the uploaded file and metadata about the file. My problem is that I don't know where within the FileDocument entity I can find the uploaded document's file extension. I see that there is a FileDocument attribute called "Name", but this value doesn't contain the file extension. For example, when uploading "myfile.txt" the name attribute will be "myfile". I know the full name is being persisted somewhere so I assume there is an easy way for me to grab it, I just don't know where to look. I need the full file name with the extension because I am storing the newly uploaded document to a remote file-server via a web-service.&lt;/p&gt;
&lt;p&gt;Thanks.&lt;/p&gt;
</t>
  </si>
  <si>
    <t xml:space="preserve">&lt;p&gt;I have constructed a simple example of a &lt;a href="http://hackage.haskell.org/package/vinyl-0.5.1" rel="nofollow"&gt;Vinyl&lt;/a&gt; record. First, some language pragmas and imports:&lt;/p&gt;
&lt;pre&gt;&lt;code&gt;{-# LANGUAGE DataKinds, TypeOperators #-}
import Data.Vinyl
import Data.Vinyl.Functor
import Control.Applicative
&lt;/code&gt;&lt;/pre&gt;
&lt;p&gt;the actual example (it employs the &lt;a href="http://hackage.haskell.org/package/vinyl-0.5.1/docs/Data-Vinyl-Derived.html#t:HList" rel="nofollow"&gt;HList&lt;/a&gt; type synonym for simplicity):&lt;/p&gt;
&lt;pre&gt;&lt;code&gt;mytuple :: HList [Integer,Bool]
mytuple = Identity 4 :&amp;amp; Identity True :&amp;amp; RNil
&lt;/code&gt;&lt;/pre&gt;
&lt;p&gt;This compiles ok. But now I want to print the Vinyl record using &lt;a href="http://hackage.haskell.org/package/vinyl-0.5.1/docs/Data-Vinyl-Core.html#v:rtraverse" rel="nofollow"&gt;rtraverse&lt;/a&gt;:&lt;/p&gt;
&lt;pre&gt;&lt;code&gt;printi :: Show a =&amp;gt; Identity a -&amp;gt; IO (Identity a)
printi (Identity x) = print x *&amp;gt; pure (Identity x)
main :: IO ()
main = rtraverse printi mytuple *&amp;gt; pure ()
&lt;/code&gt;&lt;/pre&gt;
&lt;p&gt;This gives the following error: &lt;code&gt;No instance for (Show x) arising from a use of ‘printi’&lt;/code&gt;. Which is expected I guess, because &lt;code&gt;rtraverse&lt;/code&gt; expects a function with no constraints.&lt;/p&gt;
&lt;p&gt;How to solve this? It seems like &lt;a href="http://hackage.haskell.org/package/vinyl-0.5.1/docs/Data-Vinyl-Core.html#v:reifyConstraint" rel="nofollow"&gt;&lt;code&gt;reifyConstraint&lt;/code&gt;&lt;/a&gt; will be a part of the solution, but I don't know how to use it.&lt;/p&gt;
</t>
  </si>
  <si>
    <t xml:space="preserve">&lt;p&gt;You are correct that reifyConstraint will solve this problem. What this function does is convert (or "reify") constraints into datatypes, namely the &lt;code&gt;Dict&lt;/code&gt; datatype. For example&lt;/p&gt;
&lt;pre&gt;&lt;code&gt;&amp;gt;:t reifyConstraint (Proxy :: Proxy Show) mytuple
(reifyConstraint (Proxy :: Proxy Show) mytuple)
  :: Rec (Dict Show :. Identity) '[Integer, Bool]
&lt;/code&gt;&lt;/pre&gt;
&lt;p&gt;Each element in this record will have form &lt;code&gt;Dict (Identity _)&lt;/code&gt;. &lt;code&gt;Dict&lt;/code&gt; is defined as &lt;/p&gt;
&lt;pre&gt;&lt;code&gt;data Dict c x where Dict :: c x =&amp;gt; x -&amp;gt; Dict c x
&lt;/code&gt;&lt;/pre&gt;
&lt;p&gt;Now you simply need a traversal function which can handle a &lt;code&gt;(Dict Show :. Identity) a&lt;/code&gt; as an input. &lt;/p&gt;
&lt;pre&gt;&lt;code&gt;printi :: Compose (Dict Show) Identity a -&amp;gt; IO (Compose (Dict Show) Identity a) 
printi x@(Compose (Dict a)) = print a &amp;gt;&amp;gt; return x
&lt;/code&gt;&lt;/pre&gt;
&lt;p&gt;Note that you don't need a &lt;code&gt;Show&lt;/code&gt; constraint on &lt;code&gt;a&lt;/code&gt; - the &lt;code&gt;Show&lt;/code&gt; class dictionary is stored in the &lt;code&gt;Dict&lt;/code&gt; datatype. You can rtraverse with this function.&lt;/p&gt;
&lt;pre&gt;&lt;code&gt;main = rtraverse printi (reifyConstraint (Proxy :: Proxy Show) mytuple)
&lt;/code&gt;&lt;/pre&gt;
</t>
  </si>
  <si>
    <t xml:space="preserve">&lt;p&gt;This is just a conceptual question. If we are trying to update our records on two servers. One locally and second on some remote server (like parse or QB). What is the best way to save it. &lt;/p&gt;
&lt;p&gt;1) Should we save it remotely first and then on local machine&lt;/p&gt;
&lt;p&gt;2) Save it locally and then save it to remote.&lt;/p&gt;
&lt;p&gt;I'm currently sticking to 1st point as it will only create record locally if it can be saved on remote.&lt;/p&gt;
&lt;p&gt;Have you're say.&lt;/p&gt;
</t>
  </si>
  <si>
    <t xml:space="preserve">&lt;p&gt;My requirement is to automatically assign a &lt;strong&gt;Lead&lt;/strong&gt; to &lt;strong&gt;Sales Representative&lt;/strong&gt; based on Region. 
A &lt;strong&gt;region&lt;/strong&gt; is made of many countries. I want Salesforce to identify the region based on the country and assign the lead to Sales Representative accordingly.&lt;/p&gt;
&lt;p&gt;How can I achieve this?&lt;/p&gt;
</t>
  </si>
  <si>
    <t xml:space="preserve">&lt;p&gt;You will need to write a Trigger or workflow to stamp Region on a field (A custom field created) on Lead Record .&lt;/p&gt;
&lt;p&gt;Write Assignment rules based on Region to assign these leads as per Region.&lt;/p&gt;
&lt;p&gt;For Trigger you can create a Region Object and have child objects Country linked to Same .Or other way could be use custom setting and store for regions different countries that belong to Region.&lt;/p&gt;
</t>
  </si>
  <si>
    <t xml:space="preserve">&lt;p&gt;is it possible to restrict access to the Chatter profile pictures such that only system administrators can upload photos, and all others are restricted?&lt;/p&gt;
</t>
  </si>
  <si>
    <t xml:space="preserve">&lt;p&gt;How can I allow a tolerance of 1 - 10 sec?&lt;/p&gt;
&lt;p&gt;I have 2 tables that have timestamps, yet are off by 1-10 seconds. I am using the inner join to compare them. I have phone numbers (columns) in both tables that match up but cant make them match up with the timestamps (time only). To allow a certain tolerance I could use an expression like &lt;code&gt;cast(DateCreated as Time) = cast(TIMESTAMP as time) + 5&lt;/code&gt;. But I don't want to be doing this for every second.&lt;/p&gt;
&lt;pre&gt;&lt;code&gt;SELECT Time_To_Sec(cast("table1_DateCreated" as time)) as DateCreated 
     , Time_To_Sec(cast("table2"."Timestamp" as time)) as Timestampe
     , "Direction","FromTW", "ToTW", "table2"."ANI","table2"."CALL ID"
     , "table2"."Disposition"
FROM "calls and time"
INNER JOIN "table2" on cast(DateCreated as Time)=cast(TIMESTAMP as time)+5
                   and FromTW="table2"."ANI"
&lt;/code&gt;&lt;/pre&gt;
&lt;p&gt;I would like to see the following results if possible:&lt;/p&gt;
&lt;pre&gt;&lt;code&gt;table1(DateCreated)  |  table2(Timestamp)  | compared results
---------------------+---------------------+-----------------
5000                 |  5005               |  table3
5001                 |  5009               |  table3
5001                 |  5050               |  not in table3   
&lt;/code&gt;&lt;/pre&gt;
&lt;p&gt;If the condition is met then it will be sent to table 3 but if does not meet the condition the it will not be sent to table 3.&lt;/p&gt;
&lt;p&gt;Using Zoho reports, therefore I'm not sure what type of database they are using. Postgres, MySQL, etc.             &lt;/p&gt;
</t>
  </si>
  <si>
    <t xml:space="preserve">&lt;p&gt;If timestamps in &lt;em&gt;both&lt;/em&gt; tables can be &lt;code&gt;off by 1-10 seconds&lt;/code&gt;, then it follows logically that the maximum tolerance for a match is &lt;strong&gt;20 sceonds&lt;/strong&gt; (+/- 10 on each side). &lt;/p&gt;
&lt;p&gt;Tested in &lt;strong&gt;Postgres&lt;/strong&gt;:&lt;/p&gt;
&lt;pre&gt;&lt;code&gt;SELECT *
FROM   "calls and time" t1
JOIN   table2 t2 ON t2."TIMESTAMP" BETWEEN t1."DateCreated" - interval '20 sec'
                                       AND t1."DateCreated" + interval '20 sec';
WHERE  t1."FromTW" = t2."ANI"  -- FromTW or "FromTW" ?
&lt;/code&gt;&lt;/pre&gt;
&lt;p&gt;This is a &lt;a href="https://en.wikipedia.org/wiki/Sargable" rel="nofollow"&gt;sargable&lt;/a&gt; expression that allows to use an index on &lt;code&gt;x&lt;/code&gt;:&lt;/p&gt;
&lt;pre&gt;&lt;code&gt;x BETWEEN y - interval '20 sec'
      AND y + interval '20 sec'
&lt;/code&gt;&lt;/pre&gt;
&lt;p&gt;&lt;code&gt;"calls and time"&lt;/code&gt;, &lt;code&gt;"TIMESTAMP"&lt;/code&gt;, &lt;code&gt;"FromTW"&lt;/code&gt; are &lt;em&gt;extremely unfortunate identifiers&lt;/em&gt;, btw. Stick to legal, unquoted names to save some trouble.&lt;/p&gt;
</t>
  </si>
  <si>
    <t xml:space="preserve">&lt;p&gt;I'm new to advanced SQL. I have a query that I need to add a variable. It needs to connect to an employee table and only show a record for that specific employeeId. This is Outsystems and advanced SQL query. Any ideas?&lt;/p&gt;
&lt;p&gt;This is what I need to add: Employee.EmployeeId = EmployeeId or EmployeeId = NullIdentifier()&lt;/p&gt;
&lt;p&gt;Existing query that I need to add the above to some how:&lt;/p&gt;
&lt;pre&gt;&lt;code&gt;Select 
      EMPLOYEEDISPLAYNAME ,
      ISNULL(Sick.Total,0.00) as SickValue,
      ISNULL( Vacation.Total,0.00) as VacationValue
   from 
      {Employee} 
         left join 
         ( Select 
                 EMPLOYEEID,
                 Sum( DEPOSITVALUE ) - Sum( WITHDRAWLVALUE ) as Total
              from 
                 {TimeOffRegisterEntry}
                    join {TimeOffRegister} 
                       on {TimeOffRegisterEntry}.TimeOffRegisterId = {TimeOffRegister}.TimeOffRegisterId 
                    join {TimeOffYear} 
                       on {TimeOffRegister}.TimeOffYearId = {TimeOffYear}.TimeOffYearId 
              where 
                     TIMEOFFTYPE = @VacationType 
                 and {TimeOffYear}.[TimeOffYearId] = @Year 
              group by 
                 EMPLOYEEID 
              having 
                 Sum( DEPOSITVALUE ) - Sum( WITHDRAWLVALUE ) &amp;lt; 0
         ) as Vacation 
           on {Employee}.EmployeeId = Vacation.EMPLOYEEID 
         left join 
         ( Select 
                 EMPLOYEEID,
                 Sum( DEPOSITVALUE ) - Sum( WITHDRAWLVALUE ) as Total
              from 
                 {TimeOffRegisterEntry}   
                    join {TimeOffRegister}  
                       on {TimeOffRegister}.TimeOffRegisterId = {TimeOffRegisterEntry}.TimeOffRegisterId
                    join {TimeOffYear} 
                       on {TimeOffRegister}.TimeOffYearId = {TimeOffYear}.TimeOffYearId 
              where 
                     TIMEOFFTYPE = @SickType 
                 and {TimeOffYear}.[TimeOffYearId] = @Year 
              group by 
                 EMPLOYEEID 
              having 
                 Sum( DEPOSITVALUE ) - Sum( WITHDRAWLVALUE ) &amp;lt; 0
         ) as Sick
            on {Employee}.EmployeeId = Sick.EMPLOYEEID 
   where 
         Vacation.total is not null 
      or Sick.Total is not null
&lt;/code&gt;&lt;/pre&gt;
</t>
  </si>
  <si>
    <t xml:space="preserve">&lt;p&gt;You'll need to add a new parameter to the query (EmployeeId, probably of type EmployeeId Identifier) and add the condition to your query.&lt;/p&gt;
&lt;p&gt;&lt;img src="https://i.stack.imgur.com/SbRFD.png" alt="enter image description here"&gt;&lt;/p&gt;
&lt;p&gt;Without knowing your full database structure:&lt;/p&gt;
&lt;ul&gt;
&lt;li&gt;Adding it only in the outermost Where condition should be enough&lt;/li&gt;
&lt;li&gt;Adding it in the inner queries may also be required / optimize the query&lt;/li&gt;
&lt;/ul&gt;
&lt;p&gt;In the end the query would look something like &lt;/p&gt;
&lt;pre&gt;&lt;code&gt;Select 
  EMPLOYEEDISPLAYNAME ,
  ISNULL(Sick.Total,0.00) as SickValue,
  ISNULL( Vacation.Total,0.00) as VacationValue
from 
  {Employee} 
     left join 
     ( Select 
             EMPLOYEEID,
             Sum( DEPOSITVALUE ) - Sum( WITHDRAWLVALUE ) as Total
          from 
             {TimeOffRegisterEntry}
                join {TimeOffRegister} 
                   on {TimeOffRegisterEntry}.TimeOffRegisterId = {TimeOffRegister}.TimeOffRegisterId 
                join {TimeOffYear} 
                   on {TimeOffRegister}.TimeOffYearId = {TimeOffYear}.TimeOffYearId 
          where 
                 TIMEOFFTYPE = @VacationType 
             and {TimeOffYear}.[TimeOffYearId] = @Year 
             AND (@EmployeeId = 0 OR EMPLOYEEID = @EmployeeId)
          group by 
             EMPLOYEEID 
          having 
             Sum( DEPOSITVALUE ) - Sum( WITHDRAWLVALUE ) &amp;lt; 0
     ) as Vacation 
       on {Employee}.EmployeeId = Vacation.EMPLOYEEID 
     left join 
     ( Select 
             EMPLOYEEID,
             Sum( DEPOSITVALUE ) - Sum( WITHDRAWLVALUE ) as Total
          from 
             {TimeOffRegisterEntry}   
                join {TimeOffRegister}  
                   on {TimeOffRegister}.TimeOffRegisterId = {TimeOffRegisterEntry}.TimeOffRegisterId
                join {TimeOffYear} 
                   on {TimeOffRegister}.TimeOffYearId = {TimeOffYear}.TimeOffYearId 
          where 
                 TIMEOFFTYPE = @SickType 
             and {TimeOffYear}.[TimeOffYearId] = @Year 
              AND (@EmployeeId = 0 OR EMPLOYEEID = @EmployeeId)
          group by 
             EMPLOYEEID 
          having 
             Sum( DEPOSITVALUE ) - Sum( WITHDRAWLVALUE ) &amp;lt; 0
     ) as Sick
        on {Employee}.EmployeeId = Sick.EMPLOYEEID 
where 
    (@EmployeeId = 0 OR {Employee}.[EmployeeId] = @EmployeeId)
    AND (
         Vacation.total is not null 
      or Sick.Total is not null
    )
&lt;/code&gt;&lt;/pre&gt;
&lt;p&gt;Look for references to @EmployeeId in the above code snippet.&lt;/p&gt;
&lt;p&gt;Notice the &lt;em&gt;AND ( ... or ... )&lt;/em&gt; wrapping the alternate condition&lt;/p&gt;
</t>
  </si>
  <si>
    <t xml:space="preserve">&lt;p&gt;In the &lt;a href="https://hackage.haskell.org/package/vinyl"&gt;vinyl&lt;/a&gt; library, there is a &lt;code&gt;RecAll&lt;/code&gt; type family, which let's us ask that a partially applied constraint is true for every type in a type level list. For example, we can write this:&lt;/p&gt;
&lt;pre&gt;&lt;code&gt;myShowFunc :: RecAll f rs Show =&amp;gt; Rec f rs -&amp;gt; String
&lt;/code&gt;&lt;/pre&gt;
&lt;p&gt;And that's all lovely. Now, if we have the constraint &lt;code&gt;RecAll f rs c&lt;/code&gt; where &lt;code&gt;c&lt;/code&gt; is unknown, and we know the &lt;code&gt;c x&lt;/code&gt; entails &lt;code&gt;d x&lt;/code&gt; (to borrow language from ekmett's &lt;a href="https://hackage.haskell.org/package/constraints"&gt;contstraints&lt;/a&gt; package), how can we get &lt;code&gt;RecAll f rs d&lt;/code&gt;?&lt;/p&gt;
&lt;p&gt;The reason I ask is that I'm working with records in some functions that require satisfying several typeclass constraints. To do this, I am using the &lt;code&gt;:&amp;amp;:&lt;/code&gt; combinator from the &lt;a href="https://hackage.haskell.org/package/exists-0.2/docs/Control-Constraint-Combine.html"&gt;Control.Constraints.Combine&lt;/a&gt; module in the &lt;a href="https://hackage.haskell.org/package/exists-0.2"&gt;exists&lt;/a&gt; package. (Note: the package won't build if you have other things installed because it depends on a super-old version of &lt;code&gt;contravariant&lt;/code&gt;. You can just copy the one module I mentioned though.) With this, I can get some really beautiful constraints while minimizing typeclass broilerplate. For example:&lt;/p&gt;
&lt;pre&gt;&lt;code&gt;RecAll f rs (TypeableKey :&amp;amp;: FromJSON :&amp;amp;: TypeableVal) =&amp;gt; Rec f rs -&amp;gt; Value
&lt;/code&gt;&lt;/pre&gt;
&lt;p&gt;But, inside the body of this function, I call another function that demands a weaker constraint. It might look like this:&lt;/p&gt;
&lt;pre&gt;&lt;code&gt;RecAll f rs (TypeableKey :&amp;amp;: TypeableVal) =&amp;gt; Rec f rs -&amp;gt; Value
&lt;/code&gt;&lt;/pre&gt;
&lt;p&gt;GHC can't see that the second statement follows from the first. I assumed that would be the case. What I can't see is how to prove it for reify it and help GHC out. So far, I've got this:&lt;/p&gt;
&lt;pre&gt;&lt;code&gt;import Data.Constraint
weakenAnd1 :: ((a :&amp;amp;: b) c) :- a c                                                                    
weakenAnd1 = Sub Dict -- not the Dict from vinyl. ekmett's Dict.
weakenAnd2 :: ((a :&amp;amp;: b) c) :- b c                                                                    
weakenAnd2 = Sub Dict
&lt;/code&gt;&lt;/pre&gt;
&lt;p&gt;These work fine. But this is where I am stuck:&lt;/p&gt;
&lt;pre&gt;&lt;code&gt;-- The two Proxy args are to stop GHC from complaining about AmbiguousTypes
weakenRecAll :: Proxy f -&amp;gt; Proxy rs -&amp;gt; (a c :- b c) -&amp;gt; (RecAll f rs a :- RecAll f rs b)
weakenRecAll _ _ (Sub Dict) = Sub Dict
&lt;/code&gt;&lt;/pre&gt;
&lt;p&gt;This does not compile. Is anyone aware of a way to get the effect I am looking for. Here are the errors if they are helpful. Also, I have &lt;code&gt;Dict&lt;/code&gt; as a qualified import in my actual code, so that's why it mentions &lt;code&gt;Constraint.Dict&lt;/code&gt;:&lt;/p&gt;
&lt;pre&gt;&lt;code&gt;Table.hs:76:23:
    Could not deduce (a c) arising from a pattern
    Relevant bindings include
      weakenRecAll :: Proxy f
                      -&amp;gt; Proxy rs -&amp;gt; (a c :- b c) -&amp;gt; RecAll f rs a :- RecAll f rs b
        (bound at Table.hs:76:1)
    In the pattern: Constraint.Dict
    In the pattern: Sub Constraint.Dict
    In an equation for ‘weakenRecAll’:
        weakenRecAll _ _ (Sub Constraint.Dict) = Sub Constraint.Dict
Table.hs:76:46:
    Could not deduce (RecAll f rs b)
      arising from a use of ‘Constraint.Dict’
    from the context (b c)
      bound by a pattern with constructor
                 Constraint.Dict :: forall (a :: Constraint).
                                    (a) =&amp;gt;
                                    Constraint.Dict a,
               in an equation for ‘weakenRecAll’
      at Table.hs:76:23-37
    or from (RecAll f rs a)
      bound by a type expected by the context:
                 (RecAll f rs a) =&amp;gt; Constraint.Dict (RecAll f rs b)
      at Table.hs:76:42-60
    Relevant bindings include
      weakenRecAll :: Proxy f
                      -&amp;gt; Proxy rs -&amp;gt; (a c :- b c) -&amp;gt; RecAll f rs a :- RecAll f rs b
        (bound at Table.hs:76:1)
    In the first argument of ‘Sub’, namely ‘Constraint.Dict’
    In the expression: Sub Constraint.Dict
    In an equation for ‘weakenRecAll’:
        weakenRecAll _ _ (Sub Constraint.Dict) = Sub Constraint.Dict
&lt;/code&gt;&lt;/pre&gt;
</t>
  </si>
  <si>
    <t xml:space="preserve">&lt;p&gt;Let's begin by reviewing how &lt;code&gt;Dict&lt;/code&gt; and &lt;code&gt;(:-)&lt;/code&gt; are meant to be used.&lt;/p&gt;
&lt;pre&gt;&lt;code&gt;ordToEq :: Dict (Ord a) -&amp;gt; Dict (Eq a)
ordToEq Dict = Dict
&lt;/code&gt;&lt;/pre&gt;
&lt;p&gt;Pattern matching on a value &lt;code&gt;Dict&lt;/code&gt; of type &lt;code&gt;Dict (Ord a)&lt;/code&gt; brings the constraint &lt;code&gt;Ord a&lt;/code&gt; into scope, from which &lt;code&gt;Eq a&lt;/code&gt; can be deduced (because &lt;code&gt;Eq&lt;/code&gt; is a superclass of &lt;code&gt;Ord&lt;/code&gt;), so &lt;code&gt;Dict :: Dict (Eq a)&lt;/code&gt; is well-typed.&lt;/p&gt;
&lt;pre&gt;&lt;code&gt;ordEntailsEq :: Ord a :- Eq a
ordEntailsEq = Sub Dict
&lt;/code&gt;&lt;/pre&gt;
&lt;p&gt;Similarly, &lt;code&gt;Sub&lt;/code&gt; brings its input constraint into scope for the duration of its argument, allowing this &lt;code&gt;Dict :: Dict (Eq a)&lt;/code&gt; to be well-typed as well.&lt;/p&gt;
&lt;p&gt;However, whereas pattern-matching on &lt;code&gt;Dict&lt;/code&gt; brings a constraint into scope, pattern-matching on &lt;code&gt;Sub Dict&lt;/code&gt; does not bring into scope some new constraint conversion rule. In fact, unless the input constraint is already in scope, you can't pattern-match on &lt;code&gt;Sub Dict&lt;/code&gt; at all.&lt;/p&gt;
&lt;pre&gt;&lt;code&gt;-- Could not deduce (Ord a) arising from a pattern
constZero :: Ord a :- Eq a -&amp;gt; Int
constZero (Sub Dict) = 0
-- okay
constZero' :: Ord a =&amp;gt; Ord a :- Eq a -&amp;gt; Int
constZero' (Sub Dict) = 0
&lt;/code&gt;&lt;/pre&gt;
&lt;p&gt;So that explains your first type error, &lt;code&gt;"Could not deduce (a c) arising from a pattern"&lt;/code&gt;: you have tried to pattern-match on &lt;code&gt;Sub Dict&lt;/code&gt;, but the input constraint &lt;code&gt;a c&lt;/code&gt; was not already in scope.&lt;/p&gt;
&lt;p&gt;The other type error, of course, is saying that the constraints you did manage to get into scope were not sufficient to satisfy the &lt;code&gt;RecAll f rs b&lt;/code&gt; constraint. So, which pieces are needed, and which ones are missing? Let's look at the definition of &lt;code&gt;RecAll&lt;/code&gt;.&lt;/p&gt;
&lt;pre&gt;&lt;code&gt;type family RecAll f rs c :: Constraint where
  RecAll f [] c = ()     
  RecAll f (r : rs) c = (c (f r), RecAll f rs c)
&lt;/code&gt;&lt;/pre&gt;
&lt;p&gt;Aha! &lt;code&gt;RecAll&lt;/code&gt; is a type family, so unevaluated as it is, with a completely abstract &lt;code&gt;rs&lt;/code&gt;, the constraint &lt;code&gt;RecAll f rs c&lt;/code&gt; is a black box which could not be satisfied from any set of smaller pieces. Once we specialize &lt;code&gt;rs&lt;/code&gt; to &lt;code&gt;[]&lt;/code&gt; or &lt;code&gt;(r : rs)&lt;/code&gt;, it becomes clear which pieces we need:&lt;/p&gt;
&lt;pre&gt;&lt;code&gt;recAllNil :: Dict (RecAll f '[] c)
recAllNil = Dict
recAllCons :: p rs
           -&amp;gt; Dict (c (f r))
           -&amp;gt; Dict (RecAll f rs c)
           -&amp;gt; Dict (RecAll f (r ': rs) c)
recAllCons _ Dict Dict = Dict
&lt;/code&gt;&lt;/pre&gt;
&lt;p&gt;I'm using &lt;code&gt;p rs&lt;/code&gt; instead of &lt;code&gt;Proxy rs&lt;/code&gt; because it's more flexible: if I had a &lt;code&gt;Rec f rs&lt;/code&gt;, for instance I could use that as my proxy with &lt;code&gt;p ~ Rec f&lt;/code&gt;.&lt;/p&gt;
&lt;p&gt;Next, let's implement a version of the above with &lt;code&gt;(:-)&lt;/code&gt; instead of &lt;code&gt;Dict&lt;/code&gt;:&lt;/p&gt;
&lt;pre&gt;&lt;code&gt;weakenNil :: RecAll f '[] c1 :- RecAll f '[] c2
weakenNil = Sub Dict
weakenCons :: p rs
           -&amp;gt; c1 (f r) :- c2 (f r)
           -&amp;gt; RecAll f rs c1 :- RecAll f rs c2
           -&amp;gt; RecAll f (r ': rs) c1 :- RecAll f (r ': rs) c2
weakenCons _ entailsF entailsR = Sub $ case (entailsF, entailsR) of
    (Sub Dict, Sub Dict) -&amp;gt; Dict
&lt;/code&gt;&lt;/pre&gt;
&lt;p&gt;&lt;code&gt;Sub&lt;/code&gt; brings its input constraint &lt;code&gt;RecAll f (r ': rs) c1&lt;/code&gt; into scope for the duration of its argument, which we've arranged to include the rest of the function's body. The equation for the type family &lt;code&gt;RecAll f (r ': rs) c1&lt;/code&gt; expands to &lt;code&gt;(c1 (f r), RecAll f rs c1)&lt;/code&gt;, which are thus both brought into scope as well. The fact that they are in scope allows us to pattern-match on the two &lt;code&gt;Sub Dict&lt;/code&gt;, and those two &lt;code&gt;Dict&lt;/code&gt; bring their respective constraints into scope: &lt;code&gt;c2 (f r)&lt;/code&gt;, and &lt;code&gt;RecAll f rs c2&lt;/code&gt;. Those two are precisely what the target constraint &lt;code&gt;RecAll f (r ': rs) c2&lt;/code&gt; expands to, so our &lt;code&gt;Dict&lt;/code&gt; right-hand side is well-typed.&lt;/p&gt;
&lt;p&gt;To complete our implementation of &lt;code&gt;weakenAllRec&lt;/code&gt;, we will need to pattern-match on &lt;code&gt;rs&lt;/code&gt; in order to determine whether to delegate the work to &lt;code&gt;weakenNil&lt;/code&gt; or &lt;code&gt;weakenCons&lt;/code&gt;. But since &lt;code&gt;rs&lt;/code&gt; is at the type level, we cannot pattern-match on it directly. The &lt;a href="https://personal.cis.strath.ac.uk/conor.mcbride/pub/hasochism.pdf"&gt;Hasochism&lt;/a&gt; paper explains how in order to pattern-match on a type-level &lt;code&gt;Nat&lt;/code&gt;, we need to create a wrapper datatype &lt;code&gt;Natty&lt;/code&gt;. The way in which &lt;code&gt;Natty&lt;/code&gt; works is that each of its constructors is indexed by a corresponding &lt;code&gt;Nat&lt;/code&gt; constructor, so when we pattern-match on a &lt;code&gt;Natty&lt;/code&gt; constructor at the value level, the corresponding constructor is implied at the type level as well. We could define such a wrapper for type-level lists such as &lt;code&gt;rs&lt;/code&gt;, but it just so happens that &lt;code&gt;Rec f rs&lt;/code&gt; already has constructors corresponding to &lt;code&gt;[]&lt;/code&gt; and &lt;code&gt;(:)&lt;/code&gt;, and the callers of &lt;code&gt;weakenAllRec&lt;/code&gt; are likely to have one lying around anyway.&lt;/p&gt;
&lt;pre&gt;&lt;code&gt;weakenRecAll :: Rec f rs
             -&amp;gt; (forall a. c1 a :- c2 a)
             -&amp;gt; RecAll f rs c1 :- RecAll f rs c2
weakenRecAll RNil       entails = weakenNil
weakenRecAll (fx :&amp;amp; rs) entails = weakenCons rs entails
                                $ weakenRecAll rs entails
&lt;/code&gt;&lt;/pre&gt;
&lt;p&gt;Note that the type of &lt;code&gt;entails&lt;/code&gt; must be &lt;code&gt;forall a. c1 a :- c2 a&lt;/code&gt;, not merely &lt;code&gt;c1 a :- c2 a&lt;/code&gt;, because we don't want to claim that &lt;code&gt;weakenRecAll&lt;/code&gt; will work for any &lt;code&gt;a&lt;/code&gt; of the caller's choosing, but rather, we want to require the caller to prove that &lt;code&gt;c1 a&lt;/code&gt; entails &lt;code&gt;c2 a&lt;/code&gt; for every &lt;code&gt;a&lt;/code&gt;.&lt;/p&gt;
</t>
  </si>
  <si>
    <t xml:space="preserve">&lt;p&gt;I have the QuickBooks desktop app as well as a Zoho CRM subscription. The thing is I am new to QuickBooks and would like to have my data in sync across both of these. I use &lt;em&gt;node.js&lt;/em&gt; most of the time but &lt;em&gt;PHP&lt;/em&gt; is also an option.
Remember, I need to do it bidirectionally.&lt;/p&gt;
&lt;p&gt;I looked up the web connector thing and yet I have no idea where to start.
Please provide a few pointers and libraries I could use.&lt;/p&gt;
</t>
  </si>
  <si>
    <t xml:space="preserve">&lt;p&gt;My code:&lt;/p&gt;
&lt;pre&gt;&lt;code&gt;var conn = ftp.create(config['tmt_preview']);
gulp.src('./dist/**/*.*', {base: '.', buffer: false})
   .pipe(conn.newerOrDifferentSize('/project'))
   .pipe(conn.dest('/project'));
&lt;/code&gt;&lt;/pre&gt;
&lt;p&gt;Console outputs:&lt;/p&gt;
&lt;pre&gt;&lt;code&gt;[15:40:04] Starting 'tmt_preview'...
[15:40:04] Finished 'tmt_preview' after 395 ms                 
&lt;/code&gt;&lt;/pre&gt;
&lt;p&gt;First run everything is ok, take some change, run gulp ftp again, and you can see: the process not exit, and remotePath can not reflush. May i make anything wrong?&lt;/p&gt;
</t>
  </si>
  <si>
    <t xml:space="preserve">&lt;p&gt;I like to get connected for read-only access only in this github repo- &lt;a href="https://github.com/observo/AroundZOHO" rel="nofollow"&gt;AroundZOHO&lt;/a&gt; . How can I achieve it?&lt;/p&gt;
&lt;pre&gt;&lt;code&gt;$inbox = imap_open(EMAIL_HOSTNAME,EMAIL_USERNAME,EMAIL_PASSWORD) or die('Cannot connect to Gmail: ' . imap_last_error()); 
$date = date("d M Y", strToTime ( "-1 days" )); 
$emails = imap_search($inbox, "SINCE \"$date\"", SE_UID); 
&lt;/code&gt;&lt;/pre&gt;
</t>
  </si>
  <si>
    <t xml:space="preserve">&lt;p&gt;I am trying to configure mail sending using &lt;code&gt;BLAT&lt;/code&gt;
I use office 365,but due to some configuration issue I am having the problem of 
the following error&lt;/p&gt;
&lt;pre&gt;&lt;code&gt;Subject: Contents of file: message.txt
Login name is yyyaa@xxxaa.com
*** Error ***  The SMTP server does not like the sender name.
*** Error ***  Have you set your mail address correctly?
Error: Connection to server was dropped.
&lt;/code&gt;&lt;/pre&gt;
&lt;p&gt;The following commands I tried:&lt;/p&gt;
&lt;pre&gt;&lt;code&gt;C:\blat&amp;gt;Blat C:/message.txt -to yyya@xxxaa.com -server outlook
.office365.com
&lt;/code&gt;&lt;/pre&gt;
&lt;p&gt;Do I need to change the parameters that I am supplying?&lt;/p&gt;
</t>
  </si>
  <si>
    <t xml:space="preserve">&lt;p&gt;Trying to wrap my head around zoho creator, its not as simple as they make it out to be for building apps… I have an inventory database, and i have four fields that I call to fill a field called Inventory Number (Inv_Num1) – &lt;/p&gt;
&lt;p&gt;First Name (First_Name)&lt;/p&gt;
&lt;p&gt;Last Name (Last_Name)&lt;/p&gt;
&lt;p&gt;Year (Year)&lt;/p&gt;
&lt;p&gt;Number (Number)&lt;/p&gt;
&lt;p&gt;I have a Custom Function script that I call through a Custom Action in the form report. What I am trying to do is upload a CSV file with 900 entries. Of course, not all of those have those values (first/last/number) so I need to bulk edit all of them. However when I do the bulk edit, the Inv_Num1 field is not updated with the new values. I use the custom action to populate the Inv_Num1 field with the values of the other 4 fields. &lt;/p&gt;
&lt;p&gt;Heres is  my script:&lt;/p&gt;
&lt;pre&gt;&lt;code&gt;void onetime.UpdateInv()
{
    for each Inventory_Record in Management
    {
        FN = Inventory_Record.First_Name.subString(0,1);
        LN = Inventory_Record.Last_Name.subString(0,1);
        YR = Inventory_Record.Year.subString(2,4);
        NO = Inventory_Record.Number;
        outputstr = FN + LN + YR + NO;
        Inventory_Record.Inv_Num1 = outputstr;
    }
}
&lt;/code&gt;&lt;/pre&gt;
&lt;p&gt;I get this error back when I try to run this function&lt;/p&gt;
&lt;pre&gt;&lt;code&gt;Error.
    Error in executing UpdateInv workflow.
        Error in executing For Each Record task.
            Error in executing Set Variable task. Unable to update template variable FN.
                Error evaluating STRING expression :
&lt;/code&gt;&lt;/pre&gt;
&lt;p&gt;Even though there is a First Name for example, it still thinks there is none. This only happens on the fields I changed with Bulk Edit. If I do each one by hand, then the custom action works—but of course then the Inv_Num1 is already updated through my edit on success functions and makes the whole thing moot.&lt;/p&gt;
</t>
  </si>
  <si>
    <t xml:space="preserve">&lt;p&gt;This is my first time posting on Stackoverflow so apologies if what I post is head-slappingly simple. &lt;/p&gt;
&lt;p&gt;I've been trying to set-up a webhook between Zoho People and Freshbooks for the past few days. The aim is to push the email address and name of new employees from Zoho to Freshbooks. This data will populate a form emailed to the user inviting them to join me on Freshbooks as a contractor.&lt;/p&gt;
&lt;p&gt;I've done this correctly as far as I can tell and Freshbooks and Zoho both say that the webhook is correct. They can't seem to work out why it isn't working. &lt;/p&gt;
&lt;p&gt;The details set-up on Zoho People are:&lt;/p&gt;
&lt;p&gt;URL to Notify - &lt;a href="https://teachtutti.freshbooks.com/api/2.1/xml-in" rel="nofollow"&gt;https://teachtutti.freshbooks.com/api/2.1/xml-in&lt;/a&gt;
Method - Post 
Form Name - Music Teacher (this is where the email address and name are taken from originally by Zoho)
Entity Parameters:
   - Parameter name = email  |  Parameter value = ${email_address}
Parameters in the User Defined Format:
   - Parameter name - XML 
   - Value Description:&lt;/p&gt;
&lt;pre&gt;&lt;code&gt;&amp;lt;!--?xml version="1.0" encoding="utf-8"?--&amp;gt;  
&amp;lt;request method="contractor.create"&amp;gt;  
     &amp;lt;contractor&amp;gt;  
        &amp;lt;name&amp;gt;${First_name} ${Last_name}&amp;lt;/name&amp;gt;  
        &amp;lt;email&amp;gt;${email_address}&amp;lt;/email&amp;gt; &amp;lt;!--Required--&amp;gt;  
        &amp;lt;task_id&amp;gt;190354&amp;lt;/task_id&amp;gt; &amp;lt;!--Required--&amp;gt;  
        &amp;lt;projects&amp;gt;  
         &amp;lt;!-- Assign new contractors to specific projects using project_id --&amp;gt;  
            &amp;lt;project&amp;gt;  
                &amp;lt;project_id&amp;gt;49537&amp;lt;/project_id&amp;gt;  
            &amp;lt;/project&amp;gt;  
        &amp;lt;/projects&amp;gt;  
    &amp;lt;/contractor&amp;gt;  
&amp;lt;/request&amp;gt;
&lt;/code&gt;&lt;/pre&gt;
&lt;p&gt;Custom Parameters:
- authtoken = 27a8ad5004154bf19f0a6805ee8154a6
- task_id = 190354
- project_id = 49537&lt;/p&gt;
&lt;p&gt;The preview URL that is created from all the above information is &lt;a href="https://teachtutti.freshbooks.com/api/2.1/xml-in?email=" rel="nofollow"&gt;https://teachtutti.freshbooks.com/api/2.1/xml-in?email=&lt;/a&gt;${email_address}&amp;amp;XML=&amp;amp;authtoken=27a8ad5004154bf19f0a6805ee8154a6&amp;amp;task_id=190354&amp;amp;project_id=49537&lt;/p&gt;
&lt;p&gt;If you type in the above URL, you'll receive the following reply:&lt;/p&gt;
&lt;p&gt;This XML file does not appear to have any style information associated with it. The document tree is shown below.&lt;/p&gt;
&lt;pre&gt;&lt;code&gt;&amp;lt;response xmlns="http://www.freshbooks.com/api/" status="fail"&amp;gt;
&amp;lt;error&amp;gt;Your XML is not formatted correctly.&amp;lt;/error&amp;gt;
&amp;lt;code&amp;gt;40010&amp;lt;/code&amp;gt;
&amp;lt;/response&amp;gt;
&lt;/code&gt;&lt;/pre&gt;
&lt;p&gt;I have done everything I can think of to fix this. The project ID, task ID, authentication token, and URL to notify are all correct. I'm completely stumped! &lt;/p&gt;
&lt;p&gt;If someone could help me fix this, I'd be eternally grateful! For what it's worth, Zoho seems to think the problem stems at Freshbooks end because they have confirmed that the data is being sent to Freshbooks. Annoyingly, I tried to go around the problem by creating the webhook at Freshbooks end, only to find out that the contractor.create api call isn't available from their end...&lt;/p&gt;
</t>
  </si>
  <si>
    <t xml:space="preserve">&lt;p&gt;I have a PHP file that uses cURL to retrieve some XML. I now want to retrieve a value from the XML but I cannot traverse to it as I am confused with the notation.&lt;/p&gt;
&lt;p&gt;Here's my retrieved XML:&lt;/p&gt;
&lt;pre&gt;&lt;code&gt;SimpleXMLElement Object
(
[@attributes] =&amp;gt; Array
    (
        [uri] =&amp;gt; /fruit/apple/xml/green/pipType
    )
[result] =&amp;gt; SimpleXMLElement Object
    (
        [JobOpenings] =&amp;gt; SimpleXMLElement Object
            (
                [row] =&amp;gt; Array
                    (
                        [0] =&amp;gt; SimpleXMLElement Object
                            (
                                [@attributes] =&amp;gt; Array
                                    (
                                        [no] =&amp;gt; 1
                                    )
                                [FL] =&amp;gt; Array
                                    (
                                        [0] =&amp;gt; 308343000000092052
                                        [1] =&amp;gt; ZR_6_JOB
                                    )
                            )
                        [1] =&amp;gt; SimpleXMLElement Object
                            (
                                [@attributes] =&amp;gt; Array
                                    (
                                        [no] =&amp;gt; 2
                                    )
                                [FL] =&amp;gt; Array
                                    (
                                        [0] =&amp;gt; 308343000000091031
                                        [1] =&amp;gt; ZR_5_JOB
                                    )
                            )
                    )
            )
    )
)
&lt;/code&gt;&lt;/pre&gt;
&lt;p&gt;I have this XML stored in a variable called $xml using:&lt;/p&gt;
&lt;pre&gt;&lt;code&gt;$xml = new SimpleXmlElement($data, LIBXML_NOCDATA);
&lt;/code&gt;&lt;/pre&gt;
&lt;p&gt;Any help for how I can select the ZR_5_JOB element please?&lt;/p&gt;
&lt;p&gt;I have tried countless times, the last effort I had was:&lt;/p&gt;
&lt;pre&gt;&lt;code&gt;print_r($xml-&amp;gt;result-&amp;gt;JobOpenings-&amp;gt;row[0]-&amp;gt;FL[0]);
&lt;/code&gt;&lt;/pre&gt;
&lt;p&gt;Could anybody please help?&lt;/p&gt;
&lt;p&gt;(I know I will then need to do some iteration, but I'll deal with that later!)&lt;/p&gt;
</t>
  </si>
  <si>
    <t xml:space="preserve">&lt;p&gt;First loop the JobOpenings rows to get each row separately and then you can access the childrens of that element in an easy way.&lt;/p&gt;
&lt;pre&gt;&lt;code&gt;foreach($xml-&amp;gt;result-&amp;gt;JobOpenings-&amp;gt;row as $item) {
    echo $item-&amp;gt;FL[0] . '&amp;lt;br&amp;gt;';
}
&lt;/code&gt;&lt;/pre&gt;
</t>
  </si>
  <si>
    <t xml:space="preserve">&lt;p&gt;I am new to salesforce i have to interface salesforce with my android app. I am following this tutorial &lt;a href="http://www.javacodegeeks.com/2014/06/interfacing-salesforce-with-android.html" rel="nofollow"&gt;Interfacing Salesforce with Android&lt;/a&gt;&lt;/p&gt;
&lt;p&gt;I have successfully created connected app on salesforce now i am creating android i have followed above tutorial and official salesforce documentation.&lt;/p&gt;
&lt;p&gt;I have tried following &lt;/p&gt;
&lt;ol&gt;
&lt;li&gt;I have added cordova and salesforce sdk to my android project&lt;/li&gt;
&lt;li&gt;Created bootconfig.xml in values folder with my connected app details&lt;/li&gt;
&lt;/ol&gt;
&lt;p&gt;&lt;div class="snippet" data-lang="js" data-hide="false"&gt;
&lt;div class="snippet-code"&gt;
&lt;pre class="snippet-code-html lang-html prettyprint-override"&gt;&lt;code&gt;&amp;lt;?xml version="1.0" encoding="utf-8"?&amp;gt;
&amp;lt;resources&amp;gt;
    &amp;lt;string name="remoteAccessConsumerKey"&amp;gt;3MVG9ZL0ppGP5UrBxQwpiktQclW3vqaOIgDE9XorTmWJ.VoMDc_53UJLeQFrTH.FYD_jsBH8TzhAO3YWRbxSJ
&amp;lt;/string&amp;gt;
    &amp;lt;string name="oauthRedirectURI"&amp;gt;sfdc://helloworld&amp;lt;/string&amp;gt;
    &amp;lt;string-array name="oauthScopes"&amp;gt;
        &amp;lt;item&amp;gt;chatter_api&amp;lt;/item&amp;gt;
    &amp;lt;/string-array&amp;gt;
    &amp;lt;string name="androidPushNotificationClientId"&amp;gt;&amp;lt;/string&amp;gt;
&amp;lt;/resources&amp;gt;&lt;/code&gt;&lt;/pre&gt;
&lt;/div&gt;
&lt;/div&gt;
&lt;/p&gt;
&lt;ol start="3"&gt;
&lt;li&gt;My application class implementation is following&lt;/li&gt;
&lt;/ol&gt;
&lt;p&gt;&lt;div class="snippet" data-lang="js" data-hide="false"&gt;
&lt;div class="snippet-code"&gt;
&lt;pre class="snippet-code-html lang-html prettyprint-override"&gt;&lt;code&gt;public class BSDApplication extends Application
{
    class KeyImpl implements KeyInterface {
        @Override
        public String getKey(String name) {
            return Encryptor.hash(name + "12s9adpahk;n12-97sdainkasd=012", name + "12kl0dsakj4-cxh1qewkjasdol8");
        }
    }
    @Override
    public void onCreate() {
        super.onCreate();
        Toast.makeText(getApplicationContext(),"inside oncreate",Toast.LENGTH_LONG).show();
        Log.d("BSDAPP", "before login for salesforce");
        try {
            SalesforceSDKManager.initNative(getApplicationContext(), new KeyImpl(), MainActivity.class);
        }
        catch (Exception e)
        {
            Log.d("BSDAPP","salesforceException "+e.getMessage());
        }
        Log.d("BSDAPP","login for salesforce");
    }
}&lt;/code&gt;&lt;/pre&gt;
&lt;/div&gt;
&lt;/div&gt;
&lt;/p&gt;
&lt;ol start="4"&gt;
&lt;li&gt;I can see the logs but as per documentation before proceeding  my app's Main activity class it should display login screen but it directly move to my screen.&lt;/li&gt;
&lt;/ol&gt;
&lt;p&gt;What i am missing here?  Any help any suggestion will be appreciated.&lt;/p&gt;
</t>
  </si>
  <si>
    <t xml:space="preserve">&lt;p&gt;I have two visual force pages that use the same controller. There a few fields which I set on the first visual page which I would like to access on the second visualforce page. I was wondering how I could accomplish this? &lt;/p&gt;
&lt;p&gt;Here is what I currently have in my controller: &lt;/p&gt;
&lt;pre&gt;&lt;code&gt;// most functions have been removed. 
public with sharing class someController{
    //standard controller declarations
    private ApexPages.StandardController controller {get;set;}
    public String identifier {get;set;} //This is the field I want to access on both pages
     /**
     * Constructor
     **/
    public DeviceLookupController(ApexPages.StandardController controller) {
        this.controller = controller;
    }
}
&lt;/code&gt;&lt;/pre&gt;
&lt;p&gt;Essentially, I want the &lt;code&gt;identifier&lt;/code&gt; field to be available on two visualforce pages from the &lt;code&gt;someController&lt;/code&gt;. &lt;/p&gt;
&lt;p&gt;The &lt;code&gt;someController&lt;/code&gt; that is shown above is an extension to both pages, and the &lt;code&gt;standardController&lt;/code&gt; is set as the same object on both pages. &lt;/p&gt;
</t>
  </si>
  <si>
    <t xml:space="preserve">&lt;p&gt;I have tried research on the net, but nothing.
I think the solutions will be in javasript.
I have tried img's onload event but it is not stable.
Do I have to wait until the developers at Quickbase maybe code it?
Any idea?&lt;/p&gt;
&lt;p&gt;(PS: not page site at home what I would like)&lt;/p&gt;
</t>
  </si>
  <si>
    <t xml:space="preserve">&lt;p&gt;I researched and the result is a bad thing. Unfortunately nowadays there is no any way to select any option to default. We have to wait while the developers at quickbase solve this issue.&lt;/p&gt;
</t>
  </si>
  <si>
    <t xml:space="preserve">&lt;p&gt;What I'm trying to do is create a button in Quickbase that a user can click on to copy the results of another field in that same record. &lt;/p&gt;
&lt;p&gt;For example, I have a formula field that pulls results from several other fields in to one. The user will take these summarized results and copy them to another application. To make the task a little easier I wanted to have a button that would automatically select everything in the summary field and copy them to their clipboard.&lt;/p&gt;
&lt;p&gt;Is this possible?&lt;/p&gt;
&lt;p&gt;Thank you. &lt;/p&gt;
</t>
  </si>
  <si>
    <t xml:space="preserve">&lt;p&gt;I need to select different fields from different databases. One of the field  is selecting the maximum of the LastUpdateOn datetime field from different tables.&lt;/p&gt;
&lt;p&gt;{Project},{Document},{Instruction},{Document}, {User}, {ProjectParticipant} are the different tables &lt;/p&gt;
&lt;pre&gt;&lt;code&gt;SELECT {Project}.[Number],{Project}.[Name],{User}.[Last_Login],{A}.[max_LastUpdatedOn]
From {Project}
INNER JOIN {ProjectParticipant} ON {Project}.[Id] = {ProjectParticipant}.[ProjectId]
INNER JOIN {User} ON {ProjectParticipant}.[UserId] = {User}.[Id] AND {User}.[Username] = @UserId
INNER JOIN {Document} ON {Project}.[Id] = {Document}.[ProjectId]
INNER JOIN {InstructionType} ON {Project}.[Id] = {Instruction}.[ProjectId]
INNER JOIN {Question}  ON {Project}.[Id] = {Question}.[ProjectId]
SELECT MAX(LastUpdatedOn) AS max_LastUpdatedOn
FROM 
(
  SELECT LastUpdatedOn FROM {Question}
  UNION ALL
  SELECT LastUpdatedOn FROM {Document}
  UNION ALL
  SELECT LastUpdatedOn FROM {Instruction}
) A;
GROUP BY {Project}.[Number],
         {Project}.[Name],
         {User}.[Last_Login]
         {A}.[max_LastUpdatedOn]
ORDER BY {Project}.[Number]
&lt;/code&gt;&lt;/pre&gt;
&lt;p&gt;But getting an error saying {A} is an unknown entity. I am not sure what is wrong here. 
Tried using the &lt;/p&gt;
&lt;pre&gt;&lt;code&gt;SELECT {Project}.[Number],{Project}.[Name],{User}.[Last_Login],
(SELECT MAX(LastUpdatedOn) as max_LastUpdatedOn
 FROM
 (
  SELECT {Question}.[LastUpdatedOn] where {Project}.[Id] = {Question}.[ProjectId]
  UNION ALL
  Select {Document}.[LastUpdatedOn] where {Project}.[Id] = {Document}.[ProjectId]
  UNION ALL
  SELECT {Instruction}.[LastUpdatedOn] where {Project}.[Id] = {Instruction}.[ProjectId]
  )
  A ) [max_LastUpdatedOn]
 FROM {Project}
 INNER JOIN {ProjectParticipant} ON {Project}.[Id] = {ProjectParticipant}.[ProjectId]
 INNER JOIN {User} ON ({ProjectParticipant}.[UserId] = {User}.[Id] AND {User}.[Username] = @UserId)
 INNER JOIN {Question}  ON {Project}.[Id] = {Question}.[ProjectId]
 INNER JOIN {Document} ON {Project}.[Id] = {Document}.[ProjectId]
 INNER JOIN {Instruction} ON {Project}.[Id] = {Instruction}.[ProjectId]
 GROUP BY {Project}.[Number],
          {Project}.[Name],
          {User}.[Last_Login],
          A.[max_LastUpdatedOn]
 ORDER BY {Project}.[Number]
&lt;/code&gt;&lt;/pre&gt;
&lt;p&gt;Getting an error  like The multi-part identifier "A.max_LastUpdatedOn" could not be bound.&lt;/p&gt;
</t>
  </si>
  <si>
    <t xml:space="preserve">&lt;p&gt;&lt;code&gt;{A}&lt;/code&gt; is not an OutSystems Entity, therefore you should not use curly braces to refer it. Curly braces are used to translate from the &lt;em&gt;meta model&lt;/em&gt; name in design time to the &lt;em&gt;physical table name&lt;/em&gt; in the database.&lt;/p&gt;
&lt;p&gt;Since &lt;code&gt;A&lt;/code&gt; is a simple alias of the inner select statement, just using &lt;code&gt;A&lt;/code&gt; should be enough to make it work. For example: &lt;/p&gt;
&lt;pre&gt;&lt;code&gt;SELECT {Project}.[Number],{Project}.[Name],{User}.[Last_Login],A.[max_LastUpdatedOn]
&lt;/code&gt;&lt;/pre&gt;
&lt;p&gt;&lt;strong&gt;UPDATE&lt;/strong&gt;&lt;/p&gt;
&lt;p&gt;Regarding the error about &lt;code&gt;The multi-part identifier could not be bound&lt;/code&gt;, it has to do with grouping by something that is not in the &lt;code&gt;from&lt;/code&gt;/&lt;code&gt;join&lt;/code&gt; sources of the query.&lt;/p&gt;
&lt;p&gt;I haven’t tried this code below, but something like this should do the trick:&lt;br&gt;
&lt;em&gt;(also, see here more ways on how to select the &lt;a href="https://stackoverflow.com/questions/71022/sql-max-of-multiple-columns"&gt;SQL MAX of multiple columns?&lt;/a&gt;)&lt;/em&gt;&lt;/p&gt;
&lt;pre&gt;&lt;code&gt;SELECT {Project}.[Number], {Project}.[Name], {User}.[Last_Login], 
    CASE
        WHEN {Question}.[LastUpdatedOn] &amp;gt;= {Document}.[LastUpdatedOn] AND {Question}.[LastUpdatedOn] &amp;gt;= {Instruction}.[LastUpdatedOn]
        THEN {Question}.[LastUpdatedOn]
        WHEN {Document}.[LastUpdatedOn] &amp;gt;= {Instruction}.[LastUpdatedOn] THEN {Document}.[LastUpdatedOn]
        ELSE {Instruction}.[LastUpdatedOn]
    END AS max_LastUpdatedOn
FROM {Project}
INNER JOIN {ProjectParticipant} ON {Project}.[Id] = {ProjectParticipant}.[ProjectId]
INNER JOIN {User} ON ({ProjectParticipant}.[UserId] = {User}.[Id] AND {User}.[Username] = @UserId)
INNER JOIN {Question}  ON {Project}.[Id] = {Question}.[ProjectId]
INNER JOIN {Document} ON {Project}.[Id] = {Document}.[ProjectId]
INNER JOIN {Instruction} ON {Project}.[Id] = {Instruction}.[ProjectId]
GROUP BY {Project}.[Number], 
         {Project}.[Name], 
         {User}.[Last_Login]
ORDER BY {Project}.[Number]
&lt;/code&gt;&lt;/pre&gt;
</t>
  </si>
  <si>
    <t xml:space="preserve">&lt;p&gt;I tried to run the query without selecting the max of LastUpdatedOn section. It works. But I am not sure how do I select the Maximum of LastUpdatedOn from the Document,Instruction,Question for the particular Project Id.&lt;/p&gt;
&lt;pre&gt;&lt;code&gt;SELECT {Project}.[Number],{Project}.[Name],{User}.[Last_Login],
(
SELECT MAX(LastUpdatedOn) AS max_LastUpdatedOn
FROM
(
SELECT {Question}.[LastUpdatedOn]
UNION ALL
SELECT {Document}.[LastUpdatedOn]
UNION ALL
SELECT {Instruction}.[LastUpdatedOn]
) A
)[max_LastUpdatedOn]
From {Project}
INNER JOIN {ProjectParticipant} ON {Project}.[Id] = {ProjectParticipant}.[ProjectId]
INNER JOIN {User} ON ({ProjectParticipant}.[UserId] = {User}.[Id] AND {User}.[Username] = @UserId)
INNER JOIN {Document} ON {Project}.[Id] = {Document}.[ProjectId]
INNER JOIN {Instruction} ON {Project}.[Id] = {Instruction}.[ProjectId]
INNER JOIN {Question}  ON {Project}.[Id] = {Question}.[ProjectId]
GROUP BY {Project}.[Number],
         {Project}.[Name],
         {User}.[Last_Login],
ORDER BY {Project}.[Number]
&lt;/code&gt;&lt;/pre&gt;
&lt;p&gt;I am getting the below error
Column 'PORTAL.OSUSR_E2R_QUESTIONS_T9.LASTUPDATEDON' is invalid in the select list because it is not contained in either an aggregate function or the GROUP BY clause.&lt;/p&gt;
</t>
  </si>
  <si>
    <t xml:space="preserve">&lt;p&gt;I think that should split your query in 3 sub queries for each "LastUpdateOn".
So you take first:
{Project}.[Number],{Project}.[Name],{User}.[Last_Login], {Document}.[LastUpdatedOn]&lt;/p&gt;
&lt;p&gt;Second:
{Project}.[Number],{Project}.[Name],{User}.[Last_Login], {Instruction}.[LastUpdatedOn]&lt;/p&gt;
&lt;p&gt;Finish:
{Project}.[Number],{Project}.[Name],{User}.[Last_Login], {Question}.[LastUpdatedOn]&lt;/p&gt;
&lt;p&gt;Now you can do:&lt;/p&gt;
&lt;pre&gt;&lt;code&gt;SELECT RESULT.NUMBER, RESULT.NAME, RESULT.LAST_LOGIN, MAX(RESULT.LASTUPDATEON) 
  FROM (SELECT {Project}.[Number],{Project}.[Name],{User}.[Last_Login], {Question}.[LastUpdateOn] AS LastUpdateOn 
          FROM {Project}
         INNER JOIN {ProjectParticipant} ON {Project}.[Id] = {ProjectParticipant}.[ProjectId]
         INNER JOIN {User} ON ({ProjectParticipant}.[UserId] = {User}.[Id] AND {User}.[Username] = @UserId)
         INNER JOIN {Question}  ON {Project}.[Id] = {Question}.[ProjectId]
         UNION
        SELECT {Project}.[Number],{Project}.[Name],{User}.[Last_Login], {Document}.[LastUpdateOn] AS LastUpdateOn
          FROM {Project}
         INNER JOIN {ProjectParticipant} ON {Project}.[Id] = {ProjectParticipant}.[ProjectId]
         INNER JOIN {User} ON ({ProjectParticipant}.[UserId] = {User}.[Id] AND {User}.[Username] = @UserId)
         INNER JOIN {Document} ON {Project}.[Id] = {Document}.[ProjectId]
         UNION
        SELECT {Project}.[Number],{Project}.[Name],{User}.[Last_Login], {Instruction}.[LastUpdateOn] AS LastUpdateOn
          FROM {Project}
         INNER JOIN {ProjectParticipant} ON {Project}.[Id] = {ProjectParticipant}.[ProjectId]
         INNER JOIN {User} ON ({ProjectParticipant}.[UserId] = {User}.[Id] AND {User}.[Username] = @UserId)
     INNER JOIN {Instruction} ON {Project}.[Id] = {Instruction}.[ProjectId]) AS RESULT 
GROUP BY RESULT.NUMBER, RESULT.NAME, RESULT.LAST_LOGIN 
ORDER BY RESULT.NUMBER
&lt;/code&gt;&lt;/pre&gt;
&lt;p&gt;I think that it should work.&lt;/p&gt;
</t>
  </si>
  <si>
    <t xml:space="preserve">&lt;p&gt;how do id encode/decode html in ionic framework
below is my code.&lt;/p&gt;
&lt;pre&gt;&lt;code&gt;&amp;lt;ion-view view-title="Products"&amp;gt;
&amp;lt;ion-content class="padding"&amp;gt;
    &amp;lt;div class="list"&amp;gt;
        &amp;lt;div class="card" ng-repeat="item in products"&amp;gt;
            &amp;lt;a class="item item-avatar" on-tap="productDetails(item.ProductId)"&amp;gt;
                &amp;lt;h2&amp;gt;{{item.Name}}&amp;lt;/h2&amp;gt;
                &amp;lt;p&amp;gt;Price {{item.Prices[0].Value}}&amp;lt;/p&amp;gt;
                &amp;lt;p&amp;gt;{{item.Description}}&amp;lt;/p&amp;gt;
            &amp;lt;/a&amp;gt;
            &amp;lt;a class="item item-image" on-tap="productDetails(item.ProductId)"&amp;gt;
                &amp;lt;img ng-src="{{item.ImageUrl}}"/&amp;gt;
            &amp;lt;/a&amp;gt;
            &amp;lt;!--&amp;lt;div class="item item-icon-left energized" &amp;gt;--&amp;gt;
                &amp;lt;div class="button-bar"&amp;gt;
                    &amp;lt;div class="button button-clear energized" ng-click='addToCart(item.ProductId);' style="font-size:80%;"&amp;gt;
                        &amp;lt;i class="icon ion-ios-cart"&amp;gt;&amp;lt;/i&amp;gt;
                        Add To cart
                    &amp;lt;/div&amp;gt;
                    &amp;lt;div class="button button-clear energized" on-tap="productDetails(item.ProductId)" style="font-size:80%;"&amp;gt;
                        &amp;lt;i class="icon ion-eye"&amp;gt;&amp;lt;/i&amp;gt;
                        View More
                    &amp;lt;/div&amp;gt;
                &amp;lt;/div&amp;gt;
            &amp;lt;!--&amp;lt;/div&amp;gt; --&amp;gt;
        &amp;lt;/div&amp;gt;
    &amp;lt;/div&amp;gt;
&amp;lt;/ion-content&amp;gt;
&lt;/code&gt;&lt;/pre&gt;
&lt;p&gt;&lt;/p&gt;
&lt;p&gt;when I tried to fatch my record from product and 
it is encoding &lt;img src="https://i.stack.imgur.com/fIg4G.png" alt="enter image description here"&gt;
therefore browser is showing like the below image&lt;img src="https://i.stack.imgur.com/HcGI7.png" alt="This image shows the issue"&gt;&lt;/p&gt;
&lt;p&gt;And the value store in salesforce product2 object is&lt;/p&gt;
&lt;pre&gt;&lt;code&gt;  "Pacifique - Bora Bora Pearl Beach Resort &amp;amp; Spa - Polynésie française"
&lt;/code&gt;&lt;/pre&gt;
</t>
  </si>
  <si>
    <t xml:space="preserve">&lt;p&gt;I am working on OutSystems Development Environment 9.0.0.7.
Multiple developers are working on the same module.
The issue is when I am trying to publish my work, it is asking me if I want to Merge and Publish My work with other’s changes.
If click Merge and publish, it kicks me out saying
&lt;img src="https://i.stack.imgur.com/cxeld.jpg" alt="enter image description here"&gt;&lt;/p&gt;
&lt;p&gt;The More information is,&lt;/p&gt;
&lt;p&gt;&lt;code&gt;System.InvalidOperationException: Sequence contains no matching element
   at ServiceStudio.ViewImplementation.Framework.ProgressDialog.RunWorkerThread(PresenterContext presenterContext, Action optionalPreOperationThatCanBeSafelyAborted, Action1 operation, Action customPreOperationAborter)
   at ServiceStudio.ViewImplementation.WPFViewImplementationProvider.&amp;lt;&amp;gt;c__DisplayClass4b.&amp;lt;DoVerySlowOperation&amp;gt;b__49()
   at ServiceStudio.ViewImplementation.WPFViewImplementationProvider.DoSlowOperation[ReturnType](IAggregatorView aggregatorView, Func1 operation)
   at ServiceStudio.ViewImplementation.WPFViewImplementationProvider.&amp;lt;&amp;gt;c__DisplayClass4b.&amp;lt;DoVerySlowOperation&amp;gt;b__48()
   at ServiceStudio.WPFExtensions.WpfExtensions.ExecuteInUIThread[ReturnType](Application app, Func1 action)
   at ServiceStudio.ViewImplementation.WPFViewImplementationProvider.ExecuteInUIThread[ReturnType](Func1 action)
   at ServiceStudio.ViewImplementation.WPFViewImplementationProvider.DoVerySlowOperation(IAggregatorView aggregatorView, String title, Action1 optionalPreOperationThatCanBeSafelyAborted, Action 1 operation, Action customPreOperationAborter)
   at ServiceStudio.Presenter.RuntimeImplementation.#jq13.#pao()
   at ServiceStudio.Presenter.AggregatorPresenter.DisableCommandProcessingIn(Action action)
   at ServiceStudio.Presenter.RuntimeImplementation.DoVerySlowOperation(IAggregatorPresenter aggregator, String title, Action1 optionalPreOperationThatCanBeSafelyAborted, Action1 operation, Action customPreOperationAborter)
   at ServiceStudio.Presenter.AggregatorPresenter.#hok.#wNn()&lt;/code&gt;&lt;/p&gt;
&lt;p&gt;Tried reinstalling the development Environment. Tried logging in using the other users credentials. Nothing seems to be working.I can open the other modules still. Not sure what the issue is, Any help with this is greatly appreciated.&lt;/p&gt;
&lt;p&gt;Thanks&lt;/p&gt;
</t>
  </si>
  <si>
    <t xml:space="preserve">&lt;p&gt;This is not your fault, it is an OutSystems Platform bug. I suggest you contact outsystems support for help, or if you prefer you can contact me directly using a private message.&lt;/p&gt;
&lt;p&gt;Regards &lt;/p&gt;
</t>
  </si>
  <si>
    <t xml:space="preserve">&lt;p&gt;I have an VF page which displays the number of days taken by some process using the date formula fields which are available in custom objects. &lt;/p&gt;
&lt;p&gt;How can I display that days in report type using custom reports?&lt;/p&gt;
</t>
  </si>
  <si>
    <t xml:space="preserve">&lt;p&gt;Since the migration to Owncloud 8.1 I'm not able to access shared calendar in Lightning.&lt;/p&gt;
&lt;p&gt;Real calendar is available, but "shared with me calendar" not !&lt;/p&gt;
&lt;p&gt;Here is a quick and dirty hack to solve this. Just modify :&lt;/p&gt;
&lt;p&gt;3rdparty/sabre/dav/lib/DAVACL/Plugin.php&lt;/p&gt;
&lt;p&gt;Search for the checkPrivileges function, and replace the &lt;em&gt;if&lt;/em&gt; in the &lt;em&gt;foreach&lt;/em&gt; by this one :&lt;/p&gt;
&lt;pre&gt;&lt;code&gt;    foreach($privileges as $priv) {
        if (!in_array($priv, $acl) and $priv != '{DAV:}read') {
            $failed[] = $priv;
        }
    }
&lt;/code&gt;&lt;/pre&gt;
&lt;p&gt;And it's working again !&lt;/p&gt;
</t>
  </si>
  <si>
    <t xml:space="preserve">&lt;p&gt;I'm having an issue using the &lt;code&gt;Quickbase&lt;/code&gt; API to perform the following:&lt;/p&gt;
&lt;pre&gt;&lt;code&gt;SELECT 1, 2, 3 FROM table AA that has column BB = 1
foreach record {
Insert 1, 2, 3 into table ZZ.
}
function add_children($opportunity_id) {
    global $config;
$qbc = new QuickBase($_SESSION['qb_username'] , 
                     $_SESSION['qb_password'], 
                     true, 
                     $config['AA'], 
                     $config['debug'], 
                     $config['app_token']);
$xml = $qbc-&amp;gt;do_query("{'" . $config['AA'] . "'.EX.''}", 0, 0, 'a', 0, '', '');
$records = array();
foreach($xml-&amp;gt;record as $record) {
    $r = array();
    $r['record_id'] = $record-&amp;gt;record_id_;
    $r['account_number'] = $record-&amp;gt;account_number;
    $records[] = $r;
$xml = $qbc-&amp;gt;add_record($records[]);
    }
}
&lt;/code&gt;&lt;/pre&gt;
</t>
  </si>
  <si>
    <t xml:space="preserve">&lt;p&gt;First, I'm assuming that you're using this PHP SDK by QuickbaseAdmirer &lt;a href="https://github.com/QuickbaseAdmirer/QuickBase-PHP-SDK" rel="nofollow"&gt;https://github.com/QuickbaseAdmirer/QuickBase-PHP-SDK&lt;/a&gt;.  There are a few potential problems with your code.  &lt;/p&gt;
&lt;ol&gt;
&lt;li&gt;&lt;p&gt;Double check that your constructor is correct.  Unless you've modified it, the Quickbase constructor in the SDK (again that I'm assuming you're using) takes user name, password, xml, database id, and then token in that order.  Whatever value is in &lt;code&gt;$config['debug']&lt;/code&gt; may be taken as the token and the value of &lt;code&gt;$config['app_token']&lt;/code&gt; may be taken as your realm.  Also, &lt;code&gt;$config['AA']&lt;/code&gt; as used in the constructor should be a string of random seeming characters like "bbqn1y5qv".  Here's the constructor in the SDK for reference:&lt;/p&gt;
&lt;blockquote&gt;
  &lt;p&gt;&lt;code&gt;public function __construct($un, $pw, $usexml = true, $db = '', $token
  = '', $realm = '', $hours = '')&lt;/code&gt;&lt;/p&gt;
&lt;/blockquote&gt;&lt;/li&gt;
&lt;li&gt;&lt;p&gt;Your query &lt;code&gt;$xml = $qbc-&amp;gt;do_query("{'" . $config['AA'] . "'.EX.''}", 0, 0, 'a', 0, '', '');&lt;/code&gt; is not returning any records because &lt;code&gt;$config['AA']&lt;/code&gt; is both being used as your DBID (in the constructor) and your field ID in the query.  The DBID must be a string and the field ID must be an integer that corresponds to the field you're making the query for.  For example, if you wanted to return records created today your query would be &lt;code&gt;'{1.IR.today}'&lt;/code&gt; because 1 is always the field ID for date created.  It's also not returning any records because the SDK requires queries be passed as an array of arrays.  So, my records created today query needs to be rewritten as:&lt;/p&gt;
&lt;p&gt;&lt;code&gt;$query= array(
                array(
                        'fid' =&amp;gt; '1',
                        'ev' =&amp;gt; 'IR'),
                        'cri' =&amp;gt; 'today'),
                );&lt;/code&gt;&lt;/p&gt;
&lt;p&gt;You'll also need to pass a string of period separated values to the clist parameter of the method or leave it blank for the table defaults. For example, if I wanted to get the date created and record ID for all records in this table sorted by date ascending, I would use this:&lt;/p&gt;
&lt;p&gt;&lt;code&gt;$query= array(
                array(
                        'fid' =&amp;gt; '3',
                        'ev' =&amp;gt; 'GT'),
                        'cri' =&amp;gt; '0'),
                );
$xml = $qbc-&amp;gt;do_query($query, '', '', '1.3', '1', '', 'sortorder-A');&lt;/code&gt;&lt;/p&gt;
&lt;p&gt;You can read up more on the Quickbase API, and do_query specifically, here &lt;a href="http://www.quickbase.com/api-guide/index.html#do_query.html" rel="nofollow"&gt;http://www.quickbase.com/api-guide/index.html#do_query.html&lt;/a&gt;  &lt;/p&gt;&lt;/li&gt;
&lt;li&gt;&lt;p&gt;The add record API call takes pairs of field IDs and values.  The SDK handles that by taking an array of arrays with 'fid' and 'value' pairs.  Assuming you want to put the value of &lt;code&gt;$record-&amp;gt;record_id_&lt;/code&gt; in field #37 and &lt;code&gt;$record-&amp;gt;account_number&lt;/code&gt; in field #30 your code should look like this:&lt;/p&gt;
&lt;p&gt;&lt;code&gt;foreach($xml-&amp;gt;record as $record) {
   $records= array(
                array(
                        'fid' =&amp;gt; '37',  //Whatever field you want to store the value to
                        'value' =&amp;gt; $record-&amp;gt;record_id_),
                array(
                        'fid' =&amp;gt; '30',
                        'value' =&amp;gt; $record-&amp;gt;account_number),
                  );
   $xml = $qbc-&amp;gt;add_record($records);
}&lt;/code&gt;&lt;/p&gt;
&lt;p&gt;Throw in a &lt;code&gt;print_r($xml);&lt;/code&gt; at the end and you can see any response from Quickbase for debugging.  You should get something like this for a success:&lt;/p&gt;
&lt;blockquote&gt;
  &lt;p&gt;&lt;code&gt;SimpleXMLElement Object ( [action] =&amp;gt; API_AddRecord [errcode] =&amp;gt; 0 [errtext] =&amp;gt; No error [rid] =&amp;gt; 81 [update_id] =&amp;gt; 1436476140453 )&lt;/code&gt;&lt;/p&gt;
&lt;/blockquote&gt;&lt;/li&gt;
&lt;li&gt;&lt;p&gt;The way your code is presented, you may not get the results you expect.  Your do query and add record method calls are performed on the same table and that isn't normally what someone would want.  Usually, the goal is to perform a do query on one table and then use that data to add records in a different table.  If that's the case, you'll need to change the database ID in your &lt;code&gt;$qbc&lt;/code&gt; object before you preform the add record call.  This is easy enough to do with &lt;code&gt;$qbc-&amp;gt;set_database_table('DBID');&lt;/code&gt; where DBID is the target table ID (which should be a string of random seeming characters like "bbqn1y5qv").&lt;/p&gt;&lt;/li&gt;
&lt;/ol&gt;
&lt;p&gt;Best of luck!&lt;/p&gt;
</t>
  </si>
  <si>
    <t xml:space="preserve">&lt;p&gt;I am working on a module which is using the Active Directory Integration. If the user logs in with the active directory credentials, the username field in table of the webpage is populeted with Domain\username (eg: ABC\username , where ABC is the domain name). I am new to outsystems and the module I am working on.&lt;/p&gt;
&lt;p&gt;I have a new requirement where the I need to select the fields where the username doesnot start with "ABC\". I tried to create the below query but it is not working.It is pulling all the records from the User, but I need the records only if the username that doesnot starts "ABC\". I am not sure how the ABC\ gets added to the username.&lt;/p&gt;
&lt;pre&gt;&lt;code&gt; SELECT {User}.[Id],
        {User}.[Name],
        {User}.[Email],
        {User}.[Username]
 FROM {User}
 WHERE {User}.[Tenant_Id] = @TenantId AND {User}.[Username] NOT LIKE 'ABC\\\\%_' 
&lt;/code&gt;&lt;/pre&gt;
&lt;p&gt;I tried to filter with respect to the email address as  below it is working fine&lt;/p&gt;
&lt;pre&gt;&lt;code&gt; SELECT {User}.[Id],
        {User}.[Name],
        {User}.[Email],
        {User}.[Username]
 FROM {User}
 WHERE {User}.[Tenant_Id] = @TenantId AND {User}.[Email] NOT LIKE '_%@abc.com' 
&lt;/code&gt;&lt;/pre&gt;
&lt;p&gt;Please help me with this.&lt;/p&gt;
</t>
  </si>
  <si>
    <t xml:space="preserve">&lt;p&gt;Try this:&lt;/p&gt;
&lt;p&gt;... AND {User}.[Username] NOT LIKE 'ABC' + CHAR(92) + '%'&lt;/p&gt;
&lt;p&gt;The \ character is being escaped by OutSystems before being sent to the database.&lt;/p&gt;
</t>
  </si>
  <si>
    <t xml:space="preserve">&lt;p&gt;I need help. I am getting following error when using Zoho Report Bulk Import API action:&lt;/p&gt;
&lt;p&gt;code error 7127 -  100 exceeded maximum length for a column&lt;/p&gt;
&lt;p&gt;any solution for this error ?&lt;/p&gt;
&lt;p&gt;Type of file to import: CSV
I using cURL with PHP for POST request.&lt;/p&gt;
&lt;p&gt;Thanks!&lt;/p&gt;
</t>
  </si>
  <si>
    <t xml:space="preserve">&lt;p&gt;Our app has a Salesforce integration, so our clients can authorize through our Salesforce App and sync their data. One of our clients wants to use Sandbox, do I need to create a separate app for that or I can just use the existing app with sandbox url? Do I need different Salesforce api keys?&lt;/p&gt;
&lt;p&gt;If yes, how can I create a Salesforce Sandbox account so users can auth thought it?&lt;/p&gt;
</t>
  </si>
  <si>
    <t xml:space="preserve">&lt;p&gt;This is a big issue i'm struggling with, the thing is our application needs to send email, now we are relying on smtp, until 2.*(latest) email worked fine, but as soon as we ported app in ci 3.0 everything worked by smtp, here is error we are getting on ci 3.0 sample email &lt;/p&gt;
&lt;blockquote&gt;
  &lt;p&gt;A PHP Error was encountered&lt;/p&gt;
  &lt;p&gt;Severity: Warning&lt;/p&gt;
  &lt;p&gt;Message: fwrite(): SSL operation failed with code 1. OpenSSL Error
  messages: error:140D00CF:SSL routines:SSL_write:protocol is shutdown&lt;/p&gt;
  &lt;p&gt;Filename: libraries/Email.php&lt;/p&gt;
  &lt;p&gt;Line Number: 2131&lt;/p&gt;
  &lt;p&gt;Backtrace: &lt;strong&gt;has nothing, it is shown blank, used bold text to specify that&lt;/strong&gt;&lt;/p&gt;
&lt;/blockquote&gt;
&lt;p&gt;here is the issue i found on github &lt;a href="https://github.com/bcit-ci/CodeIgniter/issues/3538" rel="nofollow"&gt;Error trying to send a mail&lt;/a&gt;&lt;/p&gt;
&lt;p&gt;i wonder if anyone is facing this issue, would appreciate help on this one&lt;/p&gt;
&lt;p&gt;&lt;code&gt;source code&lt;/code&gt;&lt;/p&gt;
&lt;pre&gt;&lt;code&gt;function sendEmail($to,$subject,$body,$from = "My Company Name")
    {
        $CI =&amp;amp; get_instance();
        $CI-&amp;gt;load-&amp;gt;library('email');
        $config['protocol']     = 'smtp';
        $config['smtp_host']    = 'ssl://smtp.zoho.com';
        $config['smtp_port']    = '465';
        $config['smtp_timeout'] = '7';
        $config['smtp_user']    = 'no-reply@my_domain.com';
        $config['smtp_pass']    = 'secret_password';
        $config['charset']      = 'utf-8';
        $config['newline']      = "\r\n";
        $config['mailtype']     = 'html'; // or html
        $config['validation']   = TRUE; // bool whether to validate email or not
        $CI-&amp;gt;email-&amp;gt;initialize($config);
        $CI-&amp;gt;email-&amp;gt;from('no-reply@my_domain.com',$from);
        $CI-&amp;gt;email-&amp;gt;to($to); 
        $CI-&amp;gt;email-&amp;gt;subject($subject);
        $CI-&amp;gt;email-&amp;gt;message($body);
        if($CI-&amp;gt;email-&amp;gt;send())
        {
            //return true;
            echo $CI-&amp;gt;email-&amp;gt;print_debugger();
        }
        else
        {
            //return false;
            echo $CI-&amp;gt;email-&amp;gt;print_debugger();
        }
    }
&lt;/code&gt;&lt;/pre&gt;
</t>
  </si>
  <si>
    <t xml:space="preserve">&lt;p&gt;I am trying to configure zoho mail service in grails &lt;a href="https://grails.org/plugin/mail" rel="nofollow"&gt;mail-plugin&lt;/a&gt;. Here is my configuration so far,&lt;/p&gt;
&lt;pre&gt;&lt;code&gt;    grails {
    mail {
        host = "smtp.zoho.com"
        port = 465
        username = "email@valid.com"
        password = "some-valid-password"
        props = ["mail.smtp.auth":"true",
                 "mail.smtp.starttls.enable":"true",
                 "mail.smtp.socketFactory.port":"465",
                 "mail.smtp.socketFactory.class":"javax.net.ssl.SSLSocketFactory",
                 "mail.smtp.socketFactory.fallback":"false"]
    }
}
&lt;/code&gt;&lt;/pre&gt;
&lt;p&gt;Here is my service method. The above config works great if I put gmail smtp configuration, so I think there is no problem with service method at all. Also email@valid.com is a registered email in Zoho and I can send email using zoho dashboard.&lt;/p&gt;
&lt;pre&gt;
    def sendImageProcessedNotification(User user, imageLink){
            try{
                if(user){
                    def receiver = user.email
                    mailService.sendMail {
                        async true
                        to receiver
                        subject "Subject"
                        html "Html body"
                    }
                }
            }catch(e){
                log.error(e)
            }
        }
&lt;/pre&gt;
&lt;p&gt;And here is the stacktrace, &lt;/p&gt;
&lt;pre&gt;
    2015-07-19 08:17:37,782 [pool-12-thread-1] ERROR mail.MailMessageBuilder  - Failed to send email
    org.springframework.mail.MailSendException: Failed to close server connection after message failures; nested exception is javax.mail.MessagingException: Can't send command to SMTP host;
      nested exception is:
        java.net.SocketException: Connection closed by remote host. Failed messages: com.sun.mail.smtp.SMTPSendFailedException: 553 Relaying disallowed as 
    ; message exception details (1) are:
    Failed message 1:
    com.sun.mail.smtp.SMTPSendFailedException: 553 Relaying disallowed as 
        at com.sun.mail.smtp.SMTPTransport.issueSendCommand(SMTPTransport.java:2133)
        at com.sun.mail.smtp.SMTPTransport.finishData(SMTPTransport.java:1912)
        at com.sun.mail.smtp.SMTPTransport.sendMessage(SMTPTransport.java:1135)
        at org.springframework.mail.javamail.JavaMailSenderImpl.doSend(JavaMailSenderImpl.java:433)
        at org.springframework.mail.javamail.JavaMailSenderImpl.send(JavaMailSenderImpl.java:345)
        at org.springframework.mail.javamail.JavaMailSenderImpl.send(JavaMailSenderImpl.java:340)
        at org.springframework.mail.javamail.JavaMailSender$send$0.call(Unknown Source)
        at org.codehaus.groovy.runtime.callsite.CallSiteArray.defaultCall(CallSiteArray.java:45)
        at org.codehaus.groovy.runtime.callsite.AbstractCallSite.call(AbstractCallSite.java:110)
        at org.codehaus.groovy.runtime.callsite.AbstractCallSite.call(AbstractCallSite.java:122)
        at grails.plugin.mail.MailMessageBuilder$_sendMessage_closure1.doCall(MailMessageBuilder.groovy:112)
        at grails.plugin.mail.MailMessageBuilder$_sendMessage_closure1.doCall(MailMessageBuilder.groovy)
        at sun.reflect.NativeMethodAccessorImpl.invoke0(Native Method)
        at sun.reflect.NativeMethodAccessorImpl.invoke(NativeMethodAccessorImpl.java:57)
        at sun.reflect.DelegatingMethodAccessorImpl.invoke(DelegatingMethodAccessorImpl.java:43)
        at java.lang.reflect.Method.invoke(Method.java:606)
        at org.codehaus.groovy.reflection.CachedMethod.invoke(CachedMethod.java:90)
        at groovy.lang.MetaMethod.doMethodInvoke(MetaMethod.java:324)
        at groovy.lang.MetaClassImpl.invokeMethod(MetaClassImpl.java:1207)
        at groovy.lang.ExpandoMetaClass.invokeMethod(ExpandoMetaClass.java:1121)
        at groovy.lang.MetaClassImpl.invokeMethod(MetaClassImpl.java:1016)
        at groovy.lang.Closure.call(Closure.java:423)
        at groovy.lang.Closure.call(Closure.java:417)
        at groovy.lang.Closure.run(Closure.java:504)
        at java.util.concurrent.ThreadPoolExecutor.runWorker(ThreadPoolExecutor.java:1145)
        at java.util.concurrent.ThreadPoolExecutor$Worker.run(ThreadPoolExecutor.java:615)
        at java.lang.Thread.run(Thread.java:745)
&lt;/pre&gt;
</t>
  </si>
  <si>
    <t xml:space="preserve">&lt;p&gt;Remove this line &lt;code&gt;"mail.smtp.starttls.enable":"true",&lt;/code&gt; add this line &lt;code&gt;"mail.smtp.startssl.enable":true&lt;/code&gt;&lt;/p&gt;
</t>
  </si>
  <si>
    <t xml:space="preserve">&lt;p&gt;I am trying to get the lightning and exchange EWS provider add-ons for thunderbird to work together with viewing a shared folder. &lt;/p&gt;
&lt;p&gt;I was able to get my personal calendar to load but I am at a loss as where to find the "share folder id" in outlook or the outlook web app. &lt;/p&gt;
&lt;p&gt;I was able to get it working before but can't remember where I got lucky and found those ids. &lt;/p&gt;
</t>
  </si>
  <si>
    <t xml:space="preserve">&lt;p&gt;I see some salesforce lightning code that is calling addEventListener without DOM element and couldn't figure out what it is doing.&lt;/p&gt;
&lt;p&gt;1) why there is not DOM element before this addEventListener ?
2) what the purpose of  '({' and '})' here ?&lt;/p&gt;
&lt;pre&gt;&lt;code&gt;({
    doInit: function(component, event, helper) {
        //listen to iframe's message
        addEventListener("message", 
          function(event) {
            if(event.data.type === 'ready' &amp;amp;&amp;amp; component.find("vfIframe")) {//iframe loaded
                component.iframeReady = true;      
            } else if(event.data.type === 'response') {//send response
                var cmpEvt = component.getEvent("response");
                cmpEvt.setParams({ "data" : event.data.response});
                cmpEvt.fire();
            }
          }, 
        false);
    },
    makeRequest : function(component, event, helper) {
       helper.makeRequest(component, event); 
    }
})
&lt;/code&gt;&lt;/pre&gt;
</t>
  </si>
  <si>
    <t xml:space="preserve">&lt;p&gt;Is it possible to update a single Zoho creator record sending all the variables via URL? In the Zoho documentation there are instructions to open a specific form to manually update some record, but I can´t find if I can send also the values to change without showing the form.&lt;/p&gt;
&lt;p&gt;For example in this URL
&lt;a href="https://creator.zoho.com/zchelp/employee-manager/?Employee_ID=1234#Form:Employee" rel="nofollow"&gt;https://creator.zoho.com/zchelp/employee-manager/?Employee_ID=1234#Form:Employee&lt;/a&gt;&lt;/p&gt;
&lt;p&gt;I would like to add something like this (of course this is not working):
&lt;a href="https://creator.zoho.com/zchelp/employee-manager/?Employee_ID=1234#Form:Employee" rel="nofollow"&gt;https://creator.zoho.com/zchelp/employee-manager/?Employee_ID=1234#Form:Employee&lt;/a&gt;&lt;strong&gt;&amp;amp;edit:email,value=newemail@newserver.com&amp;amp;successurl:www.google.com&lt;/strong&gt;&lt;/p&gt;
</t>
  </si>
  <si>
    <t xml:space="preserve">&lt;p&gt;I'm not sure if it's possible or not but can you run a script in Quickbase? Such as in a formula field? If so, could someone show me a very simple example? I've figured out how to create custom Dashboards using jQuery so I assume we could do something similar on form/table. &lt;/p&gt;
</t>
  </si>
  <si>
    <t xml:space="preserve">&lt;p&gt;I have a table Projects which has the following fields&lt;/p&gt;
&lt;pre&gt;&lt;code&gt;ID| Number  | Name    | CreatedOn  | CreatedBy 
----------------------------------------------
&lt;/code&gt;&lt;/pre&gt;
&lt;p&gt;Other table is CLDProject has the following fields&lt;/p&gt;
&lt;pre&gt;&lt;code&gt;ID| CLDId  | ProjectId | CreatedOn  | CreatedBy 
-----------------------------------------
&lt;/code&gt;&lt;/pre&gt;
&lt;p&gt;Here I have to select the list of all Projects where the CLDProject.ProjectId is not assigned for the particular CLDId &lt;/p&gt;
&lt;p&gt;I tried &lt;/p&gt;
&lt;pre&gt;&lt;code&gt;SELECT {Project}.*
FROM {Project}
WHERE NOT EXISTS ( SELECT 1 FROM {CLDProjects} WHERE {CLDProjects}.[ProjectId] = {Project}.[Id] AND {CLDProjects}.[CLDId] =@CLDId)
&lt;/code&gt;&lt;/pre&gt;
&lt;p&gt;&lt;a href="https://i.stack.imgur.com/em3wl.jpg" rel="nofollow noreferrer"&gt;&lt;img src="https://i.stack.imgur.com/em3wl.jpg" alt="enter image description here"&gt;&lt;/a&gt;&lt;/p&gt;
&lt;p&gt;The Problem is it shows all the Projects but I want to select projects where the CLDProject.ProjectId is not assigned for the particular CLDId. I am new to queries any help with this is greatly appreciated.&lt;/p&gt;
</t>
  </si>
  <si>
    <t xml:space="preserve">&lt;p&gt;Have you tried something like&lt;/p&gt;
&lt;pre&gt;&lt;code&gt;SELECT {Project}.*
FROM {Project}
WHERE {Project}.ID NOT IN (
    SELECT DISTINCT {CLDProject}.[ProjectId]
    FROM {CLDProject}
    WHERE {CLDProject}.[CLDId] = @CLDId
    )
&lt;/code&gt;&lt;/pre&gt;
&lt;p&gt;This is how it works&lt;/p&gt;
&lt;ol&gt;
&lt;li&gt;&lt;p&gt;Find all projects associated with a given CLDID (inner query)&lt;/p&gt;&lt;/li&gt;
&lt;li&gt;&lt;p&gt;Find the projects that are not on that list (outer query)&lt;/p&gt;&lt;/li&gt;
&lt;/ol&gt;
</t>
  </si>
  <si>
    <t xml:space="preserve">&lt;p&gt;I have a entity attribute in the other appliaction which I am referening in my applicaton whose default value is CurrDate(). So when I am using this antity in to my application it automatically shows the currDate.. But I want to set  date to a input field in to my application which refers  to the entity to CurrDate()+3... How can I do that&lt;/p&gt;
</t>
  </si>
  <si>
    <t xml:space="preserve">&lt;p&gt;I assume you are either using an Aggregate to fetch data, or using a variable with the data type of that entity.&lt;/p&gt;
&lt;p&gt;Either way, on the Preparation use an assign to change the value of that field to &lt;/p&gt;
&lt;pre&gt;&lt;code&gt;AddDays(CurrDate(),3)
&lt;/code&gt;&lt;/pre&gt;
</t>
  </si>
  <si>
    <t xml:space="preserve">&lt;p&gt;How can I set the combo box special list value to other variable. For example for a combo box I have Value1 0 and Option1 Select. So on a refresh I have to set the Value 1 again to the combo box, sometimes it is having the old selected value.
So on a refresh I want to set the variable associated with the Combo box to Value1 0 and Option1 Select.&lt;/p&gt;
</t>
  </si>
  <si>
    <t xml:space="preserve">&lt;p&gt;The Combo Box will display the value that is stored on its variable. So if you assign a value to that variable, when refreshing the screen the Combo Box will display it.&lt;/p&gt;
&lt;p&gt;&lt;strong&gt;Edit&lt;/strong&gt;&lt;/p&gt;
&lt;p&gt;Looks like OutSystems Platform gives more priority to the Variable than the Special Variable.&lt;/p&gt;
&lt;p&gt;So if the user selects a value that gets stored on the Variable, and then selects a value that gets stored on the Special Variable, you'll need to assign the Variable with NullIdentifier() for it to stop being displayed.&lt;/p&gt;
&lt;p&gt;In this example I have a combo that displays users, and two other options.
&lt;a href="https://i.stack.imgur.com/SUIqs.png" rel="nofollow noreferrer"&gt;&lt;img src="https://i.stack.imgur.com/SUIqs.png" alt="IDE with combo box"&gt;&lt;/a&gt;&lt;/p&gt;
&lt;p&gt;If my Special Variable is set, then I unset the Variable
&lt;a href="https://i.stack.imgur.com/TbOGJ.png" rel="nofollow noreferrer"&gt;&lt;img src="https://i.stack.imgur.com/TbOGJ.png" alt="enter image description here"&gt;&lt;/a&gt;&lt;/p&gt;
&lt;p&gt;The problem is that if a user selects a value from the Source Entity, and later changes it to a value of the Special List (or the other way around), both variables will be set, and you'll need to decide which variable to unset.&lt;/p&gt;
&lt;p&gt;You can use an auxiliary variable for this. On the OnChange event of the Combo box, set that variable to signal if the user chose something from the Source Entity, or the Special List.&lt;/p&gt;
</t>
  </si>
  <si>
    <t xml:space="preserve">&lt;p&gt;We've created a custom modules in zoho crm. And while accessing the data using api its working for zoho's predefined moudles and its not working for custom modules.&lt;/p&gt;
&lt;p&gt;&lt;strong&gt;Query :&lt;/strong&gt; &lt;code&gt;https://crm.zoho.com/crm/private/xml/myCustomModuleName/getRecords?authtoken=myauthtoken&amp;amp;scope=crmapi&amp;amp;newFormat=2&amp;amp;selectColumns=All&lt;/code&gt;&lt;/p&gt;
&lt;p&gt;&lt;strong&gt;Error :&lt;/strong&gt; Unable to process your request. Please verify whether you have entered proper method name,parameter and parameter values.&lt;/p&gt;
&lt;p&gt;Any Idea ?&lt;/p&gt;
</t>
  </si>
  <si>
    <t xml:space="preserve">&lt;p&gt;I'm trying to get data from a system through its own API. It's this one: &lt;a href="https://www.zoho.com/recruit/get-records.html" rel="nofollow"&gt;https://www.zoho.com/recruit/get-records.html&lt;/a&gt;&lt;/p&gt;
&lt;p&gt;So I'm really new to PHP, and all I can find is examples where they grab the variable name from the URL via the get method. Or with this API in particular, inserting data.&lt;/p&gt;
&lt;p&gt;I'm trying to put the data from the request into an array, but all I get from the print is Array(). Am I going about this totally wrong? The API explains it really awfully, I think... and there's no example anywhere.&lt;/p&gt;
&lt;pre&gt;&lt;code&gt;$url = "https://recruit.zoho.com/ats/private/xml/JobOpenings/getRecords?apikey=$api_key&amp;amp;ticket=$ticket_id";
$request = new WP_Http;
$result = $request-&amp;gt;request($url, $data = array());
print_r($data);
&lt;/code&gt;&lt;/pre&gt;
</t>
  </si>
  <si>
    <t xml:space="preserve">&lt;p&gt;I have fetched some data from a url request using JSON with the following code:&lt;/p&gt;
&lt;pre&gt;&lt;code&gt;$url = 'https://recruit.zoho.com/ats/private/xml/JobOpenings/getRecords?authtoken=$at&amp;amp;scope=recruitapi';
$request = new WP_Http;
$result = $request-&amp;gt;request($url, $data = array());
$input = json_encode($result, true);
var_dump($input);
&lt;/code&gt;&lt;/pre&gt;
&lt;p&gt;This code worked absolutely fine, except the data coming out looked really weird, such as:&lt;/p&gt;
&lt;pre&gt;&lt;code&gt;"content-encoding":"gzip","vary":"Accept-Encoding","strict-transport-security":"max-age=15768000"},"body":"\u003C?xml version=\"1.0\" encoding=\"UTF-8\" ?\u003E\n\u003Cresponse uri=\"\/ats\/private\/xml\/JobOpenings\/getRecords\"\u003E\u003Cresult\u003E\u003CJobOpenings\u003E\u003Crow no=\"1\"\u003E\u003CFL val=\"JOBOPENINGID\"\u003E\u003C![CDATA[213748000001263043]]\u003E\u003C\/FL\u003E\u003CFL val=\"Published in website\"\u003E\u003C![CDATA[false]]\u003E\u003C\/FL\u003E\u003CFL val=\"Modified by\"\u003E\u003C![CDATA
&lt;/code&gt;&lt;/pre&gt;
&lt;p&gt;After some research, I realize that part of the problem most likely is the fact that there are æ, ø, and å in the data I'm requesting. Others have solved the problem this way:&lt;/p&gt;
&lt;pre&gt;&lt;code&gt;$input = json_encode(utf8_decode($result), true);
&lt;/code&gt;&lt;/pre&gt;
&lt;p&gt;However this gives me this error:&lt;/p&gt;
&lt;pre&gt;&lt;code&gt;Warning: utf8_decode() expects parameter 1 to be string, array given in
&lt;/code&gt;&lt;/pre&gt;
&lt;p&gt;I know the array is not a string, but how else do I deal with this? It seems to have worked for others, and I cant figure out why.&lt;/p&gt;
&lt;p&gt;Thanks.&lt;/p&gt;
&lt;p&gt;Edit:&lt;/p&gt;
&lt;p&gt;I noticed this in the beginning of the printed data. &lt;/p&gt;
&lt;pre&gt;&lt;code&gt;string(31486) "{"headers":{"server":"ZGS","date":"Wed, 12 Aug 2015 13:59:32 GMT","content-type":"text\/xml;charset=utf-8"
&lt;/code&gt;&lt;/pre&gt;
&lt;p&gt;Does that mean it is already UTF-8 and I'm totally off?&lt;/p&gt;
</t>
  </si>
  <si>
    <t xml:space="preserve">&lt;p&gt;What you receive in &lt;code&gt;$result&lt;/code&gt; is an utf-8 string that seems to represent an url of some sort. Anyhow, &lt;code&gt;json_encode&lt;/code&gt; will escape any unicode character to &lt;code&gt;\u008E&lt;/code&gt; strings.&lt;/p&gt;
&lt;p&gt;If you don't want to escape utf-8 character, this question is relevent to you : &lt;a href="https://stackoverflow.com/questions/16498286/why-does-the-php-json-encode-function-convert-utf-8-strings-to-hexadecimal-entit"&gt;Why does the PHP json_encode function convert UTF-8 strings to hexadecimal entities?&lt;/a&gt;&lt;/p&gt;
&lt;p&gt;Everything seems to work fine from what I see. Although, the string you have provided us seem to be troncated but I guess this is an error on your part.&lt;/p&gt;
</t>
  </si>
  <si>
    <t xml:space="preserve">&lt;p&gt;Getting:&lt;/p&gt;
&lt;blockquote&gt;
  &lt;p&gt;javax.net.ssl.SSLPeerUnverifiedException: No peer certificate error in Android for a web service.&lt;/p&gt;
&lt;/blockquote&gt;
&lt;p&gt;I analyse the issue its about an certificate missing in my keyStore. This "&lt;a href="https://www.salesforce.com/servlet/servlet.WebToLead?encoding=UTF-8" rel="nofollow noreferrer"&gt;https://www.salesforce.com/servlet/servlet.WebToLead?encoding=UTF-8&lt;/a&gt;" web service is on my salesforce org but, how do I get an certificate from Salesforce which I can add to my KeyStore in android?&lt;/p&gt;
&lt;p&gt;Below is my catlog if someone find it helpful. &lt;/p&gt;
&lt;p&gt;I have checked this link "&lt;a href="https://stackoverflow.com/questions/9574870/no-peer-certificate-error-in-android-2-3-but-not-in-4"&gt;&amp;#39;No peer certificate&amp;#39; error in Android 2.3 but NOT in 4&lt;/a&gt;" but before that I need a certificate in my raw folder how do I do that without any certificate. I need Salesforce client certificate in my app.&lt;/p&gt;
&lt;pre&gt;&lt;code&gt;`08-13 10:53:04.150    9152-9931/scrapos.techila.com.scrapos W/System.err﹕
 javax.net.ssl.SSLPeerUnverifiedException: No peer certificate
 08-13 10:53:04.150    9152-9931/scrapos.techila.com.scrapos W/System.err﹕ 
 at org.apache.harmony.xnet.provider.jsse.SSLSessionImpl.getPeerCertificates(SSLSesionImpl.java:146)
 08-13 10:53:04.150    9152-9931/scrapos.techila.com.scrapos W/System.err﹕ at  org.apache.http.conn.ssl.AbstractVerifier.verify(AbstractVerifier.java:92)
 08-13 10:53:04.150    9152-9931/scrapos.techila.com.scrapos W/System.err﹕ at  org.apache.http.conn.ssl.SSLSocketFactory.createSocket(SSLSocketFactory.java:387)
 08-13 10:53:04.150    9152-9931/scrapos.techila.com.scrapos W/System.err﹕ at org.apache.http.impl.conn.DefaultClientConnectionOperator.openConnection(DefaultClientConnectionOperator.java:165)
 08-13 10:53:04.150    9152-9931/scrapos.techila.com.scrapos W/System.err﹕ at org.apache.http.impl.conn.AbstractPoolEntry.open(AbstractPoolEntry.java:164)
 08-13 10:53:04.150    9152-9931/scrapos.techila.com.scrapos W/System.err﹕ at org.apache.http.impl.conn.AbstractPooledConnAdapter.open(AbstractPooledConnAdapter.java:119)
 08-13 10:53:04.150    9152-9931/scrapos.techila.com.scrapos W/System.err﹕ at org.apache.http.impl.client.DefaultRequestDirector.execute(DefaultRequestDirector.java:360)
 08-13 10:53:04.150    9152-9931/scrapos.techila.com.scrapos W/System.err﹕ at org.apache.http.impl.client.AbstractHttpClient.execute(AbstractHttpClient.java:555)
 08-13 10:53:04.150    9152-9931/scrapos.techila.com.scrapos W/System.err﹕ at org.apache.http.impl.client.AbstractHttpClient.execute(AbstractHttpClient.java:487)
 08-13 10:53:04.160    9152-9931/scrapos.techila.com.scrapos W/System.err﹕ at org.apache.http.impl.client.AbstractHttpClient.execute(AbstractHttpClient.java:465)
 08-13 10:53:04.160    9152-9931/scrapos.techila.com.scrapos W/System.err﹕ at scrapos.techila.com.scrapos.MainActivity$RequestDate.doInBackground(MainActivity.java:342)
 08-13 10:53:04.160    9152-9931/scrapos.techila.com.scrapos W/System.err﹕ at scrapos.techila.com.scrapos.MainActivity$RequestDate.doInBackground(MainActivity.java:311)
 08-13 10:53:04.160    9152-9931/scrapos.techila.com.scrapos W/System.err﹕ at android.os.AsyncTask$2.call(AsyncTask.java:287)
 08-13 10:53:04.160    9152-9931/scrapos.techila.com.scrapos W/System.err﹕ at java.util.concurrent.FutureTask$Sync.innerRun(FutureTask.java:305)
 08-13 10:53:04.160    9152-9931/scrapos.techila.com.scrapos W/System.err﹕ at java.util.concurrent.FutureTask.run(FutureTask.java:137)
 08-13 10:53:04.160    9152-9931/scrapos.techila.com.scrapos W/System.err﹕ at android.os.AsyncTask$SerialExecutor$1.run(AsyncTask.java:230)
 08-13 10:53:04.160    9152-9931/scrapos.techila.com.scrapos W/System.err﹕ at java.util.concurrent.ThreadPoolExecutor.runWorker(ThreadPoolExecutor.java:1076)
 08-13 10:53:04.170    9152-9931/scrapos.techila.com.scrapos W/System.err﹕ at java.util.concurrent.ThreadPoolExecutor$Worker.run(ThreadPoolExecutor.java:569)
 08-13 10:53:04.170    9152-9931/scrapos.techila.com.scrapos W/System.err﹕ at java.lang.Thread.run(Thread.java:856)
 08-13 10:53:27.240    9152-9152/scrapos.techila.com.scrapos W/IInputConnectionWrapper﹕ getSelectedText on inactive InputConnection
 08-13 10:53:27.240    9152-9152/scrapos.techila.com.scrapos W/IInputConnectionWrapper﹕ setComposingText on inactive InputConnection
 08-13 10:53:27.240    9152-9152/scrapos.techila.com.scrapos W/IInputConnectionWrapper﹕ getExtractedText on inactive InputConnection` 
&lt;/code&gt;&lt;/pre&gt;
</t>
  </si>
  <si>
    <t xml:space="preserve">&lt;p&gt;Can anyone tell me what I am doing wrong with trying to deserialize this Zoho Docs API response?&lt;/p&gt;
&lt;p&gt;I have a folder structure with "My Folders" as the root and then "TestFolder" inside of that. This is the JSON response I get back from the Zoho Docs API:&lt;/p&gt;
&lt;pre&gt;&lt;code&gt;[
    {
        "FOLDER_NAME": "My Folders",
        "SUCCESS": "1",
        "SCOPE": "0"
    },
    [
        {
            "AUTHOR_ID": "123456",
            "FOLDER_ID": "xxx",
            "PARENT_FOLDER_ID": "1",
            "FOLDER_NAME": "TestFolder",
            "LAST_MODIFIED_TIME": "1435875889219",
            "ENCFOLDER_NAME": "TestFolder",
            "SCOPE": "0",
            "AUTHOR_NAME": "John Smith",
            "LAST_MODIFIEDBY": "123456",
            "IS_SHARED": true,
            "LAST_MODIFIED_AUTHOR_NAME": "John Smith"
       }
    ]
]
&lt;/code&gt;&lt;/pre&gt;
&lt;p&gt;I've tried to deserialize the response into a Folder or List with this class, but I've had no luck:&lt;/p&gt;
&lt;pre&gt;&lt;code&gt;    public class Folder
    {
        [JsonProperty("FOLDER_NAME")]
        public string FolderName { get; set; }
    }
&lt;/code&gt;&lt;/pre&gt;
&lt;p&gt;Whether I try to deserialize this into just the object or a list of Folder I get this error from Json.NET:&lt;/p&gt;
&lt;blockquote&gt;
  &lt;p&gt;Cannot deserialize the current JSON array (e.g. [1,2,3]) into type 'ZohoModels.Folder' because the type requires a JSON object (e.g. {"name":"value"}) to deserialize correctly.&lt;/p&gt;
  &lt;p&gt;To fix this error either change the JSON to a JSON object (e.g. {"name":"value"}) or change the deserialized type to an array or a type that implements a collection interface (e.g. ICollection, IList) like List that can be deserialized from a JSON array. JsonArrayAttribute can also be added to the type to force it to deserialize from a JSON array.&lt;/p&gt;
&lt;/blockquote&gt;
</t>
  </si>
  <si>
    <t xml:space="preserve">&lt;p&gt;There are two issues here:&lt;/p&gt;
&lt;ol&gt;
&lt;li&gt;&lt;p&gt;The root container is an array not an object so needs to be deserialized into a collection, say &lt;code&gt;List&amp;lt;Folder&amp;gt;&lt;/code&gt;.&lt;/p&gt;&lt;/li&gt;
&lt;li&gt;&lt;p&gt;The array contains two entries: a JSON object and nested JSON array.  The &lt;a href="https://www.zoho.com/docs/zoho-docs-api.html" rel="nofollow"&gt;documentation&lt;/a&gt; is vague, but it looks like these folders are recursive, and an array of folders will contain pairs of folder/child folder array containers.  Since Json.NET decides whether to serialize a POCO based on whether or not it implements &lt;code&gt;IEnumerable&lt;/code&gt;, there is no single class that can be deserialized from both a JSON array and a JSON object.  Thus it will be necessary to create a custom JSON converter for a &lt;code&gt;List&amp;lt;Folder&amp;gt;&lt;/code&gt; to skip through the array and match up the folders with their arrays of children.&lt;/p&gt;&lt;/li&gt;
&lt;/ol&gt;
&lt;p&gt;The following classes and converter should do the job:&lt;/p&gt;
&lt;pre&gt;&lt;code&gt;public class Folder
{
    public Folder() { this.Folders = new List&amp;lt;Folder&amp;gt;(); }
    [JsonProperty("FOLDER_NAME")]
    public string FolderName { get; set; }
    public List&amp;lt;Folder&amp;gt; Folders { get; set; }
}
public class FolderListConverter : JsonConverter
{
    public override bool CanConvert(Type objectType)
    {
        return objectType == typeof(List&amp;lt;Folder&amp;gt;);
    }
    public override object ReadJson(JsonReader reader, Type objectType, object existingValue, JsonSerializer serializer)
    {
        if (reader.TokenType == JsonToken.Null)
            return null;
        // Format of a folder list is
        // Object with name of folder
        // Array of child folders as a folderlist.
        var folders = (existingValue as List&amp;lt;Folder&amp;gt; ?? new List&amp;lt;Folder&amp;gt;());
        var array = JArray.Load(reader);
        foreach (var token in array)
        {
            switch (token.Type)
            {
                case JTokenType.Object:
                    folders.Add(token.ToObject&amp;lt;Folder&amp;gt;(serializer));
                    break;
                case JTokenType.Array:
                    {
                        var folder = folders.Last(); // Throws an exception if none read yet.
                        (folder.Folders = (folder.Folders ?? new List&amp;lt;Folder&amp;gt;())).AddRange(token.ToObject&amp;lt;List&amp;lt;Folder&amp;gt;&amp;gt;(serializer));
                    }
                    break;
                default:
                    throw new JsonSerializationException("unknown token " + token.ToString());
            }
        }
        return folders;
    }
    public override bool CanWrite { get { return false; }}
    public override void WriteJson(JsonWriter writer, object value, JsonSerializer serializer)
    {
        throw new NotImplementedException();
    }
}
&lt;/code&gt;&lt;/pre&gt;
&lt;p&gt;And use it like:&lt;/p&gt;
&lt;pre&gt;&lt;code&gt;        var settings = new JsonSerializerSettings { Converters = new JsonConverter[] { new FolderListConverter() } };
        var folders = JsonConvert.DeserializeObject&amp;lt;List&amp;lt;Folder&amp;gt;&amp;gt;(json, settings);
&lt;/code&gt;&lt;/pre&gt;
</t>
  </si>
  <si>
    <t xml:space="preserve">&lt;p&gt;I'm trying to follow Dan Diebolt's 'Image Onload" technique to inject custom js script however I think I'm tripping up at the first part - the process says: &lt;/p&gt;
&lt;blockquote&gt;
  &lt;p&gt;Create a field with the following formula definition and include it in
  your  form/report.&lt;/p&gt;
&lt;/blockquote&gt;
&lt;p&gt;So I've created a text-formula field named '-', allowed HTML and pasted the formula in the "formula" section of the field: &lt;/p&gt;
&lt;pre&gt;&lt;code&gt;[-]=
"&amp;lt;img qbu=\"module\" src=\"/i/clear2x2.gif\" " &amp;amp;
"onload=\"javascript:if(typeof QBU=='undefined'){QBU={};$.getScript('" &amp;amp;
URLRoot() &amp;amp;
"db/" &amp;amp;
Dbid() &amp;amp;
"?a=dbpage&amp;amp;pagename=module.js&amp;amp;rand='+Math.random())}\"&amp;gt;"
&lt;/code&gt;&lt;/pre&gt;
&lt;p&gt;When I attempt to save I get an alert that says "A formula may not contain a reference to itself directly or indirectly through another formula." What am I doing wrong? I've tried adding the field to the form anyway and that doesn't seem to do anything. &lt;/p&gt;
&lt;p&gt;These are the steps I'm following: &lt;/p&gt;
&lt;p&gt;[&lt;a href="https://haversineconsulting.quickbase.com/db/bgcwm2m4g?a=dr&amp;amp;rid=93][1]" rel="nofollow"&gt;https://haversineconsulting.quickbase.com/db/bgcwm2m4g?a=dr&amp;amp;rid=93][1]&lt;/a&gt;&lt;/p&gt;
&lt;p&gt;Thanks. &lt;/p&gt;
</t>
  </si>
  <si>
    <t xml:space="preserve">&lt;p&gt;Today, I am facing issue to configure zoho invoice and books app &lt;/p&gt;
&lt;p&gt;Note : &lt;strong&gt;Zoho Service Communication (ZSC) Key Generated&lt;/strong&gt; by following &lt;a href="https://www.zoho.com/recruit/help/help-client-generate-ZSC-key.html" rel="nofollow"&gt;this&lt;/a&gt; article &lt;/p&gt;
&lt;p&gt;What i did :  &lt;/p&gt;
&lt;ul&gt;
&lt;li&gt;Login in CRM &lt;/li&gt;
&lt;li&gt;Click Setup &lt;/li&gt;
&lt;li&gt;Apps &amp;amp; Add-ons&lt;/li&gt;
&lt;li&gt;Click on Zoho Invoice/Zoho Books&lt;/li&gt;
&lt;li&gt;Two buttons display configure Zoho invoce and configure Zoho books&lt;/li&gt;
&lt;li&gt;After select any of them asking for email address and ZSC key&lt;/li&gt;
&lt;/ul&gt;
&lt;p&gt;Here is the issue, when i put my email and zsc key, it show the error &lt;strong&gt;Internal Process Error&lt;/strong&gt;&lt;/p&gt;
&lt;p&gt;Please help me i m new in zoho, guide me if something miss-configured.&lt;/p&gt;
</t>
  </si>
  <si>
    <t xml:space="preserve">&lt;p&gt;I am very new to the Zoho API as well as curl. I am trying to develop a class that is able to create estimates for customers using the Zoho Books API, but when I run my code I keep getting a boolean false response &gt;&gt;&lt;a href="https://i.stack.imgur.com/JlHNf.png" rel="nofollow noreferrer"&gt;&lt;img src="https://i.stack.imgur.com/JlHNf.png" alt="enter image description here"&gt;&lt;/a&gt;. Please tell me what i'm doing wrong, and also direct me to a site with proper tutorials for this.&lt;/p&gt;
&lt;pre&gt;&lt;code&gt;    $data = array(
        'authtoken'         =&amp;gt; 'xxxxxxxxxx',
        'JSONString'        =&amp;gt; '{
  "customer_id": "157691000000041090",
  "contact_persons": [
    "157691000000041090"
  ],
  "template_id": "157691000000041077",
  "estimate_number": "EST-000001",
  "reference_number": "QRT-123456",
  "date": "2015-08-25",
  "expiry_date": "2015-08-27"
  "exchange_rate": 1.0,
  "discount": 0.0,
  "is_discount_before_tax": true,
  "discount_type": "item_level",
  "salesperson_name": "John Michael",
  "is_inclusive_tax": "false",
  "custom_fields": [
    {
      "index": 1,
      "value": "25 Aug 2015"
    }
  ],
  "line_items": [
    {
      "item_id": "157691000000041080",
      "name": "Book1",
      "description": "book",
      "rate": 50.00,
      "item_order": 0,
      "quantity": 1.0,
      "discount": 0.0,
      "tax_id": "",
    }
  ],
  "notes": "Looking forward for your business.",
  "terms": "Terms and conditions apply.",
  "shipping_charge": 0.0,
  "adjustment": 0.0,
  "adjustment_description": "Adjustment"
}',
        "organization_id"   =&amp;gt; '57408606'
    );
    $curl = curl_init($url);
    curl_setopt_array($curl, array(
      CURLOPT_POST =&amp;gt; 1,
      CURLOPT_POSTFIELDS =&amp;gt; $data,
      CURLOPT_RETURNTRANSFER =&amp;gt; true
    ));
    $estimate = curl_exec($curl);
var_dump($estimate)
&lt;/code&gt;&lt;/pre&gt;
</t>
  </si>
  <si>
    <t xml:space="preserve">&lt;p&gt;It looks like the JSON is not well formatted. Please do the following changes and let me know if it works&lt;/p&gt;
&lt;p&gt;1) add "," after &lt;/p&gt;
&lt;blockquote&gt;
  &lt;p&gt;"expiry_date": "2015-08-27"&lt;/p&gt;
&lt;/blockquote&gt;
&lt;p&gt;2) remove "," after &lt;/p&gt;
&lt;blockquote&gt;
  &lt;p&gt;"tax_id": "",&lt;/p&gt;
&lt;/blockquote&gt;
</t>
  </si>
  <si>
    <t xml:space="preserve">&lt;p&gt;I would like assistance in trying to figure out how to set up a somewhat unique set of workflows.&lt;/p&gt;
&lt;p&gt;For example, say I have several accounts, each assigned to the respective Stage 1 account representative. Each account should then be able to be submitted/assigned to the next stage, e.g. Stage 2 account representative, Stage 3 account representative. Each representative should also be able to send the account back down.&lt;/p&gt;
&lt;p&gt;So, something like this:&lt;/p&gt;
&lt;p&gt;Jones Account: Stage 1 Jones Account Representative -&gt; Stage 2 Jones Account Representative -&gt; Stage 3 Jones Account Representative&lt;/p&gt;
&lt;p&gt;Smith Account: Stage 1 Smith Account Representative -&gt; Stage 2 Smith Account Representative -&gt; Stage 3 Smith Account Representative&lt;/p&gt;
&lt;p&gt;Brown Account: Stage 1 Brown Account Representative -&gt; Stage 2 Brown Account Representative -&gt; Stage 3 Brown Account Representative&lt;/p&gt;
&lt;p&gt;Is there a way this can be done?&lt;/p&gt;
</t>
  </si>
  <si>
    <t xml:space="preserve">&lt;p&gt;I have two &lt;code&gt;&amp;lt;apex:pageBlock&amp;gt;&lt;/code&gt; section in my visual force page.&lt;/p&gt;
&lt;p&gt;I have id mentioned for each of them.&lt;/p&gt;
&lt;p&gt;I want to override the color of the top border which comes when we use &lt;code&gt;&amp;lt;apex:pageblock&amp;gt;&lt;/code&gt;.&lt;/p&gt;
&lt;p&gt;Please find attached the screenshot. I want the 2nd green color to be red whereas the 1st one to be green as it is.&lt;/p&gt;
&lt;p&gt;How can I do that? Please suggest a suitable way.&lt;/p&gt;
&lt;p&gt;&lt;a href="https://i.stack.imgur.com/KJlKo.png" rel="nofollow noreferrer"&gt;&lt;img src="https://i.stack.imgur.com/KJlKo.png" alt="VF Page"&gt;&lt;/a&gt;&lt;/p&gt;
</t>
  </si>
  <si>
    <t xml:space="preserve">&lt;p&gt;I use vinyl ftp to deploy my project on remote server. No problem to upload files but i would also like to delete files that aren't anymore in local folder.&lt;/p&gt;
&lt;p&gt;Example :&lt;/p&gt;
&lt;p&gt;Local folder&lt;/p&gt;
&lt;pre&gt;&lt;code&gt;./
fileA
fileB
fileC
&lt;/code&gt;&lt;/pre&gt;
&lt;p&gt;Remote folder :&lt;/p&gt;
&lt;pre&gt;&lt;code&gt;./
fileB
fileC
fileD
&lt;/code&gt;&lt;/pre&gt;
&lt;p&gt;What i have in remote folder for the moment after deploy : &lt;/p&gt;
&lt;pre&gt;&lt;code&gt;./
fileA
fileB
fileC
fileD
&lt;/code&gt;&lt;/pre&gt;
&lt;p&gt;What i would like (exactly same as local folder) :&lt;/p&gt;
&lt;pre&gt;&lt;code&gt;./
fileA
fileB
fileC
&lt;/code&gt;&lt;/pre&gt;
&lt;p&gt;I could use rmdir to delete all files but that implies to reupload all files for each deploy.&lt;/p&gt;
&lt;p&gt;Thank you&lt;/p&gt;
</t>
  </si>
  <si>
    <t xml:space="preserve">&lt;p&gt;Doesn't look like its implemented yet:&lt;/p&gt;
&lt;p&gt;&lt;a href="https://github.com/morris/vinyl-ftp/issues/33" rel="nofollow noreferrer"&gt;https://github.com/morris/vinyl-ftp/issues/33&lt;/a&gt;&lt;/p&gt;
&lt;p&gt;(2016-06-20) edit by @ajoah: &lt;strong&gt;It's implemented since version &lt;a href="https://github.com/morris/vinyl-ftp/releases" rel="nofollow noreferrer"&gt;0.5.0&lt;/a&gt; through &lt;a href="https://github.com/morris/vinyl-ftp#connclean-globs-local-options--stream" rel="nofollow noreferrer"&gt;clean function&lt;/a&gt;.&lt;/strong&gt;&lt;/p&gt;
</t>
  </si>
  <si>
    <t xml:space="preserve">&lt;p&gt;I am using outsystems platform to develop applications. In that I am searching the Items using input box for that I want search Item at the time of typing name of item in input box and search result should display without button click. How to do this in Outsystems please help me out..&lt;/p&gt;
</t>
  </si>
  <si>
    <t xml:space="preserve">&lt;p&gt;You can do what you want very easily. We can split what you want to do in 2 steps:&lt;/p&gt;
&lt;ol&gt;
&lt;li&gt;Trigger a logic when the input box changes.&lt;/li&gt;
&lt;/ol&gt;
&lt;p&gt;The input box has a property called "Destination" inside the "On Change" section. In that property, you can assign an action (imagine an action as a Java or .NET method). As you can figure out, that will be the action that will run when you change the input box text;&lt;/p&gt;
&lt;ol start="2"&gt;
&lt;li&gt;Update the search result.&lt;/li&gt;
&lt;/ol&gt;
&lt;p&gt;In the action assigned to the "Destination" property, you should rerun the search using the "Refresh Data" widget and selecting the query. Then you must need to refresh the element in the screen. To do that, you can use the "Ajax Refresh" widget, and select the widget that is displaying the results.&lt;/p&gt;
&lt;p&gt;&lt;strong&gt;Example&lt;/strong&gt;: Let's imagine that you have a data entity called "City" that represents.. a city. In the screen, you have an input box and below a "Table Records" with the list of cities. As you type in the input box, the "Table Records" is filtered using the value of the variable assigned to the input box.&lt;/p&gt;
&lt;p&gt;To achieve this, you assign an action to the "Destination" property of the input box (let's call the action "OnChange"). In the "OnChange" action, you rerun the aggregate being used to display the cities names (and that has a condition &lt;em&gt;City.Name like InputBox_Var + "%"&lt;/em&gt;) using the "Refresh Data".&lt;/p&gt;
&lt;p&gt;After that, you put the "Ajax Refresh" widget next to the "Refresh Data", and select the aggregate (ensure that the aggregate has a name, otherwise you can't select it).&lt;/p&gt;
&lt;p&gt;It should work!&lt;/p&gt;
&lt;p&gt;&lt;em&gt;P.S.&lt;/em&gt;: I made a sample oml &lt;a href="http://www.filedropper.com/livefilter" rel="nofollow"&gt;http://www.filedropper.com/livefilter&lt;/a&gt;&lt;/p&gt;
&lt;p&gt;Later, you can understand better what is happening and what you can do here:&lt;/p&gt;
&lt;p&gt;Filtering Results in a Data query -&gt; &lt;a href="http://www.outsystems.com/help/servicestudio/9.0/Using_Data/aggregates/Filtering_Results.htm" rel="nofollow"&gt;http://www.outsystems.com/help/servicestudio/9.0/Using_Data/aggregates/Filtering_Results.htm&lt;/a&gt;&lt;/p&gt;
</t>
  </si>
  <si>
    <t xml:space="preserve">&lt;p&gt;I am hosting my own website instead of using a regular paid webhost and use PHPmailer to send out notices to my users.  I want to keep my mail from going to their spam folder.  I am using my internet host as my SMTP to send the mail and ZOHOmail to receive the mail.&lt;/p&gt;
&lt;p&gt;Here is the code to send the mail:&lt;/p&gt;
&lt;pre&gt;&lt;code&gt;$mail = new PHPMailer;
$mail-&amp;gt;isSMTP();                                // Set mailer to use SMTP
$mail-&amp;gt;Host = 'smtp-server.tampabay.rr.com';    // Specify main and backup SMTP servers
$mail-&amp;gt;SMTPAuth = true;                         // Enable SMTP authentication
$mail-&amp;gt;Username = '******@tampabay.rr.com';   // SMTP username
$mail-&amp;gt;Password = '******';                   // SMTP password
//$mail-&amp;gt;SMTPSecure = 'tls';                    // Enable encryption, 'ssl' also accepted
$mail-&amp;gt;From = 'webmaster@picknflgames.com';
$mail-&amp;gt;FromName = 'Pick NFL Games';
$mail-&amp;gt;addReplyTo('webmaster@picknflgames.com');
//$mail-&amp;gt;addReturnPath('webmaster@picknflgames.com');
//  $mail-&amp;gt;addAddress('webmaster@picknflgames.com');               // Name is optional
//  $mail-&amp;gt;addCC('$TE');
//  $mail-&amp;gt;addBCC($value);
$mail-&amp;gt;WordWrap = 50;                                 // Set word wrap to     50 characters
$mail-&amp;gt;isHTML(true);                                  // Set email format to HTML
$mail-&amp;gt;Subject = $subject;
&lt;/code&gt;&lt;/pre&gt;
&lt;p&gt;I read where I could enable SPF, but I am not sure if that can be done with my internet hose email.  Maybe I should try using ZOHOmail to send.&lt;/p&gt;
&lt;p&gt;Here are the headers from a recent email:&lt;/p&gt;
&lt;pre&gt;&lt;code&gt;From:   Pick NFL Games &amp;lt;webmaster@picknflgames.com&amp;gt;
Subject:    Season is fast approaching
Date:   August 27, 2015 11:30:35 PM EDT
To:     Patrick Lewis &amp;lt;patrick@patricklewis.net&amp;gt;
Reply-To:   webmaster@picknflgames.com
Delivered-To:   patrick@patricklewis.net
Received-Spf:   Pass (zoho.com: domain of webmaster@picknflgames.com designates 173.169.21.54 as permitted sender using best guess )  client-ip: 173.169.21.54
Return-Path:    &amp;lt;webmaster@picknflgames.com&amp;gt;
Return-Path:    &amp;lt;webmaster@picknflgames.com&amp;gt;
Received:   from cdptpa-oedge-vip.email.rr.com (cdptpa-outbound-snat.email.rr.com [107.14.166.226]) by mx.zohomail.com with SMTP id 144073263762811.694320566534088; Thu, 27 Aug 2015 20:30:37 -0700 (PDT)
Received:   from [173.169.21.54] ([173.169.21.54:32798] helo=10.0.1.99) by cdptpa-oedge03 (envelope-from &amp;lt;webmaster@picknflgames.com&amp;gt;) (ecelerity 3.5.0.35861 r(Momo-dev:tip)) with ESMTP id E9/20-20019-CD5DFD55; Fri, 28 Aug 2015 03:30:36 +0000
Message-Id:     &amp;lt;a0634c40fd39d8be6126636437ceda96@10.0.1.99&amp;gt;
X-Priority:     3
X-Mailer:   PHPMailer 5.2.8 (https://github.com/PHPMailer/PHPMailer/)
Mime-Version:   1.0
Content-Type:   text/html; charset=iso-8859-1
Content-Transfer-Encoding:  8bit
X-Rr-Connecting-Ip:     107.14.168.142:25
X-Cloudmark-Score:  0
X-Zohomail:     ZRCVF-BYFANCY_1 SS_1 SFPD SFPP UW11 SFP_WHTCNT_EXT  SGR4_1_11085_176
X-Zohomail-Owner:   &amp;lt;a0634c40fd39d8be6126636437ceda96@10.0.1.99&amp;gt;+zmo_1_&amp;lt;webmaster@picknflgames.com&amp;gt;
X-Zohomail-Sender:  173.169.21.54
X-Zoho-Virus-Status:    2
&lt;/code&gt;&lt;/pre&gt;
</t>
  </si>
  <si>
    <t xml:space="preserve">&lt;p&gt;I have need to add account attachments in Salesforce to the account chatter feed automatically. I've got the following code, which adds a chatter post for every object, not just account attachments, how can I make it specific to accounts? Or how can I make it specific to a certain file name?&lt;/p&gt;
&lt;pre&gt;&lt;code&gt;trigger AttachFileToAccountFeed on Attachment (before insert) {   
ID accountId; 
list&amp;lt;FeedItem&amp;gt; listOfFeedFiles = new List&amp;lt;FeedItem&amp;gt;(); 
if(Trigger.isBefore){
    for(Attachment attachment : trigger.new){
       string checkIfAccount = string.valueof(attachment.description);
       {
            //Adding a Content post
            accountId = attachment.ParentId;
            FeedItem post = new FeedItem();
            post.ParentId = accountId; //eg. Opportunity id, custom object id..
            post.Body = 'Attachment added';
            post.Type = 'ContentPost';
            post.ContentData = attachment.body;
            post.ContentFileName = attachment.Name;
            post.Title = attachment.Name;
            listOfFeedFiles.add(post);         
       }
    }
}
if(listOfFeedFiles!=null){
    insert listOfFeedFiles;
}  
&lt;/code&gt;&lt;/pre&gt;
&lt;p&gt;}&lt;/p&gt;
</t>
  </si>
  <si>
    <t xml:space="preserve">&lt;p&gt;I have craeted a trigger which will Fire on update on Field on campaign and restrict the user from leaving the Comments field blank upon rejecting the record.&lt;/p&gt;
&lt;p&gt;Here is my trigger code: &lt;/p&gt;
&lt;pre&gt;&lt;code&gt;trigger RequireRejectionComment on Campaign (before update)
{
    Map&amp;lt;Id, Campaign &amp;gt; rejectedStatements
            = new Map&amp;lt;Id, Campaign&amp;gt;{};
    for(Campaign inv: trigger.new)
    {
        Campaign oldInv = System.Trigger.oldMap.get(inv.Id);
        if ((oldInv.BR_ApprovalStatusRegulatory__c != 'Reprovado'
            &amp;amp;&amp;amp; inv.BR_ApprovalStatusRegulatory__c == 'Reprovado')||
            (oldInv.BR_ApprovalStatusLegal__c!= 'Reprovado' &amp;amp;&amp;amp; 
                inv.BR_ApprovalStatusLegal__c== 'Reprovado') )
        {
            rejectedStatements.put(inv.Id, inv);
        }
    }
    if (!rejectedStatements.isEmpty())
    {
        List&amp;lt;Id&amp;gt; processInstanceIds = new List&amp;lt;Id&amp;gt;{};
        for (Campaign invs : [SELECT (SELECT ID
                                       FROM ProcessInstances
                                       ORDER BY CreatedDate DESC
                                      LIMIT 1)
                               FROM Campaign
                               WHERE ID IN :rejectedStatements.keySet()])
        {
            processInstanceIds.add(invs.ProcessInstances[0].Id);
        }
        // Now that we have the most recent process instances, we can check
        // the most recent process steps for comments.
        for (ProcessInstance pi : [SELECT TargetObjectId,
                                          (SELECT Id, StepStatus, Comments
                                            FROM Steps
                                            ORDER BY CreatedDate DESC
                                           LIMIT 1 )
                                    FROM ProcessInstance
                                    WHERE Id IN :processInstanceIds
                                    ORDER BY CreatedDate DESC])
        {
            if ((pi.Steps[0].Comments == null ||
                pi.Steps[0].Comments.trim().length() == 0))
            {
                Trigger.new[0].parentId.addError(' My error Message  ');
                //rejectedStatements.get(pi.TargetObjectId).addError(
                // ' My error Message');
            }
        }
    }
}
&lt;/code&gt;&lt;/pre&gt;
&lt;p&gt;This trigger works fine but it displays an error message on new page..&lt;/p&gt;
&lt;p&gt;&lt;strong&gt;My requirement&lt;/strong&gt;: Error message should appear on record or the same page, while rejecting the record.&lt;/p&gt;
&lt;p&gt;Please suggest,thanks..&lt;/p&gt;
</t>
  </si>
  <si>
    <t xml:space="preserve">&lt;p&gt;I am using &lt;a href="http://mail.zoho.com" rel="nofollow noreferrer"&gt;ZOHO&lt;/a&gt; mail server for sending mails through my application. But its unable to connect to server and throws exception &lt;code&gt;The operation has timed out.&lt;/code&gt;. Following is my code:&lt;/p&gt;
&lt;pre&gt;&lt;code&gt;public int sendMail(string from, string to, string subject, string messageBody) {
    try {
        SmtpClient client = new SmtpClient();
        client.Port = 465;
        client.Host = "smtp.zoho.com";
        client.EnableSsl = true;
        client.Timeout = 10000;
        client.DeliveryMethod = SmtpDeliveryMethod.Network;
        client.UseDefaultCredentials = false;
        client.Credentials = new System.Net.NetworkCredential(Username, Password);
        MailMessage mm = new MailMessage(from, to, subject, messageBody);
        mm.BodyEncoding = UTF8Encoding.UTF8;
        mm.IsBodyHtml = true;
        mm.DeliveryNotificationOptions = DeliveryNotificationOptions.OnFailure;
        client.Send(mm);
        return 0;
    } catch (Exception) {
        throw;
    }
}
&lt;/code&gt;&lt;/pre&gt;
&lt;p&gt;I also tried using port &lt;code&gt;587&lt;/code&gt; as suggested here &lt;a href="https://stackoverflow.com/questions/20183529/send-email-using-smtp-but-operation-timed-out-using-zoho"&gt;Send email using smtp but operation timed out using ZOHO&lt;/a&gt;. But still problem persists.&lt;/p&gt;
&lt;p&gt;Zoho SMTP Configuration help link: &lt;a href="https://www.zoho.com/mail/help/zoho-smtp.html" rel="nofollow noreferrer"&gt;https://www.zoho.com/mail/help/zoho-smtp.html&lt;/a&gt;&lt;/p&gt;
</t>
  </si>
  <si>
    <t xml:space="preserve">&lt;p&gt;I am unable to get delete_record function to work. Here is the delete_record code that I am currently using:&lt;/p&gt;
&lt;pre&gt;&lt;code&gt;$qb-&amp;gt;db_id = $myQbTables["table1"]; //using table 1 now
$queries = array( //this is the where clause now for the delete query
  array(
    'fid'  =&amp;gt; '12',
    'ev'   =&amp;gt; 'EX',
    'cri'  =&amp;gt; '1175'
  ),
  array(
    'fid'  =&amp;gt; '8',
    'ev'   =&amp;gt; 'EX',
    'cri'  =&amp;gt; $Child_ID
  )
);
$results = $qb-&amp;gt;do_query($queries, '', '', 'a', '1', 'structured', 'sortorder-A'); //get all results
if($results-&amp;gt;errCode !== 0) {
  echo $results-&amp;gt;errTxt;
}
print_r($results);
foreach($results-&amp;gt;table-&amp;gt;records-&amp;gt;record as $record){ //getting results of delete query
$Deletevar = $record-&amp;gt;f[11];    
$deleted = $qb-&amp;gt;delete_record($Deletevar); //deleting results
print_r($deleted);  
}
&lt;/code&gt;&lt;/pre&gt;
&lt;p&gt;I know that the 'cri' matches things in my quickbase but I can't seem to use f[3] (the record id) to delete it!&lt;/p&gt;
&lt;p&gt;&lt;strong&gt;&lt;em&gt;NOTE&lt;/em&gt;&lt;/strong&gt;&lt;/p&gt;
&lt;p&gt;I have found the main issue I was having! If you are making API calls using the QB API, delete records and purge records does not include the app token!! Please use the following code to update the delete_records function!!!!&lt;/p&gt;
&lt;pre&gt;&lt;code&gt;public function delete_record($rid) {
if($this-&amp;gt;xml) {
                        $xml_packet = new SimpleXMLElement('&amp;lt;qdbapi&amp;gt;&amp;lt;/qdbapi&amp;gt;');
                        $xml_packet-&amp;gt;addChild('rid',$rid);
                        $xml_packet-&amp;gt;addChild('ticket',$this-&amp;gt;ticket);
                        $xml_packet-&amp;gt;addChild('apptoken',$this-&amp;gt;app_token);
                        $xml_packet = $xml_packet-&amp;gt;asXML();                        
                        $response = $this-&amp;gt;transmit($xml_packet, 'API_DeleteRecord');
                }
                else {
                      $url_string = $this-&amp;gt;qb_ssl . $this-&amp;gt;db_id. "?act=API_DeleteRecord&amp;amp;ticket=". $this-&amp;gt;ticket
                                        ."&amp;amp;apptoken=".$this-&amp;gt;app_token."&amp;amp;rid=".$rid;
                        $response = $this-&amp;gt;transmit($url_string);
                }
return $response;          
}
&lt;/code&gt;&lt;/pre&gt;
</t>
  </si>
  <si>
    <t xml:space="preserve">&lt;p&gt;I think you may be missing something in your query.  If you're trying to get a  list of records where the field 12 is 1157 and field 8 is equal to &lt;code&gt;$Child_ID&lt;/code&gt; you'll need to add &lt;code&gt;AND&lt;/code&gt; into your query.  When using the API in a URL the query would be &lt;code&gt;&amp;amp;query={12.EX.1175}AND{8.EX.77}&lt;/code&gt; if, for example, the child ID were 77.  To do that in the PHP SDK for Quickbase you add &lt;code&gt;'ao' =&amp;gt; 'AND'&lt;/code&gt; to all arrays following the first query array.  Try updating your $queries array to this:&lt;/p&gt;
&lt;pre&gt;&lt;code&gt;$queries = array( //this is the where clause now for the delete query
                array(
                    'fid'  =&amp;gt; '12',
                    'ev'   =&amp;gt; 'EX',
                    'cri'  =&amp;gt; '1175'
                ),
                array(
                    'ao'   =&amp;gt; 'AND',  // Saying that 12.EX.1175 AND 8.EX.$Child_ID
                    'fid'  =&amp;gt; '8',
                    'ev'   =&amp;gt; 'EX',
                    'cri'  =&amp;gt; $Child_ID
                )
);
&lt;/code&gt;&lt;/pre&gt;
&lt;p&gt;My PHP skills aren't particularly good, but you'll need to do a bit more to get the record ID#.  In the original code, I think that &lt;code&gt;$record-&amp;gt;f[3]&lt;/code&gt; will just return to SimpleXMLObject for the third field in the array.  That won't necessarily be field ID 3 (the record ID).  You can either choose to not use the structured format (and change all of your code to match) or add a loop that goes through all the fields and deletes when it reaches the field with id 3:&lt;/p&gt;
&lt;pre&gt;&lt;code&gt;foreach($results-&amp;gt;table-&amp;gt;records-&amp;gt;record as $record){ //getting results of delete query
    //Loop through all fields to find id 3
    foreach($record-&amp;gt;f as $field){
        if($field['id'] == "3"){
            $Deletevar = $field['id'];
            $deleted = $qb-&amp;gt;delete_record($Deletevar); //deleting result
            print_r($deleted);
            break;  //Stops this loop since FID 3 was found
        }
    }
}
&lt;/code&gt;&lt;/pre&gt;
&lt;p&gt;Some performance notes:  If you aren't using any other fields,  you can set your query to only return record IDs by passing a clist that is just '3'.  Also, each &lt;code&gt;delete_record()&lt;/code&gt; is a separate API call.  There is another method &lt;code&gt;purge_records&lt;/code&gt; that allows you pass a query and Quickbase deletes all of the records that match your query.  You may want to look into using &lt;code&gt;purge_records()&lt;/code&gt; because you can you use it in place of your &lt;code&gt;do_query()&lt;/code&gt; and avoid all the loops.  It uses fewer of your resources and Quickbase's to process as well.&lt;/p&gt;
</t>
  </si>
  <si>
    <t xml:space="preserve">&lt;p&gt;I want store values of structure in an entity.
     I created one structure and assigned some variable values to structure attributes using outsystems. So I want store that structure attribute values in an entity.Please help me.
Thanks 
In advance&lt;/p&gt;
</t>
  </si>
  <si>
    <t xml:space="preserve">&lt;p&gt;If the purpose of the structure that you created is to be stored in the database as an entity, then the structure is unnecessary. For instance if you have an &lt;code&gt;User&lt;/code&gt; entity, you don't need to create a structure to hold a User's information: you can create variables that are of type &lt;code&gt;User&lt;/code&gt; and assign values directly to those variables' attributes.&lt;/p&gt;
&lt;p&gt;This is to say that perhaps you don't need a structure at all. If that's the case you can:&lt;/p&gt;
&lt;ul&gt;
&lt;li&gt;create a variable&lt;/li&gt;
&lt;li&gt;set the variable &lt;code&gt;type&lt;/code&gt; property to your entity&lt;/li&gt;
&lt;li&gt;assign the attributes using an &lt;code&gt;Assign&lt;/code&gt; node (eg: setting &lt;code&gt;yourVariable.yourAttribute&lt;/code&gt; to the respective value)&lt;/li&gt;
&lt;li&gt;use the built-in action &lt;code&gt;Create&amp;lt;YourEntity&amp;gt;&lt;/code&gt; to store the variable in the database&lt;/li&gt;
&lt;/ul&gt;
&lt;p&gt;If you do need a structure for some reason, you can still follow the steps above but use the structure's attributes as values that feed the variable in the assign node.&lt;/p&gt;
</t>
  </si>
  <si>
    <t xml:space="preserve">&lt;p&gt;I am getting the below error when trying to send a mail from my store.&lt;/p&gt;
&lt;pre&gt;&lt;code&gt;PHP Notice:  Error: DATA not accepted from server! in /var/www/html/system/library/mail.php on line 417
Opencart version - 2.0.3.1
Email Settings:
  Protocol : SMTP
  Hostname : ssl://smtp.zoho.com
  port : 465
  Timeout : 15
&lt;/code&gt;&lt;/pre&gt;
&lt;p&gt;Source code of mail.php is as below:&lt;/p&gt;
&lt;pre&gt;&lt;code&gt;&amp;lt;?php
class Mail {
protected $to;
protected $from;
protected $sender;
protected $replyto;
protected $subject;
protected $text;
protected $html;
protected $attachments = array();
public $protocol = 'mail';
public $smtp_hostname;
public $smtp_username;
public $smtp_password;
public $smtp_port = 25;
public $smtp_timeout = 5;
public $newline = "\n";
public $verp = false;
public $parameter = '';
public function __construct($config = array()) {
    foreach ($config as $key =&amp;gt; $value) {
        if ($value) {
            $this-&amp;gt;$key = $value;
        }
    }
}
public function setTo($to) {
    $this-&amp;gt;to = html_entity_decode($to, ENT_QUOTES, 'UTF-8');
}
public function setFrom($from) {
    $this-&amp;gt;from = html_entity_decode($from, ENT_QUOTES, 'UTF-8');
}
public function setSender($sender) {
    $this-&amp;gt;sender = html_entity_decode($sender, ENT_QUOTES, 'UTF-8');
}
public function setReplyTo($reply_to) {
    $this-&amp;gt;replyto = html_entity_decode($reply_to, ENT_QUOTES, 'UTF-8');
}
public function setSubject($subject) {
    $this-&amp;gt;subject = html_entity_decode($subject, ENT_QUOTES, 'UTF-8');
}
public function setText($text) {
    $this-&amp;gt;text = html_entity_decode($text, ENT_QUOTES, 'UTF-8');
}
public function setHtml($html) {
    $this-&amp;gt;html = html_entity_decode($html, ENT_QUOTES, 'UTF-8');
}
public function addAttachment($filename) {
    $this-&amp;gt;attachments[] = $filename;
}
public function send() {
    if (!$this-&amp;gt;to) {
        trigger_error('Error: E-Mail to required!');
        exit();
    }
    if (!$this-&amp;gt;from) {
        trigger_error('Error: E-Mail from required!');
        exit();
    }
    if (!$this-&amp;gt;sender) {
        trigger_error('Error: E-Mail sender required!');
        exit();
    }
    if (!$this-&amp;gt;subject) {
        trigger_error('Error: E-Mail subject required!');
        exit();
    }
    if ((!$this-&amp;gt;text) &amp;amp;&amp;amp; (!$this-&amp;gt;html)) {
        trigger_error('Error: E-Mail message required!');
        exit();
    }
    if (!$this-&amp;gt;replyto) {
        $this-&amp;gt;setReplyTo($this-&amp;gt;sender);
    }
    if (is_array($this-&amp;gt;to)) {
        $to = implode(',', $this-&amp;gt;to);
    } else {
        $to = $this-&amp;gt;to;
    }
    $boundary = '----=_NextPart_' . md5(time());
    $header = 'MIME-Version: 1.0' . $this-&amp;gt;newline;
    if ($this-&amp;gt;protocol != 'mail') {
        $header .= 'To: ' . $to . $this-&amp;gt;newline;
        $header .= 'Subject: ' . '=?UTF-8?B?' . base64_encode($this-&amp;gt;subject) . '?=' . $this-&amp;gt;newline;
    }
    $header .= 'Date: ' . date('D, d M Y H:i:s O') . $this-&amp;gt;newline;
    $header .= 'From: =?UTF-8?B?' . base64_encode($this-&amp;gt;sender) . '?=' . ' &amp;lt;' . $this-&amp;gt;from . '&amp;gt;' . $this-&amp;gt;newline;
    $header .= 'Reply-To: =?UTF-8?B?' . base64_encode($this-&amp;gt;replyto) . '?=' . ' &amp;lt;' . $this-&amp;gt;from . '&amp;gt;' . $this-&amp;gt;newline;
    $header .= 'Return-Path: ' . $this-&amp;gt;from . $this-&amp;gt;newline;
    $header .= 'X-Mailer: PHP/' . phpversion() . $this-&amp;gt;newline;
    $header .= 'Content-Type: multipart/related; boundary="' . $boundary . '"' . $this-&amp;gt;newline . $this-&amp;gt;newline;
    if (!$this-&amp;gt;html) {
        $message  = '--' . $boundary . $this-&amp;gt;newline;
        $message .= 'Content-Type: text/plain; charset="utf-8"' . $this-&amp;gt;newline;
        $message .= 'Content-Transfer-Encoding: 8bit' . $this-&amp;gt;newline . $this-&amp;gt;newline;
        $message .= $this-&amp;gt;text . $this-&amp;gt;newline;
    } else {
        $message  = '--' . $boundary . $this-&amp;gt;newline;
        $message .= 'Content-Type: multipart/alternative; boundary="' . $boundary . '_alt"' . $this-&amp;gt;newline . $this-&amp;gt;newline;
        $message .= '--' . $boundary . '_alt' . $this-&amp;gt;newline;
        $message .= 'Content-Type: text/plain; charset="utf-8"' . $this-&amp;gt;newline;
        $message .= 'Content-Transfer-Encoding: 8bit' . $this-&amp;gt;newline . $this-&amp;gt;newline;
        if ($this-&amp;gt;text) {
            $message .= $this-&amp;gt;text . $this-&amp;gt;newline;
        } else {
            $message .= 'This is a HTML email and your email client software does not support HTML email!' . $this-&amp;gt;newline;
        }
        $message .= '--' . $boundary . '_alt' . $this-&amp;gt;newline;
        $message .= 'Content-Type: text/html; charset="utf-8"' . $this-&amp;gt;newline;
        $message .= 'Content-Transfer-Encoding: 8bit' . $this-&amp;gt;newline . $this-&amp;gt;newline;
        $message .= $this-&amp;gt;html . $this-&amp;gt;newline;
        $message .= '--' . $boundary . '_alt--' . $this-&amp;gt;newline;
    }
    foreach ($this-&amp;gt;attachments as $attachment) {
        if (file_exists($attachment)) {
            $handle = fopen($attachment, 'r');
            $content = fread($handle, filesize($attachment));
            fclose($handle);
            $message .= '--' . $boundary . $this-&amp;gt;newline;
            $message .= 'Content-Type: application/octet-stream; name="' . basename($attachment) . '"' . $this-&amp;gt;newline;
            $message .= 'Content-Transfer-Encoding: base64' . $this-&amp;gt;newline;
            $message .= 'Content-Disposition: attachment; filename="' . basename($attachment) . '"' . $this-&amp;gt;newline;
            $message .= 'Content-ID: &amp;lt;' . basename(urlencode($attachment)) . '&amp;gt;' . $this-&amp;gt;newline;
            $message .= 'X-Attachment-Id: ' . basename(urlencode($attachment)) . $this-&amp;gt;newline . $this-&amp;gt;newline;
            $message .= chunk_split(base64_encode($content));
        }
    }
    $message .= '--' . $boundary . '--' . $this-&amp;gt;newline;
    if ($this-&amp;gt;protocol == 'mail') {
        ini_set('sendmail_from', $this-&amp;gt;from);
        if ($this-&amp;gt;parameter) {
            mail($to, '=?UTF-8?B?' . base64_encode($this-&amp;gt;subject) . '?=', $message, $header, $this-&amp;gt;parameter);
        } else {
            mail($to, '=?UTF-8?B?' . base64_encode($this-&amp;gt;subject) . '?=', $message, $header);
        }
    } elseif ($this-&amp;gt;protocol == 'smtp') {
        $is_tls = substr($this-&amp;gt;smtp_hostname, 0, 3) == 'tls';
        $hostname = $is_tls ? substr($this-&amp;gt;smtp_hostname, 6) : $this-&amp;gt;smtp_hostname;
        $handle = fsockopen($hostname, $this-&amp;gt;smtp_port, $errno, $errstr, $this-&amp;gt;smtp_timeout);
        if (!$handle) {
            trigger_error('Error: ' . $errstr . ' (' . $errno . ')');
            exit();
        } else {
            if (substr(PHP_OS, 0, 3) != 'WIN') {
                socket_set_timeout($handle, $this-&amp;gt;smtp_timeout, 0);
            }
            while ($line = fgets($handle, 515)) {
                if (substr($line, 3, 1) == ' ') {
                    break;
                }
            }
            fputs($handle, 'EHLO ' . getenv('SERVER_NAME') . "\r\n");
            $reply = '';
            while ($line = fgets($handle, 515)) {
                $reply .= $line;
                if (substr($line, 3, 1) == ' ') {
                    break;
                }
            }
            if (substr($reply, 0, 3) != 250) {
                trigger_error('Error: EHLO not accepted from server!');
                exit();
            }
            if ($is_tls) {
                fputs($handle, 'STARTTLS' . "\r\n");
                $reply = '';
                while ($line = fgets($handle, 515)) {
                    $reply .= $line;
                    if (substr($line, 3, 1) == ' ') {
                        break;
                    }
                }
                if (substr($reply, 0, 3) != 220) {
                    trigger_error('Error: STARTTLS not accepted from server!');
                    exit();
                }
                stream_socket_enable_crypto($handle, true, STREAM_CRYPTO_METHOD_TLS_CLIENT);
            }
            if (!empty($this-&amp;gt;smtp_username)  &amp;amp;&amp;amp; !empty($this-&amp;gt;smtp_password)) {
                fputs($handle, 'EHLO ' . getenv('SERVER_NAME') . "\r\n");
                $reply = '';
                while ($line = fgets($handle, 515)) {
                    $reply .= $line;
                    if (substr($line, 3, 1) == ' ') {
                        break;
                    }
                }
                if (substr($reply, 0, 3) != 250) {
                    trigger_error('Error: EHLO not accepted from server!');
                    exit();
                }
                fputs($handle, 'AUTH LOGIN' . "\r\n");
                $reply = '';
                while ($line = fgets($handle, 515)) {
                    $reply .= $line;
                    if (substr($line, 3, 1) == ' ') {
                        break;
                    }
                }
                if (substr($reply, 0, 3) != 334) {
                    trigger_error('Error: AUTH LOGIN not accepted from server!');
                    exit();
                }
                fputs($handle, base64_encode($this-&amp;gt;smtp_username) . "\r\n");
                $reply = '';
                while ($line = fgets($handle, 515)) {
                    $reply .= $line;
                    if (substr($line, 3, 1) == ' ') {
                        break;
                    }
                }
                if (substr($reply, 0, 3) != 334) {
                    trigger_error('Error: Username not accepted from server!');
                    exit();
                }
                fputs($handle, base64_encode($this-&amp;gt;smtp_password) . "\r\n");
                $reply = '';
                while ($line = fgets($handle, 515)) {
                    $reply .= $line;
                    if (substr($line, 3, 1) == ' ') {
                        break;
                    }
                }
                if (substr($reply, 0, 3) != 235) {
                    trigger_error('Error: Password not accepted from server!');
                    exit();
                }
            } else {
                fputs($handle, 'HELO ' . getenv('SERVER_NAME') . "\r\n");
                $reply = '';
                while ($line = fgets($handle, 515)) {
                    $reply .= $line;
                    if (substr($line, 3, 1) == ' ') {
                        break;
                    }
                }
                if (substr($reply, 0, 3) != 250) {
                    trigger_error('Error: HELO not accepted from server!');
                    exit();
                }
            }
            if ($this-&amp;gt;verp) {
                fputs($handle, 'MAIL FROM: &amp;lt;' . $this-&amp;gt;from . '&amp;gt;XVERP' . "\r\n");
            } else {
                fputs($handle, 'MAIL FROM: &amp;lt;' . $this-&amp;gt;from . '&amp;gt;' . "\r\n");
            }
            $reply = '';
            while ($line = fgets($handle, 515)) {
                $reply .= $line;
                if (substr($line, 3, 1) == ' ') {
                    break;
                }
            }
            if (substr($reply, 0, 3) != 250) {
                trigger_error('Error: MAIL FROM not accepted from server!');
                exit();
            }
            if (!is_array($this-&amp;gt;to)) {
                fputs($handle, 'RCPT TO: &amp;lt;' . $this-&amp;gt;to . '&amp;gt;' . "\r\n");
                $reply = '';
                while ($line = fgets($handle, 515)) {
                    $reply .= $line;
                    if (substr($line, 3, 1) == ' ') {
                        break;
                    }
                }
                if ((substr($reply, 0, 3) != 250) &amp;amp;&amp;amp; (substr($reply, 0, 3) != 251)) {
                    trigger_error('Error: RCPT TO not accepted from server!');
                    exit();
                }
            } else {
                foreach ($this-&amp;gt;to as $recipient) {
                    fputs($handle, 'RCPT TO: &amp;lt;' . $recipient . '&amp;gt;' . "\r\n");
                    $reply = '';
                    while ($line = fgets($handle, 515)) {
                        $reply .= $line;
                        if (substr($line, 3, 1) == ' ') {
                            break;
                        }
                    }
                    if ((substr($reply, 0, 3) != 250) &amp;amp;&amp;amp; (substr($reply, 0, 3) != 251)) {
                        trigger_error('Error: RCPT TO not accepted from server!');
                        exit();
                    }
                }
            }
            fputs($handle, 'DATA' . "\r\n");
            $reply = '';
            while ($line = fgets($handle, 515)) {
                $reply .= $line;
                if (substr($line, 3, 1) == ' ') {
                    break;
                }
            }
            if (substr($reply, 0, 3) != 354) {
                trigger_error('Error: DATA not accepted from server!');
                exit();
            }
            // According to rfc 821 we should not send more than 1000 including the CRLF
            $message = str_replace("\r\n", "\n", $header . $message);
            $message = str_replace("\r", "\n", $message);
            $lines = explode("\n", $message);
            foreach ($lines as $line) {
                $results = str_split($line, 998);
                foreach ($results as $result) {
                    if (substr(PHP_OS, 0, 3) != 'WIN') {
                        fputs($handle, $result . "\r\n");
                    } else {
                        fputs($handle, str_replace("\n", "\r\n", $result) . "\r\n");
                    }
                }
            }
            fputs($handle, '.' . "\r\n");
            $reply = '';
            while ($line = fgets($handle, 515)) {
                $reply .= $line;
                if (substr($line, 3, 1) == ' ') {
                    break;
                }
            }
            if (substr($reply, 0, 3) != 250) {
                trigger_error('Error: DATA not accepted from server!');
                exit();
            }
            fputs($handle, 'QUIT' . "\r\n");
            $reply = '';
            while ($line = fgets($handle, 515)) {
                $reply .= $line;
                if (substr($line, 3, 1) == ' ') {
                    break;
                }
            }
            if (substr($reply, 0, 3) != 221) {
                trigger_error('Error: QUIT not accepted from server!');
                exit();
            }
            fclose($handle);
        }
    }
}
&lt;/code&gt;&lt;/pre&gt;
&lt;p&gt;}&lt;/p&gt;
&lt;p&gt;FYI: I have already tried the solution mentioned &lt;a href="https://forums.zoho.com/topic/solution-of-problem-553-relaying-disallowed-data-not-accepted-from-server-for-opencart" rel="nofollow"&gt;here&lt;/a&gt;&lt;/p&gt;
</t>
  </si>
  <si>
    <t xml:space="preserve">&lt;p&gt;I want to create a text file in outsystems. I have data in an entity and I want to create a text file using that entity's attribute values. &lt;/p&gt;
&lt;p&gt;Can anyone provide an example showing how this can be done?&lt;/p&gt;
</t>
  </si>
  <si>
    <t xml:space="preserve">&lt;p&gt;You can use the &lt;code&gt;TextToBinaryData&lt;/code&gt; function and use its result in the &lt;code&gt;Download&lt;/code&gt; node as &lt;em&gt;file content&lt;/em&gt;, with the &lt;em&gt;Mime-type&lt;/em&gt; set to &lt;code&gt;"text/plain"&lt;/code&gt;.&lt;/p&gt;
&lt;p&gt;The &lt;code&gt;TextToBinaryData&lt;/code&gt; is available in the &lt;code&gt;Binary&lt;/code&gt; extension which you probably have already installed in your environment, but perhaps you need to use &lt;em&gt;add/remove references&lt;/em&gt; to make it available in your module.&lt;/p&gt;
&lt;p&gt;You can use the &lt;code&gt;Download&lt;/code&gt; node in any screen action as a terminal node (like the &lt;code&gt;End&lt;/code&gt; node).&lt;/p&gt;
&lt;p&gt;&lt;em&gt;References: &lt;a href="http://www.outsystems.com/help/servicestudio/9.0/Designing_Actions/Download_Files.htm" rel="nofollow"&gt;Download Files&lt;/a&gt;, &lt;a href="http://www.outsystems.com/help/ServiceStudio/9.0/APIs/BinaryData_API.htm#TextToBinaryData" rel="nofollow"&gt;Binary Data API&lt;/a&gt;&lt;/em&gt;&lt;/p&gt;
</t>
  </si>
  <si>
    <t xml:space="preserve">&lt;p&gt;I am trying to migrate code from Visualforce (working) to a Lightning Component. The update method should draw a graph and redraw it when the root node changes. I believe I am declaring the methods correctly but when I call "update" I get the above error. I've tried changing the function name in case it was a reserved keyword but get the same error. Any Suggestions?? Many thanks&lt;/p&gt;
&lt;p&gt;Code looks like the following...&lt;/p&gt;
&lt;pre&gt;&lt;code&gt;({
    doInit : function(component, event, helper) {
        var action = component.get("c.getNodeJSON");
        action.setCallback(this, function(response){       
            var data = JSON.parse(response.getReturnValue());
            component.set("v.root", data);
            update(component, root);
        });
        $A.enqueueAction(action);
    },
    update : function(component, source) {
        var root = component.get("v.root");
        // etc etc
    }
})
&lt;/code&gt;&lt;/pre&gt;
</t>
  </si>
  <si>
    <t xml:space="preserve">&lt;p&gt;I see our in our Production web page there is a BPT Task box. But when I try to learn about the process, I cannot see it in the Outsystems Development Service Studio. Does BPT Process is the part of Service Studio or is it done externally. Can anybody please explain me about this. Thanks.&lt;/p&gt;
</t>
  </si>
  <si>
    <t xml:space="preserve">&lt;p&gt;The BPT task box is a component that is installed in every environment along with all other System Components. For the task box to be shown in your application it needs to be active - which it is by default but you can validate accessing &lt;em&gt;http://yourserver/EPA_Taskbox&lt;/em&gt; - and you need to have pending tasks.
If you want to learn more about how to implement your first biz process with OutSystems I suggest you look into &lt;a href="http://www.outsystems.com/academy/16/Modeling+Business+Processes/" rel="nofollow"&gt;this training course&lt;/a&gt;.&lt;/p&gt;
&lt;p&gt;Cheers&lt;/p&gt;
</t>
  </si>
  <si>
    <t xml:space="preserve">&lt;p&gt;I am banging my head looking at the code for ... quite some time.&lt;/p&gt;
&lt;p&gt;I have a lightning event, created from ics (including an alarm).
I want to delete the alarm after something has occurred. I found calItemBase has mAlarms. But how to delete a single alarm? (there should be only one). What is the proper value of mAlarms if there is no alarm?
What to do with mAlarmLastAck and other properties?&lt;/p&gt;
&lt;p&gt;My workaround is to recreate from ical without the alarm, but then the user looses categories and other things he set for the event in the UI.&lt;/p&gt;
&lt;p&gt;Many thanks,&lt;/p&gt;
&lt;p&gt;Klaus&lt;/p&gt;
</t>
  </si>
  <si>
    <t xml:space="preserve">&lt;p&gt;A summary of the methods intended to be public for an item can be seen here: &lt;a href="http://mxr.mozilla.org/comm-central/source/calendar/base/public/calIItemBase.idl" rel="nofollow"&gt;http://mxr.mozilla.org/comm-central/source/calendar/base/public/calIItemBase.idl&lt;/a&gt;&lt;/p&gt;
&lt;p&gt;Specifically, there is a &lt;code&gt;deleteAlarm&lt;/code&gt; method. Example:&lt;/p&gt;
&lt;pre&gt;&lt;code&gt;var alarms = item.getAlarms({});
item.deleteAlarm(alarms[0]);
&lt;/code&gt;&lt;/pre&gt;
&lt;p&gt;If you are sure you want to delete all alarms, you can also use the &lt;code&gt;clearAlarms&lt;/code&gt; method.&lt;/p&gt;
&lt;pre&gt;&lt;code&gt;item.clearAlarms();
&lt;/code&gt;&lt;/pre&gt;
</t>
  </si>
  <si>
    <t xml:space="preserve">&lt;p&gt;I am trying to write a trigger to send email which dynamically adds subject.
as I am new to salesforce, please help for dynamically adding subject.&lt;/p&gt;
</t>
  </si>
  <si>
    <t xml:space="preserve">&lt;p&gt;I have created structure list of entity records using &lt;code&gt;ListAppend&lt;/code&gt;.&lt;/p&gt;
&lt;p&gt;I have all the data in structure list i.e. around 11 records.&lt;/p&gt;
&lt;p&gt;At movement I am getting only &lt;code&gt;[0]th&lt;/code&gt; record of structure list because of assigned &lt;code&gt;File Content&lt;/code&gt; in the    download  widget in that fashion (I showed in image below).
 I want to export that all 11 records into text file but I stuck to assign &lt;code&gt;File content&lt;/code&gt; property of &lt;code&gt;Download Widget&lt;/code&gt;&lt;/p&gt;
&lt;p&gt;Detailed Description:&lt;/p&gt;
&lt;ol&gt;
&lt;li&gt;&lt;p&gt;&lt;code&gt;StructureFNMA2Record&lt;/code&gt; is my local variable for &lt;code&gt;ListAppend&lt;/code&gt; Action&lt;/p&gt;&lt;/li&gt;
&lt;li&gt;&lt;p&gt;&lt;code&gt;StructureFNMA2RecordList&lt;/code&gt; is my another local variable for &lt;code&gt;ListAppend&lt;/code&gt; Action&lt;/p&gt;&lt;/li&gt;
&lt;li&gt;&lt;p&gt;So how I can assign that structure list of &lt;code&gt;ListAppend&lt;/code&gt; to File Content that I will get all the 11 records in text file with new line after each index value of structure list&lt;/p&gt;&lt;/li&gt;
&lt;/ol&gt;
&lt;p&gt;please help me..&lt;/p&gt;
&lt;p&gt;&lt;a href="https://i.stack.imgur.com/GSiAD.png" rel="nofollow noreferrer"&gt;&lt;img src="https://i.stack.imgur.com/GSiAD.png" alt="enter image description here"&gt;&lt;/a&gt;&lt;/p&gt;
</t>
  </si>
  <si>
    <t xml:space="preserve">&lt;p&gt;I think it's easier if you create a &lt;code&gt;Text&lt;/code&gt; variable and write there what you want the file content to be. In that case you'll have a lot of freedom to manipulate the text as you wish and you can convert it to binary format and write it to the file when you're done.&lt;/p&gt;
&lt;p&gt;The main idea is:&lt;/p&gt;
&lt;ul&gt;
&lt;li&gt;Create a variable... let's call it &lt;code&gt;fileContent&lt;/code&gt; and set its type to &lt;code&gt;Text&lt;/code&gt;&lt;/li&gt;
&lt;li&gt;In the &lt;code&gt;ForEach&lt;/code&gt; loop, instead of &lt;code&gt;ListAppend&lt;/code&gt; use an &lt;code&gt;Assign&lt;/code&gt; node&lt;/li&gt;
&lt;li&gt;In the assign node, set &lt;code&gt;fileContent&lt;/code&gt; as the variable&lt;/li&gt;
&lt;li&gt;For the value, use something like &lt;code&gt;fileContent + StructureFNMA2RecordList.Current.Name + [...rest of your fields...] + NewLine()&lt;/code&gt; &amp;rArr; you're essentially appending content to the fileContent variable&lt;/li&gt;
&lt;li&gt;Outside the loop, use your Download node just with &lt;code&gt;TextToBinaryData(fileContent)&lt;/code&gt; because by now the variable contains everything you'll want to write in the file&lt;/li&gt;
&lt;/ul&gt;
&lt;p&gt;This should give you a file with the fields in each line. You'll probably want to put something between the fields because concatenating &lt;code&gt;Name&lt;/code&gt; and &lt;code&gt;Phonenumber&lt;/code&gt; will give you &lt;code&gt;Bankat12345&lt;/code&gt; but if you put a space &lt;code&gt;" "&lt;/code&gt; or something else in between you'll have a more readable &lt;code&gt;Bankat 12345&lt;/code&gt;.&lt;/p&gt;
</t>
  </si>
  <si>
    <t xml:space="preserve">&lt;p&gt;I want publish one application which is created in another environment. When I publish application it gives following error&lt;/p&gt;
&lt;p&gt;Foreign Module Error&lt;/p&gt;
&lt;p&gt;"Your OutSystems subscription only allows uploading modules developed in your environment, or downloaded from the OutSystems Forge. To share this module with the community, upload it at &lt;a href="http://www.outsystems.com/goto/forge" rel="nofollow"&gt;http://www.outsystems.com/goto/forge&lt;/a&gt;."&lt;/p&gt;
&lt;p&gt;What I do because I want publish without uploading on forge please help me..&lt;/p&gt;
</t>
  </si>
  <si>
    <t xml:space="preserve">&lt;p&gt;You should contact OutSystems support as Ken indicated.&lt;/p&gt;
</t>
  </si>
  <si>
    <t xml:space="preserve">&lt;p&gt;I am tried to write delete query using advanced query. But don't no how to write query in advance query still I tried but I am getting error.Please help me how to write query with example.&lt;/p&gt;
&lt;p&gt;I just want to delete all the data from "EnvelopeHeader" entity.&lt;/p&gt;
&lt;p&gt;&lt;a href="https://i.stack.imgur.com/pLncp.png" rel="nofollow noreferrer"&gt;&lt;img src="https://i.stack.imgur.com/pLncp.png" alt="I got following error"&gt;&lt;/a&gt;&lt;/p&gt;
</t>
  </si>
  <si>
    <t xml:space="preserve">&lt;p&gt;If you're using&lt;/p&gt;
&lt;pre&gt;&lt;code&gt;DELETE FROM table
WHERE table.column IN (...)
&lt;/code&gt;&lt;/pre&gt;
&lt;p&gt;That means your inner query must return a list of values with the same type as table.column.&lt;/p&gt;
&lt;p&gt;In your case your inner query:&lt;/p&gt;
&lt;ol&gt;
&lt;li&gt;Is selecting a bunch o columns, and should only be selecting one&lt;/li&gt;
&lt;li&gt;When selecting multiple columns you need commas to separate the columns you want to select col1, col2&lt;/li&gt;
&lt;li&gt;You need to specify the FROM statement for the inner query&lt;/li&gt;
&lt;/ol&gt;
&lt;p&gt;It should be something like&lt;/p&gt;
&lt;pre&gt;&lt;code&gt;DELETE FROM {table}
WHERE {table}.[column] in
(SELECT {table}.[column] FROM {table} WHERE &amp;lt;condition&amp;gt;)
&lt;/code&gt;&lt;/pre&gt;
&lt;p&gt;Also don't forget that if you want to use parameters, you can refer to them by using @param_name&lt;/p&gt;
</t>
  </si>
  <si>
    <t xml:space="preserve">&lt;p&gt;I am writing Advanced SQL query but Syntax error is occurring.
I showed in below image. Please help me&lt;/p&gt;
&lt;p&gt;&lt;a href="https://i.stack.imgur.com/Dm8wy.png" rel="nofollow noreferrer"&gt;&lt;img src="https://i.stack.imgur.com/Dm8wy.png" alt="enter image description here"&gt;&lt;/a&gt;&lt;/p&gt;
</t>
  </si>
  <si>
    <t xml:space="preserve">&lt;p&gt;Remove * after delete, by default it will delete all rows from table&lt;/p&gt;
</t>
  </si>
  <si>
    <t xml:space="preserve">&lt;p&gt;I am trying to write a generic controller which will work for several different object types, but when I try to access custom fields from those objects, I get the following error:&lt;/p&gt;
&lt;blockquote&gt;
  &lt;p&gt;Compile Error: Field expression not allowed for generic SObject at line 33 column 69&lt;/p&gt;
&lt;/blockquote&gt;
&lt;p&gt;Here's my generic controller code:&lt;/p&gt;
&lt;pre&gt;&lt;code&gt;public with sharing class PhotoUploadController {
    public Attachment objAttach{get;set;}
    public sObject sobj{get;set;}
    public string ObjectName {get;set;}
    public Decimal Height{get;set;}
    public Decimal Width {get;set;}
    Public List&amp;lt;Attachment&amp;gt; lstAttachment {get;set;}
     public String setObjectType(sObject newObj)
      {
        this.ObjectName = newObj.getSObjectType().getDescribe().getName();
        return(this.ObjectName );
       }
    public String getObjectType() 
    {
          return(this.ObjectName);  
     }
   public PhotoUploadController (ApexPages.StandardController controller)
     {
        objAttach=new Attachment();
        lstAttachment= new List&amp;lt;Attachment&amp;gt;();
        sobj = controller.getRecord();
        if(sobj.id!=null){
           sobj = Database.query('select id,name,Image_Attachment_ID__c from ObjectName where id=:sobj.id');  
        } 
         if(sobj.Image_Attachment_ID__c!=null){
            lstattachment=[SELECT id,body from Attachment where Id=:sobj.Image_Attachment_ID__c limit 1];
            if(lstattachment.size()&amp;gt;0)
            {
                objAttach=lstattachment[0];
            }
        }         
    }
    public pageReference savePhoto(){  
     sobj.HeightOfPhoto__c=Height;
     sobj.WidthOfPhoto__c=Width;
        try {
            if (!Schema.sObjectType.sobjectName.isUpdateable())
                {
                  return null;
                }
            String contentType;
            if(objAttach.ContentType !=null){
               contentType=objAttach.ContentType;
            }
            if(contentType !=null &amp;amp;&amp;amp; (contentType == 'image/jpeg' || contentType == 'image/CR2' || contentType== 'image/jpg' || contentType== 'image/png' || contentType== 'image/bmp' || contentType== 'image/gif')){            
            //objAttach.body=body;
            //objAttach.name=name;
            if(objAttach.body!=null &amp;amp;&amp;amp; objAttach.name!=null &amp;amp;&amp;amp; sobj.id !=null){
                 If(objAttach.Id==null)
                     objAttach.parentId=sobj.id;
                 if(!Schema.sObjectType.Attachment.isUpdateable()){
                  return null;
                  }
                 try{
                        upsert objAttach;
                        sobj.Image_URL__c=URL.getSalesforceBaseUrl().toExternalForm()+'/servlet/servlet.FileDownload?file='+objAttach.id;
                        sobj.Image_Attachment_ID__c= objAttach.id;
                        objAttach =null;
                        if (!Schema.sObjectType.ObjectName.isUpdateable()){
                          return null;
                        }
                       upsert sobj;
                   }
                   catch (DMLException e) {
                           if(e.getMessage().contains('STORAGE_LIMIT_EXCEEDED')){
                              ApexPages.addMessage(new ApexPages.message(ApexPages.severity.ERROR,'Your orgnization Storage Limit has been exceeded, Please contact your Administrator.'));
                           }else{
                             ApexPages.addMessage(new ApexPages.message(ApexPages.severity.ERROR,'Error uploading attachment'));
                           }
                           return null;
                    }finally {
                          objAttach = new Attachment();
                    }    
            }
         }
         else{
              objAttach = new Attachment();
              ApexPages.addMessage(new ApexPages.Message(ApexPages.Severity.ERROR,'Please, Upload image file with extension .JPG .JPEG .BMP .PNG or .GIF'));
              return null;
         }
        }
        catch(Exception e) {            
             return null;
        }
        return new pagereference('/'+sobj.id);    
    }
}
&lt;/code&gt;&lt;/pre&gt;
&lt;p&gt;Can someone explain this error message in a bit more detail? How do I access the fields I need from a generic SObject type?&lt;/p&gt;
</t>
  </si>
  <si>
    <t xml:space="preserve">&lt;p&gt;We can use Schema.sObjectType.Contact.isUpdatable() to check if the current user has permissions to update Contact objects in general.&lt;/p&gt;
&lt;p&gt;I want this for dynamic object.my object name is within the objName string variable.&lt;/p&gt;
</t>
  </si>
  <si>
    <t xml:space="preserve">&lt;p&gt;I want to open a new tab with a gloda conversation from inside calendar code.&lt;/p&gt;
&lt;p&gt;I receive an error from error console:
window not defined (or document not defined), depending on which of the two I use to Access tabmail:&lt;/p&gt;
&lt;pre&gt;&lt;code&gt;        let tabmail = window.document.getElementById("tabmail");
        let tabmail = document.getElementById("tabmail");
&lt;/code&gt;&lt;/pre&gt;
&lt;p&gt;The code works fine if the js file is included in an overlay xul-file.&lt;/p&gt;
&lt;p&gt;But I want to use it outside of xul in my code.
Somewhere in my calendar code (in my 'addevent'), the same code throws the error.
This code is originally called from a rightclick on an email, but several layers deep into calendar code.&lt;/p&gt;
&lt;p&gt;In MDN, I read that window is global? So what do I Need to do to add an tab?
This part works if tabmail is properly referenced:&lt;/p&gt;
&lt;pre&gt;&lt;code&gt;      tabmail.openTab("glodaList", {
      collection: queryCollection,
      message: aCollection.items[0],
      title: tabTitle,
      background: false
    });
&lt;/code&gt;&lt;/pre&gt;
&lt;p&gt;So how do I get a reference for tabmail?&lt;/p&gt;
&lt;p&gt;Any help is appreciated.&lt;/p&gt;
</t>
  </si>
  <si>
    <t xml:space="preserve">&lt;p&gt;after trying and looking through code for really some time before posting, it took only ca. 20 minutes to accidentally find the solution after submitting the question..&lt;/p&gt;
&lt;p&gt;While browsing mailutils on mxr for something else, I found the solution in some function:&lt;/p&gt;
&lt;pre&gt;&lt;code&gt;    mail3PaneWindow = Services.wm.getMostRecentWindow("mail:3pane");
    if (mail3PaneWindow)  var tabmail = mail3PaneWindow.document.getElementById("tabmail");
&lt;/code&gt;&lt;/pre&gt;
</t>
  </si>
  <si>
    <t xml:space="preserve">&lt;p&gt;I am having a requirement to create contacts using Salesforce-Bulk-API in salesforce account. My question is can we also create custom fields for Contact object in salesforce using bulk API?&lt;/p&gt;
&lt;pre&gt;&lt;code&gt;    salesforce =  SalesforceBulkApi::Api.new(@client)
    records_to_insert = Array.new
    socialcrm_list.socialcrm_list_records.each do |record|
    new_record = {"FirstName" =&amp;gt; record.first_name, "LastName" =&amp;gt; record.last_name, "Email" =&amp;gt; record.email1, "Phone" =&amp;gt; record.phone1, "HomePhone" =&amp;gt; record.phone3, "MobilePhone" =&amp;gt; record.phone2, "MailingStreet" =&amp;gt; record.address1, "MailingCity" =&amp;gt; record.city,"MailingState" =&amp;gt; record.state, "MailingCountry" =&amp;gt; record.country, "MailingPostalCode" =&amp;gt; record.zip, "CustomField" =&amp;gt; record.job}
    records_to_insert.push(new_record) 
&lt;/code&gt;&lt;/pre&gt;
&lt;p&gt;I have tried passing &lt;code&gt;CustomField&lt;/code&gt; as an attribute in the hash, but it is not working. Is there any way we can pass extra attributes in Hash without adding them exclusively from Salesforce developer Account &lt;/p&gt;
&lt;p&gt;Attached a reference image of sales-force custom attribute form over &lt;a href="http://i.stack.imgur.com/ZUfjS.png" rel="nofollow"&gt;here&lt;/a&gt; &lt;/p&gt;
</t>
  </si>
  <si>
    <t xml:space="preserve">&lt;p&gt;Hi I have integrated Zoho sheet in Rails 2 app , where I can open new Zoho Sheet from local , but when i click on save at zoho editor , it will send me the file to my server,
this is my production log &lt;/p&gt;
&lt;pre&gt;&lt;code&gt; Processing ZohoController#index to #&amp;lt;File:0x6a49f88&amp;gt; (for *.*.*.*      at 2015-10-08 11:24:08) [POST]
  Parameters: {"controller"=&amp;gt;"zoho", "filename"=&amp;gt;#      &amp;lt;File:/tmp/RackMultipart20151008-2490-oxplae-0&amp;gt;, "content"=&amp;gt;#&amp;lt;File:/tmp/RackMultipart20151008-2490-3r5nf3-0&amp;gt;, "eventsource"=&amp;gt;#&amp;lt;File:/tmp/RackMultipart20151008-2490-yj8j8h-0&amp;gt;, "format"=&amp;gt;#&amp;lt;File:/tmp/RackMultipart20151008-2490-1nfald4-0&amp;gt;, "id"=&amp;gt;#&amp;lt;File:/tmp/RackMultipart20151008-2490-yeqxb8-0&amp;gt;, "action"=&amp;gt;"index"}
 ActionController::InvalidAuthenticityToken
&lt;/code&gt;&lt;/pre&gt;
&lt;p&gt;I couldn't fetch the file , can anyone please help me out how can access file, even though i inspected each params , but i couldn't achieve
Any help is valuable   &lt;/p&gt;
</t>
  </si>
  <si>
    <t xml:space="preserve">&lt;p&gt;I am using OutSystems Platform, and I want to generate a PDF file of page content in OutSystems.&lt;/p&gt;
&lt;p&gt;I searched a lot on Google and got some extensions to generate PDF in OutSystems, but they are not working.&lt;/p&gt;
&lt;p&gt;Please help me how to do that.&lt;/p&gt;
</t>
  </si>
  <si>
    <t xml:space="preserve">&lt;p&gt;I am getting error when i try to connect with zoho mail using mail-listener2, But i can able to connect and read mail from my application using node-imap. Please help me on this issue.&lt;/p&gt;
&lt;p&gt;The config param i am using with node-imap is as below&lt;/p&gt;
&lt;pre&gt;&lt;code&gt;var imap = new Imap({
    user: nconf.get('IMAP_USER'),
    password: nconf.get('IMAP_PASS'),
    host: nconf.get('IMAP_HOST'),
    port: nconf.get('IMAP_PORT'),
    connTimeout: 10000000,
    tls: true
});
&lt;/code&gt;&lt;/pre&gt;
&lt;p&gt;Same param i am using with mail-listener2 but getting the below error&lt;/p&gt;
&lt;blockquote&gt;
  &lt;p&gt;{ [Error: No supported authentication method(s) available. Unable to
  login.] source: 'authentication' }&lt;/p&gt;
&lt;/blockquote&gt;
</t>
  </si>
  <si>
    <t xml:space="preserve">&lt;p&gt;I've been writing a custom script for QuickBase, which requires some date manipulation. I decided to use moments.js and, since I'm using it within quickbase, I am loading moments.js dynamically, using $.getscript. I've done this process before with other plugin (jquery.md5.min.js), and this works correctly.&lt;/p&gt;
&lt;p&gt;The problem is, even though moment.js is read correctly, when I try to use it (for instance, see the console.log() I added for debugging, I get an error message telling me that "moment is not defined".&lt;/p&gt;
&lt;p&gt;I know moment.js is being read because I already had it dumped into the console after loading, and I'm trying to use its functions only after it is loaded via the asynchronous methods. I have also played with a few simple jsfiddles just to make sure I was calling it correctly. I also checked several times the url and it is correct. The rest of my code is also correct (if I comment out the lines with moment(), it works as expected).&lt;/p&gt;
&lt;pre&gt;&lt;code&gt;$.getScript(domain + dbid_app + urlMoments)
  .done(function(script, textStatus) {
    rightNow = moment();
    dfd.resolve();  // Resolve when the script is finished loading.
    console.log("moments.js has finished loading.\n\n" + textStatus);
    console.log(rightNow);
  })
  .fail(function( jqxhr, settings, exception ) {
    console.log( "Triggered ajaxError handler." );
});
&lt;/code&gt;&lt;/pre&gt;
&lt;p&gt;How do I call the moment() function? When running the fiddle, and after looking at many online examples, it is as simple as: &lt;code&gt;var myTime = moment();&lt;/code&gt;, but this is not working inside of my script. Is there a chance that, even after loading moments.js with $.getscript(), it was not executed? From what I can see on the source code of moments.js, the factory function should be automatically called, shouldn't it?&lt;/p&gt;
&lt;pre&gt;&lt;code&gt;(function (global, factory) {
typeof exports === 'object' &amp;amp;&amp;amp; typeof module !== 'undefined' ? module.exports = factory() :
typeof define === 'function' &amp;amp;&amp;amp; define.amd ? define(factory) :
global.moment = factory()
&lt;/code&gt;&lt;/pre&gt;
&lt;p&gt;}&lt;/p&gt;
&lt;p&gt;One last thing: the url points to the QuickBase code page I created with moments.js. This is also how I'm using jquery.md5.js without any problems.&lt;/p&gt;
</t>
  </si>
  <si>
    <t xml:space="preserve">&lt;p&gt;I need to implement such functionality, that can allow to manage vk.com* entities (create posts, send messages, add new friends etc) form Salesforce side. Although vk.com provides rich API with good documentation, but I look for already developed solutions for Apex. &lt;/p&gt;
&lt;p&gt;I checked AppExchange for it and googled popular solutions, but didn't find anything:( Are there any ready apex ways or have I to do it myself? Maybe I can use power of Salesforce Chatter?&lt;/p&gt;
&lt;p&gt;I will be glad to any advice, suggestions!&lt;/p&gt;
&lt;p&gt;&lt;em&gt;*vk.com is social network, kind of Facebook, which has a much higher relevance than Facebook in Eastern Europe, especially Russia.&lt;/em&gt;&lt;/p&gt;
</t>
  </si>
  <si>
    <t xml:space="preserve">&lt;p&gt;I am using Django 1.7 and for authentication I am using Django allauth. For sending email, I started using zoho smtp server. It is able to send normal &amp;amp; transactional mails but it cannot send signup conversation email. It shows the error:&lt;/p&gt;
&lt;pre&gt;&lt;code&gt;SMTPDataError at /accounts/signup/
(553, b'Relaying disallowed as webmaster@localhost')
&lt;/code&gt;&lt;/pre&gt;
&lt;p&gt;The traceback is :&lt;/p&gt;
&lt;pre&gt;&lt;code&gt;69.             return self.dispatch(request, *args, **kwargs)
File "C:\Python34\lib\site-packages\django\utils\decorators.py" in _wrapper
  29.             return bound_func(*args, **kwargs)
File "C:\Python34\lib\site-packages\django\views\decorators\debug.py" in sensitive_post_parameters_wrapper
  76.             return view(request, *args, **kwargs)
File "C:\Python34\lib\site-packages\django\utils\decorators.py" in bound_func
  25.                 return func.__get__(self, type(self))(*args2, **kwargs2)
File "C:\Users\sp\industryo\allauth\account\views.py" in dispatch
  167.         return super(SignupView, self).dispatch(request, *args, **kwargs)
File "C:\Users\sp\industryo\allauth\account\views.py" in dispatch
  62.                                             **kwargs)
File "C:\Users\sp\industryo\allauth\account\views.py" in dispatch
  145.                                                           **kwargs)
File "C:\Python34\lib\site-packages\django\views\generic\base.py" in dispatch
  87.         return handler(request, *args, **kwargs)
File "C:\Users\sp\industryo\allauth\account\views.py" in post
  78.             response = self.form_valid(form)
File "C:\Users\sp\industryo\allauth\account\views.py" in form_valid
  183.                                self.get_success_url())
File "C:\Users\sp\industryo\allauth\account\utils.py" in complete_signup
  162.                          signal_kwargs=signal_kwargs)
File "C:\Users\sp\industryo\allauth\account\utils.py" in perform_login
  123.             send_email_confirmation(request, user, signup=signup)
File "C:\Users\sp\industryo\allauth\account\utils.py" in send_email_confirmation
  291.                                                     signup=signup)
File "C:\Users\sp\industryo\allauth\account\models.py" in send_confirmation
  60.         confirmation.send(request, signup=signup)
File "C:\Users\sp\industryo\allauth\account\models.py" in send
  137.                                 ctx)
File "C:\Users\sp\industryo\allauth\account\adapter.py" in send_mail
  100.         msg.send()
File "C:\Python34\lib\site-packages\django\core\mail\message.py" in send
  286.         return self.get_connection(fail_silently).send_messages([self])
File "C:\Python34\lib\site-packages\django\core\mail\backends\smtp.py" in send_messages
  99.                 sent = self._send(message)
File "C:\Python34\lib\site-packages\django\core\mail\backends\smtp.py" in _send
  115.             self.connection.sendmail(from_email, recipients, message.as_bytes(linesep='\r\n'))
File "C:\Python34\lib\smtplib.py" in sendmail
  800.             raise SMTPDataError(code, resp)
Exception Type: SMTPDataError at /accounts/signup/
Exception Value: (553, b'Relaying disallowed as webmaster@localhost')
&lt;/code&gt;&lt;/pre&gt;
&lt;p&gt;What is the issue here? How can I solve this problem?&lt;/p&gt;
</t>
  </si>
  <si>
    <t xml:space="preserve">&lt;p&gt;Change &lt;a href="https://docs.djangoproject.com/en/1.8/ref/settings/#default-from-email" rel="noreferrer"&gt;&lt;code&gt;DEFAULT_FROM_EMAIL&lt;/code&gt;&lt;/a&gt; in your settings. The error message is because your email provider does not accept the default value, &lt;code&gt;webmaster@localhost&lt;/code&gt;.&lt;/p&gt;
</t>
  </si>
  <si>
    <t xml:space="preserve">&lt;p&gt;I am trying to retrieve required fields information in C# (ASP.Net MVC) but it is throwing an Exception: 'UNKNOWN_EXCEPTION: Destination URL not reset. The URL returned from login must be set in the SforceService' on executing 'object[] results = ...' line of code. Any help will be highly appreciated.&lt;/p&gt;
&lt;pre&gt;&lt;code&gt;protected SforceService binding;
//usr.UserGuid.ToString()='a65596bd-e8d3-11e2-80fc-902b34ee1bea';
var counquery = binding.queryAll("SELECT AccountId, IsDeleted FROM Contact WHERE WDA_Record_ID__c = '" + usr.UserGuid.ToString() + "'");
//Method: queryall
/// &amp;lt;remarks/&amp;gt;
    [System.Web.Services.Protocols.SoapHeaderAttribute("LimitInfoHeaderValue", Direction=System.Web.Services.Protocols.SoapHeaderDirection.Out)]
    [System.Web.Services.Protocols.SoapHeaderAttribute("QueryOptionsValue")]
    [System.Web.Services.Protocols.SoapHeaderAttribute("SessionHeaderValue")]
    [System.Web.Services.Protocols.SoapDocumentMethodAttribute("", RequestNamespace="urn:enterprise.soap.sforce.com", ResponseNamespace="urn:enterprise.soap.sforce.com", Use=System.Web.Services.Description.SoapBindingUse.Literal, ParameterStyle=System.Web.Services.Protocols.SoapParameterStyle.Wrapped)]
    [return: System.Xml.Serialization.XmlElementAttribute("result")]
    public QueryResult queryAll(string queryString) {
        object[] results = this.Invoke("queryAll", new object[] {
                    queryString});
        return ((QueryResult)(results[0]));
    }
&lt;/code&gt;&lt;/pre&gt;
</t>
  </si>
  <si>
    <t xml:space="preserve">&lt;p&gt;Today lightning started to hang up thunderbird shortly after startup with 100% cpu, no I/O and constant memory usage. I verified the cause by deactivating it. Since this also happens with a completely different installation and a different server-side account, I suspect the server (owncloud) sends something awkward. I read about debugging a thunderbird extensions using the firefox tools, but I cannot connect the debugger, since the main drawing thread is blocked (and thus the connection cannot be accepted). The error console seems to be empty.&lt;/p&gt;
&lt;p&gt;Is there any other known strategy to debug a running thunderbird/lightning app? Can I dump the js state? Log all lightning actions to the console? Any other idea to pinpoint the culprit?&lt;/p&gt;
</t>
  </si>
  <si>
    <t xml:space="preserve">&lt;p&gt;You can use the &lt;a href="https://developer.mozilla.org/en-US/docs/Tools/Remote_Debugging/Thunderbird" rel="nofollow"&gt;remote debugging capabilities&lt;/a&gt; to capture a profile. This should be working even if most things are hanging, but from what you wrote it seems you've tried. If the problem is that you cannot access the dialog that asks to accept the connection, you can set a few devtools prefs to auto-accept connections. I believe this is &lt;code&gt;devtools.debugger.prompt-connection&lt;/code&gt; which needs to be set to false.&lt;/p&gt;
&lt;p&gt;Regarding logging, you can enable &lt;code&gt;calendar.debug.log&lt;/code&gt; and &lt;code&gt;calendar.debug.log.verbose&lt;/code&gt; in the advanced config editor. You can then set &lt;code&gt;XRE_CONSOLE_LOG&lt;/code&gt; to output the console to a file. There is a page (although not official, or at least outdated) on &lt;a href="http://mdn.beonex.com/en/Debugging_a_XULRunner_Application.html" rel="nofollow"&gt;debugging xulrunner apps&lt;/a&gt;. This pretty much applies to Thunderbird too.&lt;/p&gt;
&lt;p&gt;You may also be lucky in contacting the Lightning maintainer to discuss debugging this, he is available on irc.mozilla.org #calendar and is named Fallen.&lt;/p&gt;
</t>
  </si>
  <si>
    <t xml:space="preserve">&lt;p&gt;I am planning to develop a salesforce mobile application for my company, which allows employees to enter their timecards on their go, I'm aware there are already few other apps by salesforce, available to do the same but I want to rebuilt it again for various reasons. Kindly let me know, if this is feasible? If feasible, kindly let me know the salesforce API which has to be used for doing the same.&lt;/p&gt;
</t>
  </si>
  <si>
    <t xml:space="preserve">&lt;p&gt;The above said requirement is completely feasible. I have implemented it.Some salesforce objects required for achieving it are pse__timcardheader__c, pse__timecard__c and few Rest APIs like process/action are required. Posting the answer for the benefit of others.&lt;/p&gt;
</t>
  </si>
  <si>
    <t xml:space="preserve">&lt;p&gt;This is my bean configuration for sending an email through zohomail &lt;/p&gt;
&lt;pre&gt;&lt;code&gt;  &amp;lt;bean class="org.springframework.mail.javamail.JavaMailSenderImpl"&amp;gt;
                &amp;lt;property name="host" value="smtp.zoho.com" /&amp;gt;
                &amp;lt;property name="port" value="587" /&amp;gt;
                &amp;lt;property name="username" value="eamilId" /&amp;gt;
                &amp;lt;property name="password" value="password" /&amp;gt;
                &amp;lt;property name="javaMailProperties"&amp;gt;
                    &amp;lt;props&amp;gt;
                        &amp;lt;prop key="mail.transport.protocol"&amp;gt;smtp&amp;lt;/prop&amp;gt;
                        &amp;lt;prop key="mail.smtp.auth"&amp;gt;true&amp;lt;/prop&amp;gt;
                        &amp;lt;prop key="mail.smtp.starttls.enable"&amp;gt;true&amp;lt;/prop&amp;gt;
                    &amp;lt;/props&amp;gt;
                &amp;lt;/property&amp;gt;
        &amp;lt;/bean&amp;gt;
&lt;/code&gt;&lt;/pre&gt;
&lt;p&gt;While I am running my program I am getting below error&lt;/p&gt;
&lt;blockquote&gt;
  &lt;p&gt;org.springframework.mail.MailSendException: Failed to close server connection after message failures; nested exception is javax.mail.MessagingException: Can't send command to SMTP host; nested exception is: java.net.SocketException: Connection closed by remote host. Failed messages: com.sun.mail.smtp.SMTPSendFailedException: 553 Relaying disallowed as  ; message exception details (1) are: Failed message 1: com.sun.mail.smtp.SMTPSendFailedException: 553 Relaying disallowed as &amp;lt; Zandig@Zandig-PC &gt;&lt;/p&gt;
&lt;/blockquote&gt;
</t>
  </si>
  <si>
    <t xml:space="preserve">&lt;p&gt;Mention bean id in your bean&lt;/p&gt;
&lt;pre&gt;&lt;code&gt;&amp;lt;bean id="mailSender" class="org.springframework.mail.javamail.JavaMailSenderImpl"&amp;gt;    
&lt;/code&gt;&lt;/pre&gt;
&lt;p&gt;Instead of using &lt;/p&gt;
&lt;pre&gt;&lt;code&gt;&amp;lt;prop key="mail.smtp.starttls.enable"&amp;gt;true&amp;lt;/prop&amp;gt;
&lt;/code&gt;&lt;/pre&gt;
&lt;p&gt;change into &lt;/p&gt;
&lt;pre&gt;&lt;code&gt;&amp;lt;prop key="mail.smtp.socketFactory.class"&amp;gt;javax.net.ssl.SSLSocketFactory&amp;lt;/prop&amp;gt;
&amp;lt;prop key="mail.smtp.socketFactory.fallback"&amp;gt;false&amp;lt;/prop&amp;gt;
&amp;lt;prop key="mail.smtp.socketFactory.port"&amp;gt;465&amp;lt;/prop&amp;gt;
&amp;lt;prop key="mail.smtp.startssl.enable"&amp;gt;true&amp;lt;/prop&amp;gt;`
&lt;/code&gt;&lt;/pre&gt;
&lt;p&gt;Ensure that your from address is also listed in sender list also.&lt;/p&gt;
</t>
  </si>
  <si>
    <t xml:space="preserve">&lt;p&gt;When adding an event via the request URL, do I absolutely need the Contacts/Leads record ID or is there a way I can add the Contact to the event with just their email address?&lt;/p&gt;
&lt;p&gt;I'm adding events to CRM and I am able to add the 'Event Owner' which is field type 'lookup' with email. I then try the same with Contact Name (Who Id), but the relationship is not made with the email. I need to use the record ID, but would love to end with email.&lt;/p&gt;
&lt;p&gt;Event fields:&lt;/p&gt;
&lt;pre&gt;&lt;code&gt;&amp;lt;Events&amp;gt;
    &amp;lt;section name="Event Information" dv="Event Information"&amp;gt;
        &amp;lt;FL req="false" type="Lookup" isreadonly="false" maxlength="120" label="Event Owner" dv="Event Owner" customfield="false"/&amp;gt;
        &amp;lt;FL req="true" type="Text" isreadonly="false" maxlength="255" label="Subject" dv="Subject" customfield="false"/&amp;gt;
        &amp;lt;FL req="true" type="DateTime" isreadonly="false" maxlength="120" label="Start DateTime" dv="Start DateTime" customfield="false"/&amp;gt;
        &amp;lt;FL req="true" type="DateTime" isreadonly="false" maxlength="120" label="End DateTime" dv="End DateTime" customfield="false"/&amp;gt;
        &amp;lt;FL req="false" type="Lookup" isreadonly="false" maxlength="120" label="Who Id" dv="Contact Name" customfield="false"/&amp;gt;
        &amp;lt;FL req="false" type="Text" isreadonly="false" maxlength="100" label="Remind At" dv="Remind At" customfield="false"/&amp;gt;
    &amp;lt;/section&amp;gt;
&amp;lt;/Events&amp;gt;
&lt;/code&gt;&lt;/pre&gt;
</t>
  </si>
  <si>
    <t xml:space="preserve">&lt;p&gt;Looks like you can only add the Contact to the event with the ID, so what I did was retrieved the contact ID from the submitted email, then added to event.&lt;/p&gt;
&lt;pre&gt;&lt;code&gt;if(isset($formvars['user_email'])){
    $url = "https://crm.zoho.com/crm/private/xml/Contacts/searchRecords?authtoken=TOKEN&amp;amp;scope=crmapi&amp;amp;criteria=((Email:". $formvars['user_email'] ."))&amp;amp;selectColumns=CONTACTID";
    $xmlresponse = simplexml_load_file($url);
    $client = (string) $xmlresponse-&amp;gt;result-&amp;gt;Contacts-&amp;gt;row-&amp;gt;FL; 
}
&lt;/code&gt;&lt;/pre&gt;
</t>
  </si>
  <si>
    <t xml:space="preserve">&lt;p&gt;I spent a lot of time developing the form and connecting all the pieces together and now I cannot connect to my smtp server through django settings. Here are my settings...&lt;/p&gt;
&lt;pre&gt;&lt;code&gt;DEFAULT_FROM_EMAIL = 'auto@domain.com'
EMAIL_HOST = 'smtp.mailhost.com'
EMAIL_HOST_USER = 'auto@domain.com'
EMAIL_HOST_PASSWORD = 'password'
EMAIL_USE_TLS = True 
EMAIL_PORT = 465
&lt;/code&gt;&lt;/pre&gt;
&lt;p&gt;I tried to send it through my form and it didn't work so I tried to send one through the shell..&lt;/p&gt;
&lt;pre&gt;&lt;code&gt;from django.core.mail import send_mail
send_mail('subject','message','auto@domain.com', ['me@domain.com'], fail_silently=False)
&lt;/code&gt;&lt;/pre&gt;
&lt;p&gt;and I get this traceback...&lt;/p&gt;
&lt;pre&gt;&lt;code&gt;Traceback (most recent call last):
  File "&amp;lt;console&amp;gt;", line 1, in &amp;lt;module&amp;gt;
  File "/usr/local/lib/python2.7/dist-packages/django/core/mail/__init__.py", line 62, in send_mail
    return mail.send()
  File "/usr/local/lib/python2.7/dist-packages/django/core/mail/message.py", line 286, in send
    return self.get_connection(fail_silently).send_messages([self])
  File "/usr/local/lib/python2.7/dist-packages/django/core/mail/backends/smtp.py", line 92, in send_messages
    new_conn_created = self.open()
  File "/usr/local/lib/python2.7/dist-packages/django/core/mail/backends/smtp.py", line 50, in open
    self.connection = connection_class(self.host, self.port, **connection_params)
  File "/usr/lib/python2.7/smtplib.py", line 251, in __init__
    (code, msg) = self.connect(host, port)
  File "/usr/lib/python2.7/smtplib.py", line 312, in connect
    (code, msg) = self.getreply()
  File "/usr/lib/python2.7/smtplib.py", line 363, in getreply
    raise SMTPServerDisconnected("Connection unexpectedly
&lt;/code&gt;&lt;/pre&gt;
&lt;p&gt;closed")
SMTPServerDisconnected: Connection unexpectedly closed&lt;/p&gt;
</t>
  </si>
  <si>
    <t xml:space="preserve">&lt;p&gt;You should recheck the data you use: login, password, etc.&lt;/p&gt;
&lt;p&gt;If it doesn't help, try to use &lt;strong&gt;port 587&lt;/strong&gt;.&lt;/p&gt;
&lt;p&gt;SMTP uses this one. I hope it will help.&lt;/p&gt;
&lt;p&gt;495 is now deprecated.&lt;/p&gt;
</t>
  </si>
  <si>
    <t xml:space="preserve">&lt;p&gt;I am very new to Javascript&lt;/p&gt;
&lt;p&gt;This Javascript code moves CSV files to Quickbase on Windows Script Host. so I get the data every one hour from Microsoft Azure to these CSV, &lt;/p&gt;
&lt;p&gt;I made autoflow from Azure to CSV using powershell and task scheduler, these CSV files to QUickbase by using this Javascript code/Task Schduler&lt;/p&gt;
&lt;p&gt;However, when there is no data on CSV file/CSV file is empty. this code causes the error. &lt;/p&gt;
&lt;p&gt;but I would just move the CSV data as empty to QuickBase Table without causing Error.&lt;/p&gt;
&lt;p&gt;How should I change the code?&lt;/p&gt;
&lt;pre&gt;&lt;code&gt;var datafile = "3-Month Free Trial-SQLDataServer.csv";
var dbid = "beegbjn3e2";
var username = "useranme";
var password = "Helloworld";
var subdomain = "Mycompany";                                                               
var fso = new ActiveXObject("Scripting.FileSystemObject");
var csv = fso.OpenTextFile(datafile, 1).ReadAll();
fso.close;
    WScript.Echo(csv);
    var url = "";
    url += "https://" + subdomain + ".quickbase.com/db/" + dbid;
    url += "?act=API_ImportFromCSV";
    url += "&amp;amp;username=" + username;
    url += "&amp;amp;password=" + password;
    WScript.Echo(url);
    var request = "";
    request += "&amp;lt;qdbapi&amp;gt;";
    request += "&amp;lt;skipfirst&amp;gt;1&amp;lt;/skipfirst&amp;gt;";
    request += "&amp;lt;records_csv&amp;gt;&amp;lt;![CDATA[";
    request += csv;
    request += "]]&amp;gt;&amp;lt;/records_csv&amp;gt;";
    request += "&amp;lt;/qdbapi&amp;gt;";
    WScript.Echo(request); 
    var xmlhttp = new ActiveXObject("Msxml2.XMLHTTP");
    xmlhttp.open("POST", url, false);
    xmlhttp.setRequestHeader("content-type","text/xml");
    xmlhttp.send(request);
    WScript.Echo(xmlhttp.responseText);
&lt;/code&gt;&lt;/pre&gt;
</t>
  </si>
  <si>
    <t xml:space="preserve">&lt;p&gt;Below i have coded the Custom Button in Javascript to add two signer in Docusign Envelope.&lt;/p&gt;
&lt;p&gt;&lt;div class="snippet" data-lang="js" data-hide="false"&gt;
&lt;div class="snippet-code"&gt;
&lt;pre class="snippet-code-js lang-js prettyprint-override"&gt;&lt;code&gt;var RROS='1';
var CRL='Email~{!Case.Hidden_Merchant_Email__c};LastName~{!Merchant__c.Name};Role~Signer 1;RoutingOrder~1;Email~{!Account.PersonEmail};LastName~{!Account.LastName};Role~Signer 2;RoutingOrder~2,LoadDefaultContacts~1';
var CCRM='Signer 1~Merchant;Signer 2~Account Holder';
var CCTM='Signer 1~Signer;Signer 2~Signer';
window.location.href = "/apex/dsfs__DocuSign_CreateEnvelope?DSEID=0&amp;amp;SourceID={!Case.Id}&amp;amp;CRL="+CRL+"&amp;amp;RROS="+RROS+"&amp;amp;CCRM="+CCRM+"&amp;amp;CCTM="+CCTM;&lt;/code&gt;&lt;/pre&gt;
&lt;/div&gt;
&lt;/div&gt;
&lt;/p&gt;
&lt;p&gt;But here only signer is added in Docusign Envelope. I need to add two Signer in  Envelope. Can anyone please provide the correct script if i made a mistake in the given code?. Thanks in advance.&lt;/p&gt;
</t>
  </si>
  <si>
    <t xml:space="preserve">&lt;p&gt;I have created a Lightning app in Salesforce that uses Salesforce lightning design system&lt;/p&gt;
&lt;pre&gt;&lt;code&gt;&amp;lt;aura:application access="GLOBAL" extends="ltng:outApp"&amp;gt;
  &amp;lt;ltng:require styles="/resource/SLDS/assets/styles/salesforce-lightning-design-system-ltng.css" /&amp;gt;
    &amp;lt;div class="slds"&amp;gt;
       &amp;lt;c:MySuperComponent /&amp;gt;
    &amp;lt;/div&amp;gt; 
&amp;lt;/aura:application&amp;gt;
&lt;/code&gt;&lt;/pre&gt;
&lt;p&gt;How can I add this app to Salesforce1 Navigation menu? Is it possible? I learned that Lightning components can be exposed but in that case, how can I include "salesforce-lightning-design-system-ltng.css" stylesheet? &lt;/p&gt;
&lt;p&gt;Thanks!&lt;/p&gt;
</t>
  </si>
  <si>
    <t xml:space="preserve">&lt;p&gt;This is a sample of the XML returned from ZoHo CRM API. I need to parse out all of the data to insert into a database. Those records that are "Parents" do not have a Parent Account ID or Parent Account Name (see example row 2). This causes Undefined offset: errors at those lines. I am at a loss as to why...&lt;/p&gt;
&lt;pre&gt;&lt;code&gt;&amp;lt;?xml version="1.0" encoding="UTF-8" ?&amp;gt;
&amp;lt;response uri="/crm/private/xml/Accounts/getRecords"&amp;gt;  
&amp;lt;Accounts&amp;gt;
&amp;lt;row no="1"&amp;gt;
&amp;lt;FL val="ACCOUNTID"&amp;gt;123456789&amp;lt;/FL&amp;gt;
&amp;lt;FL val="Account Name"&amp;gt;&amp;lt;![CDATA[My Account Center]]&amp;gt;&amp;lt;/FL&amp;gt;
&amp;lt;FL val="PARENTACCOUNTID"&amp;gt;234567891&amp;lt;/FL&amp;gt;
&amp;lt;FL val="Parent Account"&amp;gt;&amp;lt;![CDATA[Global Corp]]&amp;gt;&amp;lt;/FL&amp;gt;
&amp;lt;FL val="Shipping State"&amp;gt;&amp;lt;![CDATA[IN]]&amp;gt;&amp;lt;/FL&amp;gt;
&amp;lt;FL val="Account Status"&amp;gt;&amp;lt;![CDATA[Active Account]]&amp;gt;&amp;lt;/FL&amp;gt;
&amp;lt;/row&amp;gt;
&amp;lt;row no="2"&amp;gt;
&amp;lt;FL val="ACCOUNTID"&amp;gt;234567891&amp;lt;/FL&amp;gt;
&amp;lt;FL val="Account Name"&amp;gt;&amp;lt;![CDATA[Global Corp]]&amp;gt;&amp;lt;/FL&amp;gt;
&amp;lt;FL val="Shipping State"&amp;gt;&amp;lt;![CDATA[IN]]&amp;gt;&amp;lt;/FL&amp;gt;
&amp;lt;FL val="Account Status"&amp;gt;&amp;lt;![CDATA[Active Account]]&amp;gt;&amp;lt;/FL&amp;gt;
&amp;lt;/row&amp;gt;
&amp;lt;/Accounts&amp;gt;
&amp;lt;/response&amp;gt;
&lt;/code&gt;&lt;/pre&gt;
&lt;p&gt;I can access all of the desired nodes using XPATH:&lt;/p&gt;
&lt;pre&gt;&lt;code&gt;$accounts = $XML-&amp;gt;xpath('/response/result/Accounts/row/FL[@val="ACCOUNTID"]');
$acctName = $XML-&amp;gt;xpath('/response/result/Accounts/row/FL[@val="Account Name"]');
$pAcctID = $XML-&amp;gt;xpath('/response/result/Accounts/row/FL[@val="PARENTACCOUNTID"]');
$pAcctName = $XML-&amp;gt;xpath('/response/result/Accounts/row/FL[@val="Parent Account"]');
$state = $XML-&amp;gt;xpath('/response/result/Accounts/row/FL[@val="Shipping State"]');
&lt;/code&gt;&lt;/pre&gt;
&lt;p&gt;Then iterating through...&lt;/p&gt;
&lt;pre&gt;&lt;code&gt;for ($i = 0; $i &amp;lt; $itemsTotal; $i++) {
$j = $i + 1;
echo "Counter: " . $i  . "&amp;lt;br/&amp;gt;";
echo "Record ID: " . $j . "&amp;lt;br/&amp;gt;";
echo "Account ID: " . $accounts[$i] . "&amp;lt;br/&amp;gt;";
echo "Account Name: " . $acctName[$i] . "&amp;lt;br/&amp;gt;";
echo "Location State: " . $state[$i] . "&amp;lt;br/&amp;gt;";
echo "Parent Account ID: " . $pAcctID[$i] . "&amp;lt;br/&amp;gt;";
echo "Parent Account Name: " . $pAcctName[$i] . "&amp;lt;br/&amp;gt;";
}
&lt;/code&gt;&lt;/pre&gt;
&lt;p&gt;I have tried inserting this test in the loop:&lt;/p&gt;
&lt;pre&gt;&lt;code&gt;if (isset($pAcctID[$i])) {
    $pACT = $pAcctID[$i];
    $pActName = $pAcctName[$i];
    echo "Parent Account ID: $pACT&amp;lt;br/&amp;gt;";
    echo "Parent Name: $pActName&amp;lt;br/&amp;gt;";
} else {
    echo "Is Parent Account&amp;lt;br/&amp;gt;";
    $pACT = "";
    $pActName = "";
}
&lt;/code&gt;&lt;/pre&gt;
&lt;p&gt;Which does fine until it hits record 122/157 (shown as row 2 in the sample), then the Undefined Offset errors creep back in.&lt;/p&gt;
&lt;p&gt;Updated... to look at this from a DOMDocument perspective.&lt;/p&gt;
&lt;pre&gt;&lt;code&gt;$doc = new DOMDocument();
$doc-&amp;gt;load('zoho.xml');
$doc-&amp;gt;saveXML();
$xpath = new DOMXPath($doc);
foreach($xpath-&amp;gt;query("//response/results/Accounts/row") as $data){
echo "Account ID is: " . $xpath-&amp;gt;query(".//FL[@val='ACCOUNTID']",$data)-&amp;gt;item(0)-&amp;gt;nodeValue;
}
&lt;/code&gt;&lt;/pre&gt;
&lt;p&gt;No data returned.&lt;/p&gt;
</t>
  </si>
  <si>
    <t xml:space="preserve">&lt;p&gt;I have a page where, when the button is clicked, the page will be printed. I am using the code below on the "On Click" extended property.  Now the problem is that it prints the whole page. For example the title, menu bar, login info, everything! How can I omit those, and only print whatever is in the main content section. Any help is greatly appreciated. Thanks&lt;/p&gt;
&lt;pre&gt;&lt;code&gt;"window.print(); return false;"
&lt;/code&gt;&lt;/pre&gt;
</t>
  </si>
  <si>
    <t xml:space="preserve">&lt;p&gt;I believe the answer isn't OutSystems specific. Have a look at &lt;a href="https://stackoverflow.com/questions/8228088/remove-header-and-footer-from-window-print"&gt;this question&lt;/a&gt; where they provide an answer you might want to try...&lt;/p&gt;
&lt;p&gt;Here's a snippet of the answer:
In Chrome it's possible to hide this automatic header/footer using:&lt;/p&gt;
&lt;pre&gt;&lt;code&gt;@page { margin: 0; }
&lt;/code&gt;&lt;/pre&gt;
&lt;p&gt;Since the contents will extend to page's limits, the page printing header/footer will be absent. You should, of course, in this case, set some margins/paddings in your body element so that the content won't extend all the way to the page's edge. Since common printers just can't get no-margins printing and it's probably not what you want, you should use something like this:&lt;/p&gt;
&lt;pre&gt;&lt;code&gt;@media print {
  @page { margin: 0; }
  body { margin: 1.6cm; }
}
&lt;/code&gt;&lt;/pre&gt;
</t>
  </si>
  <si>
    <t xml:space="preserve">&lt;p&gt;I have the button"Accept and Print" the screen, which allows to print the screens and allows to submit the form.&lt;/p&gt;
&lt;p&gt;&lt;a href="https://i.stack.imgur.com/wkuPT.jpg" rel="nofollow noreferrer"&gt;&lt;img src="https://i.stack.imgur.com/wkuPT.jpg" alt="enter image description here"&gt;&lt;/a&gt;&lt;/p&gt;
&lt;p&gt;When I hit the button the print screen opnes and after I print, the action associated with it is not executed . But stays on the same page.&lt;/p&gt;
&lt;p&gt;Can anyone tell me if I have done anything wrong. Any help is greatly apprecitaed thanks.&lt;/p&gt;
</t>
  </si>
  <si>
    <t xml:space="preserve">&lt;p&gt;Remove the &lt;code&gt;return false;&lt;/code&gt;&lt;/p&gt;
&lt;p&gt;It's stoping the propagation of the click event and preventing the call to the screen action from being executed.&lt;/p&gt;
</t>
  </si>
  <si>
    <t xml:space="preserve">&lt;p&gt;we have salesforce project where Acount data need to be populated from oracle database and it should be saved in Oracle database when someone change it.&lt;/p&gt;
&lt;p&gt;When some change account name then first approval need tos end to user and once it is approved then account name should be updated in salesforce external object as well oracle table.
So,we are thinking to populate new  account name in other object and once it is approved then account name should be updated in  account external object via trigger.
So can we write trigger  to update external object once account name is approved(on update)-
We will use lightning connect to populate data in account.&lt;/p&gt;
</t>
  </si>
  <si>
    <t xml:space="preserve">&lt;p&gt;I am using these two local variables in Outsystems that returns the first day of current month and current year and the other one returns the last day of current month and current year.&lt;/p&gt;
&lt;p&gt;FirstDayMonth -  NewDate(Year(CurrDate()),Month(CurrDate()),1)&lt;/p&gt;
&lt;p&gt;LastdayMonth- AddDays(AddMonths(NewDate(Year(CurrDate()),Month(CurrDate()),1),1),-1)&lt;/p&gt;
&lt;p&gt;What do I like to know is how can I return the same day, same month but with last year? I want to do the same tin the two variables.&lt;/p&gt;
&lt;p&gt;Thank you&lt;/p&gt;
</t>
  </si>
  <si>
    <t xml:space="preserve">&lt;p&gt;In our company we use Outsystems as an development platform.
Outsystems supplies a Outsystems Now native app that functions as a browser with native functions for the device.&lt;/p&gt;
&lt;p&gt;We only develop the webpages on the webserver. We have the sourcecodes from the Outsystems Now app so we can edit the framework.&lt;/p&gt;
&lt;p&gt;Thanks to the sourcecode I see that it uses Cordova/Phonegap as interface.&lt;/p&gt;
&lt;p&gt;What I want to create are actions from the webpage that triggers actions in the Outsystems Now (Cordova/Phonegap) application. For example, the logout button on the page closes the session but the Cordova webview isn't aware.&lt;/p&gt;
&lt;p&gt;Anyone experience with Cordova/Phonegap to create such actions?&lt;/p&gt;
</t>
  </si>
  <si>
    <t xml:space="preserve">&lt;p&gt;I am having little confusion as how to set the timer on the email that is sent now to just only on every other thursday.
&lt;a href="https://i.stack.imgur.com/K8Wlc.jpg" rel="nofollow noreferrer"&gt;&lt;img src="https://i.stack.imgur.com/K8Wlc.jpg" alt="enter image description here"&gt;&lt;/a&gt;
I am new to Outsystems and not sure how can I proceeed with this. Can anyone please help me, is there any samples available now.&lt;/p&gt;
</t>
  </si>
  <si>
    <t xml:space="preserve">&lt;p&gt;In ServiceCenter/eSpace_Timer_Edit you have the options to configure the timers daily, weekly, Day of month, weekday of month or when publish&lt;/p&gt;
</t>
  </si>
  <si>
    <t xml:space="preserve">&lt;p&gt;Currently am making two calls to salesforce API to fetch the data, below are the two queries:&lt;/p&gt;
&lt;pre&gt;&lt;code&gt;1&amp;gt;SELECT PermissionSetAssignment.AssigneeId,PermissionSetAssignment.PermissionSet.Name FROM PermissionSetAssignment where PermissionSetAssignment.PermissionSet.IsOwnedByProfile=false  order by PermissionSetAssignment.AssigneeId
2&amp;gt;SELECT UserOrGroupId,Group.Name FROM GroupMember  order by UserOrGroupId
&lt;/code&gt;&lt;/pre&gt;
&lt;p&gt;Can we have a single query instead of two? &lt;/p&gt;
&lt;p&gt;Please help Salesforce GURU's.&lt;/p&gt;
</t>
  </si>
  <si>
    <t xml:space="preserve">&lt;p&gt;If you have a relation between these tables you can directly fetch the UserOrGroupId in the first query itself&lt;/p&gt;
</t>
  </si>
  <si>
    <t xml:space="preserve">&lt;p&gt;I am using the Enabled days in the Calenadr widget , the enabled days are the days when the data load happens. Data Load dates are stored in the entity and whenever the dataload happended those dates needs to be enabled in calendar. I am using the action to select those dates in&lt;/p&gt;
&lt;p&gt;&lt;a href="https://i.stack.imgur.com/kBBsh.jpg" rel="nofollow noreferrer"&gt;&lt;img src="https://i.stack.imgur.com/kBBsh.jpg" alt="enter image description here"&gt;&lt;/a&gt;&lt;/p&gt;
&lt;p&gt;The issue is it display the dates in when the dataload happened in 2015 even in this 2016. When I debug and see the JSONValidDate it is like&lt;/p&gt;
&lt;p&gt;&lt;a href="https://i.stack.imgur.com/Ie7x9.jpg" rel="nofollow noreferrer"&gt;&lt;img src="https://i.stack.imgur.com/Ie7x9.jpg" alt="enter image description here"&gt;&lt;/a&gt;&lt;/p&gt;
&lt;p&gt;Now the problem is it selects these date even in 2016, but these dates dataload happened in 2015.&lt;/p&gt;
&lt;p&gt;So I added year year to variable and the value is&lt;/p&gt;
&lt;p&gt;&lt;a href="https://i.stack.imgur.com/tbwDP.jpg" rel="nofollow noreferrer"&gt;&lt;img src="https://i.stack.imgur.com/tbwDP.jpg" alt="enter image description here"&gt;&lt;/a&gt;&lt;/p&gt;
&lt;p&gt;And it doesnot work, It doesnot open the calendar. I am really stuck and not sure how to proceed with this. This is in production and I am not able to move forward. Any help is greatly appreciated.&lt;/p&gt;
</t>
  </si>
  <si>
    <t xml:space="preserve">&lt;p&gt;From what I can see you are using the &lt;a href="http://labs.outsystems.net/SilkUI/" rel="nofollow"&gt;Silk UI Framework&lt;/a&gt;.&lt;/p&gt;
&lt;p&gt;The EnabledDays from the Silk UI Calendar does not allow you to select the year, so when you add the year to the JSON, the calendar does not know what to do with it, and returns an exception to the browser's console.&lt;/p&gt;
&lt;p&gt;However, there are 2 options to solve this issue:&lt;/p&gt;
&lt;ol&gt;
&lt;li&gt;You can use another element (in the image bellow I used a buttongroup) to filter the year outside the calendar. Then, by doing an Ajax Refresh, get the data for that year and refresh the calendar.&lt;/li&gt;
&lt;/ol&gt;
&lt;p&gt;&lt;a href="http://i.stack.imgur.com/21ZdJ.jpg" rel="nofollow"&gt;Check this image for the example&lt;/a&gt;&lt;/p&gt;
&lt;ol start="2"&gt;
&lt;li&gt;You can copy the calendar pattern to your own application and change the EnableDays code to also work with the year.&lt;/li&gt;
&lt;/ol&gt;
&lt;p&gt;As you may have noticed on this last image, &lt;strong&gt;this calendar pattern is deprecated&lt;/strong&gt; (since Version 1.1.0, released on 16 July 2015), and the new version of the calendar, does the exact opposite, which is select the disabled dates.&lt;/p&gt;
&lt;p&gt;Although this second option is a bit harder to implement, and having in consideration that at a certain point the deprecated patterns may be deleted, it will allow you to keep upgrading Silk UI without loosing any functionality to your application.&lt;/p&gt;
</t>
  </si>
  <si>
    <t xml:space="preserve">&lt;p&gt;I need to remove a specific data from xml file along with data, I tried lot but couldn't get the right approach. Please help me out.&lt;/p&gt;
&lt;p&gt;Example Input:&lt;/p&gt;
&lt;pre&gt;&lt;code&gt;&amp;lt;isOurAccount&amp;gt;false&amp;lt;/isOurAccount&amp;gt;&amp;lt;maturityDate/&amp;gt;&amp;lt;openedDate/&amp;gt;&amp;lt;valuationAmount&amp;gt;0&amp;lt;valuationAmount&amp;gt;&amp;lt;value&amp;gt;0&amp;lt;/value&amp;gt;
&lt;/code&gt;&lt;/pre&gt;
&lt;p&gt;Expected output:&lt;/p&gt;
&lt;pre&gt;&lt;code&gt;&amp;lt;isOurAccount&amp;gt;false&amp;lt;/isOurAccount&amp;gt;&amp;lt;valuationAmount&amp;gt;0&amp;lt;valuationAmount&amp;gt;&amp;lt;value&amp;gt;0&amp;lt;/value&amp;gt;
&lt;/code&gt;&lt;/pre&gt;
&lt;p&gt;Similarly for rest of the elements for pattern &lt;code&gt;&amp;lt;somevalue/&amp;gt;&lt;/code&gt;&lt;/p&gt;
&lt;p&gt;Couldn't get the specific regular expression.&lt;/p&gt;
&lt;p&gt;Thanks&lt;/p&gt;
</t>
  </si>
  <si>
    <t xml:space="preserve">&lt;p&gt;I'm using gulp to convert SCSS into CSS code with the gulp-sass plugin. This is all working fine, but I also want to use gulp to receive input (SCSS code) from a Unix pipe (i.e. read &lt;code&gt;process.stdin&lt;/code&gt;) and consume this and stream the output to &lt;code&gt;process.stdout&lt;/code&gt;.&lt;/p&gt;
&lt;p&gt;From reading around &lt;code&gt;process.stdin&lt;/code&gt; is a &lt;code&gt;ReadableStream&lt;/code&gt; and &lt;code&gt;vinyl&lt;/code&gt; seems like it could wrap &lt;code&gt;stdin&lt;/code&gt; and then be used onwards in a gulp task, e.g.&lt;/p&gt;
&lt;pre&gt;&lt;code&gt;gulp.task('stdin-sass', function () {
    process.stdin.setEncoding('utf8');
    var file = new File({contents: process.stdin, path: './test.scss'});
    file.pipe(convert_sass_to_css())
        .pipe(gulp.dest('.'));
});
&lt;/code&gt;&lt;/pre&gt;
&lt;p&gt;However, when I do this I get an error:&lt;/p&gt;
&lt;pre&gt;&lt;code&gt;TypeError: file.isNull is not a function
&lt;/code&gt;&lt;/pre&gt;
&lt;p&gt;This makes me think that &lt;code&gt;stdin&lt;/code&gt; is somehow special, but the official documentation for node.js states that it is a true &lt;code&gt;ReadableStream&lt;/code&gt;.&lt;/p&gt;
</t>
  </si>
  <si>
    <t xml:space="preserve">&lt;p&gt;I am having three drop down list each drop down list referring to each entity like
&lt;a href="https://i.stack.imgur.com/5qZJw.jpg" rel="nofollow noreferrer"&gt;&lt;img src="https://i.stack.imgur.com/5qZJw.jpg" alt="enter image description here"&gt;&lt;/a&gt;&lt;/p&gt;
&lt;p&gt;In the web Page I am using the three drop down list like
&lt;a href="https://i.stack.imgur.com/s9cij.jpg" rel="nofollow noreferrer"&gt;&lt;img src="https://i.stack.imgur.com/s9cij.jpg" alt="enter image description here"&gt;&lt;/a&gt;
In the preperation I filter the Bus accoding to the Location selected and Time accodring to the Bus Selected.&lt;/p&gt;
&lt;p&gt;It works fine when we creating a new application but while editing it does not show the bus or time associated with the application filled out&lt;/p&gt;
&lt;p&gt;&lt;a href="https://i.stack.imgur.com/pNIci.jpg" rel="nofollow noreferrer"&gt;&lt;img src="https://i.stack.imgur.com/pNIci.jpg" alt="enter image description here"&gt;&lt;/a&gt;&lt;/p&gt;
&lt;p&gt;So everytime I have to edit the application manually I have to select the Route bus and Time.How can I address this issue.Any help is greatly appreciated.&lt;/p&gt;
</t>
  </si>
  <si>
    <t xml:space="preserve">&lt;p&gt;So, each dropdown list has a variable associated. That variable will carry the id of the selected row of the list added to the dropdown.
In my case will be &lt;strong&gt;SelectedRouteId&lt;/strong&gt;, &lt;strong&gt;SelectedBusId&lt;/strong&gt; and &lt;strong&gt;SelectedTimeId&lt;/strong&gt;.&lt;/p&gt;
&lt;p&gt;Now, on the preparation we need to filter the aggregate &lt;strong&gt;GetBuses&lt;/strong&gt; by the &lt;strong&gt;SelectedRouteId&lt;/strong&gt; and the aggregate &lt;strong&gt;GetTimes&lt;/strong&gt; by the &lt;strong&gt;SelectedBusId&lt;/strong&gt;:
&lt;a href="http://i.stack.imgur.com/6Usfq.png" rel="nofollow"&gt;Preparation&lt;/a&gt;.&lt;/p&gt;
&lt;p&gt;The only thing left to do it's to refresh the query (to get the time of the chosen bus and the buses of the chosen route) and the block with the combo boxes (to refresh the data displayed). To do that we need to create action with &lt;strong&gt;Refresh Data&lt;/strong&gt; of the buses or the time and do an &lt;strong&gt;Ajax Refresh&lt;/strong&gt; of the combo boxes: &lt;a href="http://i.stack.imgur.com/QTmBO.png" rel="nofollow"&gt;Combo Boxes - On Change Actions&lt;/a&gt;.&lt;/p&gt;
</t>
  </si>
  <si>
    <t xml:space="preserve">&lt;p&gt;&lt;em&gt;i installed a lightning component from app exchange ,now i  want to use that component in my custom lightning app&lt;/em&gt;&lt;/p&gt;
&lt;p&gt;&lt;strong&gt;is it possible??&lt;/strong&gt; &lt;/p&gt;
&lt;pre&gt;&lt;code&gt;&amp;lt;aura:app&amp;gt;
//code for adding components
&amp;lt;/aura:app&amp;gt;
&lt;/code&gt;&lt;/pre&gt;
</t>
  </si>
  <si>
    <t xml:space="preserve">&lt;p&gt;I'm just learning how to use Mendix and I'm running into a problem. I have a database that holds things such as Landing Zones, County, and Helicopter information. I can't seem to figure out how to connect my SQL Server database to the application. Any ideas?&lt;/p&gt;
</t>
  </si>
  <si>
    <t xml:space="preserve">&lt;p&gt;If you want to get data from another database, you will have to use appservices or webservices.&lt;/p&gt;
&lt;p&gt;Alternatively, you can connect your application to your MSSQL Database Settings -&gt; Profile&lt;/p&gt;
&lt;p&gt;&lt;a href="https://i.stack.imgur.com/nMKPm.png" rel="nofollow noreferrer"&gt;&lt;img src="https://i.stack.imgur.com/nMKPm.png" alt="enter image description here"&gt;&lt;/a&gt;
&lt;a href="https://i.stack.imgur.com/wbh6i.png" rel="nofollow noreferrer"&gt;&lt;img src="https://i.stack.imgur.com/wbh6i.png" alt="enter image description here"&gt;&lt;/a&gt;&lt;/p&gt;
&lt;p&gt;Create entities in your domainmodel for the data, and import your data into the table using the sql tool of your preference (&lt;a href="https://www.microsoft.com/en-us/server-cloud/products/sql-server-editions/sql-server-express.aspx" rel="nofollow noreferrer"&gt;SQL Express&lt;/a&gt;) &lt;/p&gt;
&lt;p&gt;This will work for static data. 
If the data is dynamic, you will need &lt;a href="https://world.mendix.com/display/refguide4/Call+Web+Service" rel="nofollow noreferrer"&gt;webservices&lt;/a&gt;&lt;/p&gt;
&lt;p&gt;Read more on how to &lt;a href="https://world.mendix.com/display/refguide6/Imported+web+service" rel="nofollow noreferrer"&gt;import&lt;/a&gt; or &lt;a href="https://world.mendix.com/display/refguide6/Published+Web+Services" rel="nofollow noreferrer"&gt;publish&lt;/a&gt; a webservice&lt;/p&gt;
&lt;p&gt;And here on consuming one&lt;/p&gt;
&lt;p&gt;If the data are in another mendix application, you might need to &lt;a href="https://world.mendix.com/display/refguide6/Consumed+App+Services" rel="nofollow noreferrer"&gt;consume&lt;/a&gt; a &lt;a href="https://world.mendix.com/display/refguide6/Published+App+Service" rel="nofollow noreferrer"&gt;published&lt;/a&gt; appservice to do it.&lt;/p&gt;
&lt;p&gt;Finally, you might get more feedback on the &lt;a href="https://mxforum.mendix.com/" rel="nofollow noreferrer"&gt;Mendix forum&lt;/a&gt;&lt;/p&gt;
</t>
  </si>
  <si>
    <t xml:space="preserve">&lt;p&gt;have created a Site Rule in SEO URL for example icommute.abc.org and it is using the espace iCommute.
I want to access the application using the SEO URL. When I try &lt;a href="https://icommute.abc.org/" rel="nofollow"&gt;https://icommute.abc.org/&lt;/a&gt; it doesnot open my application I even tried &lt;a href="https://icommute.abc.org/iCommute" rel="nofollow"&gt;https://icommute.abc.org/iCommute&lt;/a&gt; or &lt;a href="https://icommute.abc.org/iCommute/Login.aspx" rel="nofollow"&gt;https://icommute.abc.org/iCommute/Login.aspx&lt;/a&gt;.&lt;/p&gt;
&lt;p&gt;I tried www.icommute.abc.org and www.icommute.abc.org/iCommute.  But nothing seems to be working.&lt;/p&gt;
&lt;p&gt;Let me what is the mistake i am doing here.&lt;/p&gt;
</t>
  </si>
  <si>
    <t xml:space="preserve">&lt;p&gt;The site rules allow you to place a selected application at the root of an OutSystems server.&lt;/p&gt;
&lt;p&gt;You specify the hostname that should be matched in every URL and (whenever you reach the server via&lt;/p&gt;
&lt;blockquote&gt;
  &lt;p&gt;&amp;lt; someprotocol &gt;://&amp;lt; host &gt;/&amp;lt; MyPage.aspx &gt;&lt;/p&gt;
&lt;/blockquote&gt;
&lt;p&gt;the MyPage page of the selected application should be available there.&lt;/p&gt;
&lt;p&gt;If that isn't working it could be due to many things:&lt;/p&gt;
&lt;ol&gt;
&lt;li&gt;You typed in a protocol together with the host in the rule (i.e. use &lt;strong&gt;icommute.abc.org&lt;/strong&gt; not &lt;em&gt;&lt;a href="https://icommute.abc.org/" rel="nofollow"&gt;https://icommute.abc.org/&lt;/a&gt;&lt;/em&gt;;&lt;/li&gt;
&lt;li&gt;You are using &lt;a href="https://icommute.abc.org/" rel="nofollow"&gt;https://icommute.abc.org/&lt;/a&gt; (no page) but iCommute doesn't have a default entry point;&lt;/li&gt;
&lt;li&gt;The SEO filter is not installed in the server in the first place;&lt;/li&gt;
&lt;/ol&gt;
&lt;p&gt;Let us know.&lt;/p&gt;
</t>
  </si>
  <si>
    <t xml:space="preserve">&lt;p&gt;Is it possible to send mail from two valid sources?&lt;/p&gt;
&lt;p&gt;To expand on this, I run an online shop web app, to separate concerns (and servers) I'm now using a 3rd party to handle mailboxes, (zoho.com) so as you can imagine, my mx records point to their provided names, and spf looks as follows: &lt;code&gt;v=spf1 mx include:zoho.com ~all&lt;/code&gt; everything with zoho works smoothly.&lt;/p&gt;
&lt;p&gt;Now, at the end of each day we need to notify each of our customers about their orders, plus other various automated mails during the day.&lt;/p&gt;
&lt;p&gt;These mails come from the server, and are all sent using PHPMailer, but knowingly not using SMTP because I would very quickly fill zoho's queues and quotas for outgoing mail.&lt;/p&gt;
&lt;p&gt;And more importantly, I cannot don't receive mail from my own domain sent from the server, but all other users seem to get the server produced mails just fine.&lt;/p&gt;
&lt;p&gt;So the question is, what can I do to make my server a verified sender for my domain without removing zoho of course, some change in the SPF?&lt;/p&gt;
</t>
  </si>
  <si>
    <t xml:space="preserve">&lt;p&gt;So I've got a group of users who originally were going to use one custom object and nothing else, and now their team wants a Case system and the whole shebang.&lt;/p&gt;
&lt;p&gt;A Case means a Contact, which lives under the account. The Trouble is everything else these users do is driven from that one custom object they use, which isn't tied into the case system. This leaves my users with exactly the problem described here: &lt;a href="https://www.buttonclickadmin.com/salesforce-visual-workflow-advanced-flows/" rel="nofollow"&gt;https://www.buttonclickadmin.com/salesforce-visual-workflow-advanced-flows/&lt;/a&gt;&lt;/p&gt;
&lt;p&gt;In other words, Lots and lots of extra effort to find an account, check for a contact and then either use it or make a contact. &lt;/p&gt;
&lt;p&gt;Now, if I had a primary key (like the email) that I could count on 100% I'd use a flow like that other guy did. But I don't. Lots of the case contacts don't have email or just plain won't give it (or worse use a group email). AFAIK Record Lookups in a flow only pull one record.&lt;/p&gt;
&lt;p&gt;I could fix this with some snazzy VisualForce + Apex. I could take the Id from that one custom object the users have and give them a custom search. I could probably tag the Contact with that Id too (I'm trying not to, it's a big org and it's a pain to get permission to update Standard Objects).&lt;/p&gt;
&lt;p&gt;Am I missing something? Why are Case Contacts such a pain to create and manage for users? I understand that the workflow of Account -&gt; Contact -&gt; Case helps prevent duplicates, but it's incredibly confusing to tell my users "Don't go to the Case Tab when you want a case, find the account first". &lt;/p&gt;
</t>
  </si>
  <si>
    <t xml:space="preserve">&lt;p&gt;I have a requirement where I have created an community.
Contact will create an account. This will give them access to the portal where they can login to the community at any point and can fill out an applications for the programs.
No Tabs just a home screen with user’s contact info
Link on left:
My Account
My Applications
My Groups
Chatter
Once an application is approved, user will be made a member of the corresponding group.
If part of community but not part of any programs, they will have access to general chatter
Group Pages – will have separate chatter and home page.&lt;/p&gt;
&lt;p&gt;Can anyone please help me with this?&lt;/p&gt;
</t>
  </si>
  <si>
    <t xml:space="preserve">&lt;p&gt;I have created a community and its landing tab is home tab.It only consist of home tab.I need to display the contact information on this home tab.
Can anyone help me with this? I also need to activate chatter for this community.How do I do this?&lt;/p&gt;
</t>
  </si>
  <si>
    <t xml:space="preserve">&lt;p&gt;I have used home tab for chatter using custom link and components.I have used VF page to display contact information.&lt;/p&gt;
</t>
  </si>
  <si>
    <t xml:space="preserve">&lt;p&gt;I get the following return from zoho creators api:&lt;/p&gt;
&lt;pre&gt;&lt;code&gt;'var zohoview6 = {"Name_Registration":[     {"Approved":"Yes","Extension":1197,"ID_Number":"","Email":"xxx@yy.com","name_first  ":"Test","Updated":false,"ID":"1257609000000083070","Authorised":true,"NameID":68       }]};'
&lt;/code&gt;&lt;/pre&gt;
&lt;p&gt;I then use str.replace to remove 'var zohoview6 = '&lt;/p&gt;
&lt;p&gt;However, when I load the resulting str using json.loads(str) I get the following error&lt;/p&gt;
&lt;pre&gt;&lt;code&gt;ValueError: Extra data: line 1 column 192 - line 1 column 193 (char 191 - 192)
&lt;/code&gt;&lt;/pre&gt;
&lt;p&gt;Here's the return I get formatted nicely:&lt;/p&gt;
&lt;pre&gt;&lt;code&gt;var zohoview6 = 
{
    "Name_Registration":[
        {
        "Approved":"Yes",
        "Extension":1197,
        "ID_Number":"",
        "Email":"xxx@yy.com",
        "name_first":"Test",
        "Updated":false,
        "ID":"1257609000000083070",
        "Authorised":true,
        "NameID":68
        }]
};
&lt;/code&gt;&lt;/pre&gt;
&lt;p&gt;What am I doing wrong?&lt;/p&gt;
</t>
  </si>
  <si>
    <t xml:space="preserve">&lt;p&gt;You also need to remove the extra &lt;code&gt;;&lt;/code&gt; at the end of the string using, for instance, &lt;a href="https://docs.python.org/2/library/string.html#string.rstrip" rel="nofollow"&gt;&lt;code&gt;str.rstrip()&lt;/code&gt;&lt;/a&gt;:&lt;/p&gt;
&lt;pre&gt;&lt;code&gt;&amp;gt;&amp;gt;&amp;gt; import json
&amp;gt;&amp;gt;&amp;gt;
&amp;gt;&amp;gt;&amp;gt; s = 'var zohoview6 = {"Name_Registration":[     {"Approved":"Yes","Extension":1197,"ID_Number":"","Email":"xxx@yy.com","name_first  ":"Test","Updated":false,"ID":"1257609000000083070","Authorised":true,"NameID":68       }]};'
&amp;gt;&amp;gt;&amp;gt; data = s.replace("var zohoview6 = ", "").rstrip(";")
&amp;gt;&amp;gt;&amp;gt; json.loads(data)
{u'Name_Registration': [{u'Updated': False, u'Extension': 1197, u'ID_Number': u'', u'Email': u'xxx@yy.com', u'Authorised': True, u'name_first  ': u'Test', u'ID': u'1257609000000083070', u'NameID': 68, u'Approved': u'Yes'}]}
&lt;/code&gt;&lt;/pre&gt;
</t>
  </si>
  <si>
    <t xml:space="preserve">&lt;p&gt;I'm new to Zoho CRM. I need to show a warning on button press but only once for the first button press. This sounds really simple but yet I can't figure out how to do it in Zoho Creator as all variables seems to have local scope so I can't determine if the button was pressed before. I've been searching if there are global variables in Zoho but found only workarounds with creating another applications for that case.&lt;/p&gt;
&lt;p&gt;I've also tried creating a field on my form and hiding it to pass some value there if the button was pressed so next time I can check this field but is not working for some reason.&lt;/p&gt;
&lt;p&gt;In validation part I'm assigning new value to a field&lt;/p&gt;
&lt;pre&gt;&lt;code&gt;warning_shown=true;
&lt;/code&gt;&lt;/pre&gt;
&lt;p&gt;But on a form this checkbox remains unchecked and next time I press the button &lt;code&gt;warning_shown&lt;/code&gt; equals &lt;code&gt;false&lt;/code&gt;.&lt;/p&gt;
&lt;p&gt;Any suggestions will be appreciated!&lt;/p&gt;
</t>
  </si>
  <si>
    <t xml:space="preserve">&lt;p&gt;In case someone interested, here is a reply I got on another forum that might help. Here is a link for that &lt;a href="https://forums.zoho.com/topic/fill-the-field-from-validation-or-any-workaround-for-global-variables?reply=true" rel="nofollow"&gt;topic&lt;/a&gt;&lt;/p&gt;
&lt;p&gt;It's not going to be possible to use the validation code section to display the message.&lt;/p&gt;
&lt;p&gt;I was thinking you could have your hidden decision box field, and in the "On User Input" of the last field in the form you could use something like:&lt;/p&gt;
&lt;pre&gt;&lt;code&gt;//remember to change field names accordingly
if !input.warning_shown
{
      alert "Message here!";
      input.warning_shown = true;
}
&lt;/code&gt;&lt;/pre&gt;
&lt;p&gt;This would show the message after the last field is filled but before the button is clicked.&lt;/p&gt;
</t>
  </si>
  <si>
    <t xml:space="preserve">&lt;p&gt;Is there a way I can detect if the user is accessing an application through a mobile browser or with a PhoneGap app using Java?  I have seen some examples of how to do this using Javascript but not using Java.  I've read that you can read the URL address and determine if users are accessing the application using a mobile browser or using the PhoneGap app, but I am not quite sure how to implement this and do not understand how the URL addresses will differ.  Any suggestions to point me in the right direction would be greatly appreciated.  Thank you so much. &lt;/p&gt;
</t>
  </si>
  <si>
    <t xml:space="preserve">&lt;p&gt;I have a list of date and I want them to be enabled in the calendarwidget of my application. The calendar widgets allows me to give only the list of dates that needs to disabled.&lt;/p&gt;
&lt;p&gt;&lt;a href="https://i.stack.imgur.com/v6F4g.jpg" rel="nofollow noreferrer"&gt;&lt;img src="https://i.stack.imgur.com/v6F4g.jpg" alt="enter image description here"&gt;&lt;/a&gt;&lt;/p&gt;
&lt;p&gt;The issue is in the widget I am using I can give only the list of DisabledDates. I have converted the above dates in to the format 2015-3-6,2015-3-8,2015-3-7,2015-5-4,2015-5-7,2015-5-12,2015-6-16,2015-7-2,2015-10-19&lt;/p&gt;
&lt;p&gt;But I need to get the rest of the dates in the calendar in the above format. I am not sure how do I get. Any leads is highly appreciated.&lt;/p&gt;
</t>
  </si>
  <si>
    <t xml:space="preserve">&lt;p&gt;I'm generating a dungeon out of prefabs =&gt; lightning has to be realtime. I also have a Directional light with baking set to realtime. But as you can see on this picture, it looks really bad.&lt;a href="https://i.stack.imgur.com/5lja7.png" rel="nofollow noreferrer"&gt;&lt;img src="https://i.stack.imgur.com/5lja7.png" alt="lightning"&gt;&lt;/a&gt;&lt;br&gt;
I have two questions now:&lt;/p&gt;
&lt;ul&gt;
&lt;li&gt;&lt;p&gt;Why doesn't it illuminate the room like a real light would do?&lt;/p&gt;&lt;/li&gt;
&lt;li&gt;&lt;p&gt;Has someone some tips on real time illumination?&lt;/p&gt;&lt;/li&gt;
&lt;/ul&gt;
</t>
  </si>
  <si>
    <t xml:space="preserve">&lt;p&gt;The lighting effect that you're describing is a component of a Global Illumination (GI) system. Generally, GI is a very expensive operation that can't be performed in realtime for applications such as games. However, since Unity 5 was released, the game engine offers a couple solutions for this: baked GI, and realtime (precomputed) GI.&lt;/p&gt;
&lt;p&gt;You're probably more likely to use the latter solution, so &lt;a href="https://www.youtube.com/watch?v=LB8zE67TBAs" rel="nofollow"&gt;here's a pretty good tutorial&lt;/a&gt; covering the different settings available. Naturally, the &lt;a href="http://docs.unity3d.com/Manual/GIIntro.html" rel="nofollow"&gt;Unity documentation&lt;/a&gt; has plenty of information on the topic too (just click through the subtopics of &lt;em&gt;Global Illumination&lt;/em&gt;).&lt;/p&gt;
&lt;p&gt;The basic things to check/remember:&lt;/p&gt;
&lt;ul&gt;
&lt;li&gt;Set your objects as Static, or use Light Probes to allow them to be baked/precomputed for global illumination&lt;/li&gt;
&lt;li&gt;Make sure the desired Global Illumination option is checked off in the Lighting tab&lt;/li&gt;
&lt;/ul&gt;
</t>
  </si>
  <si>
    <t xml:space="preserve">&lt;p&gt;I need to fetch the name of objects from custom setting and based on the name I need to create a dynamic Sooql for getting child objects id in order to share them with specific users.&lt;/p&gt;
&lt;p&gt;Please see below part of trigger code that I am trying in order to achieve this.&lt;/p&gt;
&lt;pre&gt;&lt;code&gt;SubQ =',(select id from ' + CustomMap.get(objName).API_Field__c + ')'; 
String queryStr=' select id '+ SubQuery + ' from Account where id in:accId';
List&amp;lt;Account&amp;gt; objdata =Database.query(queryStr);
for(String objName : CustomMap.keyset()) {
// Here custom map contains object name as key.
// objdata is the Account List created from sooql.
     for(Account ac : objdata){
       for(objName obj : ac.objName ){
      if(recordIdsMap.containsKey('ObjName')){
          List&amp;lt;String&amp;gt; recordIds = recordIdsMap.get('ObjName');
            recordIds.add(obj.Id);
            system.debug('recordIds' + recordIds);
           recordIdsMap.put('ObjName',recordIds);
           }
            else{
             system.debug('Recordid'  + obj.id);
            recordIdsMap.put('ObjName', new List&amp;lt;String&amp;gt; {obj.id});
}
&lt;/code&gt;&lt;/pre&gt;
&lt;p&gt;but its giving typecasting errors here at line:&lt;/p&gt;
&lt;pre&gt;&lt;code&gt;for(objName obj : ac.objName ){
&lt;/code&gt;&lt;/pre&gt;
&lt;p&gt;because objname is string and not object here and even if I try to convert it to sobject it won't work because soject id supermost object and won't be able to call it from account.&lt;/p&gt;
&lt;p&gt;If I hardcode the object here like so:&lt;/p&gt;
&lt;pre&gt;&lt;code&gt; for(cases obj : ac.cases){
&lt;/code&gt;&lt;/pre&gt;
&lt;p&gt;it will work but my requirement is to make it generic.&lt;/p&gt;
</t>
  </si>
  <si>
    <t xml:space="preserve">&lt;p&gt;I just need to push the information from zoho CRM to zoho subscriptions using api .I am totally new in So please help me.&lt;/p&gt;
</t>
  </si>
  <si>
    <t xml:space="preserve">&lt;p&gt;I'm having issues communicating to a nested component. I would like a component to be able to run a method in the nested-component's controller.js (or helper). I have tried both events and via and no luck. Here is the example markup:&lt;/p&gt;
&lt;pre&gt;&lt;code&gt;&amp;lt;!-- myEvent.evt --&amp;gt;
&amp;lt;aura:event type="APPLICATION"&amp;gt;
&amp;lt;/aura:event&amp;gt;
&amp;lt;!-- super-component --&amp;gt;
&amp;lt;aura:component&amp;gt;
    &amp;lt;aura:registerEvent name="myEventName" type="c:myEvent"/&amp;gt;
    &amp;lt;c:my_Nested_Component /&amp;gt;
    &amp;lt;ui:button press="{!fireEvent}"
&amp;lt;aura:component&amp;gt;
//super-component_controller.js
({
  fireEvent: function(component){
    var myEvent = component.getEvent("myEventName");
    myEvent.fire();
    console.log('event fired');
  }
})
------------------------------------------
&amp;lt;!-- nested-component --&amp;gt;
&amp;lt;aura:component&amp;gt;
    &amp;lt;aura:handler name="myEventName" event="c:c:myEvent" action="{!c.gotEvent}" /&amp;gt;
&amp;lt;aura:component&amp;gt;
//nested-component_controller.js
({
  gotEvent: function(component, event){
    console.log('received event!');
  }
})
&lt;/code&gt;&lt;/pre&gt;
&lt;p&gt;This does not work. I tried the same exact code that I placed on the nested-component on a super-super-component, and it worked perfectly.The super-super component received the event. But the nested component is not able to. I figured this had to do with events only bubbling up (though the documentation does say that that is only the case with Component events, not application events).&lt;/p&gt;
&lt;p&gt;So the other option I read online is using . I tried doing this, but this too did not work for speaking to a nested component.&lt;/p&gt;
&lt;p&gt;How can a parent component cause a method on the nested component to fire?&lt;/p&gt;
&lt;p&gt;Thank you&lt;/p&gt;
</t>
  </si>
  <si>
    <t xml:space="preserve">&lt;p&gt;I'm writing plugin for &lt;strong&gt;Gulp&lt;/strong&gt;, and in order to process file i need to get it's full path. I used through2 package, then prepared &lt;code&gt;processFile(file)&lt;/code&gt; function, but as an argument from through2 it receives file in strange XML-like format instead of object like &lt;code&gt;file.path&lt;/code&gt;, &lt;code&gt;file.encoding&lt;/code&gt; and so on.&lt;/p&gt;
&lt;p&gt;How can I receive file.path when through2 is returning each file in following format:&lt;/p&gt;
&lt;p&gt;&lt;code&gt;&amp;lt;File "relative/path/to/file/aaa.js" ...&lt;/code&gt;&lt;/p&gt;
&lt;p&gt;&lt;strong&gt;Full code:&lt;/strong&gt;&lt;/p&gt;
&lt;pre&gt;&lt;code&gt;var through = require('through2');
module.exports = function() {
  return through.obj(function(file, encoding, callback) {
    function processFile(file){
      console.log(file); // returns &amp;lt;File "relative/path/to/file/aaa.js" ...
    }
    callback(null, processFile(file));
  });
};
&lt;/code&gt;&lt;/pre&gt;
</t>
  </si>
  <si>
    <t xml:space="preserve">&lt;p&gt;What you get on the console is just how &lt;code&gt;File&lt;/code&gt; objects are turned into strings by &lt;code&gt;console.log&lt;/code&gt;, which is what happens when you execute &lt;code&gt;console.log(file)&lt;/code&gt;. Ultimately, the &lt;a href="https://github.com/gulpjs/vinyl/blob/3e8b132cd87bf5ab536ff7a4c6d660e33f5990b4/index.js#L123" rel="nofollow"&gt;&lt;code&gt;inspect&lt;/code&gt; method&lt;/a&gt; is called and you get the results you see (which is not XML, by the way). &lt;/p&gt;
&lt;p&gt;If I use your code and dump to the console &lt;code&gt;file.path&lt;/code&gt;, I get the correct values. Same with &lt;code&gt;file.base&lt;/code&gt; and &lt;code&gt;file.relative&lt;/code&gt;.&lt;/p&gt;
</t>
  </si>
  <si>
    <t xml:space="preserve">&lt;p&gt;Is it possible to link Linkedin with Zoho CRM ? I spoke to Zoho and they said Linkedin don't provide them with an API anymore but they may do it on an individual basis. &lt;/p&gt;
&lt;p&gt;Kind regards, &lt;/p&gt;
</t>
  </si>
  <si>
    <t xml:space="preserve">&lt;p&gt;I'm building a website in OutSystems.
For this website I use a custom font.
Is it possible to add a folder to the eSpace Tree so I can put my custom font in that folder?&lt;/p&gt;
&lt;p&gt;Or is there another way to add the custom font to the espace?&lt;/p&gt;
&lt;p&gt;Grtz&lt;/p&gt;
</t>
  </si>
  <si>
    <t xml:space="preserve">&lt;p&gt;You can add the font as a resource. Make sure that the resource has the deploy action defined as 'Deploy to Target Directory'.&lt;/p&gt;
&lt;p&gt;Then, you can refer to it in the css with the path &lt;/p&gt;
&lt;pre&gt;&lt;code&gt;/eSpaceName/fontname.ttf
&lt;/code&gt;&lt;/pre&gt;
</t>
  </si>
  <si>
    <t xml:space="preserve">&lt;p&gt;I like to add a meta tag in the &lt;code&gt;&amp;lt;head&amp;gt;&lt;/code&gt; of my html page to prevent zoom on mobile.&lt;/p&gt;
&lt;p&gt;But I cannot find a way to do this in OutSystems.
On the forum they refer to the extension &lt;a href="https://www.outsystems.com/forge/component-details/63/Extension+HTTPRequestHandler/" rel="nofollow"&gt;&lt;code&gt;HTTPRequestHandler&lt;/code&gt;&lt;/a&gt;, but this extension is deprecated. &lt;/p&gt;
&lt;p&gt;They state&lt;/p&gt;
&lt;blockquote&gt;
  &lt;p&gt;Starting in version 6.0, this solution is installed with the Platform Server and will no longer be available as a standalone download.&lt;/p&gt;
&lt;/blockquote&gt;
&lt;p&gt;but I cannot find where this should be.&lt;/p&gt;
&lt;p&gt;I use OutSystems 9.0.1.50.&lt;/p&gt;
</t>
  </si>
  <si>
    <t xml:space="preserve">&lt;p&gt;You should have this extension published by default in your environment. Have you double checked?&lt;/p&gt;
</t>
  </si>
  <si>
    <t xml:space="preserve">&lt;p&gt;I am using zoho remote api for normal form, but i get error whenever i try to save my document Please help me to correct my code that is given below
i need help to save my document. every time i save the document get the error "unable post the content"&lt;/p&gt;
&lt;pre&gt;&lt;code&gt;&amp;lt;form accept-charset="UTF-8" target="_blank" action="https://sheet.zoho.com/remotedoc.im" method="POST"&amp;gt;
&amp;lt;input type="hidden" value="http://example.com/demo1/test.csv" name="url"&amp;gt;
&amp;lt;input type="hidden" value="**********" name="apikey"&amp;gt;
&amp;lt;input type="hidden" value="editor" name="output"&amp;gt;
&amp;lt;input type="hidden" value="normaledit" name="mode"&amp;gt;
&amp;lt;input type="hidden" value="test.csv" name="filename"&amp;gt;
&amp;lt;input type="hidden" value="en" name="lang"&amp;gt;
&amp;lt;input type="hidden" value="12345678" name="id"&amp;gt;
&amp;lt;input type="hidden" value="csv" name="format"&amp;gt;
&amp;lt;input type="hidden" value="save.php" name="saveurl"&amp;gt;
&amp;lt;input c type="submit" value="Details" name="submit"&amp;gt;
&amp;lt;/form&amp;gt;
&amp;lt;?php
$filepath = '/home/spatials/public_html/demo1/'.$_FILES['content']['name'];
$tmp_filename = $_FILES['content']['tmp_name']; 
$upload_status = move_uploaded_file($tmp_filename, $filepath); 
?&amp;gt;
&lt;/code&gt;&lt;/pre&gt;
&lt;p&gt;Pleas correct my code&lt;/p&gt;
</t>
  </si>
  <si>
    <t xml:space="preserve">&lt;p&gt;Wrong Save URL:&lt;/p&gt;
&lt;pre&gt;&lt;code&gt;&amp;lt;input type="hidden" value="php/save.php" name="saveurl" /&amp;gt;
&lt;/code&gt;&lt;/pre&gt;
&lt;p&gt;Correct Save URL:&lt;/p&gt;
&lt;pre&gt;&lt;code&gt;&amp;lt;input type="hidden" name="saveurl" value="http://example.com/demo1/save.php" /&amp;gt; 
&lt;/code&gt;&lt;/pre&gt;
&lt;p&gt;WIKI page link for reference: &lt;a href="https://apihelp.wiki.zoho.com/Save-Document.html" rel="nofollow"&gt;https://apihelp.wiki.zoho.com/Save-Document.html&lt;/a&gt;&lt;/p&gt;
</t>
  </si>
  <si>
    <t xml:space="preserve">&lt;p&gt;I have a map of &lt;code&gt;sobject&lt;/code&gt;s like this:&lt;/p&gt;
&lt;pre&gt;&lt;code&gt;Map&amp;lt;String,list&amp;lt;sobject&amp;gt;&amp;gt; recordIdsMap = new Map&amp;lt;String,list&amp;lt;sobject&amp;gt;&amp;gt;();
&lt;/code&gt;&lt;/pre&gt;
&lt;p&gt;Now my requirement is to iterate over this map, access the field and assign some value to it.&lt;/p&gt;
&lt;p&gt;Code that I am currently trying for this:&lt;/p&gt;
&lt;pre&gt;&lt;code&gt;for(Sobject target: recordIdsMap.values()){
  target.BR_District__c = recorddestinationId;
  obj.add(target);
} 
&lt;/code&gt;&lt;/pre&gt;
&lt;p&gt;But this isn't able to access the field name &lt;code&gt;BR_District__c&lt;/code&gt; because it can't identify the object type.&lt;/p&gt;
</t>
  </si>
  <si>
    <t xml:space="preserve">&lt;p&gt;I suggest you use &lt;a href="https://developer.salesforce.com/docs/atlas.en-us.200.0.apexcode.meta/apexcode/apex_methods_system_sobject.htm#apex_System_SObject_put" rel="nofollow"&gt;put(fieldName, value)&lt;/a&gt; method on your sObject (&lt;em&gt;target&lt;/em&gt; in your case).&lt;/p&gt;
&lt;p&gt;Should be smth like&lt;/p&gt;
&lt;pre&gt;&lt;code&gt;for(Sobject target : recordIdsMap.values()) {    
  target.put('BR_District__c', recorddestinationId);
  obj.add(target);    
}
&lt;/code&gt;&lt;/pre&gt;
</t>
  </si>
  <si>
    <t xml:space="preserve">&lt;p&gt;I'm playing around and evaluation CRM systems and came across ZOHO.  All the examples I have seen post XML to the APi methods.  I'm wondering if ZOHO supports JSON posts and any examples there may be&lt;/p&gt;
</t>
  </si>
  <si>
    <t xml:space="preserve">&lt;p&gt;I have a requirement where i need to display Order records which are assigned to Queue of which Loged in User is part of.&lt;/p&gt;
&lt;p&gt;Basically Need to fetch the Assignto Field from  Approval History and compare with Queue ID.&lt;/p&gt;
&lt;p&gt;Please see the below Code that i am trying out:&lt;/p&gt;
&lt;pre&gt;&lt;code&gt; for(ProcessInstanceStep steps1 : [Select id,p.ActorId,p.processInstanceid,p.processInstance.id,p.processInstance.targetobject.id from 
                                                  ProcessInstanceStep  p where  p.OriginalActorId ='00Gi0000004qIOFEA2'  ]) {
                                TargetIDList.add(steps1.ProcessInstance.TargetObjectId);    
                                system.debug('CheckRecords' + TargetIDList.size()); 
&lt;/code&gt;&lt;/pre&gt;
&lt;p&gt;But unfortunatily its not returning any records..&lt;/p&gt;
&lt;p&gt;Is i am using correct Field "OriginalActorId" of Steps in order to compare with Queue id here.&lt;/p&gt;
&lt;p&gt;Please suggest.&lt;/p&gt;
</t>
  </si>
  <si>
    <t xml:space="preserve">&lt;p&gt;From, a google spreadshhet, I'm trying to collect records from Zoho.&lt;/p&gt;
&lt;p&gt;I've tested this code:&lt;/p&gt;
&lt;p&gt;&lt;div class="snippet" data-lang="js" data-hide="false"&gt;
&lt;div class="snippet-code"&gt;
&lt;pre class="snippet-code-js lang-js prettyprint-override"&gt;&lt;code&gt;var urlgetRecords = 'https://crm.zoho.com/crm/private/json/Leads/getRecords?newFormat=1&amp;amp;authtoken=00000&amp;amp;scope=crmapi&amp;amp;selectColumns=Leads(First Name,Last Name,Email)&amp;amp;fromIndex=1&amp;amp;toIndex=2&amp;amp;sortColumnString=First Name&amp;amp;sortOrderString=desc';
var jsonResponse = UrlFetchApp.fetch(urlgetgetRecords);&lt;/code&gt;&lt;/pre&gt;
&lt;/div&gt;
&lt;/div&gt;
&lt;/p&gt;
&lt;p&gt;This is what obtain:&lt;/p&gt;
&lt;blockquote&gt;
  &lt;p&gt;{"response":{"result":{"Leads":{"row":[{"no":"1","FL":[{"content":"1412559000000441145","val":"LEADID"},{"content":"Víctor","val":"First
  Name"},{"content":"Aguilera Moreno","val":"Last
  Name"},{"content":"v-aguilera@hotmail.com","val":"Email"}]},{"no":"2","FL":[{"content":"1412559000000308001","val":"LEADID"},{"content":"Victor","val":"First
  Name"},{"content":"Porta","val":"Last
  Name"},{"content":"vporta@test.es","val":"Email"}]}]}},"uri":"/crm/private/json/Leads/getRecords"}}&lt;/p&gt;
&lt;/blockquote&gt;
&lt;p&gt;Please, How can write every row in this response in a spreadsheet?&lt;/p&gt;
&lt;p&gt;Thank you very much in advance :)&lt;/p&gt;
</t>
  </si>
  <si>
    <t xml:space="preserve">&lt;p&gt;Write ZOHO data to Google spreadsheet.  To use the code below, edit the sheet tab name in the &lt;code&gt;getSheetByName('Sheet2')&lt;/code&gt; method to the sheet tab where you want the data to be appended to.&lt;/p&gt;
&lt;p&gt;I've tested this code and it works:&lt;/p&gt;
&lt;pre&gt;&lt;code&gt;function writeZohoToSheet(zohoDataObject) {
  var zohoDataObject = {"response":
                        {"result":
                         {"Leads":
                          {"row":
                           [{"no":"1","FL":[
                              {"content":"12345678IDNumber","val":"LEADID"},
                              {"content":"Víctor","val":"First Name"},
                              {"content":"Aguilera Moreno","val":"Last Name"},
                              {"content":"v-agEmailTest@hotmail.com","val":"Email"}]
                            },
                            {"no":"2","FL":[
                              {"content":"987654321IDNumber","val":"LEADID"},
                              {"content":"Victor","val":"First Name"},
                              {"content":"Porta","val":"Last Name"},
                              {"content":"someEmail@test.es","val":"Email"}]
                            }
                           ]
                          }
                         },"uri":"/crm/private/json/Leads/getRecords"}};
  var rows = zohoDataObject.response.result.Leads.row;
  Logger.log('rows: ' + rows);
  Logger.log('rows.length: ' + rows.length);
  var ss = SpreadsheetApp.getActiveSpreadsheet();
  var sh = ss.getSheetByName('Sheet2');
  var array = [], thisRow, thisContent, innerObj;
  for (var r in rows) {
    array = []; //reset
    thisRow = rows[r];
    thisContent = thisRow.FL;
    array.push(r);
    for (var i=0;i&amp;lt;thisContent.length;i+=1) {
      innerObj = thisContent[i];
      array.push(innerObj.val);
      array.push(innerObj.content);
    };
    sh.appendRow(array);
  }; 
};
&lt;/code&gt;&lt;/pre&gt;
&lt;p&gt;You would call the function with:&lt;/p&gt;
&lt;pre&gt;&lt;code&gt;writeZohoToSheet(jsonResponse);
&lt;/code&gt;&lt;/pre&gt;
&lt;p&gt;Remove the "hard coded" object literal, or comment it out in order to pass in the retrieved object.&lt;/p&gt;
</t>
  </si>
  <si>
    <t xml:space="preserve">&lt;p&gt;I'm trying to build a functionality where user can export contacts from salesforce. I used REST API and the below api to get contacts from user account. I'm able to access contacts from my account but if I login as different user(account which is not used to create the API key) then I'm not able to use the below API, I'm getting 403 forbidden error, am I doing something wrong?&lt;/p&gt;
&lt;pre&gt;&lt;code&gt;services/data/v20.0/query/?q=SELECT+name,email+from+Contact
&lt;/code&gt;&lt;/pre&gt;
&lt;p&gt;I tried to search for document related to this but unfortunately I couldn't able to find one. Can somebody please help me on this?&lt;/p&gt;
</t>
  </si>
  <si>
    <t xml:space="preserve">&lt;p&gt;I'm using the Zoho API to insert leads into the CRM.&lt;/p&gt;
&lt;p&gt;Everything is working fine except when one of the fields contains an ampersand, in which case the response from Zoho is this:&lt;/p&gt;
&lt;pre&gt;&lt;code&gt;&amp;lt;?xml version="1.0" encoding="UTF-8" ?&amp;gt;
&amp;lt;response uri="/crm/private/xml/Leads/insertRecords"&amp;gt;
  &amp;lt;error&amp;gt;
    &amp;lt;code&amp;gt;4835&amp;lt;/code&amp;gt;
    &amp;lt;message&amp;gt;Unable to parse XML data&amp;lt;/message&amp;gt;
  &amp;lt;/error&amp;gt;
&amp;lt;/response&amp;gt;
&lt;/code&gt;&lt;/pre&gt;
&lt;p&gt;I've tried the following payloads without any success:&lt;/p&gt;
&lt;p&gt;&lt;strong&gt;1/&lt;/strong&gt;&lt;/p&gt;
&lt;pre&gt;&lt;code&gt;&amp;lt;Leads&amp;gt;
    &amp;lt;row no="1"&amp;gt;
        &amp;lt;FL val="Lead Owner"&amp;gt;me@example.com&amp;lt;/FL&amp;gt;
        &amp;lt;FL val="Company"&amp;gt;Marks &amp;amp; Spencer&amp;lt;/FL&amp;gt;
    &amp;lt;/row&amp;gt;
&amp;lt;/Leads&amp;gt;
&lt;/code&gt;&lt;/pre&gt;
&lt;p&gt;&lt;strong&gt;2/&lt;/strong&gt;&lt;/p&gt;
&lt;pre&gt;&lt;code&gt;&amp;lt;Leads&amp;gt;
    &amp;lt;row no="1"&amp;gt;
        &amp;lt;FL val="Lead Owner"&amp;gt;me@example.com&amp;lt;/FL&amp;gt;
        &amp;lt;FL val="Company"&amp;gt;Marks &amp;amp;amp; Spencer&amp;lt;/FL&amp;gt;
    &amp;lt;/row&amp;gt;
&amp;lt;/Leads&amp;gt;
&lt;/code&gt;&lt;/pre&gt;
&lt;p&gt;&lt;strong&gt;3/&lt;/strong&gt;&lt;/p&gt;
&lt;pre&gt;&lt;code&gt;&amp;lt;Leads&amp;gt;
    &amp;lt;row no="1"&amp;gt;
        &amp;lt;FL val="Lead Owner"&amp;gt;me@example.com&amp;lt;/FL&amp;gt;
        &amp;lt;FL val="Company"&amp;gt;Marks &amp;amp;#038; Spencer&amp;lt;/FL&amp;gt;
    &amp;lt;/row&amp;gt;
&amp;lt;/Leads&amp;gt;
&lt;/code&gt;&lt;/pre&gt;
&lt;p&gt;&lt;strong&gt;4/&lt;/strong&gt;&lt;/p&gt;
&lt;pre&gt;&lt;code&gt;&amp;lt;Leads&amp;gt;
    &amp;lt;row no="1"&amp;gt;
        &amp;lt;FL val="Lead Owner"&amp;gt;me@example.com&amp;lt;/FL&amp;gt;
        &amp;lt;FL val="Company"&amp;gt;&amp;lt;![CDATA[Marks &amp;amp;amp; Spencer]]&amp;gt;&amp;lt;/FL&amp;gt;
    &amp;lt;/row&amp;gt;
&amp;lt;/Leads&amp;gt;
&lt;/code&gt;&lt;/pre&gt;
&lt;p&gt;I've even tested by replacing the ampersand by &lt;code&gt;%26&lt;/code&gt; as advised on this &lt;a href="https://forums.zoho.com/topic/api-throws-error-when-passing-ampersand-and-via-xml" rel="nofollow"&gt;Zoho forum thread&lt;/a&gt; but with no luck.&lt;/p&gt;
&lt;p&gt;What is the correct format to encode ampersands for Zoho queries?&lt;/p&gt;
</t>
  </si>
  <si>
    <t xml:space="preserve">&lt;p&gt;Finally found a solution: strings containing a special characters must be contained in &lt;code&gt;CDATA&lt;/code&gt; sections &lt;strong&gt;AND&lt;/strong&gt; those special characters need to be &lt;a href="https://en.wikipedia.org/wiki/Percent-encoding#Percent-encoding_reserved_characters" rel="nofollow"&gt;percent encoded&lt;/a&gt;.&lt;/p&gt;
&lt;p&gt;So for the example above, this gives:&lt;/p&gt;
&lt;pre&gt;&lt;code&gt;&amp;lt;Leads&amp;gt;
    &amp;lt;row no="1"&amp;gt;
        &amp;lt;FL val="Lead Owner"&amp;gt;me@example.com&amp;lt;/FL&amp;gt;
        &amp;lt;FL val="Company"&amp;gt;&amp;lt;![CDATA[Marks %26 Spencer]]&amp;gt;&amp;lt;/FL&amp;gt;
    &amp;lt;/row&amp;gt;
&amp;lt;/Leads&amp;gt;
&lt;/code&gt;&lt;/pre&gt;
&lt;p&gt;Note that the value &lt;code&gt;Marks%20%26%20Spencer&lt;/code&gt; is also OK for the API.&lt;/p&gt;
</t>
  </si>
  <si>
    <t xml:space="preserve">&lt;p&gt;I have a requirement on knowledge articles, to display on the visualforce page and also have to give self relationship to the same article type. ,That means one article can be associated with multiple articles like child and parent . Since saleforce has not provided to create a lookup to the article, so can any one please let me know what is the best way to achieve this functionality.&lt;/p&gt;
&lt;p&gt;Note:
In visualforce page, if i click on one article i should be navigated to the next page which contains list of related articles under that article record.&lt;/p&gt;
&lt;p&gt;Thanks,
Shiva&lt;/p&gt;
</t>
  </si>
  <si>
    <t xml:space="preserve">&lt;p&gt;I have a list of date and I want them to be enabled in the calendarwidget of my application. The calendar widgets allows me to give only the list of dates that needs to disabled.&lt;/p&gt;
&lt;p&gt;&lt;a href="https://i.stack.imgur.com/ubFWl.jpg" rel="nofollow noreferrer"&gt;&lt;img src="https://i.stack.imgur.com/ubFWl.jpg" alt="enter image description here"&gt;&lt;/a&gt;&lt;/p&gt;
&lt;p&gt;I can convert the above dates in to the format 2015-3-6,2015-3-8,2015-3-7,2015-5-4,2015-5-7,2015-5-12,2015-6-16,2015-7-2,2015-10-19&lt;/p&gt;
&lt;p&gt;But I need to get the rest of the dates expect the above dates in the calendar in the above format. I am not sure how do I get. Any idea to how I can achieve this is really appreciated&lt;/p&gt;
</t>
  </si>
  <si>
    <t xml:space="preserve">&lt;p&gt;&lt;strong&gt;TABLE&lt;/strong&gt;&lt;/p&gt;
&lt;pre&gt;&lt;code&gt;CREATE TABLE Available
    (`IsAvailable` datetime);
INSERT INTO Available
    (`IsAvailable`)
VALUES
    ('2015-03-06 00:00:00'),        ('2015-03-08 00:00:00'),
    ('2015-03-07 00:00:00'),        ('2015-05-04 00:00:00'),
    ('2015-05-07 00:00:00'),        ('2015-05-12 00:00:00'),
    ('2015-06-16 00:00:00'),        ('2015-07-02 00:00:00'),
    ('2015-10-19 00:00:00');
&lt;/code&gt;&lt;/pre&gt;
&lt;p&gt;&lt;strong&gt;&lt;a href="http://sqlfiddle.com/#!9/2b1684/1" rel="nofollow"&gt;SQL Fiddle Demo&lt;/a&gt;&lt;/strong&gt;&lt;/p&gt;
&lt;pre&gt;&lt;code&gt;select y2015.selected_date,
       IF(Available.`IsAvailable` IS NULL, FALSE, TRUE) as Available
from 
     (select adddate('2015-01-01', t2.i*100 + t1.i*10 + t0.i) selected_date 
      from
         (select 0 i union select 1 union select 2 union select 3 union select 4 union select 5 union select 6 union select 7 union select 8 union select 9) t0,
         (select 0 i union select 1 union select 2 union select 3 union select 4 union select 5 union select 6 union select 7 union select 8 union select 9) t1,
         (select 0 i union select 1 union select 2 union select 3 union select 4 union select 5 union select 6 union select 7 union select 8 union select 9) t2
     ) y2015
LEFT JOIN Available
       ON y2015.selected_date = Available.`IsAvailable`   
where y2015.selected_date &amp;lt; '2016-01-01'
&lt;/code&gt;&lt;/pre&gt;
&lt;p&gt;&lt;strong&gt;OUTPUT&lt;/strong&gt;&lt;/p&gt;
&lt;pre&gt;&lt;code&gt;| selected_date | Available |
|---------------|-----------|
|    2015-03-06 |         1 |   \
|    2015-03-08 |         1 |    \
|    2015-03-07 |         1 |    |
|    2015-05-04 |         1 |    \
|    2015-05-07 |         1 |    /  Those are in Avaliable table
|    2015-05-12 |         1 |    |
|    2015-06-16 |         1 |    |
|    2015-07-02 |         1 |    /
|    2015-10-19 |         1 |   /
|    2015-01-01 |         0 |
|    2015-01-02 |         0 |
|    2015-01-03 |         0 |
|    2015-01-04 |         0 |
|    2015-01-05 |         0 |
|    2015-01-06 |         0 |
|    2015-01-07 |         0 |
....
|    2015-12-31 |         0 |
   Record Count: 365; 
&lt;/code&gt;&lt;/pre&gt;
</t>
  </si>
  <si>
    <t xml:space="preserve">&lt;p&gt;i have to write an apex trigger on a Managed Packaged insttalled object and access in field for new and old values inside Apex trigger.&lt;/p&gt;
&lt;p&gt;Please see below the piece of code that i am using in here:&lt;/p&gt;
&lt;pre&gt;&lt;code&gt;trigger EmailScoreCalculator on sendgrid4sf__SendGrid_Email_Status__c (after        update ) {
 sendgrid4sf__SendGrid_Email_Status__c  oldOpp = Trigger.oldMap.get(sendgrid4sf__SendGrid_Email_Status__c.Id);
&lt;/code&gt;&lt;/pre&gt;
&lt;p&gt;Object Name : sendgrid4sf__SendGrid_Email_Status__c(Object installed from Manage Package)&lt;/p&gt;
&lt;blockquote&gt;
  &lt;blockquote&gt;
    &lt;p&gt;But i am getting invalid Key In Map Error:&lt;/p&gt;
  &lt;/blockquote&gt;
&lt;/blockquote&gt;
&lt;p&gt;Please Suggest is it because of Manage-package object or anything Wrong i am doing here,thanks.&lt;/p&gt;
&lt;p&gt;Note: I am not able to see object "sendgrid4sf__SendGrid_Email_Status__c" in workbench.&lt;/p&gt;
</t>
  </si>
  <si>
    <t xml:space="preserve">&lt;p&gt;Can you use Trigger.old.keySet() to get all keys and then iterate over the list of keys and access the values for particular key.
As per my knowledge we can not use ObjectName.Id to access id of any record.
So I think you are doing mistake at line &lt;/p&gt;
&lt;p&gt;sendgrid4sf__SendGrid_Email_Status__c  oldOpp =  Trigger.oldMap.get(sendgrid4sf__SendGrid_Email_Status__c.Id);&lt;/p&gt;
&lt;p&gt;So If you want to access all the values from the old map then use following&lt;/p&gt;
&lt;p&gt;for(String recordId: Trigger.oldMap.keySet()){&lt;/p&gt;
&lt;p&gt;sendgrid4sf__SendGrid_Email_Status__c oldOpp = Trigger.oldMap.get(recordId);&lt;/p&gt;
&lt;p&gt;}&lt;/p&gt;
&lt;p&gt;Hope this helps.&lt;/p&gt;
</t>
  </si>
  <si>
    <t xml:space="preserve">&lt;p&gt;Admittedly this might be a little light for this site, but I've been trying to figure this out for 5 hours now and can't find any thing about this on the web... &lt;/p&gt;
&lt;p&gt;I've got a Wordpress Gravity Form - with a Zoho CRM feed - and I can't get the checkbox fields to populate in Zoho CRM. When the checkboxes are checked and the form is submitted, The CRM Lead record gets created, all other field types come over correctly (Custom text, multi-select, select), but the checkboxes do not show up as checked in Zoho CRM.  Here is an image of the mapping for a TEST checkbox.  I've tried using both the TEST(Selected) and TEST and neither one works...
&lt;a href="http://i.stack.imgur.com/8cnvL.png" rel="nofollow"&gt;Screen shot of checkbox field mapping&lt;/a&gt;&lt;/p&gt;
&lt;p&gt;Does anyone out there have any experience working with this? I would really appreciate any help - thanks!!&lt;/p&gt;
</t>
  </si>
  <si>
    <t xml:space="preserve">&lt;p&gt;We have a website in Outsystems. 
The dutch ('nl') local uses the base url website.hosting.net
The english ('en') local uses the base url website.hosting.net/en&lt;/p&gt;
&lt;p&gt;When I send an email from the dutch website everything goes ok.
When I send an email from the english website I get an error&lt;/p&gt;
&lt;pre&gt;&lt;code&gt;Error creating Email. The remote server returned an error: (404) Not Found.
at System.Net.HttpWebRequest.GetResponse()
   at OutSystems.HubEdition.RuntimePlatform.Email.EmailHelper.HttpGetContent(String ssUrl, String method, String contentType, String userAgent, Cookie cookie, QueryParameter[] parameters, String&amp;amp; ssContent, String&amp;amp; ssContentEncoding)
   at OutSystems.HubEdition.RuntimePlatform.Email.EmailHelper.HttpPost(String ssUrl, QueryParameter[] parameters, String userAgent, Cookie cookie, String&amp;amp; ssContent, String&amp;amp; ssContentEncoding)
   at OutSystems.HubEdition.RuntimePlatform.Email.EmailProcessor.SendEmailRequest(String url, String from, String to, String cc, String bcc, Int32 activityId, Int32 tenantId, Boolean storeContent, EmailType type) On 
   at OutSystems.HubEdition.RuntimePlatform.Email.EmailProcessor.SendEmailRequest(String url, String from, String to, String cc, String bcc, Int32 activityId, Int32 tenantId, Boolean storeContent, EmailType type)
   at myEspace.Flows.FlowMainFlow.myScreen.CommandCreateOrder(HeContext heContext)
&lt;/code&gt;&lt;/pre&gt;
&lt;p&gt;How can I send email from other locales using the site Rules?&lt;/p&gt;
</t>
  </si>
  <si>
    <t xml:space="preserve">&lt;p&gt;I have a simple question : Is it possible to fill a drop down list with two value from a table? &lt;/p&gt;
&lt;p&gt;I have a table with field X and field Y and I want my drop down in my form to show : &lt;/p&gt;
&lt;pre&gt;&lt;code&gt;Value1 YField - Value1 XField
Value2 YField - Value2 XField
Value3 YField - Value3 XField
...
&lt;/code&gt;&lt;/pre&gt;
&lt;p&gt;Or I have not choice but to add another drop down to select my value from and put a Text (formula) field under it using its value to build what I want?&lt;/p&gt;
&lt;p&gt;I would like to avoid overloading the form if possible.&lt;/p&gt;
&lt;p&gt;Thank you!&lt;/p&gt;
</t>
  </si>
  <si>
    <t xml:space="preserve">&lt;p&gt;So I have solve my problem :&lt;/p&gt;
&lt;p&gt;What I did is add a field in my table with the concatenate value &lt;/p&gt;
&lt;pre&gt;&lt;code&gt;YField - XField
&lt;/code&gt;&lt;/pre&gt;
&lt;p&gt;So in my drop down list I link a reference to that field.&lt;/p&gt;
</t>
  </si>
  <si>
    <t xml:space="preserve">&lt;p&gt;Does someone know a way to read the battery percentage of a device that connected to the iPhone using the lightning port using Swift? If someone knows it impossible I would be really grateful as well.
And if it is indeed impossible should I do it using Bluetooth?&lt;/p&gt;
&lt;p&gt;Thank you very much for all the helpers...&lt;/p&gt;
</t>
  </si>
  <si>
    <t xml:space="preserve">&lt;p&gt;I am developing an application using PHP language. I have paid Zoho creator account. Now I successfully embedded the zoho forms in my website to create new records. But now I want to embed those forms to edit record.&lt;/p&gt;
&lt;p&gt;If anyone has the solution of my problem please suggest me.&lt;/p&gt;
</t>
  </si>
  <si>
    <t xml:space="preserve">&lt;p&gt;I'm trying to query data out of SalesForce Lead using SOQL and JOIN and obtain contact information where for the Lead Created through the contacts object.
I'm not sure which objects to use how to go about doing it. 
Does anyone know of a detail schema of what can be used with SOQL relationship queries. 
I've tried some examples from the following links but don't know how to do the same with Leads, contacts:&lt;/p&gt;
&lt;p&gt;&lt;a href="https://developer.salesforce.com/blogs/developer-relations/2013/05/basic-soql-relationship-queries.html" rel="nofollow"&gt;https://developer.salesforce.com/blogs/developer-relations/2013/05/basic-soql-relationship-queries.html&lt;/a&gt;&lt;/p&gt;
</t>
  </si>
  <si>
    <t xml:space="preserve">&lt;p&gt;I'm trying use input with datalist in a lightning component and doesn't seem to work. I've looked around and can't seem to find anything that says i can't. So basically, &lt;/p&gt;
&lt;pre&gt;&lt;code&gt;&amp;lt;input list="acctlist"/&amp;gt;
&amp;lt;datalist id="acctlist"&amp;gt;
&amp;lt;option value="somevalue"&amp;gt; 
&amp;lt;/datalist&amp;gt;
&lt;/code&gt;&lt;/pre&gt;
&lt;p&gt;does not work. I want to have an input in a form that a user can type but also able to select from a list returned from the controller. Is there a workaround that would be as simple or is this the following route the best i got. 
&lt;a href="https://developer.salesforce.com/blogs/developer-relations/2015/06/salesforce-lightning-inputlookup-missing-component.html" rel="nofollow"&gt;https://developer.salesforce.com/blogs/developer-relations/2015/06/salesforce-lightning-inputlookup-missing-component.html&lt;/a&gt;&lt;/p&gt;
</t>
  </si>
  <si>
    <t xml:space="preserve">&lt;p&gt;Okay, so I have a javascript file that launches which injects another javascript file which creates checkbox per row. The js loader file looks like this:&lt;/p&gt;
&lt;pre&gt;&lt;code&gt;//Run these scripts on all table pages
if (gReqTemplName == "searchresults") {
    console.log(kRecordNamePlural, gReqQID);
    if ((kRecordNamePlural == "Time Cards" &amp;amp;&amp;amp; gReqQID == 37) || (kRecordNamePlural == "Milestone Payments" &amp;amp;&amp;amp; gReqQID == 11) || (kRecordNamePlural == "Expenses" &amp;amp;&amp;amp; gReqQID == 11)) {
        $.getScript('/js/QuickBaseClient.js', function (data) {
            $.getScript(gReqAppDBID + '?a=dbpage&amp;amp;pagename=approve.js');
        });
    };
}
&lt;/code&gt;&lt;/pre&gt;
&lt;p&gt;This specific pageID 37 table has search function. The problem is, When I do the search, the injected javascript doesn't work anymore. Meaning, the checkbox per row doesn't show anymore in the result. &lt;/p&gt;
&lt;p&gt;Any ideas?&lt;/p&gt;
</t>
  </si>
  <si>
    <t xml:space="preserve">&lt;p&gt;The contents of the report are erased and rewritten whenever the search box is used.  Since the page isn't reloaded to do this, whatever changes that &lt;code&gt;approve.js&lt;/code&gt; made when it was loaded are not applied to the newly created elements.  You can use this technique &lt;a href="https://stackoverflow.com/a/9134757/5100475"&gt;here&lt;/a&gt; to make your code run after that report is updated.  The method you want to cache is &lt;code&gt;QB.Faceting.Instance.tableHomePageView.reportView.updateReport&lt;/code&gt; and will look something like this:&lt;/p&gt;
&lt;pre&gt;&lt;code&gt;QB.Faceting.Instance.tableHomePageView.reportView.updateReport = (function(){
    var cachedFunction = QB.Faceting.Instance.tableHomePageView.reportView.updateReport;
    return function(){
        var result = cachedFunction.apply(this, arguments);
        // Your code that inserts checkboxes
    };
})();
&lt;/code&gt;&lt;/pre&gt;
&lt;p&gt;Note: This will stop working if Quickbase changes its method names or the way search boxes work.  If this is a critical business function you may want to write a custom page that handles its own layout and makes changes to records via API calls.  That way you're insulated from UI updates.&lt;/p&gt;
</t>
  </si>
  <si>
    <t xml:space="preserve">&lt;p&gt;I also try to simply run the template app included in salesforce sdk but still i am getting auth faliure error.&lt;/p&gt;
&lt;p&gt;My code is :
api_version used is v35.0.&lt;/p&gt;
&lt;pre&gt;&lt;code&gt;sendRequest("SELECT Name From CONTACTS");
private void sendRequest(String soql) throws UnsupportedEncodingException {
RestRequest restRequest = RestRequest.getRequestForQuery(getString(R.string.api_version), soql);
if(restClient!=null) {
restClient.sendAsync(restRequest, new RestClient.AsyncRequestCallback() {
    @Override
    public void onSuccess(RestRequest request, RestResponse result) {
    }
    @Override public void onError(Exception exception) { exception.printStackTrace(); }
&lt;/code&gt;&lt;/pre&gt;
&lt;p&gt;Any help will be appreciated.
Thanks&lt;/p&gt;
</t>
  </si>
  <si>
    <t xml:space="preserve">&lt;p&gt;That's has been solved,i need to give the permission of refresh token in bootconfig file as the soql query auth based on refresh token of user.&lt;/p&gt;
</t>
  </si>
  <si>
    <t xml:space="preserve">&lt;p&gt;I am working off of some code I found on the Internet - I have only been on the ADM 201 course.&lt;/p&gt;
&lt;p&gt;What I am doing is attempting to pull the information from a post and then put this into a VF page. I know I can use chatter:feed, but this is getting all of the information and functions, whereas I need only the text body, poster name, and picture (not essential).&lt;/p&gt;
&lt;p&gt;What I have so far:&lt;/p&gt;
&lt;p&gt;Apex Class:&lt;/p&gt;
&lt;pre&gt;&lt;code&gt;    public class Test_3 {        //Class is 
public ConnectApi.FeedElementPage feedElementPage{get;set;}
public Test_3() {
    feedElementPage =    ConnectApi.ChatterFeeds.getFeedElementsFromFeed('0F958000000TWvL',   ConnectApi.FeedType.Record, 'showInternalOnly');
    }
    }
&lt;/code&gt;&lt;/pre&gt;
&lt;p&gt;VF page:&lt;/p&gt;
&lt;pre&gt;&lt;code&gt;&amp;lt;apex:page controller="Test_5"&amp;gt;
   &amp;lt;div class="posts"&amp;gt;
      &amp;lt;div class="row"&amp;gt;
      &amp;lt;div class="col-md-6"&amp;gt;
        &amp;lt;apex:repeat value="{!feed.elements}" var="feedElement"&amp;gt;
            &amp;lt;div class="media"&amp;gt;
                &amp;lt;a class="pull-left" href="{!feedElement.parent.id}"&amp;gt;
                &amp;lt;img class="media-object" src="{!feedElement.photoUrl}" alt="{!feedElement.actor.name}"/&amp;gt;
                    &amp;lt;/a&amp;gt;
                    &amp;lt;div class="media-body"&amp;gt;
                        &amp;lt;h4 class="media-heading"&amp;gt;{!feedItem.actor.name}&amp;lt;/h4&amp;gt;
                        // This creates a heading from the posts that is the poster's name
                        {!feedElement.body.text}
                        // This is the body of the post
                        &amp;lt;/div&amp;gt;
                    &amp;lt;/div&amp;gt;
       &amp;lt;/apex:repeat&amp;gt;
      &amp;lt;/div&amp;gt;
 &amp;lt;/div&amp;gt;
&amp;lt;/div&amp;gt;
&lt;/code&gt;&lt;/pre&gt;
   &lt;hr/&gt;
&lt;pre&gt;&lt;code&gt; &amp;lt;footer&amp;gt;
    &amp;lt;p&amp;gt;&amp;amp;copy; Operations Updates - Please refresh your browser for the latest&amp;lt;/p&amp;gt;
 &amp;lt;/footer&amp;gt;
&amp;lt;/apex:page&amp;gt;
&lt;/code&gt;&lt;/pre&gt;
&lt;p&gt;Current issues:&lt;/p&gt;
&lt;ul&gt;
&lt;li&gt;!feedElement.parent.id&lt;/li&gt;
&lt;li&gt;!feedItem.actor.name&lt;/li&gt;
&lt;li&gt;"Error: Unknown property 'ConnectApi.Feed.elements'"&lt;/li&gt;
&lt;/ul&gt;
&lt;p&gt;Anyway, I can't work this out. I've been trying to make this for a lovely 5 hours now.&lt;/p&gt;
&lt;p&gt;Any help would be much appreciated.&lt;/p&gt;
&lt;p&gt;The code was modified from &lt;a href="http://appirio.com/category/tech-blog/2014/01/chatter-apex/" rel="nofollow"&gt;here&lt;/a&gt; and then I attempted to update it to Elements from Items.&lt;/p&gt;
&lt;p&gt;Thanks&lt;/p&gt;
</t>
  </si>
  <si>
    <t xml:space="preserve">&lt;p&gt;I'm trying to send an e-mail from Zoho, but: sometimes I receive emails, sometimes not, and it happens also with other persons. &lt;/p&gt;
&lt;p&gt;But in &lt;code&gt;mail.zoho.com&lt;/code&gt; all emails exists in SENT E-MAILS, but people sometimes did not receive, and it is not a Spam problem.&lt;/p&gt;
&lt;pre&gt;&lt;code&gt;def sendMailTo(subject='', msgHTML='', to='', no_reply=False, mail_type=None):
    try:
        j = json.loads(msgHTML)
        msgHTML = ""
        for k in j.keys():
            msgHTML += str(k) + ": " + str(j[k])
            msgHTML += "\n"
    except ValueError:
        pass
     #Create the root message and fill in the from, to, and subject headers
    msg = MIMEMultipart('related')
    msg2 = MIMEText(msgHTML, 'html', 'UTF-8') #Content-Type: text/html; charset="us-ascii"
    msg.attach(msg2)
    # This example assumes the image is in the current directory
    import os
    os.chdir(os.path.dirname(__file__))
    #print(os.getcwd())
    fp = open('./utils/images/logo.png', 'rb')
    msgImage = MIMEImage(fp.read())
    fp.close()
    # Define the image's ID as referenced above
    msgImage.add_header('Content-ID', '&amp;lt;logo&amp;gt;')
    msg.attach(msgImage)
    fp = open('./utils/images/facebook.png', 'rb')
    msgImage = MIMEImage(fp.read())
    fp.close()
    # Define the image's ID as referenced above
    msgImage.add_header('Content-ID', '&amp;lt;facebook&amp;gt;')
    msg.attach(msgImage)
    recipients = [to]
    TO = ", ".join(recipients)
    msg['Subject'] = subject
    msg['To'] = TO
    if no_reply:
        FROM = "no-reply@xxxxx.com"
        msg['From'] = FROM
        # Send the message via our own SMTP server, but don't include the
        # envelope header.
        s = smtplib.SMTP_SSL('smtp.zoho.com', 465)
        # s.set_debuglevel(1)
        # s.starttls()
        s.ehlo()
        s.login(FROM, 'yoyoyoyoyoyo')
        s.sendmail(FROM, recipients, msg.as_string())
        s.quit()
    else:
        FROM = "xxxxxxxxx@gmail.com"
        msg['From'] = FROM
        # Send the message via our own SMTP server, but don't include the
        # envelope header.
        s = smtplib.SMTP('smtp.gmail.com', 587)
        #s.set_debuglevel(1)
        #s.ehlo()
        s.starttls()
        s.login(FROM, 'yoyoyoyoyoyo')
        s.sendmail(FROM, recipients, msg.as_string())
        s.quit()
&lt;/code&gt;&lt;/pre&gt;
</t>
  </si>
  <si>
    <t xml:space="preserve">&lt;p&gt;I included Google Analytics (javascript) in my Outsystems website via de eSpace Javascript. Now I want to place the Analytics Key in my Site Properties so I can update it easily for every environment.&lt;/p&gt;
&lt;p&gt;How can I use a Site Property in my Javascript?&lt;/p&gt;
</t>
  </si>
  <si>
    <t xml:space="preserve">&lt;p&gt;As far as I know, you cannot use Site Properties in the eSpace JavaScript window. For that, you have to use an escaped expression on a web screen or web block to add your JavaScript code along with the use of Site Properties.&lt;/p&gt;
&lt;p&gt;Since you want the same script on all the web screens, I suggest that you add this expression in the Footer web block, so that it will be automatically added to all the web screens you create.&lt;/p&gt;
</t>
  </si>
  <si>
    <t xml:space="preserve">&lt;p&gt;I need help for setting up gitlab pages on my own domain. So i host my git on gitlab.com, and when i want custom domain name for pages i need to enter CNAME record on my root (with DNS editor). Problem is that i have MX records for hosting email on zoho servers. So after setting up my cname records to lead to gitlab all my emails just stop coming... Is there any other way to connect my domain name but without cname record? I read that setting up CNAME on root is bad idea for MX records, but i cant find any other way to rout my domain on gitlab pages.&lt;/p&gt;
</t>
  </si>
  <si>
    <t xml:space="preserve">&lt;p&gt;i'm trying to fetch data from estimates module in Zoho Invoices but it keep giving me error of invalid url passed, the url im using is:
&lt;a href="https://invoice.zoho.com/api/GET/estimates/" rel="nofollow"&gt;https://invoice.zoho.com/api/GET/estimates/&lt;/a&gt;{$estimate_id}?authtoken={$auth}&amp;amp;organization_id={$org_id}&lt;/p&gt;
&lt;p&gt;and the response im getting is: &lt;/p&gt;
&lt;pre&gt;&lt;code&gt;&amp;lt;Response status="0"&amp;gt;
&amp;lt;Code&amp;gt;5&amp;lt;/Code&amp;gt;
&amp;lt;Message&amp;gt;
&amp;lt;![CDATA[ Invalid URL Passed ]]&amp;gt;
&amp;lt;/Message&amp;gt;
&amp;lt;/Response&amp;gt;
&lt;/code&gt;&lt;/pre&gt;
&lt;p&gt;Can you please tell me what is wrong with it, or some other method to get the task done. Thankyou!&lt;/p&gt;
</t>
  </si>
  <si>
    <t xml:space="preserve">&lt;p&gt;I have overridden a custom object Edit/New button with Visualforce page to leverage some functionalities like adding text instruction on filling up the form, ajax functionality to fetch information based on conditions etc . However I cannot view the button on Community.&lt;/p&gt;
&lt;p&gt;I am using &lt;strong&gt;Napili&lt;/strong&gt; theme on community, I know it does not supports Visualforce but how can I add a lightning component  or something to override the records edit page. &lt;/p&gt;
&lt;p&gt;Do I need to create a custom Tab for viewing the record list using lightning component and then eventually will have to create Detail, New, View pages? How could we achieve it if its possible ? Looks lot of work and maintenance in future for this option.&lt;/p&gt;
&lt;p&gt;Please help me on this. &lt;/p&gt;
</t>
  </si>
  <si>
    <t xml:space="preserve">&lt;p&gt;Can SonarQube scan the code (Components and events) written in Aura Framework and provide the results as required.
Is there any plugin for the same IF not how can we achieve it.?&lt;/p&gt;
</t>
  </si>
  <si>
    <t xml:space="preserve">&lt;p&gt;I am using &lt;code&gt;QBApiWrap.QuickbaseApiWrapper.DoQuery&lt;/code&gt; in C# to get the records from my table. Previously it has been working fine. Now the number of records have increased to 30,000 and I am getting the following error:&lt;/p&gt;
&lt;blockquote&gt;
  &lt;p&gt;Errcode : 75&lt;/p&gt;
  &lt;p&gt;Errtext : Report too large&lt;/p&gt;
  &lt;p&gt;Errdetails : Maximum number of bytes in report exceeded&lt;/p&gt;
&lt;/blockquote&gt;
&lt;p&gt;How can I get all the records in a single dataset?&lt;/p&gt;
&lt;p&gt;I am querying in below manner:&lt;/p&gt;
&lt;pre&gt;&lt;code&gt;     DataSet dsEmployee = My_Integration.QBApiWrap.QuickbaseApiWrapper.DoQuery(dbIdEmployee, ticket, "","3.6.7.8.21.15");
&lt;/code&gt;&lt;/pre&gt;
</t>
  </si>
  <si>
    <t xml:space="preserve">&lt;p&gt;Quickbase has a record limit on the size of a single response which your query is exceeding.  To avoid this error, you need to reduce the number of records being returned by the query.  If you aren't actually using all of the returned records in your program, you should structure your query so that you exclude records that you aren't using.  If you do, in fact, need all of the records in that table you'll need to download them in batches and then merge the datasets.&lt;/p&gt;
&lt;p&gt;Unfortunately, I've never programmed C# so I can't help you with the syntax, but to download records in batches you can use &lt;code&gt;API_GetSchema&lt;/code&gt; on your table DBID to get the next record id (table.original.next_record_id).  This number is what the record ID will be for the next record to be created.  So, you know that all of your record IDs are less than that number.  Using a lower bound of 0 and an upper bound of 20,000 you can query for records where the record id is greater than the lower bound and less than the upperbound.  Merge the results with an existing dataset, increase both bounds by 20,000 and repeat until the lower bound exceeds the next record id number.  At the end you should have a single dataset and code that should scale with your Quickbase table.&lt;/p&gt;
</t>
  </si>
  <si>
    <t xml:space="preserve">&lt;p&gt;I am creating canvas app on salesforce. I want to resize the canvas app on click of a button. I have been passing the client obj which gets returned from POST request on salesforce.&lt;/p&gt;
&lt;p&gt;Below is the snippet: &lt;/p&gt;
&lt;pre&gt;&lt;code&gt;  &amp;lt;script type="text/javascript" src="/sdk/js/canvas-all.js&amp;gt;&amp;lt;/script&amp;gt;
  $(document).on('click','.expand',function () {
  var clientObj = $('.salesforce-data').data('client');
    Sfdc.canvas(function  () {
      Sfdc.canvas.client.resize(clientObj, {height :"1000px", width :"1000px"});
     });     
    });
&lt;/code&gt;&lt;/pre&gt;
&lt;p&gt;clientObj refers to which is being retrieved on POST REQUEST from salesforce.&lt;/p&gt;
&lt;pre&gt;&lt;code&gt;"client": {
  "refreshToken": "xxxxx",
   "instanceId": "xxxx",
   "targetOrigin":"xxxx",
   "instanceUrl":"xxxx",
   "oauthToken":"xxxxx"
 }
&lt;/code&gt;&lt;/pre&gt;
&lt;p&gt;correct me where I am going wrong here. I want the resize or autogrow functionality to work on canvas.&lt;/p&gt;
&lt;p&gt;Thanks !! &lt;/p&gt;
</t>
  </si>
  <si>
    <t xml:space="preserve">&lt;p&gt;So my web application is divided in two modules:&lt;/p&gt;
&lt;ol&gt;
&lt;li&gt;&lt;p&gt;UI-module&lt;/p&gt;&lt;/li&gt;
&lt;li&gt;&lt;p&gt;REST-web-services&lt;/p&gt;&lt;/li&gt;
&lt;/ol&gt;
&lt;p&gt;in UI-module I have Login.jsp which displays a login page in html and authenticates the Login via making POST request call to /authenticateUser service defined in REST-web-services module.&lt;/p&gt;
&lt;p&gt;while deploying these two modules I generates a war files (UI-module.war and REST-web-services.war) which then can be deployed on local tomcat server.&lt;/p&gt;
&lt;p&gt;So how can I deploy this as a Salesforce Canvas app?
I have gone through the demo example mentioned on &lt;a href="https://github.com/forcedotcom/SalesforceCanvasFrameworkSDK" rel="nofollow"&gt;https://github.com/forcedotcom/SalesforceCanvasFrameworkSDK&lt;/a&gt; &lt;/p&gt;
&lt;p&gt;any help is appreciated.&lt;/p&gt;
</t>
  </si>
  <si>
    <t xml:space="preserve">&lt;p&gt;I'm getting an error when trying to deploy my stuff with [vinyl ftp].&lt;/p&gt;
&lt;p&gt;here's the log:&lt;/p&gt;
&lt;pre&gt;&lt;code&gt;[12:16:46] MLSD  /
[12:16:46] LIST  /httpdocs/config
[12:16:46] LIST  /
[12:16:46] MLSD  /httpdocs/config/Lang
[12:16:46] MKDIR /httpdocs/config
events.js:72
    throw er; // Unhandled 'error' event
&lt;/code&gt;&lt;/pre&gt;
&lt;p&gt;here's the config:&lt;/p&gt;
&lt;pre&gt;&lt;code&gt;gulp.task('deploy', function () {
    var conn = ftp.create({
        host: 'xxx,
        user: 'xxx',
        password: 'xxx',
        parallel: 10,
        log: gutil.log
    });
    var globs = [
        '../' + projectUI + '/config/**'
    ];
    gulp.src(globs, { base: '../' + projectUI, buffer: false })
        .pipe(conn.newer('/httpdocs'))  // only upload newer files 
        .pipe(conn.dest('/httpdocs'))
});
&lt;/code&gt;&lt;/pre&gt;
&lt;p&gt;As you can see, he tries to create the &lt;code&gt;config&lt;/code&gt; folder even if it's already there.&lt;/p&gt;
&lt;p&gt;The content from the &lt;code&gt;config&lt;/code&gt; folders are some xml files.&lt;/p&gt;
</t>
  </si>
  <si>
    <t xml:space="preserve">&lt;p&gt;I have a requirement where i need to display fields fetched from query in controller to Vf page without using pageblockTable.&lt;/p&gt;
&lt;p&gt;Please see the below code that i am trying.&lt;/p&gt;
&lt;p&gt;Apex code : &lt;/p&gt;
&lt;pre&gt;&lt;code&gt;public class ViewDetailscontroller
&lt;/code&gt;&lt;/pre&gt;
&lt;p&gt;{&lt;/p&gt;
&lt;pre&gt;&lt;code&gt;public List&amp;lt;Course__c&amp;gt; coursesList{get; set;}
public Course__c coursesobj{get; set;}
  public ViewDetailscontroller()
           {
coursesobj =[SELECT Id,Answer_1__c,Web_Score_SwU__c FROM Course__c where Lead__c =: Leadid ];
} 
&lt;/code&gt;&lt;/pre&gt;
&lt;p&gt;}&lt;/p&gt;
&lt;p&gt;Vf page:&lt;/p&gt;
&lt;pre&gt;&lt;code&gt; &amp;lt;apex:page standardController="Lead"  extensions="ViewDetailscontroller" tabStyle="Course__c"&amp;gt;
    &amp;lt;apex:form&amp;gt;
      &amp;lt;apex:pageBlock rendered="{!intrestedinData_Analytics}" &amp;gt;
                    &amp;lt;apex:pageBlockSection &amp;gt;
                    &amp;lt;apex:outputField value="{!coursesobj.Batch_for_DA__c}"/&amp;gt;
                    &amp;lt;/apex:pageBlockSection&amp;gt;
                    &amp;lt;/apex:pageBlock&amp;gt;
    &amp;lt;/apex:form&amp;gt;
    &amp;lt;/apex:page&amp;gt;
&lt;/code&gt;&lt;/pre&gt;
&lt;p&gt;Problem here is i cant bind list values from Controller to pageblock tag or anyother tag apart from pageblocktable.&lt;/p&gt;
&lt;p&gt;Please suggest,thanks.&lt;/p&gt;
</t>
  </si>
  <si>
    <t xml:space="preserve">&lt;p&gt;You can use the &lt;em&gt;apex:repeat&lt;/em&gt; tag and build your own "table" if you like.&lt;/p&gt;
&lt;pre&gt;&lt;code&gt;&amp;lt;apex:repeat value="{!accounts}" var="a"&amp;gt;
        &amp;lt;p&amp;gt;{!a.name}, {!a.id}&amp;lt;/p&amp;gt;                
&amp;lt;/apex:repeat&amp;gt;
&lt;/code&gt;&lt;/pre&gt;
</t>
  </si>
  <si>
    <t xml:space="preserve">&lt;p&gt;I am looking at a technical POC using Salesforce Community Builder to create an externally visible application on top of Salesforce.  This would need us to be able to build in development environments and migrate into QA, UAT and Production orgs.&lt;/p&gt;
&lt;p&gt;For the rest of Salesforce we extract the meta data into Bitbucket (git), and manage releases using Bamboo.  We would like to do the same with the communities site.&lt;/p&gt;
&lt;p&gt;At the moment we can't see how we can do this, or anything similar - the meta data includes a ".site" and some xml config, but importing the site into Site.com doesn't appear to work.&lt;/p&gt;
&lt;p&gt;Has anyone tried anything similar?&lt;/p&gt;
&lt;p&gt;How do other people migrate communities sites from development, through QA into production?&lt;/p&gt;
</t>
  </si>
  <si>
    <t xml:space="preserve">&lt;p&gt;I want to visualize some streaming data using local &lt;a href="http://lightning-viz.org/setup/#local-server" rel="nofollow"&gt;Lightning server&lt;/a&gt;. I created a simple Scala test, which created a line chart that I can access at &lt;code&gt;http://localhost:3000&lt;/code&gt;. The problem is that when I use &lt;code&gt;viz.append(newdata)&lt;/code&gt; in order to update the existing line chart, this new data is not sent to the server and the graphic remains the same. If, however, I do &lt;code&gt;lgn.lineStreaming(Array(Array(1.0))&lt;/code&gt;, then the new line chart is created.
So, what's the problem with updating the streaming line chart in Lightning?&lt;/p&gt;
&lt;pre&gt;&lt;code&gt;import org.viz.lightning._
var viz: Visualization = _
//...
val lgn = Lightning(host="http://localhost:3000")
lgn.createSession("streamingtest")
// initialization
val series = Array.fill(1)(Array.fill(1)(r.nextInt(1)))
viz = lgn.lineStreaming(series)
// ...
// adding new data (THIS DATA IS NOT SENT TO THE SERVER)
val newdata: Map[String, Any] = Map("1" -&amp;gt; 1.0)
viz.append(newdata)
&lt;/code&gt;&lt;/pre&gt;
</t>
  </si>
  <si>
    <t xml:space="preserve">&lt;p&gt;I have setup a community for one of our client and trying to add a domain for it in Administer | Domain Management | Domain. Everytime, I try to add domain name as 'testcommunity', it gives me below error&lt;/p&gt;
&lt;p&gt;Error: Salesforce.com can't validate the domain. The CNAME record may still be processing (which can take up to 24 hours), or the domain may not belong to you. Make sure the domain name 'testcommunity' uses testcommunity.****orgid****.live.siteforce.com as its CNAME target and try again later.&lt;/p&gt;
&lt;p&gt;We added a CNAME in DNS Management three days before and it has propagated successfully. Check on 'www.whatsmydns.net' and it shows  CNAME is correctly pointing to testcommunity.****orgid****.live.siteforce.com&lt;/p&gt;
&lt;p&gt;It seems to be a bug to me as we followed the help &amp;amp; training tutorial for same and followed all steps. Please can anyone help us out in this.&lt;/p&gt;
</t>
  </si>
  <si>
    <t xml:space="preserve">&lt;p&gt;My json code : Input&lt;/p&gt;
&lt;pre&gt;&lt;code&gt;{"responseCode":"200","responseText":"ID: 2ce934c860f48b02fb755178f8ac0a2"}
&lt;/code&gt;&lt;/pre&gt;
&lt;p&gt;How to json decode in zoho creator
==&gt; This is right ? &lt;/p&gt;
&lt;pre&gt;&lt;code&gt;responseCode=jsondata.getJSON("responseCode");
responseText=jsondata.getJSON("responseText");
SMS_ID=responseText.getJSON("ID");
&lt;/code&gt;&lt;/pre&gt;
</t>
  </si>
  <si>
    <t xml:space="preserve">&lt;p&gt;That's almost correct. Note that &lt;code&gt;"ID: 2ce934c860f48b02fb755178f8ac0a2"&lt;/code&gt; is just a string, not a JSON element.&lt;/p&gt;
&lt;p&gt;Try with:&lt;/p&gt;
&lt;pre&gt;&lt;code&gt;responseText=jsondata.getJSON("responseText");
SMS_ID = responseText.remove("ID: ");
&lt;/code&gt;&lt;/pre&gt;
</t>
  </si>
  <si>
    <t xml:space="preserve">&lt;p&gt;I am currently trying to figure out how to use the Substitute() function provided by Appian on a text field. Specifically, I am trying to substitute the "&amp;amp;" with &amp;amp; amp; because the ampersand is causing me issues when I try to save the form with a certain value.&lt;/p&gt;
&lt;p&gt;Every combination that I've tried has given me an error that will either prevent me from saving my changes, or causes an error when I try to use the form it's related to. Has anyone used the Expression Editor in Appian before and knows how to use the substitution function with the code below?&lt;/p&gt;
&lt;p&gt;We are currently using an older version of Appian (version 7.10).&lt;/p&gt;
&lt;p&gt;Also - there is currently no tag available for Appian so I am unable to tag it properly :(&lt;/p&gt;
&lt;p&gt;If there is any additional information I can provide to get this solved, please let me know. &lt;/p&gt;
&lt;pre&gt;&lt;code&gt;a!textField(
  label: "Line Item Text " &amp;amp; ri!index,
  value: ri!items[ri!index].itemText,
  saveInto: 
  {
    ri!items[ri!index].itemText,
    if(rule!APN_isBlank(ri!write), {}, a!save(ri!write, false))
  },
  align: "RIGHT",
  required: true,
  validationGroup: ri!validationGroup
)
&lt;/code&gt;&lt;/pre&gt;
</t>
  </si>
  <si>
    <t xml:space="preserve">&lt;p&gt;I am new to PowerApps development. I am trying to connect PowerApps to my custom APIs (Azure app api) and getting results of "resource not found". I can call the api from browsers, postman no problem. The .json file I use for PowerApps is the same as the one I use for editor.swagger.io (for testing). I checked the log file of the application on azure, all of the requests from browsers logged but not the ones from PowerApps. My question is, how PowerApps calls APIs and what is the right format of the .json file used for PowerApps app?&lt;/p&gt;
&lt;p&gt;Thank you.&lt;/p&gt;
</t>
  </si>
  <si>
    <t xml:space="preserve">&lt;p&gt;I would recommend trying again, we had a small issue on our backend that was causing some 404's at times. A fix for it has been deployed so you might see it work.&lt;/p&gt;
&lt;p&gt;PowerApps uses Swagger to determine the shape of the REST api to be able to project those APIs into "formulas" that can be used easily in the client.&lt;/p&gt;
&lt;p&gt;Also, for development/troubleshooting purposes I highly recommend using Fiddler to see exactly the REST call that PowerApps is doing and making sure the URL and parameters are correct. If not then look into your swagger definition and make sure there are no issues with the paths provided there.&lt;/p&gt;
</t>
  </si>
  <si>
    <t xml:space="preserve">&lt;p&gt;Please see input&lt;/p&gt;
&lt;pre&gt;&lt;code&gt;Var = "Hi &amp;lt;p&amp;gt; I am Sunita &amp;lt;/p&amp;gt; but i am big";
&lt;/code&gt;&lt;/pre&gt;
&lt;p&gt;But i need this output by zoho &lt;/p&gt;
&lt;pre&gt;&lt;code&gt;var = "Hi I am Sunita but i am big";
&lt;/code&gt;&lt;/pre&gt;
</t>
  </si>
  <si>
    <t xml:space="preserve">&lt;p&gt;I have been doing a work in &lt;code&gt;outsystems&lt;/code&gt; platform.&lt;/p&gt;
&lt;p&gt;My works is a recruitment application where you add candidates to your app with a curriculum. You then choose the best ones to schedule an interview with, and eventually you can hire them to your company. Well, I don't known if you guys really need to know what my app is about, or what it does but I can explain better or eventually show it if it helps with my problem.&lt;/p&gt;
&lt;p&gt;Well what I want is:
- When I register a candidate, I add a name, an email address, and a phone number. With this email, &lt;code&gt;Outsystems&lt;/code&gt; offers a widget that can find all networks referred to that person (by email), that widget (I am not sure if this is the correct name for this tool, maybe API is more correct) can be found in Logic and inside the folder called Dependencies, that widget is called &lt;code&gt;FullContact&lt;/code&gt;. To use that API you must create a new action. I did it and I filled the mandatory parameters called &lt;code&gt;Email&lt;/code&gt; with &lt;code&gt;Candidate Email&lt;/code&gt;. I am not sure what to put in &lt;code&gt;APIKey&lt;/code&gt; parameter, I tried a lot of things and when I publish and test it I always have the same error called &lt;code&gt;403 Forbidden&lt;/code&gt;. What I am doing wrong?&lt;/p&gt;
&lt;p&gt;I am not sure if this question is supposed to be done here, if it is not just tell me and I can delete the question and search somewhere else.&lt;/p&gt;
&lt;p&gt;what I have is this: &lt;a href="https://i.imgur.com/k81EKyo.png" rel="nofollow noreferrer"&gt;app print&lt;/a&gt;
I am not sure what to put in APIkey, I saw an example and the person that did it added an assign and an ajax refresh. Do I need it to? And this is the error I get when I test the app &lt;a href="https://i.imgur.com/1DM9KjD.png" rel="nofollow noreferrer"&gt;enter link description here&lt;/a&gt;&lt;/p&gt;
</t>
  </si>
  <si>
    <t xml:space="preserve">&lt;p&gt;I never worked with FullContact before but from some researches I learned the following:&lt;/p&gt;
&lt;p&gt;&lt;strong&gt;Overview:&lt;/strong&gt; The FullContact Developer APIs are used to manage and enhance contact information.&lt;/p&gt;
&lt;p&gt;&lt;strong&gt;Authentication:&lt;/strong&gt; All requests to all endpoints require you to specify your unique API key. The API Key is assigned to you by FullContact and is used to identify and authorize each request. Your API key should be kept private, and should never be displayed publicly.&lt;/p&gt;
&lt;p&gt;To signup and get your free trial: &lt;a href="https://portal.fullcontact.com/signup" rel="nofollow"&gt;https://portal.fullcontact.com/signup&lt;/a&gt;&lt;/p&gt;
&lt;p&gt;&lt;strong&gt;Note:&lt;/strong&gt; FullContact isn't free, you can only apply for a trial or pay.&lt;/p&gt;
&lt;p&gt;Pricing: &lt;a href="https://www.fullcontact.com/developer/pricing/" rel="nofollow"&gt;https://www.fullcontact.com/developer/pricing/&lt;/a&gt;&lt;/p&gt;
</t>
  </si>
  <si>
    <t xml:space="preserve">&lt;p&gt;I'm trying to somehow allow other people to download uploaded files on QuickBase on a different website. I have files on QuickBase uploaded, but people need to sign-in to QuickBase to download it. Is there any other way around it?&lt;/p&gt;
</t>
  </si>
  <si>
    <t xml:space="preserve">&lt;p&gt;You can grant what is essentially anonymous access to one of your Quickbase applications by giving "Everyone on the Internet" a role in your application.  It gives anyone with a link to that application whatever access level is defined in the role given.  If you want to only share files, you could create a role that has view only access of that specific file attachment field and assign that to "Everyone on the Internet".  If you want to be selective about which records are available for download you can include a checkbox to "Make Public" and include that in the role's view logic.  &lt;/p&gt;
&lt;p&gt;You grant "Everyone on the Internet" access in the add user form for the application.  If you start typing "Everyone on the Internet", you'll see it pop up as a recommended user name.  If you do not see this as an option, that means that granting open access was disabled by one of your billing account administrators.&lt;/p&gt;
&lt;p&gt;Just remember, whatever permissions you grant "Everyone on the Internet" applies to literally anyone on the Internet that has a link to your app.  Of course, you can always use a separate file hosting service like Dropbox or Box if you want to avoid the Quickbase issue entirely.&lt;/p&gt;
</t>
  </si>
  <si>
    <t xml:space="preserve">&lt;p&gt;I hope this subject hasn't been treated yet but I haven't found. 
I'm setting up a node integration with Zoho CRM and I want to get all the records from Leads or Contacts or Potentials.&lt;/p&gt;
&lt;p&gt;I tried to use 2 node modules: zoho and node-zoho. Here are the codes:&lt;/p&gt;
&lt;p&gt;zoho:&lt;/p&gt;
&lt;pre&gt;&lt;code&gt;var Zoho = require('zoho');
var crm = new Zoho.CRM({
  authtoken: '[authtoken]'
});
crm.getRecords('leads', function (err, data) {
  if (err) {
    return console.log(err);
  }
  console.log(data.data.Leads.row.length);
});
&lt;/code&gt;&lt;/pre&gt;
&lt;p&gt;node-zoho:&lt;/p&gt;
&lt;pre&gt;&lt;code&gt;var Zoho = require('node-zoho'),
    zoho = new Zoho({authToken:'[authtoken]'});
zoho.execute('crm', 'Potentials', 'getRecords', null, function (err, result) {
  if (err !== null) {
    console.log(err);
  } else if (result.isError()) {
    console.log('the result error is: ' + result.message);
  } else {
    console.log(result.data.length);
  }
});
&lt;/code&gt;&lt;/pre&gt;
&lt;p&gt;Each time I get a result '20' for length even though I have more than 20 leads (or contacts or potentials). I'd like to get all the records.&lt;/p&gt;
&lt;p&gt;Does someone know how to configure these modules better or know another trick to get all the records?&lt;/p&gt;
&lt;p&gt;Thanks!&lt;/p&gt;
</t>
  </si>
  <si>
    <t xml:space="preserve">&lt;p&gt;I have a screen in my PowerApps news browsing application which displays article title, it's title image, author name, date posted and it's html text. It looks like this:&lt;/p&gt;
&lt;p&gt;&lt;a href="https://i.stack.imgur.com/KTkaW.png" rel="nofollow noreferrer"&gt;&lt;img src="https://i.stack.imgur.com/KTkaW.png" alt="enter image description here"&gt;&lt;/a&gt;&lt;/p&gt;
&lt;p&gt;I display html using &lt;a href="https://powerapps.microsoft.com/en-us/tutorials/control-html-text/" rel="nofollow noreferrer"&gt;HTML text control&lt;/a&gt;. It's height is fixed, and, when it has to display a long text, scroll bar appears but only for this control. So only half of the screen is scrollable. When I use usual &lt;a href="https://powerapps.microsoft.com/en-us/tutorials/control-text-box/" rel="nofollow noreferrer"&gt;text box&lt;/a&gt; control I can set it's &lt;em&gt;'AutoHeight'&lt;/em&gt; property to &lt;code&gt;true&lt;/code&gt; and text box automatically increases it's &lt;a href="https://powerapps.microsoft.com/en-us/tutorials/properties-size-location/" rel="nofollow noreferrer"&gt;Height&lt;/a&gt; property if it's &lt;a href="https://powerapps.microsoft.com/en-us/tutorials/properties-core/" rel="nofollow noreferrer"&gt;Text&lt;/a&gt; property contains more characters than the control can show at one time. &lt;strong&gt;How can I do something similar with &lt;em&gt;'HTML text control'&lt;/em&gt;, make all the screen scrollable and show all of the html?&lt;/strong&gt;&lt;/p&gt;
</t>
  </si>
  <si>
    <t xml:space="preserve">&lt;p&gt;I created a simple news browsing application with &lt;a href="https://powerapps.microsoft.com/en-us/" rel="nofollow"&gt;PowerApps&lt;/a&gt;. To display articles list I use &lt;a href="https://powerapps.microsoft.com/en-us/tutorials/control-gallery/" rel="nofollow"&gt;Gallery&lt;/a&gt; control named &lt;code&gt;NewsGallery&lt;/code&gt;. The &lt;a href="https://powerapps.microsoft.com/en-us/tutorials/working-with-data-sources/" rel="nofollow"&gt;data source&lt;/a&gt; for it is a &lt;a href="https://powerapps.microsoft.com/en-us/tutorials/working-with-data-sources/#collections" rel="nofollow"&gt;collection&lt;/a&gt; of &lt;code&gt;Article&lt;/code&gt; entities named &lt;code&gt;News&lt;/code&gt;. What I want to do is dynamically &lt;a href="https://powerapps.microsoft.com/en-us/tutorials/function-clear-collect-clearcollect/" rel="nofollow"&gt;Collect&lt;/a&gt; more news to my &lt;code&gt;News&lt;/code&gt; collection from my &lt;a href="https://powerapps.microsoft.com/en-us/tutorials/register-custom-api/" rel="nofollow"&gt;custom api&lt;/a&gt; when user scrolls down to the end of a Gallery control. &lt;strong&gt;How can I handle such event? Is there some "undocumented" property like &lt;a href="https://powerapps.microsoft.com/en-us/tutorials/control-gallery/#key-properties" rel="nofollow"&gt;Selected&lt;/a&gt; to determine that user reached the end of a list?&lt;/strong&gt;&lt;/p&gt;
</t>
  </si>
  <si>
    <t xml:space="preserve">&lt;p&gt;Let's say I have a &lt;a href="https://powerapps.microsoft.com/en-us/tutorials/control-drop-down/" rel="nofollow"&gt;dropdown&lt;/a&gt; control in my PowerApps application with the next items:&lt;/p&gt;
&lt;pre&gt;&lt;code&gt;[
    "1. Calculator", 
    "2. Counter", 
    "3. API", 
    "4. Collections", 
    "5. Dropdown", 
    "6. Acceleration", 
    "7. Camera"
]
&lt;/code&gt;&lt;/pre&gt;
&lt;p&gt;And I want to navigate to a screen by it's name. Something like &lt;/p&gt;
&lt;pre&gt;&lt;code&gt;Navigate(Nav.Selected.Value, ScreenTransition.Cover)
&lt;/code&gt;&lt;/pre&gt;
&lt;p&gt;Is it possible to do somehow? &lt;strong&gt;Is there a function that returns a control by it's name?&lt;/strong&gt;&lt;/p&gt;
&lt;pre&gt;&lt;code&gt;Navigate(GetControl(Nav.Selected.Value), ScreenTransition.Cover)
&lt;/code&gt;&lt;/pre&gt;
&lt;p&gt;Because now I have to use &lt;a href="https://powerapps.microsoft.com/en-us/tutorials/function-if/" rel="nofollow"&gt;If&lt;/a&gt; function to navigate in the app like this:&lt;/p&gt;
&lt;pre&gt;&lt;code&gt;Navigate(If(
    "1" in Nav.Selected.Value, Screen1, 
    "2" in Nav.Selected.Value, Screen2, 
    "3" in Nav.Selected.Value, Screen3, 
    "4" in Nav.Selected.Value, Screen4, 
    "5" in Nav.Selected.Value, Screen5, 
    "6" in Nav.Selected.Value, Screen6, 
    "7" in Nav.Selected.Value, Screen7), 
ScreenTransition.Cover)
&lt;/code&gt;&lt;/pre&gt;
&lt;p&gt;which does not look very nice. Is there more elegant solution?&lt;/p&gt;
</t>
  </si>
  <si>
    <t xml:space="preserve">&lt;p&gt;I am callling the SOQL query through REST API from php.  I am searching for the phone number using the below SOQL query.  I want to trim the mobilephone in where clause.  I tried &lt;code&gt;MobilePhone.trim()&lt;/code&gt; and &lt;code&gt;trim(MobilePhone)&lt;/code&gt;  it's not working.  How can I do it? &lt;/p&gt;
&lt;pre&gt;&lt;code&gt;Select FirstName FROM Contact WHERE  MobilePhone = '04123456789'
&lt;/code&gt;&lt;/pre&gt;
&lt;p&gt;Thanks. &lt;/p&gt;
</t>
  </si>
  <si>
    <t xml:space="preserve">&lt;p&gt;There is no ability to use 'trim' function in 'where' condition of SOQL.&lt;/p&gt;
</t>
  </si>
  <si>
    <t xml:space="preserve">&lt;p&gt;I am using node-imap to connect and read zoho mail from my nodejs application, I am getting timeout err as below in AWS ubuntu instance, But in my local it is getting connected fine.&lt;/p&gt;
&lt;pre&gt;&lt;code&gt;    { [Error: connect ETIMEDOUT]
  code: 'ETIMEDOUT',
  errno: 'ETIMEDOUT',
  syscall: 'connect',
  source: 'socket' }
&lt;/code&gt;&lt;/pre&gt;
&lt;ol&gt;
&lt;li&gt;Do i need to open any socket in AWS to use imap?&lt;/li&gt;
&lt;li&gt;If so how i can do that?&lt;/li&gt;
&lt;/ol&gt;
&lt;p&gt;You help regarding this is highly appreciated.
Thanks.&lt;/p&gt;
</t>
  </si>
  <si>
    <t xml:space="preserve">&lt;p&gt;I am having an issue understanding the inner and left join&lt;/p&gt;
&lt;p&gt;I am having the below query in the outsystems&lt;/p&gt;
&lt;pre&gt;&lt;code&gt; SELECT {CLD}.[Id], {CLD}.[Name], {CLD}.[Comments]
      , {CLD}.[LastUpdateOn],min({Project}.[Number])
      ,count({Project}.[Number])
 FROM {CLD}
     INNER JOIN {Project} ON  {Project}.[Id] = {CLDProjects}.[ProjectId] 
     INNER JOIN {CLDProjects} ON {CLD}.[Id] = {CLDProjects}.[CLDId]
 WHERE 
   (
     @IsJAXPM =1 
     or EXISTS (SELECT 1 
             FROM {CLDParticipant} 
             WHERE {CLDParticipant}.[CLDId] = {CLD}.[Id] 
               AND {CLDParticipant}.[UserId] = @UserId) 
     or EXISTS (SELECT 1 
                FROM {ProjectParticipantWidget} 
                    INNER JOIN {ProjectParticipant} ON {ProjectParticipantWidget}.[ProjectParticipantId] =  {ProjectParticipant}.[Id]
                WHERE {ProjectParticipant}.[ProjectId] = {Project}.[Id] 
                  AND {ProjectParticipant}.[UserId] = @UserId)
   )
 GROUP BY {CLD}.[Id], {CLD}.[Name], {CLD}.[Comments], {CLD}.[LastUpdateOn]
&lt;/code&gt;&lt;/pre&gt;
&lt;p&gt;The issue is the Select is pulling all the CLD elements without respect to the Project, I am trying to select CLD's whose Project id = Project.Id. I tried both the joins but it keep pulling all the values
Below how the structure looks like
&lt;a href="https://i.stack.imgur.com/1Tzpk.jpg" rel="nofollow noreferrer"&gt;&lt;img src="https://i.stack.imgur.com/1Tzpk.jpg" alt="enter image description here"&gt;&lt;/a&gt;&lt;/p&gt;
</t>
  </si>
  <si>
    <t xml:space="preserve">&lt;p&gt;Please try the following: First get the CLDProjects matching with Project then get the CLD from matched records.&lt;/p&gt;
&lt;pre&gt;&lt;code&gt;FROM {CLD} INNER JOIN (
    {CLDProjects} INNER JOIN {Project} ON  {Project}.[Id] = {CLDProjects}.[ProjectId]
  ) ON {CLD}.[Id] = {CLDProjects}.[CLDId]
&lt;/code&gt;&lt;/pre&gt;
</t>
  </si>
  <si>
    <t xml:space="preserve">&lt;p&gt;I'm trying to searchRecord using the Zoho CRM API and I sometimes get the following error:&lt;/p&gt;
&lt;blockquote&gt;
  &lt;p&gt;Array ( [response] =&gt; Array ( [error] =&gt; Array ( [message] =&gt; Unable
  to process your request. Please verify whether you have entered proper
  method name,parameter and parameter values. [code] =&gt; 4600 ) [uri] =&gt;
  /crm/private/json/Contacts/searchRecords ) )&lt;/p&gt;
&lt;/blockquote&gt;
&lt;p&gt;My problem is that sometimes everything works fine and sometimes I get this error&lt;/p&gt;
&lt;pre&gt;&lt;code&gt;define("TARGETURL", "https://crm.zoho.com/crm/private/json/Contacts/searchRecords");
$parameter = array(
            'scope' =&amp;gt; 'crmapi',
            'authtoken' =&amp;gt; AUTHTOKEN,
            'selectColumns' =&amp;gt; 'All',
            'criteria' =&amp;gt; '(Account Name:'.$accountName.')',
            'fromIndex' =&amp;gt; $fromIndex,
            'toIndex' =&amp;gt; $toIndex
            );
$ch = curl_init();
            curl_setopt($ch, CURLOPT_URL, TARGETURL);
            curl_setopt($ch, CURLOPT_FOLLOWLOCATION, 1);
            curl_setopt($ch, CURLOPT_RETURNTRANSFER, 1);
            curl_setopt($ch, CURLOPT_TIMEOUT, 30);
            curl_setopt($ch, CURLOPT_POST, 1);
            curl_setopt($ch, CURLOPT_POSTFIELDS, $parameter);
            $result = curl_exec($ch);
            curl_close($ch);
&lt;/code&gt;&lt;/pre&gt;
</t>
  </si>
  <si>
    <t xml:space="preserve">&lt;p&gt;In salesforce lightning component, we have three different divs which we are hiding and showing as needed using display none css property. Fist div has more contents and we have to scroll the page till the end to submit the form and on submit next page is visible which has few lines of content but we have to scroll up to see those contents. Is there any way that I can avoid scrolling. Second div is taking first div height.&lt;/p&gt;
</t>
  </si>
  <si>
    <t xml:space="preserve">&lt;p&gt;I want to integrated Zoho CRM with Reckon application,
firstly i am trying to integrated Reckon Accounts Hosted and read out Docs and they provide some FTP details and forcing to implement first Reckon Accounts Desktop API.
also i am using Ubuntu 16.04 so is it possible to integrated this on linux machine and does anyhave idea to implement API of Reckon Step by stp.
Thanks.&lt;/p&gt;
&lt;p&gt;&lt;a href="https://reckonproduction.portal.azure-api.net/docs/services" rel="nofollow"&gt;Reckon api&lt;/a&gt;&lt;/p&gt;
</t>
  </si>
  <si>
    <t xml:space="preserve">&lt;p&gt;This is correct. The first step is to learn how to write the XML used by the desktop version - and it is also used with Hosted. The destop version used the qbxmlrp2.dll - Hosted connects initially through the API, but then you embed the xml in post requests that are passed through the qbxmlrp2.dll. Reckon use Version 6.1 of the QuickBooks SDK which is now quite a few versions behind the American SDK. We found the Intuit documentation for the SDK to be quite thorough, but as of may 2017 the Reckon Hosted documentation is not overly helpful and leaves a lot to be figured out. &lt;/p&gt;
</t>
  </si>
  <si>
    <t xml:space="preserve">&lt;p&gt;I want to connect PowerApps to my local Firebird SQL server, how do I go about it?&lt;/p&gt;
&lt;p&gt;I want to make a Pricelist App that connects to a local Firebird SQL server. Excel only permits up to 15,000 items. I have 25,000 items. Also, I'd like for it to be updated every time someone edits the local database.&lt;/p&gt;
</t>
  </si>
  <si>
    <t xml:space="preserve">&lt;p&gt;This is the helper class in lightning:&lt;/p&gt;
&lt;pre&gt;&lt;code&gt;({
    MAX_FILE_SIZE: 750 000,
    save: function(component) {
        var fileInput = component.find("file").getElement();
        var file = fileInput.files[0];
        var fr = new FileReader();
        -- --some logic-- --
})
&lt;/code&gt;&lt;/pre&gt;
&lt;p&gt;From component I am calling this save method but I am getting this error:&lt;/p&gt;
&lt;pre&gt;&lt;code&gt;Something has gone wrong. Action failed: c$fileUpload$controller$save [TypeError: Cannot read property '0' of undefined]
Failing descriptor: {c$fileUpload$controller$save}.
&lt;/code&gt;&lt;/pre&gt;
&lt;p&gt;Please try again.&lt;/p&gt;
&lt;p&gt;Please help me.&lt;/p&gt;
</t>
  </si>
  <si>
    <t xml:space="preserve">&lt;p&gt;I am using zoho email for sending email. I have following configuration in my web.cfg.&lt;/p&gt;
&lt;pre&gt;&lt;code&gt;   &amp;lt;add key="hostAddress" value="smtp.zoho.com" /&amp;gt;
    &amp;lt;add key="portNo" value="587" /&amp;gt;
    &amp;lt;add key="fromEmailAddress" value="info@something.com" /&amp;gt;
    &amp;lt;add key="password" value="xxxxxxxxxxxx" /&amp;gt;
&lt;/code&gt;&lt;/pre&gt;
&lt;p&gt;While sending email through above configuration and using SASL enables as true, I am getting below errors.&lt;/p&gt;
&lt;pre&gt;&lt;code&gt;ERROR t:186 22/06/2016 08:36:28 EmailHelper            SendMail :: Error Message: Failure sending mail. Exception Detail System.Net.Mail.SmtpException: Failure sending mail. ---&amp;gt; System.Net.WebException: Unable to connect to the remote server ---&amp;gt; System.Net.Sockets.SocketException: An attempt was made to access a socket in a way forbidden by its access permissions 165.254.168.48:587
   at System.Net.Sockets.Socket.DoConnect(EndPoint endPointSnapshot, SocketAddress socketAddress)
   at System.Net.ServicePoint.ConnectSocketInternal(Boolean connectFailure, Socket s4, Socket s6, Socket&amp;amp; socket, IPAddress&amp;amp; address, ConnectSocketState state, IAsyncResult asyncResult, Exception&amp;amp; exception)
   --- End of inner exception stack trace ---
&lt;/code&gt;&lt;/pre&gt;
&lt;p&gt;Can you please help me in this as I have tried with all other ports(465) as well. I have windows hosting on goDaddy Servers. The code I have written in C# .net mvc-4. I am able to get emails when APIs are on localhost, when I deploy the same code on GoDaddy then It fails to send email.&lt;/p&gt;
</t>
  </si>
  <si>
    <t xml:space="preserve">&lt;p&gt;I'm using PHP curl to send data to zoho crm but it is returning "403 forbidden" error. Now the thing is, I am sending multiple xml on that page using a single curl function, when I send data to accounts or potentials, its being sent properly and giving me a success response, but when I try to send data to contacts, it's giving me an error, what I'm trying to say that the same curl is working fine above and giving error in the same file, I mean if there is a  problem with curl why would it be running successful three times but not the fourth time. 
Secondly, when I put that same code in localhost its working fine, which means my xml is also fine, can anybody please help me, I've searched dozens of articles but none of them are of any help, here is the code.&lt;/p&gt;
&lt;pre&gt;&lt;code&gt;&amp;lt;?php
$auth = '************';
//creating new contact
$xml = "&amp;lt;Contacts&amp;gt;
&amp;lt;row no=\"1\"&amp;gt;
&amp;lt;FL val=\"First Name\"&amp;gt;James&amp;lt;/FL&amp;gt;
&amp;lt;FL val=\"Last Name\"&amp;gt;Franco&amp;lt;/FL&amp;gt;
&amp;lt;FL val=\"Email\"&amp;gt;test@test.com&amp;lt;/FL&amp;gt;
&amp;lt;FL val=\"Department\"&amp;gt;CG&amp;lt;/FL&amp;gt;
&amp;lt;FL val=\"Phone\"&amp;gt;0000&amp;lt;/FL&amp;gt;
&amp;lt;FL val=\"Fax\"&amp;gt;99999999&amp;lt;/FL&amp;gt;
&amp;lt;FL val=\"Mobile\"&amp;gt;99989989&amp;lt;/FL&amp;gt;
&amp;lt;FL val=\"Assistant\"&amp;gt;John&amp;lt;/FL&amp;gt;
&amp;lt;/row&amp;gt;
&amp;lt;/Contacts&amp;gt;";
$agent = 'Mozilla/5.0 (Windows; U; Windows NT 5.1; en-US) AppleWebKit/525.13     (KHTML, like Gecko) Chrome/0.A.B.C Safari/525.13';
$p_true_url = "https://crm.zoho.com/crm/private/xml/Contacts/insertRecords?";
$p_true_query = "authtoken=" . $auth . "&amp;amp;scope=crmapi&amp;amp;newFormat=1&amp;amp;xmlData=" . $xml . "";
$p_true1 = curl_init();
curl_setopt($p_true1, CURLOPT_URL, $p_true_url);
curl_setopt($p_true1, CURLOPT_FOLLOWLOCATION, 1);
curl_setopt($p_true1, CURLOPT_RETURNTRANSFER, 1);
curl_setopt($p_true1, CURLOPT_TIMEOUT, 60);
curl_setopt($p_true1, CURLOPT_POST, 1);
curl_setopt($p_true1, CURLOPT_USERAGENT, $agent);
curl_setopt($p_true1, CURLOPT_SSL_VERIFYPEER, FALSE);
curl_setopt($p_true1, CURLOPT_SSL_VERIFYHOST, FALSE);
curl_setopt($p_true1, CURLOPT_POSTFIELDS, $p_true_query);
$p_true_response = curl_exec($p_true1);
curl_close($p_true1);
print_r($p_true_response);
?&amp;gt;
&lt;/code&gt;&lt;/pre&gt;
</t>
  </si>
  <si>
    <t xml:space="preserve">&lt;p&gt;I need some suggestion on handling an issues. I have an entity called Rider with an Integer attribute called PayPeriod and another Date attribute called DateToRide. So this PayPeriod for Rider gets populated from the Static entity called Pay_Period with Attributes PayPrd, PayStartDate and PayEndDate and Records from Pay1 to Pay26.
&lt;a href="https://i.stack.imgur.com/6NsDc.jpg" rel="nofollow noreferrer"&gt;&lt;img src="https://i.stack.imgur.com/6NsDc.jpg" alt="enter image description here"&gt;&lt;/a&gt;&lt;/p&gt;
&lt;p&gt;So what happens is once Date to Ride is entered for a Rider the PayPeriod from static entity Pay_Period is calculated like, in Action for creating a new Rider&lt;/p&gt;
&lt;pre&gt;&lt;code&gt;NewRider.DateToRide &amp;gt;= Pay_Period.PayStartDate and NewRider.DateToRide &amp;lt;= Pay_Period.PayEndDate
&lt;/code&gt;&lt;/pre&gt;
&lt;p&gt;And it is assigned like
&lt;a href="https://i.stack.imgur.com/lcKu2.jpg" rel="nofollow noreferrer"&gt;&lt;img src="https://i.stack.imgur.com/lcKu2.jpg" alt="enter image description here"&gt;&lt;/a&gt;&lt;/p&gt;
&lt;p&gt;It looks in the table like this&lt;/p&gt;
&lt;p&gt;&lt;a href="https://i.stack.imgur.com/NUv7q.jpg" rel="nofollow noreferrer"&gt;&lt;img src="https://i.stack.imgur.com/NUv7q.jpg" alt="enter image description here"&gt;&lt;/a&gt;&lt;/p&gt;
&lt;p&gt;Now there is a requirement also to add a drop down menu in the page where the user should be able to change the payperiod 1 t0 26 for a Rider. So I am trying to add a drop down but the issue is I am not having the foreignkey Pay_Period Identifier in my Rider entity so
&lt;a href="https://i.stack.imgur.com/6CPF3.jpg" rel="nofollow noreferrer"&gt;&lt;img src="https://i.stack.imgur.com/6CPF3.jpg" alt="enter image description here"&gt;&lt;/a&gt;
Not sure what is the Variable I will be giving here. I tried creating the local variable of Pay_Period Identifier type and liked to the Dropdown variable but it doesnot work that way.Can anyone spot light on how to approach this.&lt;/p&gt;
</t>
  </si>
  <si>
    <t xml:space="preserve">&lt;p&gt;I'm not sure why it didn't work to use a local variable with the type Pay_Period identifier. It should, cause that's the way to dot it :). That's the variable that will hold the value selected by the user. Check my test:
&lt;a href="http://i.stack.imgur.com/PJ6m3.png" rel="nofollow"&gt;ComboBox&lt;/a&gt;&lt;/p&gt;
&lt;p&gt;And the variable declaration&lt;/p&gt;
&lt;p&gt;&lt;a href="http://i.stack.imgur.com/nG15z.png" rel="nofollow"&gt;variable&lt;/a&gt;&lt;/p&gt;
</t>
  </si>
  <si>
    <t xml:space="preserve">&lt;p&gt;I'm currently trying to retrieve and send data from Marketo's API. The problem is : my web platform is Salesforce Community. If I understand correctly this web tool, I'm not allowed to use anything else than pure javascript.&lt;/p&gt;
&lt;p&gt;I've built a CORS request like this :&lt;/p&gt;
&lt;pre&gt;&lt;code&gt;function createCORSRequest(method, url) {
  var xhr = new XMLHttpRequest();
  if ("withCredentials" in xhr) {
    xhr.open(method, url, true);
  } else if (typeof XDomainRequest != "undefined") {
    xhr = new XDomainRequest();
    xhr.open(method, url);
  } else {
    xhr = null;
  }
  return xhr;
}
function makeCorsRequest() {
  var url = document.getElementById('url').value;
  var xhr = createCORSRequest('GET', url);
  if (!xhr) {
    alert('CORS not supported');
    return;
  }
  xhr.onload = function() {
    var text = xhr.responseText;
    alert('Response from CORS request to ' + url + 'is : ' + text);
  };
  xhr.onerror = function() {
    alert('Woops, there was an error making the request.');
  };
  xhr.send();
}
&lt;/code&gt;&lt;/pre&gt;
&lt;p&gt;With the help of &lt;a href="http://www.html5rocks.com/en/tutorials/cors/" rel="nofollow"&gt;http://www.html5rocks.com/en/tutorials/cors/&lt;/a&gt;, but the server doesn't seem to accept the request since this error comes back :&lt;/p&gt;
&lt;p&gt;"No 'Access-Control-Allow-Origin' header is present on the requested resource. Origin '&lt;a href="http://testurl" rel="nofollow"&gt;http://testurl&lt;/a&gt;…' is therefore not allowed access."&lt;/p&gt;
&lt;p&gt;Does anyone know if Marketo's API accepts CORS requests? Or maybe have an idea that would help me solve this? Thank you very much.&lt;/p&gt;
</t>
  </si>
  <si>
    <t xml:space="preserve">&lt;p&gt;I primary use quickbase and I am attempting to create a graph without the use of an API call.&lt;/p&gt;
&lt;p&gt;&lt;a href="https://jsfiddle.net/rpratt009/qdtuptes/" rel="nofollow"&gt;this&lt;/a&gt; is a working version of my code without any tags between the two tables but between the tables could have many many tags between them IF they even exist &lt;a href="http://imgur.com/VSIq5EH" rel="nofollow"&gt;this&lt;/a&gt; is the result. &lt;/p&gt;
&lt;pre&gt;&lt;code&gt;(function() {
  setTimeout(function() {
    $("#mydivTable").each(function() {
      var Rec = $('#mydivTable').attr('data');
      console.log(Rec);
      var valueArray = Array(5).fill(Rec).map(function(n, i) {
        return $('#Row' + n + '-' + i).attr('data');
      });
      var content = "";
      content += "div.div-table { display: table; width: auto; background-color: #eee;  width: 350px;} \n";
      content += "div.div-table2 { display: table; width: auto; width: 300;} \n";
      content += "div.div-table-row { display: table-row; width: auto; clear: both;} \n";
      content += "div.div-table-lcol { float: left; display: table-column; width: 50px;} \n";
      content += "div.div-table-rcol { float: left; display: table-column; width: 300px;} \n";
      content += "div.div-table-ircol { float: left; display: table-column; width: auto;} \n";
      content += "div.div-table-0lcol { float: left; display: table-column; background-color:#0099CC;}\n";
      var maxW = 300;
      var maxV = Math.max(...valueArray);
      var ratio = (maxW / maxV);
      var wratio = ratio.toFixed(2);
      for (var i = 0; i &amp;lt; valueArray.length; i++) {
        var tratio = valueArray[i] * wratio;
        tratio == tratio.toFixed(0);
        if (tratio &amp;lt;= 20) {
          tratio = 20;
        }
        content +=
          "\n #Row" + Rec + "-" + i + "{width:" + tratio + "px; color: #FFF; text-align: center;} ";
      }
      console.log(content);
      $('head').append('&amp;lt;style type="text/css" ID=' + Rec + '&amp;gt;' + content + '&amp;lt;/style&amp;gt;');
    });
  }, 600);
})();
&lt;/code&gt;&lt;/pre&gt;
&lt;p&gt;I have added some fluff to try and make the script run multiple times but even when i did, it only used the first set of data seen in the image. What would be the best way to make this script goto the next table if it has one and get new the new values. &lt;/p&gt;
&lt;p&gt;--- This would be the literal input I put into the field in quickbase the aiol and iol is the call to the script&lt;/p&gt;
&lt;pre&gt;&lt;code&gt;"&amp;lt;div class='div-table' id='mydivTable' style='width: 355px;' data='"&amp;amp;[Record ID#]&amp;amp;"'&amp;gt;"&amp;amp; "
  &amp;lt;div class='div-table-row'&amp;gt;"&amp;amp; "
    &amp;lt;div class='div-table-lcol'&amp;gt;Apples&amp;lt;/div&amp;gt;"&amp;amp; "
    &amp;lt;div class='div-table-rcol'&amp;gt;"&amp;amp; "
      &amp;lt;div class='div-table2'&amp;gt;"&amp;amp; "
        &amp;lt;div class='div-table-row'&amp;gt;"&amp;amp; "
          &amp;lt;div class='div-table-0lcol' id='Row"&amp;amp;[Record ID#]&amp;amp;"-0' data='"&amp;amp;[Apples]&amp;amp;"'&amp;gt;"&amp;amp;[Apples]&amp;amp;"&amp;lt;/div&amp;gt;"&amp;amp; "
          &amp;lt;div class='div-table-ircol'&amp;gt;"&amp;amp; " &amp;lt;/div&amp;gt;"&amp;amp; " &amp;lt;/div&amp;gt;"&amp;amp; " &amp;lt;/div&amp;gt;"&amp;amp; " &amp;lt;/div&amp;gt;"&amp;amp; " &amp;lt;/div&amp;gt;"&amp;amp; "
  &amp;lt;div class='div-table-row'&amp;gt;"&amp;amp; "
    &amp;lt;div class='div-table-lcol'&amp;gt;Oranges&amp;lt;/div&amp;gt;"&amp;amp; "
    &amp;lt;div class='div-table-rcol'&amp;gt;"&amp;amp; "
      &amp;lt;div class='div-table2'&amp;gt;"&amp;amp; "
        &amp;lt;div class='div-table-row'&amp;gt;"&amp;amp; "
          &amp;lt;div class='div-table-0lcol' id='Row"&amp;amp;[Record ID#]&amp;amp;"-1' data='"&amp;amp;[Oranges]&amp;amp;"'&amp;gt;"&amp;amp;[Oranges]&amp;amp;"&amp;lt;/div&amp;gt;"&amp;amp; "
          &amp;lt;div class='div-table-ircol'&amp;gt;"&amp;amp; " &amp;lt;/div&amp;gt;"&amp;amp; " &amp;lt;/div&amp;gt;"&amp;amp; " &amp;lt;/div&amp;gt;"&amp;amp; " &amp;lt;/div&amp;gt;"&amp;amp; " &amp;lt;/div&amp;gt;"&amp;amp; "
  &amp;lt;div class='div-table-row'&amp;gt;"&amp;amp; "
    &amp;lt;div class='div-table-lcol'&amp;gt;Peaches&amp;lt;/div&amp;gt;"&amp;amp; "
    &amp;lt;div class='div-table-rcol'&amp;gt;"&amp;amp; "
      &amp;lt;div class='div-table2'&amp;gt;"&amp;amp; "
        &amp;lt;div class='div-table-row'&amp;gt;"&amp;amp; "
          &amp;lt;div class='div-table-0lcol' id='Row"&amp;amp;[Record ID#]&amp;amp;"-2' data='"&amp;amp;[Peaches]&amp;amp;"'&amp;gt;"&amp;amp;[Peaches]&amp;amp;"&amp;lt;/div&amp;gt;"&amp;amp; "
          &amp;lt;div class='div-table-ircol'&amp;gt;"&amp;amp; " &amp;lt;/div&amp;gt;"&amp;amp;"&amp;lt;/div&amp;gt;"&amp;amp;"&amp;lt;/div&amp;gt;"&amp;amp;"&amp;lt;/div&amp;gt;"&amp;amp;"&amp;lt;/div&amp;gt;"&amp;amp; "
  &amp;lt;div class='div-table-row'&amp;gt;"&amp;amp; "
    &amp;lt;div class='div-table-lcol'&amp;gt;Bananas&amp;lt;/div&amp;gt;"&amp;amp; "
    &amp;lt;div class='div-table-rcol'&amp;gt;"&amp;amp; "
      &amp;lt;div class='div-table2'&amp;gt;"&amp;amp; "
        &amp;lt;div class='div-table-row'&amp;gt;"&amp;amp; "
          &amp;lt;div class='div-table-0lcol' id='Row"&amp;amp;[Record ID#]&amp;amp;"-3' data='"&amp;amp;[Bananas]&amp;amp;"'&amp;gt;"&amp;amp;[Bananas]&amp;amp;"&amp;lt;/div&amp;gt;"&amp;amp; "
          &amp;lt;div class='div-table-ircol'&amp;gt;"&amp;amp; " &amp;lt;/div&amp;gt;"&amp;amp;"&amp;lt;/div&amp;gt;"&amp;amp;"&amp;lt;/div&amp;gt;"&amp;amp;"&amp;lt;/div&amp;gt;"&amp;amp;"&amp;lt;/div&amp;gt;"&amp;amp; "
  &amp;lt;div class='div-table-row'&amp;gt;"&amp;amp; "
    &amp;lt;div class='div-table-lcol'&amp;gt;Pears&amp;lt;/div&amp;gt;"&amp;amp; "
    &amp;lt;div class='div-table-rcol'&amp;gt;"&amp;amp; "
      &amp;lt;div class='div-table2'&amp;gt;"&amp;amp; "
        &amp;lt;div class='div-table-row'&amp;gt;"&amp;amp; "
          &amp;lt;div class='div-table-0lcol' id='Row"&amp;amp;[Record ID#]&amp;amp;"-4' data='"&amp;amp;[Pears]&amp;amp;"'&amp;gt;"&amp;amp;[Pears]&amp;amp;"&amp;lt;/div&amp;gt;"&amp;amp; "
          &amp;lt;div class='div-table-ircol'&amp;gt;"&amp;amp; " &amp;lt;/div&amp;gt;"&amp;amp;"&amp;lt;/div&amp;gt;"&amp;amp;"&amp;lt;/div&amp;gt;"&amp;amp;"&amp;lt;/div&amp;gt;"&amp;amp;"&amp;lt;/div&amp;gt;"&amp;amp;"&amp;lt;/div&amp;gt;"&amp;amp;[aiol]&amp;amp;[Record ID#]&amp;amp;[/aiol]&amp;amp;"chart1.js"&amp;amp;[/iol]
&lt;/code&gt;&lt;/pre&gt;
</t>
  </si>
  <si>
    <t xml:space="preserve">&lt;p&gt;I think the major problem that you're having here is repeated id values.  Each record in the report has a &lt;code&gt;DIV&lt;/code&gt; with &lt;code&gt;id='mydivTable'&lt;/code&gt;.  The id values aren't meant to be repeated in a document and doing so can result in unexpected behavior.  In this instance, your &lt;code&gt;$('#mydivTable')&lt;/code&gt; call in your script is returning only the first element.  Fortunately, it appears to be a relatively easy fix.&lt;/p&gt;
&lt;p&gt;First, change the first line in the formula of your &lt;code&gt;forcedgraph&lt;/code&gt; field so that you give the &lt;code&gt;DIV&lt;/code&gt; a class name of "mydivTable" instead of an id:&lt;/p&gt;
&lt;pre&gt;&lt;code&gt;"&amp;lt;div class='div-table mydivTable' style='width: 355px;' data='"
&lt;/code&gt;&lt;/pre&gt;
&lt;p&gt;Now you can query for all elements that have 'mydivTable' as a class.  Change your script file so that you're looking for classes instead of ids:&lt;/p&gt;
&lt;pre&gt;&lt;code&gt;  $(".mydivTable").each(function() {
      var Rec = $(this).attr('data');
&lt;/code&gt;&lt;/pre&gt;
&lt;p&gt;Changing &lt;code&gt;"#mydivTable"&lt;/code&gt; to &lt;code&gt;this&lt;/code&gt; ensures that you are assigning the value of the 'data' attribute for the specific element that &lt;code&gt;.each()&lt;/code&gt; is iterating through to &lt;code&gt;Rec&lt;/code&gt;.  Using &lt;code&gt;"#mydivtable"&lt;/code&gt; will return nothing now that we've changed your field and using &lt;code&gt;".mydivTable"&lt;/code&gt; will return a collection of elements instead of just one.  &lt;/p&gt;
&lt;p&gt;It should start working after those changes.  At least it did for me in my own mock up.&lt;/p&gt;
</t>
  </si>
  <si>
    <t xml:space="preserve">&lt;p&gt;Summary:  Salesforce.com recently disabled TLSv1 for their sandbox instances(test.salesforce.com) and can only support TLSv1.1 and above for API integrations for both inbound and outbound requests.&lt;/p&gt;
&lt;p&gt;I am using Java Axis1.0 client code with JDK 7.0 to connect (via webservice soap) to salesforce.com. I get exception &lt;strong&gt;"UNSUPPORTED_CLIENT: TLS 1.0 has been disabled in this organization. Please use TLS 1.1 or higher when connecting to Salesforce using https."&lt;/strong&gt;
&lt;code&gt;With Java7.0 
Supported Protocols:SSLv2Hello, SSLv3, TLSv1, TLSv1.1, TLSv1.2
Enabled Protocols: TLSv1&lt;/code&gt;&lt;/p&gt;
&lt;p&gt;`With Java8.0
when i try to connect to salesforce.com with java8 client, connection is successful. &lt;/p&gt;
&lt;p&gt;Supported Protocols: SSLv2Hello, SSLv3, TLSv1, TLSv1.1, TLSv1.2
Enabled Protocols: TLSv1, TLSv1.1, TLSv1.2`&lt;/p&gt;
&lt;p&gt;I have to used Java 7 because our application is using it.
I tried setting vm args:
-Dhttps.protocols=TLSv1.1,TLSv1.2 -Ddeployment.security.SSLv2Hello=false -Ddeployment.security.SSLv3=false -Ddeployment.security.TLSv1=false -Ddeployment.security.TLSv1.1=true -Ddeployment.security.TLSv1.2=true"
but no success.&lt;/p&gt;
&lt;p&gt;can you help me to find out settings in Java7 to enable TLSv1.1?&lt;/p&gt;
</t>
  </si>
  <si>
    <t xml:space="preserve">&lt;p&gt;I just need to store Values from One Map 'which is having record from parent    child nested query' to another Map.&lt;/p&gt;
&lt;pre&gt;&lt;code&gt;Please see the below code that i am trying:
 Map&amp;lt;id,BR_OrderItem__c&amp;gt; FinalorderitemMap = new Map&amp;lt;id,BR_OrderItem__c&amp;gt;();
      Map&amp;lt;id,order&amp;gt; ordermap = new Map&amp;lt;id,order&amp;gt;([select Id,Name,Account.Name
    (select Id, name from Itens_do_pedido__r ),BR_TotalConvertedQuantity__c from Order where id in :TargetIDList  ]);
              for(order ordd : ordermap.values()){
                  FinalorderitemMap.put(ordd.id,ordd.Itens_do_pedido__r);
              }
Error that i am getting here: 
|System.QueryException: List has more than 1 row for assignment to SObject
Please suggest Exactly what i am doing wrong here.
All i want is to store realted child(order-item) record with corresponding       order as key.
Please suggest, Thanks in Advance.
&lt;/code&gt;&lt;/pre&gt;
</t>
  </si>
  <si>
    <t xml:space="preserve">&lt;p&gt;This is because &lt;code&gt;ordd.Itens_do_pedido__r&lt;/code&gt; is &lt;code&gt;List&amp;lt;BR_OrderItem__c&amp;gt;&lt;/code&gt;. There are 2 ways to solve the issue.&lt;/p&gt;
&lt;p&gt;1.Define the Map as &lt;code&gt;List&amp;lt;BR_OrderItem__c&amp;gt;&lt;/code&gt;:&lt;/p&gt;
&lt;pre&gt;&lt;code&gt;Map&amp;lt;Id, List&amp;lt;BR_OrderItem__c&amp;gt;&amp;gt; FinalorderitemMap = new Map&amp;lt;Id, List&amp;lt;BR_OrderItem__c&amp;gt;&amp;gt;();
&lt;/code&gt;&lt;/pre&gt;
&lt;p&gt;2.If you know that you will only have 1 child item against each parent, then you can go with the following option:&lt;/p&gt;
&lt;pre&gt;&lt;code&gt;for (order ordd : ordermap.values()) {
  if (ordd.Itens_do_pedido__r.isEmpty()) {
    continue;
  }
  FinalorderitemMap.put(ordd.id, ordd.Itens_do_pedido__r[0]);
}
&lt;/code&gt;&lt;/pre&gt;
</t>
  </si>
  <si>
    <t xml:space="preserve">&lt;p&gt;Hi I am very new to Salesforce, the below is what I am trying to achieve.&lt;/p&gt;
&lt;p&gt;I am using a machine learning algorithm in Python, and result of this needs to be displayed in salesforce app. &lt;/p&gt;
&lt;p&gt;Currently this data to be displayed resides in a place in a different server.&lt;/p&gt;
&lt;p&gt;Is it possible to display data not residing in salesforce in salesforce app (Without creating new fields in salesforce) ?&lt;/p&gt;
&lt;p&gt;Please help.&lt;/p&gt;
&lt;p&gt;Thanks in advance&lt;/p&gt;
</t>
  </si>
  <si>
    <t xml:space="preserve">&lt;p&gt;I am working with the FUEL SDK for Exact Target API. I have setup my enviorment variables but the app keeps denying me data, and throws the following error message&lt;/p&gt;
&lt;pre&gt;&lt;code&gt;    raise Exception('Unable to validate App Keys(ClientID/ClientSecret) provided: ' + repr(r.json()))
Exception: Unable to validate App Keys(ClientID/ClientSecret) provided: {u'errorcode': 1, u'message': u'Unauthorized', u'documentation': u''}
&lt;/code&gt;&lt;/pre&gt;
&lt;p&gt;I am looking in the client, but do not see why the authentication would be stopping. here is my code:&lt;/p&gt;
&lt;pre&gt;&lt;code&gt;import os
os.environ["FUELSDK_CLIENT_ID"] = ""
os.environ["FUELSDK_CLIENT_SECRET"] = ""
os.environ["FUELSDK_DEFAULT_WSDL"] = "https://webservice.exacttarget.com/etframework.wsdl"
os.environ
["FUELSDK_AUTH_URL"] = "https://auth.exacttargetapis.com/v1/requestToken?legacy=1"
#os.environ["FUELSDK_WSDL_FILE_LOCAL_LOC"] = "C:\Users\Aditya.Sharma\AppData\Local\Temp\ExactTargetWSDL.s6.xml"
# Add a require statement to reference the Fuel SDK's functionality:
import FuelSDK
# Next, create an instance of the ET_Client class:
myClient = FuelSDK.ET_Client()
# Create an instance of the object type we want to work with:
list = FuelSDK.ET_List()
# Associate the ET_Client to the object using the auth_stub property:
list.auth_stub = myClient
# Utilize one of the ET_List methods:
response = list.get()
# Print out the results for viewing
print 'Post Status: ' + str(response.status)
print 'Code: ' + str(response.code)
print 'Message: ' + str(response.message)
print 'Result Count: ' + str(len(response.results))
print 'Results: ' + str(response.results)
&lt;/code&gt;&lt;/pre&gt;
&lt;p&gt;Could someone please tell me why I am being shut out? &lt;/p&gt;
&lt;p&gt;here is git repository I am using: &lt;a href="https://github.com/salesforce-marketingcloud/FuelSDK-Python" rel="nofollow"&gt;https://github.com/salesforce-marketingcloud/FuelSDK-Python&lt;/a&gt; &lt;/p&gt;
&lt;p&gt;Thank you in advance. &lt;/p&gt;
</t>
  </si>
  <si>
    <t xml:space="preserve">&lt;p&gt;Update Client KEY/PWD in client.py&lt;/p&gt;
</t>
  </si>
  <si>
    <t xml:space="preserve">&lt;p&gt;I have a database in MySQL and I am using Zoho Books for keeping my accounts. &lt;/p&gt;
&lt;ol&gt;
&lt;li&gt;I want to update my Zoho Books with the pre-existing revenues data from the database. How to do this?&lt;/li&gt;
&lt;li&gt;I want to automate this task, that everytime a change is made into the database, Zoho Books extracts the data from it. If not automate, atleast I want to make this process easy - to reflect all the revenues in the database as my inflows in Zoho Books. How to do this?&lt;/li&gt;
&lt;/ol&gt;
&lt;p&gt;I haven't found any answers on StackOverflow regarding this topic, please help me out.&lt;/p&gt;
&lt;p&gt;Thanks in advance.&lt;/p&gt;
</t>
  </si>
  <si>
    <t xml:space="preserve">&lt;blockquote&gt;
  &lt;p&gt;Zoho Books extracts the data from it&lt;/p&gt;
&lt;/blockquote&gt;
&lt;p&gt;It is very unlikely that "Zoho would query YOUR database" (I mean why would they provide this service where they would have access to YOUR database?).&lt;/p&gt;
&lt;p&gt;If I'm getting what you are saying then:&lt;/p&gt;
&lt;p&gt;You should "watch" for any, for example changes in your revenues for the day (in your database) and make an api call (a POST http method call, to "write" your changes by first fetching it from your database by querying it) to your particular Zoho account (this is where you need to explore their api well), and your job would be done. &lt;/p&gt;
&lt;p&gt;Two questions here now:&lt;/p&gt;
&lt;ol&gt;
&lt;li&gt;Can you "watch" for the changes of data in your database? (does MYSQL support that in any way?)&lt;/li&gt;
&lt;li&gt;Find out the http post method apis to do the same.&lt;/li&gt;
&lt;/ol&gt;
&lt;p&gt;Let me know if I didn't understand something correctly.&lt;/p&gt;
</t>
  </si>
  <si>
    <t xml:space="preserve">&lt;p&gt;I have a question in mind... If we can't update any field value of a record ( part of &lt;em&gt;trigger.new&lt;/em&gt; ) in after trigger (e.g. after insert) then how workflow (with Evaluation criteria : Record is created) can modify a field value?&lt;/p&gt;
</t>
  </si>
  <si>
    <t xml:space="preserve">&lt;p&gt;I Created an Approval process which is working properly in Salesforce Classic, but in Lightning whenever I'm clicking on "Submit For Approval" it is giving an error message &lt;strong&gt;&lt;em&gt;"Please log in to the full Salesforce site to complete this approval request, which requires you to select the next approver."&lt;/em&gt;&lt;/strong&gt; &lt;/p&gt;
&lt;p&gt;Why this error? Did I miss something to configure??&lt;/p&gt;
&lt;p&gt;&lt;a href="https://i.stack.imgur.com/XGYK4.jpg" rel="nofollow noreferrer"&gt;&lt;img src="https://i.stack.imgur.com/XGYK4.jpg" alt="enter image description here"&gt;&lt;/a&gt;&lt;/p&gt;
&lt;p&gt;Thanks!&lt;/p&gt;
</t>
  </si>
  <si>
    <t xml:space="preserve">&lt;p&gt;I've added&lt;/p&gt;
&lt;pre&gt;&lt;code&gt;&amp;lt;script language="javascript" type="text/javascript" src="../js/Chart.bundle.js"&amp;gt;&amp;lt;/script&amp;gt;  
&lt;/code&gt;&lt;/pre&gt;
&lt;p&gt;in aura:application file, file is downloaded by browser (can see that thru console)
but when i try to create Chart object in afterRender function in Renderer&lt;/p&gt;
&lt;pre&gt;&lt;code&gt;var myChart = new Chart(ctx, { .....
&lt;/code&gt;&lt;/pre&gt;
&lt;p&gt;I've got an error:&lt;/p&gt;
&lt;blockquote&gt;
  &lt;p&gt;Something has gone wrong. afterRender threw an error in
  'markup://helloWorld:helloWorld' [afterRender threw an error in
  'markup://c:ltGraph' [&lt;strong&gt;ReferenceError: Chart is not defined&lt;/strong&gt;]] Failing
  descriptor: {markup://helloWorld:helloWorld} Error
      at new  (&lt;a href="http://localhost:8080/auraFW/javascript/lG7eYFZ_MXfCccXumk95LQ/aura_dev.js:3152:23" rel="nofollow"&gt;http://localhost:8080/auraFW/javascript/lG7eYFZ_MXfCccXumk95LQ/aura_dev.js:3152:23&lt;/a&gt;)
      at &lt;a href="http://localhost:8080/auraFW/javascript/lG7eYFZ_MXfCccXumk95LQ/aura_dev.js:1:1" rel="nofollow"&gt;http://localhost:8080/auraFW/javascript/lG7eYFZ_MXfCccXumk95LQ/aura_dev.js:1:1&lt;/a&gt;.
  Please try again.&lt;/p&gt;
&lt;/blockquote&gt;
&lt;p&gt;How to use external libraries in Aura ?&lt;/p&gt;
</t>
  </si>
  <si>
    <t xml:space="preserve">&lt;p&gt;I have created a workflow that fires when a new account is created.&lt;/p&gt;
&lt;p&gt;The webhook always fires, and fails with http error - 1 (this is all logged in ZOHO)&lt;/p&gt;
&lt;p&gt;The ZOHO documentation states that http error - 1 is becasue the ZOHO call cannot reach the server due to a firewall or some such, but offered no details.&lt;/p&gt;
&lt;p&gt;I have thoroughly tested this and I believe the issue is on their end.  I have literally tested the GET from multiple locations around the world, including India, and it never fails.  Furthermore this is on AWS EC2 and the firewall rules for 80 and 443 are 0.0.0.0/0 (allow all).  There is no geoblocking in place.  No requests ever get near any log on my server, and I have other services using these APIs with no issue.&lt;/p&gt;
&lt;p&gt;This simple test is basically a ping that accepts get parameters, sanitizes them, converts them to JSON, writes them to a log and returns the JSON payload with http status 200 to the caller.&lt;/p&gt;
&lt;p&gt;This is what the webhook looks like in ZOHO:
https://&lt;strong&gt;REMOVED&lt;/strong&gt;/api/ping?AccountID=${Accounts.Account Id}&lt;/p&gt;
&lt;p&gt;A typical call should look something like:
&lt;a href="https://c9pets.erpecommerce.com/api/ping?AccountID=123456789" rel="nofollow"&gt;https://&lt;strong&gt;REMOVED&lt;/strong&gt;/api/ping?AccountID=123456789&lt;/a&gt;&lt;/p&gt;
&lt;p&gt;I believe that it is something else and I'm hoping someone here has encountered and solved it, or at least has a suggestion I can pass to the people at ZOHO. This has been going on since 7/4.&lt;/p&gt;
</t>
  </si>
  <si>
    <t xml:space="preserve">&lt;p&gt;After almost two weeks of back and forth, It turns out that the CA.bundle was not installed on my server.  This was causing the webservice call to fail leaving no trace on my server.&lt;/p&gt;
</t>
  </si>
  <si>
    <t xml:space="preserve">&lt;p&gt;We are currently using the gantt charting functionality within Quickbase to highlight the workload of our current developers.  We are creating tasks that has vacation in order to put vacations on the same task level.  There is an outstanding request to make the blue bar purple so you can differentiate between the two.  Currently we have created a Calulated field with the HTML added but can't quite get the jquery working correctly.  This is what we have at the moment.&lt;/p&gt;
&lt;pre&gt;&lt;code&gt;If([Task Name]="Vacation","&amp;lt;script type=\"text/javascript\"&amp;gt;$(document).ready(function() { $('#timeline img').attr('src',('https://images.quickbase.com/si/16/821-check_purple.png')); });&amp;lt;/script&amp;gt;","")
&lt;/code&gt;&lt;/pre&gt;
&lt;p&gt;This should replace the image in the div of the current row with the image in the script.  Any help would be awesome&lt;/p&gt;
&lt;p&gt;thank&lt;/p&gt;
</t>
  </si>
  <si>
    <t xml:space="preserve">&lt;p&gt;It looks like there are a couple issues causing your code to not work.  First, let me make a distinction between "Calculated Fields" and "Formula Fields" in Quickbase.  Calculated fields are defined in the report view (meaning they are viewable only in that report and no other) and do not allow HTML.  Formula fields, on the other hand, are created like traditional fields and allow you to select a checkbox allowing some HTML.  You'll need to use a formula field to get code to run in a form or report.  You'll also need to make sure you make the field visible in your report otherwise the code won't be executed.&lt;/p&gt;
&lt;p&gt;Once that is resolved, your script probably won't run because Quickbase limits the HTML tags allowed.  Instead of changing the images, you'll just see the text of your script displayed in the field.  You can get around this by putting your script in the &lt;code&gt;onload&lt;/code&gt; tag of an &lt;code&gt;IMG&lt;/code&gt; element.  This will have the added effect of no longer requiring &lt;code&gt;document.ready(function(){});&lt;/code&gt; to properly execute.&lt;/p&gt;
&lt;p&gt;Finally, the last problem is the selector.  Even though you are using a formula field attached to a specific record, the script itself executes for the entire page.  In order to select only the &lt;code&gt;img&lt;/code&gt; elements for the records where Task Name is "Vacation", you'll need a way to distinguish between rows.  Fortunately, the timeline report wraps each row in a &lt;code&gt;div&lt;/code&gt; giving it an ID of "rid" + the record id.&lt;/p&gt;
&lt;p&gt;So, if you put that all together you should end up with a formula text field with "Allow some HTML tags to be inserted in the field" checked and this as the formula: &lt;/p&gt;
&lt;pre&gt;&lt;code&gt;If([Task Name]="Vacation", "&amp;lt;img qbu=\"module\" src=\"/i/clear2x2.gif\" onload=\"javascript:$('#rid" &amp;amp; [Record ID#] &amp;amp; " &amp;gt; td:has(div.timeline) &amp;gt; div.timeline &amp;gt; img').attr('src',('https://images.quickbase.com/si/16/821-check_purple.png'));\"&amp;gt;", "")
&lt;/code&gt;&lt;/pre&gt;
&lt;p&gt;I tested the above formula in my own timeline report and it worked as expected.&lt;/p&gt;
&lt;p&gt;EDIT:&lt;/p&gt;
&lt;p&gt;To exclude the clear2x2.gif image that Quickbase places for spacing automatically when editing the source:&lt;/p&gt;
&lt;pre&gt;&lt;code&gt;If([Task Name]="Vacation", "&amp;lt;img qbu=\"module\" src=\"/i/clear2x2.gif\" onload=\"javascript:$('#rid" &amp;amp; [Record ID#] &amp;amp; " &amp;gt; td:has(div.timeline) &amp;gt; div.timeline &amp;gt; img:not([src^=&amp;amp;quot;/i/clear2x2.gif&amp;amp;quot;])').attr('src',('https://images.quickbase.com/si/16/821-check_purple.png'));\"&amp;gt;", "")
&lt;/code&gt;&lt;/pre&gt;
</t>
  </si>
  <si>
    <t xml:space="preserve">&lt;p&gt;I'm trying to use Aura storage facility to store some graph data on a client side. to create a storage i use:&lt;/p&gt;
&lt;pre&gt;&lt;code&gt;function getStorage() {
            var storageName = "GraphsData";
            var storage = $A.storageService.getStorage(storageName);
            if (!storage) {
                console.log("creating storage...");
                storage = $A.storageService.initStorage({
                        name: storageName, // name
                        persistent: true, // persistent
                        secure: true, // secure
                        maxSize: 1024*1024*10, // maxSize in bytes
                        defaultExpiration : 60000, // defaultExpiration (seconds)
                        defaultAutoRefreshInterval: 60000, // defaultAutoRefreshInterval (seconds)
                        debugLoggingEnabled: true, // debugLoggingEnabled
                        clearStorageOnInit: false, // clearStorageOnInit
                        version: "1.0" // version
                    });
            }
            console.log("storage: " + storage);
            return storage;
        }
&lt;/code&gt;&lt;/pre&gt;
&lt;p&gt;And it works, i can store some data there by executing:&lt;/p&gt;
&lt;pre&gt;&lt;code&gt;storage.set("graphData", data);
&lt;/code&gt;&lt;/pre&gt;
&lt;p&gt;And retrieve data by:&lt;/p&gt;
&lt;pre&gt;&lt;code&gt;getGraphData : function() {
        var storage = getStorage();
            return storage.get("graphData").then( function(data) { 
                if (data) {
                    var promise = new Promise(function(resolve, reject) {
                        resolve(data);
                    });
                    return promise;
                }
                else
                {
                     .....
&lt;/code&gt;&lt;/pre&gt;
&lt;p&gt;But after 8-10 seconds, when i try to retrieve data from storage again, storage returns &lt;strong&gt;undefined&lt;/strong&gt; (like the data was removed). But why so fast? i played with different initialization parameters, but it changed nothing.&lt;/p&gt;
</t>
  </si>
  <si>
    <t xml:space="preserve">&lt;p&gt;ok, i found that documentation is misleading (wrong).&lt;/p&gt;
&lt;p&gt;by looking into component (thru debug console) i found different properties:&lt;/p&gt;
&lt;pre&gt;&lt;code&gt;AuraStorage {$adapter$: MemoryAdapter, name: "GraphsData", $maxSize$: 10485760, $expiration$: 10000, $autoRefreshInterval$: 30000…}
$adapter$:    MemoryAdapter
$autoRefreshInterval$    :    30000
$debugLogging$    :    false    
$expiration$    :    10000   
$getOperationsInFlight$    :    0
$keyPrefix$    :    "1.0:"
$lastSweepTime$    :    1468848393250
$maxSize$    :    10485760
$sweepInterval$    :    300000
$sweepPromise$    :    undefined
$sweepingSuspended$    :    false
adapter    :    MemoryAdapter
name    :    "GraphsData"
version    :    "1.0"
&lt;/code&gt;&lt;/pre&gt;
&lt;p&gt;after setting &lt;strong&gt;expiration&lt;/strong&gt; parameter (instead of defaultExpiration), everything started to work as expected.
Now i use&lt;/p&gt;
&lt;pre&gt;&lt;code&gt;expiration : 600,
&lt;/code&gt;&lt;/pre&gt;
&lt;p&gt;for 10 minutes expiration&lt;/p&gt;
</t>
  </si>
  <si>
    <t xml:space="preserve">&lt;p&gt;I need help in verifying SSL certificate within the company's firewall when trying to access the cloud hosted application &lt;a href="https://www.quickbase.com/" rel="nofollow"&gt;https://www.quickbase.com/&lt;/a&gt;. The pyquickbase module works perfectly when I run the script from home. Here is my code and traceback for your reference.&lt;/p&gt;
&lt;pre&gt;&lt;code&gt;    ### Python script to log into database
    import quickbase
    client = quickbase.Client(username='JohnDoe',password='OpenQB', database='qb_database',
                              apptoken='xxxdfdafd', base_url="https://www.quickbase.com")
    response = client.list_db_pages(database='qb_database')
    print(response)
    ###
&lt;/code&gt;&lt;/pre&gt;
&lt;p&gt;Traceback (most recent call last):&lt;/p&gt;
&lt;pre&gt;&lt;code&gt;    File "D:\Users\User123\Documents\pyfund\Quickbase\QB_api_check.py", line 3, in &amp;lt;module&amp;gt;
apptoken='xxxdfdafd', base_url="https://www.quickbase.com")
    File "C:\Python27\lib\site-packages\quickbase.py", line 191, in __init__
self.authenticate()
    File "C:\Python27\lib\site-packages\quickbase.py", line 263, in authenticate
required=['ticket', 'userid'], ticket=False)
    File "C:\Python27\lib\site-packages\quickbase.py", line 219, in request
request = requests.post(url, data, headers=headers)
    File "C:\Python27\lib\site-packages\requests\api.py", line 111, in post
return request('post', url, data=data, json=json, **kwargs)
    File "C:\Python27\lib\site-packages\requests\api.py", line 57, in request
return session.request(method=method, url=url, **kwargs)
    File "C:\Python27\lib\site-packages\requests\sessions.py", line 475, in request
resp = self.send(prep, **send_kwargs)
    File "C:\Python27\lib\site-packages\requests\sessions.py", line 585, in send
r = adapter.send(request, **kwargs)
    File "C:\Python27\lib\site-packages\requests\adapters.py", line 477, in send
raise SSLError(e, request=request)
    SSLError: [SSL: CERTIFICATE_VERIFY_FAILED] certificate verify failed (_ssl.c:590)
&lt;/code&gt;&lt;/pre&gt;
</t>
  </si>
  <si>
    <t xml:space="preserve">&lt;p&gt;In the quickbase calendar report - highlight a blue bar for the length of time which is the .itme class.  What I am hoping to do is to change the .itme class to the exact same style except a different color.  Currently I am able to change my class as necessary but I can't upload a css color style to support my new class.  Please see my latest in the code.&lt;/p&gt;
&lt;pre&gt;&lt;code&gt;If(IsNull([Task Name])," ", [Task Name]="Vacation", "&amp;lt;img qbu=\"module\" src=\"/i/clear2x2.gif\" onload=\"javascript: var my_css_class = { backgroundColor : 'red', color : '#fff' };$('.itme').attr('class','my_css_class');\"&amp;gt;Apple")
&lt;/code&gt;&lt;/pre&gt;
</t>
  </si>
  <si>
    <t xml:space="preserve">&lt;p&gt;The code below is part of the Python Quickbase module which has not been updated in quite a while. The help text for one of the function shown below is not clear on how to pass the parameters to upload a file (the value of which is actually base64 encoded).&lt;/p&gt;
&lt;pre&gt;&lt;code&gt;def add_record(self, fields, named=False, database=None, ignore_error=True, uploads=None):
    """Add new record. "fields" is a dict of name:value pairs
    (if named is True) or fid:value pairs (if named is False). Return the new records RID
    """
    request = {}
    if ignore_error:
        request['ignoreError'] = '1'
    attr = 'name' if named else 'fid'
    request['field'] = []
    for field, value in fields.iteritems():
        request_field = ({attr: to_xml_name(field) if named else field}, value)
        request['field'].append(request_field)
    if uploads:
        for upload in uploads:
            request_field = (
                {attr: (to_xml_name(upload['field']) if named else upload['field']),
                 'filename': upload['filename']}, upload['value'])
            request['field'].append(request_field)
    response = self.request('AddRecord', database or self.database, request, required=['rid'])
    return int(response['rid'])
&lt;/code&gt;&lt;/pre&gt;
&lt;p&gt;Can someone help me in how I should pass the parameters to add a record.&lt;/p&gt;
</t>
  </si>
  <si>
    <t xml:space="preserve">&lt;p&gt;From the help section &lt;a href="https://www.zoho.com/creator/help/api/rest-api/rest-api-view-records-in-view.html#sample_request" rel="nofollow"&gt;REST API (View Records)&lt;/a&gt; I was able to retrieve all the records entered into my Zoho form in JSON format from my php script. They have a sample request there that I emulated. &lt;/p&gt;
&lt;p&gt;However, this returns the &lt;strong&gt;ENTIRE&lt;/strong&gt; record set but I would like to retrieve only the last one entered and use it in my code. I have not found any way to do this at all. Downloading the entire JSON file of all records will be problematic as my data set grows.&lt;/p&gt;
&lt;p&gt;UPDATE: This is the request from HTML for retrieving the dataset.&lt;/p&gt;
&lt;pre&gt;&lt;code&gt;    &amp;lt;form method="GET" action="http://creator.zoho.com/api/json/my_application_name/view/my_report_name"&amp;gt;
    &amp;lt;input type="hidden" name ="authtoken" value="****"&amp;gt;
    &amp;lt;input type="hidden" name ="zc_ownername" value="ownername"&amp;gt;
    &amp;lt;input type="hidden" name ="scope" id="scope" value="creatorapi"&amp;gt;
    &amp;lt;input type="submit" value="View Records"&amp;gt;
&amp;lt;/form&amp;gt;
&lt;/code&gt;&lt;/pre&gt;
&lt;p&gt;Thanks&lt;/p&gt;
</t>
  </si>
  <si>
    <t xml:space="preserve">&lt;p&gt;I am integrating Salesforce in my application.I am required to show &lt;strong&gt;Chatter feed in my application&lt;/strong&gt; and in the process,I have done all functionalities of Chatter Rest Api(Posting,Fetching data,Comment,Likes etc),but &lt;strong&gt;I am not able to upload any kind of attachment to the chatter API&lt;/strong&gt;.&lt;/p&gt;
&lt;p&gt;I have consulted the following links:&lt;/p&gt;
&lt;p&gt;&lt;a href="https://github.com/gauravkheterpal/boxForce/blob/master/src/com/metacube/boxforce/SalesForceObjectChooser.java" rel="nofollow noreferrer"&gt;https://github.com/gauravkheterpal/boxForce/blob/master/src/com/metacube/boxforce/SalesForceObjectChooser.java&lt;/a&gt;&lt;/p&gt;
&lt;p&gt;&lt;a href="https://github.com/noeticpenguin/CasePhotographer/blob/master/src/com/brightleafsoftware/casephotographer/CaseDetailFragment.java" rel="nofollow noreferrer"&gt;https://github.com/noeticpenguin/CasePhotographer/blob/master/src/com/brightleafsoftware/casephotographer/CaseDetailFragment.java&lt;/a&gt;&lt;/p&gt;
&lt;p&gt;&lt;a href="https://stackoverflow.com/questions/36103724/how-do-i-upload-file-using-salesforce-mobile-sdk-for-android"&gt;How do I upload file using Salesforce Mobile SDK for android?&lt;/a&gt;​&lt;/p&gt;
&lt;p&gt;My code:&lt;/p&gt;
&lt;pre&gt;&lt;code&gt; private void postImageAsAttachment(String parentId, String title,String filepath) {
        Map&amp;lt;String, Object&amp;gt; fields = new HashMap&amp;lt;String, Object&amp;gt;();
        fields.put("Name", title);
        fields.put("ParentID", "The user id");
        File file=new File(filepath);
        fields.put("Body", encodeFileInBase64(file));
        fields.put("ContentType", "image/jpeg");
        RestRequest request = null;
        try {
            request = RestRequest.getRequestForCreate(getString(R.string.api_version), "Attachment", fields);
            System.out.println("Request File:"+request);
        } catch (Exception ex) {
            Log.d(TAG, "sendRequest: ", ex);
            Toast.makeText(MyNewsFeed.this, "The file upload failed: " + ex.toString(), Toast.LENGTH_LONG).show();
        }
        client.sendAsync(request, new RestClient.AsyncRequestCallback() {
            @Override
            public void onSuccess(RestRequest request, RestResponse result) {
                try {
                    //Do something with JSON result.
                    // System.out.println("Restresponse---&amp;gt;"+result);
                    println(result);  //Use our helper function, to print our JSON response.
                } catch (Exception e) {
                    e.printStackTrace();
                }
                EventsObservable.get().notifyEvent(EventsObservable.EventType.RenditionComplete);
            }
            @Override
            public void onError(Exception e) {
                e.printStackTrace();
                EventsObservable.get().notifyEvent(EventsObservable.EventType.RenditionComplete);
            }
        });
    } 
&lt;/code&gt;&lt;/pre&gt;
&lt;p&gt;I am calling this method from &lt;code&gt;onActivityResult&lt;/code&gt; &lt;strong&gt;after fetching the filepath&lt;/strong&gt; which I want to upload in the Chatter.&lt;/p&gt;
&lt;p&gt;The following method &lt;strong&gt;encodes the image to Base64&lt;/strong&gt;:&lt;/p&gt;
&lt;pre&gt;&lt;code&gt; private String encodeFileInBase64(File file) {
        String fileTxt="";
        StringBuilder sb = new StringBuilder();
        // StringBuilder sbStr = new StringBuilder((int) (file.length() / 3 *
        // 8));
        FileInputStream fin = null;
        try {
            fin = new FileInputStream(file);
            int bSize = 3000; // 3 * 512;
            Log.v("fileLength", String.valueOf(file.length()));
            byte[] buf = new byte[bSize];
            int len = 0;
            while ((len = fin.read(buf)) != -1) {
                Log.v("len", String.valueOf(len));// sbStr.append(new
                // String(buf, 0, len));
                byte[] encoded = Base64.encode(buf, Base64.DEFAULT);
                sb.append(new String(encoded, 0, len));
            }
            Log.v("txtFileWithBuffer", sb.toString());
            fin.close();
        } catch (IOException e) {
            if (null != fin) {
                try {
                    fin.close();
                } catch (IOException e1) {
                    e1.printStackTrace();
                }
            }
            String base64EncodedFile = sb.toString();
            FileInputStream fileInputStream = null;
            byte[] bFile = new byte[(int) base64EncodedFile.length()];
            try {
                fileInputStream = new FileInputStream(base64EncodedFile);
                fileInputStream.read(bFile);
                fileInputStream.close();
                fileTxt = Base64.encodeToString(bFile, Base64.DEFAULT);
                Log.v("txtFileWithoutBuffer", fileTxt);
                return fileTxt;
                // encodeImgList.add(encodedImage);
            } catch (Exception ex) {
                ex.printStackTrace();
                return "";
            }
            // return base64EncodedFile;
        }
        return fileTxt;
    }
&lt;/code&gt;&lt;/pre&gt;
&lt;p&gt;Whenever I execute the method,it gives me error:&lt;/p&gt;
&lt;pre&gt;&lt;code&gt;BasicNetwork.performRequest: Unexpected response code 400 for https://ap2.salesforce.com/services/data/v36.0/sobjects/Attachment
07-25 18:41:39.176 26386-26386/com.salesforce.th W/System.err: com.android.volley.ServerError
07-25 18:41:39.176 26386-26386/com.salesforce.th W/System.err:     at com.android.volley.toolbox.BasicNetwork.performRequest(BasicNetwork.java:179)
07-25 18:41:39.177 26386-26386/com.salesforce.th W/System.err:     at com.android.volley.NetworkDispatcher.run(NetworkDispatcher.java:114)
&lt;/code&gt;&lt;/pre&gt;
&lt;p&gt;I understand that this error only comes when there is a malformed XML or JSON body.But I didn't found what wrong I am doing here.&lt;/p&gt;
&lt;p&gt;I cannot understand what I am missing here.Please help.&lt;/p&gt;
</t>
  </si>
  <si>
    <t xml:space="preserve">&lt;p&gt;I am trying to set up a simple S3 server I can pull a url (in this case it will be a Quickbase file that's been imported already), and by clicking a button will call a script stored in the Quickbase pages that will post to S3 with a tag field I defined, for simplicity's sake it's the dbid and record id# that's in a div field as its data that's pulled into the script as &lt;/p&gt;
&lt;pre&gt;&lt;code&gt;var fileToUpload = $(this).attr('data');
var qbfiletag = $(this).attr('data');
&lt;/code&gt;&lt;/pre&gt;
&lt;p&gt;Files to upload has the url exact that Quickbase is storing the file I need to import.&lt;/p&gt;
&lt;p&gt;I know this is possible because the Juice and Zapier teams have done it, I am just having a hard time setting up the credentials to do this as a url.&lt;/p&gt;
&lt;p&gt;I am not even 100% sure I set up the access key correctly. I did give read write access to mycompany.quickbase.com but other then that I have so much information for all the various that aws offers its hard to narrow down where I screwed up.&lt;/p&gt;
</t>
  </si>
  <si>
    <t xml:space="preserve">&lt;p&gt;I'm trying to solve an issue with Microsoft PowerApps where you are limited to storing only 5 values in a collection, I have been looking around for a while now to find a solution.&lt;/p&gt;
&lt;p&gt;What I am essentially trying to do is create an offline issue logger from a tablet, where users will sync their devices to a database to retrieve all existing entries. They will then go offline to a customer site and take pictures and log issues offline to then sync when they get back to the office.&lt;/p&gt;
&lt;p&gt;With this issue persisting, I cannot import more than 5 issues from the database and I cannot log more than 5 issues to then upload to the database.&lt;/p&gt;
&lt;p&gt;I have gone through the documentation a few times now trying to find anything stating whether the storage is limited or not. I haven't been successful.&lt;/p&gt;
&lt;p&gt;Tutorials such as : &lt;a href="https://powerapps.microsoft.com/en-us/tutorials/show-images-text-gallery-sort-filter/" rel="nofollow"&gt;https://powerapps.microsoft.com/en-us/tutorials/show-images-text-gallery-sort-filter/&lt;/a&gt; show that they are adding 5 products to work with, but that is the only mention of data in a collection.&lt;/p&gt;
&lt;p&gt;Is anyone else experiencing the same issue? Or could anyone suggest a way around this?&lt;/p&gt;
&lt;p&gt;Thank you&lt;/p&gt;
</t>
  </si>
  <si>
    <t xml:space="preserve">&lt;p&gt;Update: The Collection view under File &gt; Collections only shows 5 items in the table.&lt;/p&gt;
&lt;p&gt;If you create a dropdown of the data, all the values are saved offline.&lt;/p&gt;
</t>
  </si>
  <si>
    <t xml:space="preserve">&lt;p&gt;After connecting to a CalDAV server, you can query to see which services it supports.  For example, after Lightning connects to a CalDAV server, it will only allow you to create Task objects if that server advertises Task support.&lt;/p&gt;
&lt;p&gt;Unfortunately, some servers (e.g. AppSuite, Yahoo) do support Tasks, but apparently do not correctly advertise the fact, and so strict PIM clients (e.g. Lightning) will not talk Tasks with them.&lt;/p&gt;
&lt;p&gt;How (exactly) should CalDAV do this?&lt;/p&gt;
&lt;p&gt;I have read &lt;a href="https://wiki.wocommunity.org/display/~probert/CalDAV+and+CardDAV+handshake" rel="nofollow"&gt;https://wiki.wocommunity.org/display/~probert/CalDAV+and+CardDAV+handshake&lt;/a&gt; which explains the CalDAV handshake and connectivity, and identifies the DAV features list returned by the OPTIONS call after connecting.  Our CalDAV server returns the following list:
&lt;code&gt;
1, 2, 3, access-control, calendar-access, addressbook, extended-mkcol, calendar-auto-schedule, calendar-schedule, calendarserver-sharing, calendarserver-principal-search, calendarserver-principal-property-search, calendarserver-private-comments, extended-mkcol, calendar-managed-attachments
&lt;/code&gt;&lt;/p&gt;
&lt;p&gt;However, I cannot find anywhere an exhaustive list of standard feature names, nor can I find out which name is expected for Tasks to be supported.&lt;/p&gt;
&lt;p&gt;Can anyone shed some light on this?&lt;/p&gt;
</t>
  </si>
  <si>
    <t xml:space="preserve">&lt;p&gt;I have set up live chat in my dev org and am able to conduct a session without problem.  However,  when I use a custom chat page,  no connection is made and the page just hangs at the point of connecting to an agent.&lt;/p&gt;
&lt;p&gt;I'm seeing the &lt;strong&gt;following error&lt;/strong&gt; in the console, which might be the cause - I'm not sure:&lt;/p&gt;
&lt;blockquote&gt;
  &lt;p&gt;Uncaught Error: Organization ID must be set!
  window.liveagent.chasitor.init @ chasitor.js:70 Sfdc.provide.init @
  LiveAgentChatWindow.js:24 (anonymous function) @
  LiveAgentCustomChat?language=&amp;amp;core.apexpages.devmode.url=1:148&lt;/p&gt;
&lt;/blockquote&gt;
&lt;p&gt;Anyone have any idea on how to fix this?&lt;/p&gt;
</t>
  </si>
  <si>
    <t xml:space="preserve">&lt;p&gt;I run into this problem where I would want the date field to display "YYYY-MM-DD" instead of the default 1900-01-01. &lt;/p&gt;
&lt;p&gt;I tried to to assign the date field variable, which is named ContractStart, with this value:&lt;/p&gt;
&lt;pre&gt;&lt;code&gt;If (ContractStart = NullDate(), "YYYY-MM-DD", ContractStart)
&lt;/code&gt;&lt;/pre&gt;
&lt;p&gt;And, it won't allow me:&lt;/p&gt;
&lt;p&gt;Date data type required instead of text.&lt;/p&gt;
&lt;p&gt;Is there a workaround for this inorder for me to show "YYYY-MM-DD" if the user hasn't chosen a date?&lt;/p&gt;
&lt;p&gt;I've also posted this question in the OutSystems Forum:
&lt;a href="https://www.outsystems.com/forums/discussion/17164/textbox-default-date-value/" rel="nofollow"&gt;https://www.outsystems.com/forums/discussion/17164/textbox-default-date-value/&lt;/a&gt;&lt;/p&gt;
</t>
  </si>
  <si>
    <t xml:space="preserve">&lt;pre&gt;&lt;code&gt;HttpClient httpClient = new DefaultHttpClient();
try {
    HttpPost request = new HttpPost("https://invoice.zoho.com/api/v3/contacts?authtoken="ur_token"&amp;amp;organization_id="ur_org_id");
    StringEntity params =new StringEntity("JSONString={\"contact_name\":\"company_name\",\"age\":\"20\"} ");
    request.addHeader("content-type", "application/json");
    request.addHeader("Accept","application/json");
    request.setEntity(params);
    HttpResponse response = httpClient.execute(request);
    System.out.println(response);
    // handle response here...
}catch (Exception ex) {
    // handle exception here
} finally {
    httpClient.getConnectionManager().shutdown();
}
&lt;/code&gt;&lt;/pre&gt;
&lt;p&gt;How do you add a new Customer in ZOHO INVOICE using API? I use the following &lt;code&gt;POST&lt;/code&gt; method to create the new Customer, but it doesn't work.&lt;/p&gt;
</t>
  </si>
  <si>
    <t xml:space="preserve">&lt;p&gt;I hope this following piece of code can serve your need.&lt;/p&gt;
&lt;pre&gt;&lt;code&gt;HttpClient httpClient = HttpClientBuilder.create().build();
    String url = "https://invoice.zoho.com/api/v3/contacts?authtoken=AUTHTOKEN&amp;amp;organization_id=ORGID";
    HttpPost request = new HttpPost(url);
    JSONObject json = new JSONObject();
    json.put("contact_name", "Test");
    //You can add other JSONString params here.
    List&amp;lt;NameValuePair&amp;gt; params = new ArrayList&amp;lt;&amp;gt;();
    params.add(new BasicNameValuePair("JSONString", json.toString()));
    //You can add other params like JSONString here.
    request.setEntity(new UrlEncodedFormEntity(params, "UTF-8"));
    request.addHeader("Accept", "application/json");
    HttpResponse response = httpClient.execute(request);
    ResponseHandler&amp;lt;String&amp;gt; handler = new BasicResponseHandler();
    System.out.println(response.getStatusLine().getStatusCode());
    String body = handler.handleResponse(response);
    System.out.println(body);
&lt;/code&gt;&lt;/pre&gt;
</t>
  </si>
  <si>
    <t xml:space="preserve">&lt;p&gt;In my org there are three queues (names are Digital,Btl,Atl) containing three users. In my lead object there is a picklist field(having same queue values).
when lead inserted with pick list value as 'Digital', owner of inserting lead should be update as user in Digital queue(user should get selected in round robin fashion inside queue). How can i achieve that through Trigger...PLZ HELP ME OUT..&lt;/p&gt;
</t>
  </si>
  <si>
    <t xml:space="preserve">&lt;p&gt;I am trying to gate the count of rows having same date from multiple tables using group by, But the resultant rows showing duplicate dates. I have changed date format to show only the date removing time from the date column.&lt;/p&gt;
&lt;pre&gt;&lt;code&gt;SELECT
 userprofiles."date",
 COUNT(userprofiles."date") AS NumberofRegistration,
 COUNT(CallScheduleTableFB."Date") AS NumberofCalls
FROM  userprofiles LEFT JOIN CallScheduleTableFB ON userprofiles."date"  = CallScheduleTableFB."Date"  
GROUP BY  userprofiles."date" 
UNION
SELECT
 CallScheduleTableFB."Date",
 COUNT(userprofiles."date") AS NumberofRegistration,
 COUNT(CallScheduleTableFB."Date") AS NumberofCalls
FROM  userprofiles RIGHT JOIN CallScheduleTableFB ON userprofiles."date"  = CallScheduleTableFB."Date"  
GROUP BY  CallScheduleTableFB."Date"
&lt;/code&gt;&lt;/pre&gt;
&lt;p&gt;EDIT
Following is output&lt;/p&gt;
&lt;pre&gt;&lt;code&gt;userprofiles.date |NumberofRegistration |NumberofCalls
27/07/2016 |1 |0
28/07/2016 |0 |1
28/07/2016 |0 |1
28/07/2016 |0 |1
28/07/2016 |0 |1
30/07/2016 |0 |1
30/07/2016 |0 |1
03/08/2016 |1 |0
03/08/2016 |1 |0
03/08/2016 |0 |1
03/08/2016 |0 |1
&lt;/code&gt;&lt;/pre&gt;
</t>
  </si>
  <si>
    <t xml:space="preserve">&lt;p&gt;@Sagar Galande, This is my suggested code:&lt;/p&gt;
&lt;pre&gt;&lt;code&gt;SELECT
      A.[Date]
    , SUM(A.NumberofRegistration) AS NumberofRegistration
    , SUM(A.NumberofCalls) AS NumberofRegistration
FROM
    (
    SELECT
         userprofiles."date" AS [Date],
         COUNT(userprofiles."date") AS NumberofRegistration,
         COUNT(CallScheduleTableFB."Date") AS NumberofCalls
    FROM  
        userprofiles 
            LEFT JOIN 
        CallScheduleTableFB 
            ON userprofiles."date"  = CallScheduleTableFB."Date"  
    GROUP BY  
        userprofiles."date" 
    UNION
    SELECT
         CallScheduleTableFB."Date" AS [Date],
         COUNT(userprofiles."date") AS NumberofRegistration,
         COUNT(CallScheduleTableFB."Date") AS NumberofCalls
    FROM  
        userprofiles 
            RIGHT JOIN 
        CallScheduleTableFB 
            ON userprofiles."date"  = CallScheduleTableFB."Date"  
    GROUP BY  
        CallScheduleTableFB."Date"
    ) AS A
GROUP BY
    A.[Date]
&lt;/code&gt;&lt;/pre&gt;
</t>
  </si>
  <si>
    <t xml:space="preserve">&lt;p&gt;I have a requirement in which if i click on new button of a custom object, it should get redirected to a VF page if this is a support profile. else it should show the standard page. can someone help me with this. 
Below is the code i have tried.&lt;/p&gt;
&lt;pre&gt;&lt;code&gt;    &amp;lt;apex:page standardController="customobject__c" extensions="customvfpagecontroller1" action="{!redirect}"&amp;gt;
    public PageReference redirect() {
    PageReference newPage;
    Id tProfile = [select Id from Profile where Name = 'TSupport' limit 1][0].Id;
    Id profileId=userinfo.getProfileId();
    if(profileId == tProfile)
    { 
        newPage = Page.vfpage1;
        return newPage.setRedirect(true);
    } else {
        //it should redirect to standard new page of the custom object
    }
&lt;/code&gt;&lt;/pre&gt;
</t>
  </si>
  <si>
    <t xml:space="preserve">&lt;p&gt;I want to show a  Feed back message in sales force Standard page on custom button click using visual force page on the basis of Apex class logic.Any one who can help me?For example if some thing successfully done then success message and if not error message should display on standard page.&lt;/p&gt;
</t>
  </si>
  <si>
    <t xml:space="preserve">&lt;p&gt;I'm working with zoho crm api, two make two api calls, one to get the ID and the other to update a record, the problem is that i have a 60 calls per minute.&lt;/p&gt;
&lt;p&gt;I've an array with lots of info that I use to update the records.&lt;/p&gt;
&lt;p&gt;Is there any way I can call 60 times per minute to avoid getting blocked? or any other work around?&lt;/p&gt;
&lt;pre&gt;&lt;code&gt;var censados = [...] &amp;lt;-- big array
for (var i = 0; i &amp;lt; censados.length; i++) {
var elcorreo    = censados[i].email;
var elpais      = censados[i].country;
var criteria = "(Account Name:"+elcorreo+")"
var criteria = encodeURI(criteria);
var options = {
    hostname: 'crm.zoho.com',
    port: 443,
    path: '/crm/private/json/Potentials/searchRecords?authtoken=apikey&amp;amp;scope=crmapi&amp;amp;newFormat=1&amp;amp;selectColumns=Potentials(POTENTIALID)&amp;amp;criteria=' + criteria,
    method: 'GET'
};
 https.request(options, function(response) {
        var responseData = '';
        response.setEncoding('utf8');
        response.on('data', function(chunk) {
            responseData += chunk;
            jsonObject = JSON.parse(chunk);
        });
        response.once('error', function(err) {
            // Some error handling here, e.g.:
            res.serverError(err);
        });
        response.on('end', function() {
            try {
                //console.log(responseData.response.result.Potentials.row.FL.content)
                console.log(jsonObject.response.result)
                if (jsonObject.response.result.Potentials.row.FL.content) {
                var IdPotential = jsonObject.response.result.Potentials.row.FL.content;
                // START UPDATER
                  var xmlData = '\
                    &amp;lt;Potentials&amp;gt;\
                        &amp;lt;row no="1"&amp;gt;\
                            &amp;lt;FL val="País de Recidencia"&amp;gt;'+elpais+'&amp;lt;/FL&amp;gt;\
                        &amp;lt;/row&amp;gt;\
                    &amp;lt;/Potentials&amp;gt;';
                    var xmlData = encodeURI(xmlData);
                    var options = {
                        hostname: 'crm.zoho.com',
                        port: 443,
                        path: '/crm/private/xml/Potentials/updateRecords?authtoken=apikey&amp;amp;scope=crmapi&amp;amp;id='+IdPotential+'&amp;amp;xmlData='+xmlData,
                        method: 'POST'
                    };
                    https.request(options, function(response) {
                    response.setEncoding('utf8');
                    response.on('data', function(chunk) {
                        responseData += chunk;
                        //jsonObject = JSON.parse(chunk);
                    });
                    response.once('error', function(err) {
                        // Some error handling here, e.g.:
                        res.serverError(err);
                    });
                    response.on('end', function() {
                        try {
                                console.log(responseData)
                        } catch (e) {
                            console.log(e)
                        }
                    });
                }).end();
                };
                //END UPDATE
            } catch (e) {
                console.log(e)
            }
        });
    }).end();
}
&lt;/code&gt;&lt;/pre&gt;
</t>
  </si>
  <si>
    <t xml:space="preserve">&lt;p&gt;I am trying to do a posturl to Zoho CRM from my android application and I cannot figure out the proper formatting. Here is how the URL layout is supposed to be (in this EXACT format):&lt;/p&gt;
&lt;p&gt;&lt;code&gt;https://crm.zoho.com/crm/private/xml/Potentials/updateRecords?authtoken=myauthtoken&amp;amp;scope=crmapi&amp;amp;id=potentialsid&amp;amp;xmlData=&amp;lt;Potentials&amp;gt;&amp;lt;row no="1"&amp;gt;&amp;lt;FL val="field name goes here"&amp;gt;field value goes here&amp;lt;/FL&amp;gt;(repeat &amp;lt;FL val="field name goes here"&amp;gt;field value goes here&amp;lt;/FL&amp;gt; for every field you want populated)&amp;lt;/row&amp;gt;&amp;lt;/Potentials&amp;gt;&lt;/code&gt;.&lt;/p&gt;
&lt;p&gt;I have tried this as just a straight url in a web browser and it worked in updating the field that I wanted updated with this format, so I know this is the proper format, but I just don't know how to replicate this in android.&lt;/p&gt;
&lt;p&gt;If it helps, the same number of fields will need to be updated every time, so I will need a set number of &lt;code&gt;&amp;lt;FL val="field name goes here"&amp;gt;field value goes here&amp;lt;/FL&amp;gt;&lt;/code&gt; values, in my case, 5 of them.&lt;/p&gt;
</t>
  </si>
  <si>
    <t xml:space="preserve">&lt;p&gt;Ok, so I actually figured out a sort of workaround for how to post data to Zoho CRM from Android. First, I am using &lt;a href="https://android-arsenal.com/details/1/3756" rel="nofollow"&gt;HttpAgent&lt;/a&gt; to Post the URL. Next, in the HttpAgent.post(), I have the following layout for my URL:&lt;/p&gt;
&lt;pre&gt;&lt;code&gt;    HttpAgent.post("https://crm.zoho.com/crm/private/xml/Potentials/
updateRecords?authtoken=myauthtoken&amp;amp;scope=crmapi&amp;amp;id=potentialsid&amp;amp;xmlData=
&amp;lt;Potentials&amp;gt;&amp;lt;row no="1"&amp;gt;" + data + "&amp;lt;/row&amp;gt;&amp;lt;/Potentials&amp;gt;)
&lt;/code&gt;&lt;/pre&gt;
&lt;p&gt;The data variable is a series of StringBuffers with the following layout:&lt;/p&gt;
&lt;pre&gt;&lt;code&gt;StringBuffer variablename1 = new StringBuffer();
                        if(Checkboxname1.isChecked()){
                            variablename.append("&amp;lt;FL%20val=\"CRM Field Name\"&amp;gt;CRM Field Value&amp;lt;/FL&amp;gt;");
                        }
&lt;/code&gt;&lt;/pre&gt;
&lt;p&gt;I need the if statement to check to see if a certain checkbox is checked and if it is, to update the CRM field the checkbox is associated with in my case, others may not need it. I then append them together with the following code:&lt;/p&gt;
&lt;pre&gt;&lt;code&gt;StringBuffer data = new StringBuffer();
data.append(variablename1.toString() + variablename2.toString()...);
&lt;/code&gt;&lt;/pre&gt;
&lt;p&gt;The data variable is then just plugged into the url where "data" has been concatenated. You then just finish it off with a simple &lt;/p&gt;
&lt;pre&gt;&lt;code&gt;.go(new SuccessCallback() {
                                    @Override
                                    protected void onDone(boolean success) {
                                    }
                                });
&lt;/code&gt;&lt;/pre&gt;
&lt;p&gt;and you are good to go. Make sure to add %20 between ALL spaces that will be going into the URL. I didn't know that at first and it wasn't posting.&lt;/p&gt;
&lt;p&gt;This is my total code for all who are wondering:&lt;/p&gt;
&lt;pre&gt;&lt;code&gt;StringBuffer data = new StringBuffer();
                        StringBuffer variable1 = new StringBuffer();
                        if(checkboxname1.isChecked()){
                            variable1.append("&amp;lt;FL%20val=\"CRM%20Field%20Name%201\"&amp;gt;CRM%20Field%20Value%201&amp;lt;/FL&amp;gt;"); //Make sure to add %20 between ALL spaces, that threw me off for awhile.
                        }
                        StringBuffer variable2= new StringBuffer();
                        if(checkboxname2.isChecked()){
                            variable2.append("&amp;lt;FL%20val=\"CRM%20Field%20Name%202\"&amp;gt;CRM%20Field%20Value%202&amp;lt;/FL&amp;gt;");
                        }
                        data.append(variable1.toString() + variable2.toString());
                        HttpAgent.post("https://crm.zoho.com/crm/private/xml/Potentials/updateRecords?authtoken=myauthtoken&amp;amp;scope=crmapi&amp;amp;id=" + PotentialID + "&amp;amp;xmlData=&amp;lt;Potentials&amp;gt;&amp;lt;row%20no=\"1\"&amp;gt;" + data + "&amp;lt;/row&amp;gt;&amp;lt;/Potentials&amp;gt;")
                                .go(new SuccessCallback() {
                                    @Override
                                    protected void onDone(boolean success) {
                                    }
                                });
&lt;/code&gt;&lt;/pre&gt;
&lt;p&gt;P.S. I will be adding all 5 that I need in a little while, I just wanted to post the code so anyone looking for an easy answer can find it.&lt;/p&gt;
</t>
  </si>
  <si>
    <t xml:space="preserve">&lt;p&gt;Please help me in how to create the custom function to search records from custom module in zoho crm.&lt;/p&gt;
&lt;p&gt;I am new to zoho crm so I do not have any idea about how to code for this.
The workflow triggers on Event create.&lt;/p&gt;
&lt;p&gt;In custom module LEADID is inserted into Lead Id field and I want to search record by Lead Id fields value from custom module.
In function I passed the lead id for search record.
Below is sample code which I create but it does not work .&lt;/p&gt;
&lt;pre&gt;&lt;code&gt;Lead_id=input.LeadID.toString();
Event_id=input.EventID.toString();
rec = zoho.crm.getRecordById("Events",input.EventID);
resp = zoho.crm.searchRecords("CustomModule1","Lead Id",input.LeadID);
for each ele in resp
{
mp=map();
mp.put("Event Created Time",rec.get("Created Time"));
contactId=ele.get("CUSTOMMODULE1_ID");
updateResp = zoho.crm.updateRecord("CustomModule1",contactId,mp);
}
&lt;/code&gt;&lt;/pre&gt;
</t>
  </si>
  <si>
    <t xml:space="preserve">&lt;p&gt;I am learning about the gulp source code and tried to write a gulp plugin.&lt;/p&gt;
&lt;p&gt;Now I am confused about something.&lt;/p&gt;
&lt;p&gt;This is my plugin code below:&lt;/p&gt;
&lt;pre&gt;&lt;code&gt;module.exports = function(){
    return through2.obj(function(file,encode,callback){
        console.log(vinyl.isVinyl(file));//false
        console.log(file._isVinyl) // undefined
        // the reason ? file is not Object of vinyl ? file's property of '_isVinyl' is undefine ?
        if(file.isNull()){
            callback(null,file);
        }
        if(file.isStream()){
            file.contents = file.contents.pipe(through2(function(chuck,encode,callback){
                if(util.isNull(chuck)){
                    callback(null, chuck);
                }
                if(util.isBuffer(chuck)){
                    chuck = new Buffer(String(chuck)
                        .replace(commentReg, '')
                        .replace(blankSpaceReg,''))
                }
                callback(null,chuck);
            }));
        }
        if(file.isBuffer()){
            file.contents = new Buffer(String(file.contents)
                .replace(commentReg, '')
                .replace(blankSpaceReg,''));
        }
        callback(null,file);
    })
}
&lt;/code&gt;&lt;/pre&gt;
&lt;p&gt;This is the part of the gulp source code where &lt;a href="https://github.com/gulpjs/vinyl" rel="nofollow"&gt;&lt;code&gt;vinyl&lt;/code&gt;&lt;/a&gt; files are created:&lt;/p&gt;
&lt;p&gt;&lt;a href="https://github.com/gulpjs/vinyl-fs/blob/master/lib/src/wrap-with-vinyl-file.js" rel="nofollow"&gt;&lt;code&gt;https://github.com/gulpjs/vinyl-fs/blob/master/lib/src/wrap-with-vinyl-file.js&lt;/code&gt;&lt;/a&gt;&lt;/p&gt;
&lt;p&gt;&lt;strong&gt;MY CONFUSION:&lt;/strong&gt;&lt;/p&gt;
&lt;p&gt;The &lt;a href="https://github.com/rvagg/through2#transformfunction" rel="nofollow"&gt;&lt;code&gt;transformFunction&lt;/code&gt;&lt;/a&gt; registered with &lt;code&gt;though2.obj()&lt;/code&gt; receives a &lt;code&gt;file&lt;/code&gt; object that should be a &lt;code&gt;vinyl&lt;/code&gt; file.&lt;/p&gt;
&lt;p&gt;Why does &lt;code&gt;vinyl.isVinyl()&lt;/code&gt; return &lt;code&gt;false&lt;/code&gt;? &lt;/p&gt;
&lt;p&gt;Why doesn't the &lt;code&gt;file&lt;/code&gt; object have a &lt;code&gt;_isVinyl&lt;/code&gt; property?&lt;/p&gt;
</t>
  </si>
  <si>
    <t xml:space="preserve">&lt;p&gt;This is a matter of which versions of &lt;code&gt;vinyl-fs&lt;/code&gt; and &lt;code&gt;vinyl&lt;/code&gt; you look at on Github and which versions of &lt;code&gt;vinyl-fs&lt;/code&gt; and &lt;code&gt;vinyl&lt;/code&gt; your local &lt;code&gt;gulp&lt;/code&gt; installation is using.&lt;/p&gt;
&lt;p&gt;You probably installed gulp from &lt;a href="https://www.npmjs.com/package/gulp" rel="nofollow noreferrer"&gt;&lt;code&gt;npmjs.com&lt;/code&gt;&lt;/a&gt; by typing:&lt;/p&gt;
&lt;pre&gt;&lt;code&gt;$ npm install --save-dev gulp
&lt;/code&gt;&lt;/pre&gt;
&lt;p&gt;This currently installs version &lt;code&gt;3.9.1&lt;/code&gt; of gulp. You can see which versions of &lt;code&gt;vinyl-fs&lt;/code&gt; and &lt;code&gt;vinyl&lt;/code&gt; the &lt;code&gt;3.9.1&lt;/code&gt; version of gulp depends on by using &lt;a href="https://docs.npmjs.com/cli/ls" rel="nofollow noreferrer"&gt;&lt;code&gt;npm ls&lt;/code&gt;&lt;/a&gt;. Here's the (abbreviated) output from that command:&lt;/p&gt;
&lt;pre&gt;&lt;code&gt;└─┬ gulp@3.9.1
  └─┬ vinyl-fs@0.3.14
    └─┬ vinyl@0.4.6
&lt;/code&gt;&lt;/pre&gt;
&lt;p&gt;So &lt;code&gt;gulp@3.9.1&lt;/code&gt; depends on &lt;code&gt;vinyl-fs@0.3.14&lt;/code&gt; and &lt;code&gt;vinyl-fs@0.3.14&lt;/code&gt; depends on &lt;code&gt;vinyl@0.4.6&lt;/code&gt;.&lt;/p&gt;
&lt;p&gt;Here are links to those version on GitHub:&lt;/p&gt;
&lt;p&gt;&lt;a href="https://github.com/gulpjs/vinyl-fs/tree/v0.3.14" rel="nofollow noreferrer"&gt;https://github.com/gulpjs/vinyl-fs/tree/v0.3.14&lt;/a&gt; &lt;br&gt;
&lt;a href="https://github.com/gulpjs/vinyl/tree/v0.4.6" rel="nofollow noreferrer"&gt;https://github.com/gulpjs/vinyl/tree/v0.4.6&lt;/a&gt;&lt;/p&gt;
&lt;p&gt;As you can see on GitHub &lt;code&gt;vinyl@0.4.6&lt;/code&gt; does &lt;strong&gt;not&lt;/strong&gt; have a &lt;code&gt;._isVinyl&lt;/code&gt; property. Only newer versions like &lt;code&gt;vinyl@1.2.0&lt;/code&gt; &lt;a href="https://github.com/gulpjs/vinyl/blob/v1.2.0/index.js#L36" rel="nofollow noreferrer"&gt;have this property&lt;/a&gt;.&lt;/p&gt;
&lt;p&gt;Since &lt;code&gt;gulp@3.9.1&lt;/code&gt; emits vinyl files using &lt;code&gt;vinyl@0.4.6&lt;/code&gt; the vinyl files emitted by your gulp installation don't have the &lt;code&gt;._isVinyl&lt;/code&gt; property. And that's why the &lt;code&gt;vinyl.isVinyl()&lt;/code&gt; function returns &lt;code&gt;false&lt;/code&gt; in your example.&lt;/p&gt;
&lt;p&gt;The current &lt;a href="https://github.com/gulpjs/gulp/tree/4.0" rel="nofollow noreferrer"&gt;development version for the upcoming gulp 4.0&lt;/a&gt; uses &lt;code&gt;vinyl@1.2.0&lt;/code&gt; . If you were to &lt;a href="https://stackoverflow.com/a/34267286/5892036"&gt;install that version of gulp&lt;/a&gt; the &lt;code&gt;vinyl.isVinyl()&lt;/code&gt; call in your example would return &lt;code&gt;true&lt;/code&gt;.&lt;/p&gt;
</t>
  </si>
  <si>
    <t xml:space="preserve">&lt;p&gt;Currently I'm trying to create a simple login form with Microsoft PowerApps.&lt;/p&gt;
&lt;p&gt;I have a login action (Web API2) that is called:&lt;/p&gt;
&lt;pre&gt;&lt;code&gt;SampleAPI.AuthLogin({UserName:UserNameTextBox.Text, Password:PasswordTextBox.Text})
&lt;/code&gt;&lt;/pre&gt;
&lt;p&gt;This is working great. The Login method is returning a &lt;code&gt;json web token&lt;/code&gt; which should be passed in all following requests. Is this possible?&lt;/p&gt;
&lt;p&gt;Futhermore, when clicking on the &lt;code&gt;Login&lt;/code&gt; button, a new screen should appear. (Using &lt;code&gt;Navigate&lt;/code&gt;).&lt;/p&gt;
&lt;p&gt;So how can I set the result of &lt;code&gt;AuthLogin&lt;/code&gt; as the &lt;code&gt;Authentication Header&lt;/code&gt; in all following http requests?&lt;/p&gt;
&lt;p&gt;Thank you very much!&lt;/p&gt;
</t>
  </si>
  <si>
    <t xml:space="preserve">&lt;p&gt;I have a web application on ASP that was built with Outsystems platform. On the page I have form and several AJAX requests. For some reasons on some computer (same application, same version of Chrome) AJAX request fails with 400 - bad request (Doesn't happen in IE or Firefox). I looked inside the request and on the verb part of the one who has error I have information from the viewstate of the previous AJAX request. (Also on the computer that have problems I tried to clean cookies, reinstall Chrome but it didn't helped.)&lt;/p&gt;
&lt;p&gt;Please does anyone have an ideas with what it can be connected to?&lt;/p&gt;
&lt;p&gt;Right request:
&lt;a href="https://i.stack.imgur.com/PCIyF.png" rel="nofollow noreferrer"&gt;&lt;img src="https://i.stack.imgur.com/PCIyF.png" alt="enter image description here"&gt;&lt;/a&gt;&lt;/p&gt;
&lt;p&gt;Bad request:
&lt;a href="https://i.stack.imgur.com/Yni3u.png" rel="nofollow noreferrer"&gt;&lt;img src="https://i.stack.imgur.com/Yni3u.png" alt="enter image description here"&gt;&lt;/a&gt;&lt;/p&gt;
</t>
  </si>
  <si>
    <t xml:space="preserve">&lt;p&gt;I need to edit a script. There is a service that is on two Windows Server 2008 R2. They are load balanced. I need it so when I run the script that starts the service on the primary server and the secondary, so before it even start the service on both servers, the goes out and checks to ensure the primary server is up and running, then continues on as normal to start the services on both servers.&lt;/p&gt;
&lt;pre&gt;&lt;code&gt;# Start Appian
function StartAppian {
  $APNSVC = Get-Service -Name $AppianService
  if (!$APNSVC) {
    Write-Host "Appian Service does not exist"
    return
  }
  # Check to see if Appian's service is already started
  if ($APNSVC.Status -eq "Running") {
    if ($LB) {
      if ($MULEAPNSVC.Status -eq "Running") {
        Write-Host "Appian Service on the Load Balanced Server already is started!" -ForegroundColor Yellow
        return
      }
    }
    Write-Host "Appian Service already is started!" -ForegroundColor Yellow
    Read-Host "Press any key to return"
    return
  }
  # Check if DEV's Process Design has a writing_*.kdb file and delete it
  if ($Server -eq "DEV") {
    #gw1
    if (Test-Path $APPIAN_HOME\server\process\design\gw1\writing_*.kdb) {
      Write-Host "Removing writing_*.kdb from GW1" -ForegroundColor Yellow
      Remove-Item $APPIAN_HOME\server\process\design\gw1\writing_*.kdb
    }
    #gw2
    if (Test-Path $APPIAN_HOME\server\process\design\gw2\writing_*.kdb) {
      Write-Host "Removing writing_*.kdb from GW2" -ForegroundColor Yellow
      Remove-Item $APPIAN_HOME\server\process\design\gw2\writing_*.kdb
    }
  }
  Write-Host "Starting Appian"
  # Place the name of the service here to start for Appian
  Start-Service $AppianService
  Notify("StartAppian")
  if ($LB) {
    (Get-Service $MULEAPNSVC.Name -ComputerName $MULE).Start()
    Write-Host "Starting Mule's Appian" -ForegroundColor Magenta
  }
  cmd.exe "/C $APPIAN_HOME\server\_scripts\diagnostic\checkengine.bat -s &amp;gt;    $logdir\Startup.log"
  # These lines check the Startup log for fatals and errors at the beginning
  $fatals = Select-String FATAL $logdir\Startup.log
  $errs = Select-String ERROR $logdir\Startup.log
  # Check for errors and fatals again
  $fatals = Select-String FATAL $logdir\Startup.log
  $errs = Select-String ERROR $logdir\Startup.log
  Write-Host "Still warnings or Errors in CE" -ForegroundColor Yellow
  # Increment times
  $times = $times + 1
  # If times &amp;gt; threshold, email out error message
  if ($times -gt $threshold) {
    SendAlert("There is a problem with Appian - It won't start")
    Write-Host "There was a problem with Appian..it took too long to start -  emailing alert" -ForegroundColor Red
    Read-Host "Press any key to exit"
  }
}
Write-Host "Appian Started" -ForegroundColor Green
Read-Host "Press any key to return"
}
&lt;/code&gt;&lt;/pre&gt;
</t>
  </si>
  <si>
    <t xml:space="preserve">&lt;p&gt;You can do that with a simple Test-Connection at the start of the script.&lt;/p&gt;
&lt;pre&gt;&lt;code&gt;if ($ping = Test-Connection -ComputerName PrimaryServerName -Quiet) {
Write-Host "Host avalible"
}
else {
Write-Host "Host unavalible"
Exit
}
&lt;/code&gt;&lt;/pre&gt;
</t>
  </si>
  <si>
    <t xml:space="preserve">&lt;p&gt;We have implemented a rest service within a managed package.  A few of our customers have already installed this package.  Currently it takes 3 parameters. The purpose is to send updates made in one system to a Salesforce instance with the managed package installed.  In building this service we followed the examples outlined here…..&lt;/p&gt;
&lt;p&gt;&lt;a href="https://developer.salesforce.com/docs/atlas.en-us.apexcode.meta/apexcode/apex_rest_methods.htm" rel="nofollow"&gt;https://developer.salesforce.com/docs/atlas.en-us.apexcode.meta/apexcode/apex_rest_methods.htm&lt;/a&gt;&lt;/p&gt;
&lt;p&gt;We want to add an optional parameter to our POST method call.  Go from 3 parameters to 4 for example. We want this change to be backward compatible. What we see in trying to test this is a “Resource Not Found” error when sending 4 parameters rather than the old 3 parameters. &lt;/p&gt;
&lt;p&gt;Is it possible to just update the rest service code without having all our customers install the package again? Or Does anyone who has installed the managed package have to go out and get a new package in order to read the new parameter?   What is the best way to manage changes or updates like this?   &lt;/p&gt;
&lt;p&gt;Is there a better implementation or way to deal with this kind of scenario?  Is it the responsibility of the invoker to determine the API/package version installed and pass in three or four parameters? &lt;/p&gt;
&lt;p&gt;If you can share the best practice around upgrading REST API method implementation within salesforce it is really appreciated.&lt;/p&gt;
&lt;p&gt;Example Old Way:
../apex/updateSomething sent with json in body {"Element1":"Value1","Element2":"Value2","Element3":"Value3"}&lt;/p&gt;
&lt;p&gt;Example New Way:
../apex/updateSomething sent with json in body {"Element1":"Value1","Element2":"Value2","Element3":"Value3","Element4":"Value4"}&lt;/p&gt;
</t>
  </si>
  <si>
    <t xml:space="preserve">&lt;p&gt;I am creating a  salesforce lightning component to list the leads of the current logged in user.&lt;/p&gt;
&lt;p&gt;I have managed to write the following code, but when i add the component to the page, and preview it, I dont see any leads.&lt;/p&gt;
&lt;pre&gt;&lt;code&gt;&amp;lt;aura:component implements="forceCommunity:availableForAllPageTypes" access="global" &amp;gt;
 &amp;lt;div class="slds"&amp;gt; 
&amp;lt;table class="slds-table slds-table--bordered slds-table--striped"&amp;gt;
    &amp;lt;thead&amp;gt;
        &amp;lt;tr&amp;gt;
            &amp;lt;th scope="col"&amp;gt;&amp;lt;span class="slds-truncate"&amp;gt;Company&amp;lt;/span&amp;gt;&amp;lt;/th&amp;gt;
            &amp;lt;th scope="col"&amp;gt;&amp;lt;span class="slds-truncate"&amp;gt;Annual Revenue&amp;lt;/span&amp;gt;&amp;lt;/th&amp;gt;
        &amp;lt;/tr&amp;gt;
    &amp;lt;/thead&amp;gt;
    &amp;lt;tbody&amp;gt;
        &amp;lt;aura:iteration items="{!v.leads}" var="lead"&amp;gt;
            &amp;lt;tr&amp;gt;
                &amp;lt;td&amp;gt;{!lead.Company}&amp;lt;/td&amp;gt;
                &amp;lt;td&amp;gt;{!lead.AnnualRevenue}&amp;lt;/td&amp;gt;
            &amp;lt;/tr&amp;gt;
        &amp;lt;/aura:iteration&amp;gt;
    &amp;lt;/tbody&amp;gt;
&amp;lt;/table&amp;gt;
    &amp;lt;/div&amp;gt;
&lt;/code&gt;&lt;/pre&gt;
&lt;p&gt;&lt;/p&gt;
&lt;p&gt;It will be great, if someone could tell me what is that I am doing wrong. Thank you&lt;/p&gt;
</t>
  </si>
  <si>
    <t xml:space="preserve">&lt;p&gt;You can follow the tutorial for Displaying a Contact List and replace the Logic with that for Leads&lt;/p&gt;
&lt;p&gt;&lt;a href="https://developer.salesforce.com/docs/atlas.en-us.lightning.meta/lightning/events_one_demo_load.htm" rel="nofollow noreferrer"&gt;https://developer.salesforce.com/docs/atlas.en-us.lightning.meta/lightning/events_one_demo_load.htm&lt;/a&gt;&lt;/p&gt;
</t>
  </si>
  <si>
    <t xml:space="preserve">&lt;p&gt;I am looking for an USB to Lightning adaptor that enables me to connect to a custom USB device in iOS that my company is producing.
The Apple Camera Lightning adaptor is only good for the "Picture Transfer Protocol" and some midi accessory. 
Since we want to use our devices in iOS we became now MFi Licensees.
But I am not sure how to proceed from there on.
How does one get raw USB data transfer on iOS? Will we need to develop our own adaptor and then use the  ExternalAccessory framework?
I'd appreciate it if anyone can help me out here.
Thanks!&lt;/p&gt;
</t>
  </si>
  <si>
    <t xml:space="preserve">&lt;p&gt;Facing a problem with the hover(pop up) on Salesforce web-page while identifying it through selenium web driver.&lt;a href="https://i.stack.imgur.com/9XIkL.jpg" rel="nofollow noreferrer"&gt;&lt;img src="https://i.stack.imgur.com/9XIkL.jpg" alt="enter image description here"&gt;&lt;/a&gt;&lt;/p&gt;
</t>
  </si>
  <si>
    <t xml:space="preserve">&lt;ul&gt;
&lt;li&gt;&lt;p&gt;Below code help to resolve above problem.&lt;/p&gt;
&lt;p&gt;WebElement element = driver.findElement(By.xpath(".//*[text()='Show Me Later']"));
JavascriptExecutor executor = (JavascriptExecutor)driver;
executor.executeScript("arguments[0].click();", element);&lt;/p&gt;&lt;/li&gt;
&lt;/ul&gt;
</t>
  </si>
  <si>
    <t xml:space="preserve">&lt;p&gt;I want to authenticate Salesforce using Salesforce Rest API with JAVA.&lt;/p&gt;
&lt;p&gt;For this I follow the below URL&lt;/p&gt;
&lt;p&gt;&lt;a href="http://www.asagarwal.com/2401/step-by-step-guide-to-get-started-with-salesforce-rest-api-using-java" rel="nofollow"&gt;http://www.asagarwal.com/2401/step-by-step-guide-to-get-started-with-salesforce-rest-api-using-java&lt;/a&gt;&lt;/p&gt;
&lt;p&gt;My java code is below&lt;/p&gt;
&lt;pre&gt;&lt;code&gt;import java.io.IOException;
import javax.servlet.ServletException;
import javax.servlet.http.HttpServlet;
import javax.servlet.http.HttpServletRequest;
import javax.servlet.http.HttpServletResponse;
import org.apache.http.client.methods.HttpPost;
import org.apache.http.client.HttpClient;
import org.apache.http.impl.client.HttpClientBuilder;
import org.apache.http.HttpResponse;
import org.apache.http.HttpStatus;
import org.apache.http.util.EntityUtils;
import org.apache.http.client.ClientProtocolException;
import org.json.JSONObject;
import org.json.JSONTokener;
import org.json.JSONException;
public class OrderProcessing extends HttpServlet {
    private static final long serialVersionUID = 1L;
    static final String PASS = "XXXXXXX";
    static final String SecurityToken = "XXXXXXXXXXXX";
    static final String USERNAME = "adminuser@.salesforce.com";
    static final String PASSWORD = PASS + SecurityToken;
    static final String LOGINURL = "https://login.salesforce.com";
    static final String GRANTSERVICE = "/services/oauth2/token?grant_type=password";
    static final String CLIENTID = "ConsumerKeyFromSalesfoceConnectedApps";
    static final String CLIENTSECRET = "ConsumerSecretFromSalesforceConnectedApps";
    public void doPost(HttpServletRequest request, HttpServletResponse response) throws ServletException, IOException {
        HttpClient httpclient = HttpClientBuilder.create().build();
        String loginURL = LOGINURL + GRANTSERVICE + "&amp;amp;amp;client_id=" + CLIENTID + "&amp;amp;amp;client_secret=" + CLIENTSECRET
                + "&amp;amp;amp;username=" + USERNAME + "&amp;amp;amp;password=" + PASSWORD;
        HttpPost httpPost = new HttpPost(loginURL);
        HttpResponse resp = null;
        try {
            resp = httpclient.execute(httpPost);
        } catch (ClientProtocolException cpException) {
            cpException.printStackTrace();
        } catch (IOException ioException) {
            ioException.printStackTrace();
        }
        final int statusCode = resp.getStatusLine().getStatusCode();
        if (statusCode != HttpStatus.SC_OK) {
            System.out.println("Error authenticating to Force.com: " + statusCode);
            return;
        }
        String getResult = null;
        try {
            getResult = EntityUtils.toString(resp.getEntity());
        } catch (IOException ioException) {
            ioException.printStackTrace();
        }
        JSONObject jsonObject = null;
        String loginAccessToken = null;
        String loginInstanceUrl = null;
        try {
            jsonObject = (JSONObject) new JSONTokener(getResult).nextValue();
            loginAccessToken = jsonObject.getString("access_token");
            loginInstanceUrl = jsonObject.getString("instance_url");
        } catch (JSONException jsonException) {
            jsonException.printStackTrace();
        }
        System.out.println(resp.getStatusLine());
        System.out.println("Successful login");
        System.out.println("  instance URL: " + loginInstanceUrl);
        System.out.println("  access token/session ID: " + loginAccessToken);
        httpPost.releaseConnection();
    }
}
&lt;/code&gt;&lt;/pre&gt;
&lt;p&gt;Response : &lt;code&gt;HttpResponseProxy{HTTP/1.1 400 Bad Request [Date: Thu, 06 Oct 2016 11:25:26 GMT, Strict-Transport-Security: max-age=10886400; includeSubDomains; preload, Content-Security-Policy-Report-Only: default-src https:; script-src https: 'unsafe-inline' 'unsafe-eval'; style-src https: 'unsafe-inline'; img-src https: data:; font-src https: data:; report-uri /_/ContentDomainCSPNoAuth?type=login, Set-Cookie: BrowserId=bIo6TZOBQRSS2KFKtUR5ZA;Path=/;Domain=.salesforce.com;Expires=Mon, 05-Dec-2016 11:25:26 GMT, Expires: Thu, 01 Jan 1970 00:00:00 GMT, Pragma: no-cache, Cache-Control: no-cache, no-store, X-ReadOnlyMode: false, Content-Type: application/json;charset=UTF-8, Transfer-Encoding: chunked] ResponseEntityProxy{[Content-Type: application/json;charset=UTF-8,Chunked: true]}}&lt;/code&gt;&lt;/p&gt;
&lt;p&gt;Response using Rest Web Service Client extension of Chrome : &lt;code&gt;{"error":"invalid_client_id","error_description":"client identifier invalid"}&lt;/code&gt;&lt;/p&gt;
&lt;p&gt;Please help me to fix this issue.&lt;/p&gt;
</t>
  </si>
  <si>
    <t xml:space="preserve">&lt;p&gt;I'm facing a problem when trying to get values from a web block. The content of the block is an &lt;code&gt;EditRecord&lt;/code&gt; that correspond to submodel elements added dynamically to a page.&lt;/p&gt;
&lt;p&gt;As &lt;strong&gt;OutSystems 5&lt;/strong&gt; doesn't permit parameters passed by reference to a web block, I just can't get the updated values user input.&lt;/p&gt;
&lt;p&gt;What are the alternatives to implement dynamic submodels in this version?&lt;/p&gt;
</t>
  </si>
  <si>
    <t xml:space="preserve">&lt;p&gt;It's not easy to help you, cause it's not easy to get a version 5 to try a couple of things out. One thing that you might want to try is to notify the parent page with your values stringified, but I'm not even sure if that exists in 5.&lt;/p&gt;
&lt;p&gt;If I can ask, why still in 5?&lt;/p&gt;
</t>
  </si>
  <si>
    <t xml:space="preserve">&lt;p&gt;Hi I am using following code to add a record to Zoho Creator form using asp.net c#.
However I receive in respose "The form has been removed from publish."&lt;/p&gt;
&lt;p&gt;I have checked form at Zoho creator its working fine &amp;amp; has been published.&lt;/p&gt;
&lt;p&gt;Please help me figure out the problem.&lt;/p&gt;
&lt;pre&gt;&lt;code&gt;public partial class WebForm1 : System.Web.UI.Page
{ 
    protected void btnSubmit_OnClick(object sender, EventArgs e)
    {  
        var response = Http.Post("https://creator.zoho.com/saadelboury1/myfirstApp/form-perma/NEWDISTRIBUTOR/record/add/", new NameValueCollection() {
                   { "authtoken", "&amp;lt;KEY&amp;gt;" },
                   { "scope", "creatorapi" },
                   { "First_Name", "John" },
                   { "Last_Name", "Doe" },
                   { "Email", "someone22@gmail.com" },
        });
        string result = System.Text.Encoding.UTF8.GetString(response);
          Response.Write(result);
    }
    }
}
   public static class Http
  {
    public static byte[] Post(string uri, NameValueCollection pairs)
   {
    byte[] response = null;
    using (WebClient client = new WebClient())
    {
        response = client.UploadValues(uri, pairs);
    }
    return response;
 }
&lt;/code&gt;&lt;/pre&gt;
</t>
  </si>
  <si>
    <t xml:space="preserve">&lt;p&gt;Turned out, the url I was calling was wrong.&lt;/p&gt;
&lt;p&gt;The correct url format is:&lt;/p&gt;
&lt;p&gt;&lt;a href="https://creator.zoho.com/api/[username]/xml/[application_name]/form/[form_name]/record/add/" rel="nofollow"&gt;https://creator.zoho.com/api/[username]/xml/[application_name]/form/[form_name]/record/add/&lt;/a&gt;&lt;/p&gt;
</t>
  </si>
  <si>
    <t xml:space="preserve">&lt;p&gt;I want to add multi language functionality on my lightning component.
I am not able to find anything useful.
As now i am able to translate only currency and timepicker only.But i want to translate all the custom label (like in VF pages)..&lt;/p&gt;
</t>
  </si>
  <si>
    <t xml:space="preserve">&lt;p&gt;I'm having trouble of how I can get the time value of a Date Time data type.&lt;/p&gt;
&lt;p&gt;Eg.&lt;/p&gt;
&lt;pre&gt;&lt;code&gt;1900-01-01 10:00:00.000
&lt;/code&gt;&lt;/pre&gt;
&lt;p&gt;I only need to get the time &lt;code&gt;10:00:00.000&lt;/code&gt;&lt;/p&gt;
&lt;p&gt;How can I get the time?&lt;/p&gt;
&lt;p&gt;Thanks in advance.&lt;/p&gt;
</t>
  </si>
  <si>
    <t xml:space="preserve">&lt;p&gt;Trying to deploy lightning component bundles, the lightning components are referenced on quick actions created and placed on account layout.&lt;/p&gt;
&lt;p&gt;When I am trying to deploy the lightning component bundles, its threwing following deployment issues :
&lt;a href="https://i.stack.imgur.com/y1WFG.png" rel="nofollow noreferrer"&gt;&lt;img src="https://i.stack.imgur.com/y1WFG.png" alt="enter image description here"&gt;&lt;/a&gt;&lt;/p&gt;
&lt;p&gt;I have tried so many ways to fix the issues by adding/removing required attributes in lightning components, also tried to add/remove default values on attributes, but still has the same issue. Also tried to change the version on component from 38.0 to 37.0, but still no luck.&lt;/p&gt;
&lt;p&gt;Can anyone help me on this? Thanks in Advance!!&lt;/p&gt;
&lt;p&gt;Thanks,
​Tarun&lt;/p&gt;
</t>
  </si>
  <si>
    <t xml:space="preserve">&lt;p&gt;I need to get the sobject's API name in the lightning JS controller, in the component side we need to specify &lt;code&gt;&amp;lt;aura:attribute name="sObjectName" type="String" /&amp;gt;&lt;/code&gt;, but to access in controller, can some one please say.
For &lt;code&gt;recordId&lt;/code&gt;, we do this,&lt;/p&gt;
&lt;pre&gt;&lt;code&gt;action.setParams({
    "accountId": component.get("v.recordId")
});
&lt;/code&gt;&lt;/pre&gt;
</t>
  </si>
  <si>
    <t xml:space="preserve">&lt;p&gt;Is it possible to customize or override the salesforce logout method in apex? I want to do some thing custom when user goes to logout salesforce account.
&lt;a href="https://i.stack.imgur.com/RQ8Ap.png" rel="nofollow noreferrer"&gt;enter image description here&lt;/a&gt;&lt;/p&gt;
</t>
  </si>
  <si>
    <t xml:space="preserve">&lt;p&gt;I am planning to use &lt;code&gt;zoho crm&lt;/code&gt; for my business. On on side I have &lt;code&gt;clients&lt;/code&gt; who pay my business, on other hand I have &lt;code&gt;online customer&lt;/code&gt; to whom I assign work given to me by &lt;code&gt;clients&lt;/code&gt;. So basically my business is kind a mediator.&lt;/p&gt;
&lt;p&gt;Now I want to use &lt;code&gt;zoho crm&lt;/code&gt; workflow automation like when lead is created signup mail should be sent. I want to increase lead score when client does particular activity. I want to use &lt;code&gt;webform&lt;/code&gt; to capture leads. &lt;/p&gt;
&lt;p&gt;My issue is that &lt;code&gt;zoho crm&lt;/code&gt; gives very less number of APIs like 500 per user per day. Then how do I do capture leads directly into crm. How do I increase lead score. &lt;/p&gt;
&lt;p&gt;How do you guys manage such scenarios ? &lt;/p&gt;
</t>
  </si>
  <si>
    <t xml:space="preserve">&lt;p&gt;The API Calls per day day will depend of your subscription plan. &lt;/p&gt;
&lt;ol&gt;
&lt;li&gt;Standard: starts with 2000 calls per day &lt;/li&gt;
&lt;li&gt;Professional: starts with 3000 per day &lt;/li&gt;
&lt;li&gt;Enterprise: starts with 4000 per day&lt;/li&gt;
&lt;/ol&gt;
&lt;p&gt;&lt;a href="https://www.zoho.com/crm/help/api/api-limits.html" rel="nofollow noreferrer"&gt;Reference link&lt;/a&gt;&lt;/p&gt;
&lt;p&gt;In several cases this will be enough, however there are a little tricks for saving API calls like using the API V4 in which you can insert/update multiples records (100 per request).&lt;/p&gt;
&lt;p&gt;Also, you can use the custom function (zoho deluge) in the CRM and set yours workflow rules like: &lt;/p&gt;
&lt;p&gt;Each time a new lead is created with the status "Not contacted" then:  &lt;/p&gt;
&lt;ol&gt;
&lt;li&gt;Send a welcome email&lt;/li&gt;
&lt;li&gt;Create a case (zoho deluge) &lt;/li&gt;
&lt;li&gt;Create a taks (zoho deluge)  &lt;/li&gt;
&lt;li&gt;etc.&lt;/li&gt;
&lt;/ol&gt;
&lt;p&gt;The rate limit for zoho custom functions is not the same as zoho api calls. (Integration Tasks - 25000 Zoho API calls/day using deluge.) So you can use both of them. &lt;/p&gt;
&lt;p&gt;&lt;a href="https://www.zoho.com/crm/help/automation/custom-functions.html" rel="nofollow noreferrer"&gt;Reference link&lt;/a&gt;&lt;/p&gt;
</t>
  </si>
  <si>
    <t xml:space="preserve">&lt;p&gt;i am stuck in a kind of a trivial issue and can not get a hang of it.&lt;/p&gt;
&lt;p&gt;here is the scenario:&lt;/p&gt;
&lt;p&gt;I am using Gulp Task to convert my &lt;code&gt;html&lt;/code&gt; templates to &lt;code&gt;javascript&lt;/code&gt; using &lt;code&gt;gulp-html2js&lt;/code&gt; My environment is &lt;code&gt;Node v6.9.1, gulp 3.9.1, Windows 7&lt;/code&gt;&lt;/p&gt;
&lt;p&gt;here is the gulpfile.js&lt;/p&gt;
&lt;pre&gt;&lt;code&gt;var gulp = require('gulp');
var concat = require('gulp-concat');
var html2js = require('gulp-html2js');
var sourceDir = "D:\Programs_Insalled\nodejs\nodeapps\myApp"
gulp.task('templates', function() {
  return gulp.src( 'D:\Programs_Insalled\nodejs\nodeapps\myApp\templates\*.html').
   pipe(html2js({outputModuleName: 'templates'})).
   pipe(concat('templates.js')).
   pipe(gulp.dest('D:\Programs_Insalled\nodejs\nodeapps\myApp\bin'));
});
&lt;/code&gt;&lt;/pre&gt;
&lt;p&gt;when i run the task, it completes, in a few m-sec but &lt;code&gt;templates.js&lt;/code&gt; is not generated in &lt;code&gt;bin&lt;/code&gt; directory&lt;/p&gt;
&lt;pre&gt;&lt;code&gt;D:\Programs_Insalled\nodejs\nodeapps\myApp&amp;gt;gulp templates
[15:28:45] Using gulpfile D:\Programs_Insalled\nodejs\nodeapps\myApp\gulpfile.js
[15:28:45] Starting 'templates'...
[15:28:45] Finished 'templates' after 19 ms
&lt;/code&gt;&lt;/pre&gt;
&lt;p&gt;I have tried below suggestions in similar items listed on GitHub and stackoverflow but have not been successful, &lt;/p&gt;
&lt;pre&gt;&lt;code&gt;https://github.com/yeoman/generator-webapp/issues/182
https://github.com/yeoman/generator-webapp/issues/225
&lt;/code&gt;&lt;/pre&gt;
&lt;p&gt;Can someone help out to find my mistake.&lt;/p&gt;
&lt;p&gt;Thanks.&lt;/p&gt;
&lt;p&gt;&lt;strong&gt;EDIT&lt;/strong&gt; output of provided examples:&lt;/p&gt;
&lt;pre&gt;&lt;code&gt;D:\Programs_Insalled\nodejs\nodeapps\myApp&amp;gt;gulp models
[17:13:10] Using gulpfile  D:\Programs_Insalled\nodejs\nodeapps\myApp\gulpfile.js
[17:13:10] Starting 'models'...
[17:13:10] Finished 'models' after 21 ms
D:\Programs_Insalled\nodejs\nodeapps\myApp&amp;gt;gulp templates
[17:13:13] Using gulpfile D:\Programs_Insalled\nodejs\nodeapps\myApp\gulpfile.js
[17:13:13] Starting 'templates'...
D:\Programs_Insalled\nodejs\nodeapps\myApp\node_modules\vinyl\index.js:120
    if (!this.path) throw new Error('No path specified! Can not get relative.');
                    ^
Error: No path specified! Can not get relative.
    at File.get (D:\Programs_Insalled\nodejs\nodeapps\myApp\node_modules\vinyl\index.js:120:27)
    at DestroyableTransform.bufferContents [as _transform] (D:\Programs_Insalled\nodejs\nodeapps\myA
pp\node_modules\gulp-concat\index.js:70:20)
    at DestroyableTransform.Transform._read (D:\Programs_Insalled\nodejs\nodeapps\myApp\node_modules
\gulp-concat\node_modules\readable-stream\lib\_stream_transform.js:184:10)
    at DestroyableTransform.Transform._write (D:\Programs_Insalled\nodejs\nodeapps\myApp\node_module
s\gulp-concat\node_modules\readable-stream\lib\_stream_transform.js:172:12)
    at doWrite (D:\Programs_Insalled\nodejs\nodeapps\myApp\node_modules\gulp-concat\node_modules\rea
dable-stream\lib\_stream_writable.js:237:10)
    at writeOrBuffer (D:\Programs_Insalled\nodejs\nodeapps\myApp\node_modules\gulp-concat\node_modul
es\readable-stream\lib\_stream_writable.js:227:5)
    at DestroyableTransform.Writable.write (D:\Programs_Insalled\nodejs\nodeapps\myApp\node_modules\
gulp-concat\node_modules\readable-stream\lib\_stream_writable.js:194:11)
    at DestroyableTransform.ondata (D:\Programs_Insalled\nodejs\nodeapps\myApp\node_modules\through2
\node_modules\readable-stream\lib\_stream_readable.js:531:20)
    at emitOne (events.js:96:13)
    at DestroyableTransform.emit (events.js:188:7)
D:\Programs_Insalled\nodejs\nodeapps\myApp&amp;gt;
&lt;/code&gt;&lt;/pre&gt;
</t>
  </si>
  <si>
    <t xml:space="preserve">&lt;p&gt;So, i have finally worked out the solution, Alhamdolilah&lt;/p&gt;
&lt;p&gt;Issue was not with &lt;code&gt;gulp task&lt;/code&gt;, or &lt;code&gt;html2js&lt;/code&gt;, real issue was with &lt;code&gt;gulp-concat&lt;/code&gt;&lt;/p&gt;
&lt;p&gt;and i have realized that it is not needed as output is already concatenated by &lt;code&gt;html2js&lt;/code&gt;&lt;/p&gt;
&lt;p&gt;here is improved code:&lt;/p&gt;
&lt;pre&gt;&lt;code&gt;gulp.task('templates', function () {
    gulp.src('templates/*.html')
        .pipe(html2js('templates.js', {
            outputModuleName: 'templates',
            name: 'templates'
        }))
        .pipe(gulp.dest('bin/'));
});
&lt;/code&gt;&lt;/pre&gt;
</t>
  </si>
  <si>
    <t xml:space="preserve">&lt;p&gt;Getting Error - 4600 Unable to process your request. Please verify whether you have entered proper method name, parameter and parameter values.&lt;/p&gt;
&lt;pre&gt;
&lt;pre&gt;&lt;code&gt;$auth="authkey";
$email = $_POST['lowner'];
$firstName = $_POST['fname'];
$lastName = $_POST['lname'];
$email = $_POST['email'];
$phone = $_POST['phone'];
$url = 'https://crm.zoho.com/crm/private/xml/Leads/insertRecords?';
$post = 'newFormat=1&amp;amp;authtoken='.$auth.'&amp;amp;scope=crmapi&amp;amp;xmlData=&amp;lt;Leads&amp;gt;
&amp;lt;row no="1"&amp;gt;
&amp;lt;FL val="Lead Owner"&amp;gt;'.$email.'&amp;lt;/FL&amp;gt;
&amp;lt;FL val="First Name"&amp;gt;'.$firstName.'&amp;lt;/FL&amp;gt;
&amp;lt;FL val="Last Name"&amp;gt;'.$lastName.'&amp;lt;/FL&amp;gt;
&amp;lt;FL val="Email"&amp;gt;'.$email.'&amp;lt;/FL&amp;gt;
&amp;lt;FL val="Phone"&amp;gt;'.$phone.'&amp;lt;/FL&amp;gt;
&amp;lt;FL val="Description"&amp;gt;Insert ZOHO Lead&amp;lt;/FL&amp;gt;
&amp;lt;/row&amp;gt;
&amp;lt;/Leads&amp;gt;';
//================= start curl ===================
$ch = curl_init();
curl_setopt($ch, CURLOPT_SSL_VERIFYPEER, false);
curl_setopt($ch,CURLOPT_URL,$url);
curl_setopt($ch, CURLOPT_FOLLOWLOCATION, 1);
curl_setopt($ch, CURLOPT_RETURNTRANSFER, 1);
curl_setopt($ch, CURLOPT_TIMEOUT, 30);
curl_setopt($ch, CURLOPT_POST, 1);
curl_setopt($ch,CURLOPT_POSTFIELDS,$post);
$result = curl_exec($ch);
curl_close($ch);
//================= end curl ===================
echo '&amp;lt;pre&amp;gt;';
print_r($result);
exit;
&lt;/code&gt;&lt;/pre&gt;
&lt;/pre&gt;
</t>
  </si>
  <si>
    <t xml:space="preserve">&lt;p&gt;Im writing a query for a campaign and whenever i try to run it I get an error saying the syntax isn't correct.&lt;/p&gt;
&lt;pre&gt;&lt;code&gt;select
    opp.*
from
(
    select 
        opp.*,
        row_number() over (partition by opp.contact_email_address order by opp.status_date desc) as row_number
    from
        opportunity_data opp
    where
        opp.email_bounced = 'false'
        and opp.email_unsubscribe = 'false'
        and opp.first_mkt_medium not in ('partner', 'inbound_outbound')
        and opp.latest_mkt_medium not in ('partner', 'inbound_outbound')
        and datediff (day, cast(latest_rfq_submitted_date as date), cast(getdate() as date)) &amp;gt; 30
        and opp.on_cover = 'no'
        and opp.primary_group in ('Market_trader', 'Food_stand', 'Mobile_food_van', 'Caterer')
        and opp.site = 'simplybusiness'
        and opp.opportunity_status = ('quote_recieved', 'rfq_submitted', 'policy_expired_not_renewed')
) opp
where row_number = 1
&lt;/code&gt;&lt;/pre&gt;
</t>
  </si>
  <si>
    <t xml:space="preserve">&lt;p&gt;Check with this:&lt;/p&gt;
&lt;pre&gt;&lt;code&gt;select
    opp.*
from
(
    select 
        opp.*,
        row_number() over (partition by opp.contact_email_address order by opp.status_date desc) as row_number
    from
        opportunity_data opp
    where
        opp.email_bounced = 'false'
        and opp.email_unsubscribe = 'false'
        and opp.first_mkt_medium not in ('partner', 'inbound_outbound')
        and opp.latest_mkt_medium not in ('partner', 'inbound_outbound')
        and datediff (day, cast(latest_rfq_submitted_date as date), cast(getdate() as date)) &amp;gt; 30
        and opp.on_cover = 'no'
        and opp.primary_group in ('Market_trader', 'Food_stand', 'Mobile_food_van', 'Caterer')
        and opp.site = 'simplybusiness'
        and opp.opportunity_status in ('quote_recieved', 'rfq_submitted', 'policy_expired_not_renewed')
) opp
where row_number = 1
&lt;/code&gt;&lt;/pre&gt;
</t>
  </si>
  <si>
    <t xml:space="preserve">&lt;p&gt;I have a function that takes a Quickbase recordID and fieldID and deletes any file associated with that field. First, the function:&lt;/p&gt;
&lt;pre&gt;&lt;code&gt;function deleteFiles(recid,fldid) {
    var apptoken = "xxxxxxxxxxxxxxxxxxxxxxxxx";
    $.ajaxSetup({data: {apptoken: apptoken}});
    var dbid = "xxxxxxxxx";
    var promise = $.post(dbid, {
        act: "API_EditRecord",
        rid: recid,
        _fid_NN: "",
        delfile_fid_NN: "1"
    });
    $.when(promise).then(function(xml){
        console.dirxml(xml);
    });
}
&lt;/code&gt;&lt;/pre&gt;
&lt;p&gt;where "NN" needs to equal the fieldID (fldid) being passed. I've tried concatenating the fldid onto those two key names but that didn't work. I've seen a lot of similar questions that suggest creating objects, etc., but those won't work in my situation, either. So the question is, how do I dynamically alter those key names so that QB is happy and the files get deleted? Thanks!&lt;/p&gt;
</t>
  </si>
  <si>
    <t xml:space="preserve">&lt;p&gt;I need to set a value of the textbox using a JAVASCRIPT function after the page has been rendered. I tried by getting an ID of the textbox, but it keeps on changing on every load. Is there any possible way to set the value of text box? It's likely I'm creating like an extension which I need to set the value of input and select field.&lt;/p&gt;
&lt;p&gt;I tried Queryselctor. example : &lt;/p&gt;
&lt;blockquote&gt;
  &lt;p&gt;getElementsByTagName('input')&lt;a href="https://i.stack.imgur.com/uK6Wu.png" rel="nofollow noreferrer"&gt;1&lt;/a&gt;.value = "testRecord";&lt;/p&gt;
&lt;/blockquote&gt;
&lt;p&gt;It sets the value of last name in contact form and feels like it worked. When I click on save, it just empty it and showing as mandatory! But when i type some thing in textbox and then i use my function to set value, it worked. &lt;/p&gt;
&lt;p&gt;This is the code generated by sales force. &lt;/p&gt;
&lt;pre&gt;&lt;code&gt; &amp;lt;div data-aura-rendered-by="14996:0" class="uiInput uiInputText uiInput--default uiInput--input" data-aura-class="uiInput uiInputText uiInput--default uiInput--input"&amp;gt;
        &amp;lt;label class="uiLabel-top form-element__label uiLabel" for="14981:0" data-aura-rendered-by="14991:0" data-aura-class="uiLabel"&amp;gt;
            &amp;lt;span class="" data-aura-rendered-by="14992:0"&amp;gt;Last Name&amp;lt;/span&amp;gt;
            &amp;lt;!--render facet: 14994:0--&amp;gt;
            &amp;lt;span class="required " data-aura-rendered-by="14982:0"&amp;gt;*&amp;lt;/span&amp;gt;
        &amp;lt;/label&amp;gt;
        &amp;lt;input class="compoundBLRadius compoundBRRadius form-element__row input" maxlength="80" type="text" aria-describedby="" placeholder="Last Name" required="" id="14981:0" data-aura-rendered-by="14985:0" data-interactive-lib-uid="242" aria-required="true"&amp;gt;
 &amp;lt;/div&amp;gt;
&lt;/code&gt;&lt;/pre&gt;
&lt;p&gt;I have attached Images for your reference.&lt;/p&gt;
&lt;p&gt;Setting value of textbox from console&lt;/p&gt;
&lt;p&gt;&lt;a href="https://i.stack.imgur.com/uK6Wu.png" rel="nofollow noreferrer"&gt;&lt;img src="https://i.stack.imgur.com/uK6Wu.png" alt="Value Updated in form"&gt;&lt;/a&gt;&lt;/p&gt;
&lt;p&gt;Value successfuly set in text box.&lt;/p&gt;
&lt;p&gt;&lt;a href="https://i.stack.imgur.com/eFrCZ.png" rel="nofollow noreferrer"&gt;&lt;img src="https://i.stack.imgur.com/eFrCZ.png" alt="seting value from console"&gt;&lt;/a&gt;&lt;/p&gt;
&lt;p&gt;After clicking save button, the textbox fild become empty and shows mandratory error!&lt;/p&gt;
&lt;p&gt;&lt;a href="https://i.stack.imgur.com/mRi4K.png" rel="nofollow noreferrer"&gt;&lt;img src="https://i.stack.imgur.com/mRi4K.png" alt="after clicking save showing error"&gt;&lt;/a&gt;&lt;/p&gt;
&lt;p&gt;Thanks in advance.&lt;/p&gt;
</t>
  </si>
  <si>
    <t xml:space="preserve">&lt;p&gt;I am storing pdfs as chatter files in our SF org which is working well except for the fact that displaying these PDF's to the users is very challenging, especially on mobile device (eg ipad)
I have tracked down some good javascript PDF viewers which will behave fairly on well on ipad.
The challenge is delivering the pdf file from to these viewers.&lt;/p&gt;
&lt;p&gt;Most of them require a local pdf file to view but there are some like google view which will take a url to the pdf for eg
&lt;a href="https://docs.google.com/viewer?url=https://urltopdf" rel="nofollow noreferrer"&gt;https://docs.google.com/viewer?url=https://urltopdf&lt;/a&gt;&lt;/p&gt;
&lt;p&gt;The pdf is available via a chatter GET as follows:
&lt;a href="https://cs2.salesforce.com/services/data/v35.0/chatter/files/" rel="nofollow noreferrer"&gt;https://cs2.salesforce.com/services/data/v35.0/chatter/files/&lt;/a&gt;{docId}/content?versionNumber=1
The problem ofcourse is that I need to pass in an authentication header. If I just pass that url to google viewer it fails because of Authentication as its not passing in the Auth header.&lt;/p&gt;
&lt;p&gt;I tried a few things..&lt;/p&gt;
&lt;ul&gt;
&lt;li&gt;&lt;p&gt;Built a proxy API in Salesforce which Google viewer calls, that API calls chatter and then returns the file to google docs view
&lt;strong&gt;PROBLEM: Custom SF APIs have a 6mb limit which means that if the pdf is bigger than 6mb it wont work!&lt;/strong&gt;&lt;/p&gt;&lt;/li&gt;
&lt;li&gt;&lt;p&gt;Built a proxy API external to SF (to get around the 6mb limit) including some interesting ways to persist the authentication
&lt;strong&gt;PROBLEM: There are too many hops and the google viewer is not getting back the data in time...its calling the external proxy API which is then calling the chatter API which then has to return the pdf data back to the external proxy API and then back to Salesforce (ridiculous I know).&lt;/strong&gt; &lt;/p&gt;&lt;/li&gt;
&lt;/ul&gt;
&lt;p&gt;So I am stuck.....
I thought that as of Spring 13' Chatter API is accessible without any special authentication from Javascript on a VF page.
Is that true?
Will this url work without any auth header when called from javascript on a VF page? &lt;a href="https://cs2.salesforce.com/services/data/v35.0/chatter/files/" rel="nofollow noreferrer"&gt;https://cs2.salesforce.com/services/data/v35.0/chatter/files/&lt;/a&gt;{docId}/content?versionNumber=1
It doesnt seem to work for me and definitely wont work when going via google viewer.&lt;/p&gt;
&lt;p&gt;Would really appreciate any suggestions how to do this?
Thanks&lt;/p&gt;
</t>
  </si>
  <si>
    <t xml:space="preserve">&lt;p&gt;I am looking to pull the data from Salesforce using Java code in Eclipse IDE.
How do I install Salesforce Java plugin in Eclipse IDE? Where do I get basic example of pulling data from Salesforce using Java code?&lt;/p&gt;
</t>
  </si>
  <si>
    <t xml:space="preserve">&lt;p&gt;I am importing an xsd into Mendix to setup a Web Service that will import a XML file that will have an embedded pdf file in it. When I try to add the XSD to Mendix it gives me an error &lt;/p&gt;
&lt;p&gt;Type of element '&lt;a href="http://tempuri.org/CREDIT_RESPONSE_v2_3_1:DOCUMENT" rel="nofollow noreferrer"&gt;http://tempuri.org/CREDIT_RESPONSE_v2_3_1:DOCUMENT&lt;/a&gt;': 'Any' element is not supported. &lt;/p&gt;
&lt;p&gt;I searched the Mendix forums and they say if you want to add support for this xsd you will have to determine what kind of responses you expect and change the xsd accordingly.&lt;/p&gt;
&lt;pre&gt;&lt;code&gt;&amp;lt;xs:element name="DOCUMENT"&amp;gt;
    &amp;lt;xs:complexType mixed="false"&amp;gt;
        &amp;lt;xs:sequence&amp;gt;
            &amp;lt;xs:any minOccurs="0" maxOccurs="unbounded" namespace="##any"/&amp;gt; &amp;lt;!-- Error on any --&amp;gt; 
        &amp;lt;/xs:sequence&amp;gt;
    &amp;lt;/xs:complexType&amp;gt;
&amp;lt;/xs:element&amp;gt;
&amp;lt;xs:element name="EMBEDDED_FILE"&amp;gt;
    &amp;lt;xs:complexType&amp;gt;
        &amp;lt;xs:sequence&amp;gt;
            &amp;lt;xs:element ref="DOCUMENT" /&amp;gt;
        &amp;lt;/xs:sequence&amp;gt;
        &amp;lt;xs:attribute name="_ID" type="xs:ID" /&amp;gt;
        &amp;lt;xs:attribute name="_Type" type="xs:string" /&amp;gt;
        &amp;lt;xs:attribute name="_Version" type="xs:string" /&amp;gt;
        &amp;lt;xs:attribute name="_Name" type="xs:string" /&amp;gt;
        &amp;lt;xs:attribute name="_Extension" type="xs:string" /&amp;gt;
        &amp;lt;xs:attribute name="_EncodingType" type="xs:string" /&amp;gt;
        &amp;lt;xs:attribute name="_Description" type="xs:string" /&amp;gt;
        &amp;lt;xs:attribute name="MIMEType" type="xs:string" /&amp;gt;
    &amp;lt;/xs:complexType&amp;gt;
&amp;lt;/xs:element&amp;gt;
&lt;/code&gt;&lt;/pre&gt;
&lt;p&gt;My question is how do I find out what type of responses are valid for the any parameter?&lt;/p&gt;
</t>
  </si>
  <si>
    <t xml:space="preserve">&lt;p&gt;From the &lt;a href="https://docs.mendix.com/refguide6/" rel="nofollow noreferrer"&gt;Mendix Reference Guide 6&lt;/a&gt;:&lt;/p&gt;
&lt;blockquote&gt;
  &lt;h2&gt;&lt;a href="https://docs.mendix.com/refguide6/XML+Schema+Support" rel="nofollow noreferrer"&gt;XML Schema Support&lt;/a&gt;&lt;/h2&gt;
  &lt;p&gt;When you import an XML schema (.xsd file) or web service definition
  (.wsdl file) using the Mendix Business Modeler, you might get a dialog
  that contains warning messages about unsupported constructs. This is
  because currently Mendix does not support the entire XSD standard. The
  mapping in Mendix is based on entities and attributes, and some XSD
  constructs do not lend themselves easily for this format. The
  following table shows which XSD constructs are supported in Mendix.&lt;/p&gt;
&lt;/blockquote&gt;
&lt;p&gt;&lt;strong&gt;&lt;em&gt;The table goes on to say that &lt;code&gt;xsd:any&lt;/code&gt; is not supported.&lt;/em&gt;&lt;/strong&gt;&lt;/p&gt;
&lt;p&gt;Therefore, if you want to use their tool, you cannot use &lt;code&gt;xsd:any&lt;/code&gt;.&lt;/p&gt;
&lt;blockquote&gt;
  &lt;p&gt;My question is how do I find out what type of responses are valid for
  the any parameter?&lt;/p&gt;
&lt;/blockquote&gt;
&lt;p&gt;By definition, any XML can go there; that's the point of &lt;code&gt;xsd:any&lt;/code&gt;.  (See details about &lt;a href="https://stackoverflow.com/questions/27420156/processcontents-strict-vs-lax-vs-skip-for-xsdany"&gt;how to use &lt;code&gt;xsd:any/@processContents&lt;/code&gt;&lt;/a&gt;)  In order to limit the XML that can go there and be able to use the Mendix Business Modeler, you'll have to define the XML in terms of the &lt;a href="https://docs.mendix.com/refguide6/XML+Schema+Support" rel="nofollow noreferrer"&gt;limited set of XSD features that Mendix supports&lt;/a&gt;.&lt;/p&gt;
&lt;p&gt;If you do not control &lt;code&gt;DOCUMENT&lt;/code&gt; contents, then you'll have to consult with the authority that does.  &lt;strong&gt;Hint&lt;/strong&gt;: I've seen &lt;code&gt;CREDIT_RESPONSE_v2_3_1&lt;/code&gt; used in &lt;a href="http://www.mismo.org/" rel="nofollow noreferrer"&gt;&lt;strong&gt;MISMO (Mortgage Industry Standards Maintenance Organization)&lt;/strong&gt;&lt;/a&gt; XML.&lt;/p&gt;
</t>
  </si>
  <si>
    <t xml:space="preserve">&lt;p&gt;Within the console on a feed layout, we can add tools to the page such as the inline article tool. The feed view setting options with the page layout edit suggest (i.e. help text says "select the tools to make available in the center column of the page") that more than one tool can be created using code and added to the page layout (i.e. within the feed directly below the publisher actions but above the feed items). There is even a multi-select control to move the tools from available to selected, but... &lt;/p&gt;
&lt;p&gt;I cannot find any documentation that discusses how to create the tools or how to make them available within the setup menu. Can you provide any insight to if this is possible and if so how to do it?&lt;/p&gt;
&lt;p&gt;See example screens below...&lt;/p&gt;
&lt;p&gt;thanks
jf&lt;/p&gt;
&lt;p&gt;&lt;a href="https://i.stack.imgur.com/pFPPB.png" rel="nofollow noreferrer"&gt;&lt;img src="https://i.stack.imgur.com/pFPPB.png" alt="enter image description here"&gt;&lt;/a&gt;&lt;/p&gt;
&lt;p&gt;&lt;a href="https://i.stack.imgur.com/DzHLj.png" rel="nofollow noreferrer"&gt;&lt;img src="https://i.stack.imgur.com/DzHLj.png" alt="enter image description here"&gt;&lt;/a&gt;&lt;/p&gt;
</t>
  </si>
  <si>
    <t xml:space="preserve">&lt;p&gt;I'm able to look at a list of products, but I can't seem to deal with them individually.  Is the object being returned not a normal deluge list?&lt;/p&gt;
&lt;p&gt;This works:&lt;/p&gt;
&lt;pre&gt;&lt;code&gt;salesorder = zoho.crm.getRecordById("Salesorders",input.so_id.toLong());
lineitems = salesorder.get("product");
&lt;/code&gt;&lt;/pre&gt;
&lt;p&gt;But neither of the following lines will save (Zoho doesn't bother displaying an error message):&lt;/p&gt;
&lt;pre&gt;&lt;code&gt;salesorder = zoho.crm.getRecordById("Salesorders",input.so_id.toLong());
lineitems = salesorder.get("product");
liCount = lineitems.size();
for each lineitem in lineitems {}
&lt;/code&gt;&lt;/pre&gt;
&lt;p&gt;Is there another way to loop through line items in these kinds of modules?&lt;/p&gt;
</t>
  </si>
  <si>
    <t xml:space="preserve">&lt;p&gt;You can loop the items in a Zoho order or invoice like so:&lt;/p&gt;
&lt;pre&gt;&lt;code&gt;items = invoice.get("product").toJSONList();
for each item in items
{
    itemMap = item.toMap();
    name = itemMap.get("Product Name");
}
&lt;/code&gt;&lt;/pre&gt;
</t>
  </si>
  <si>
    <t xml:space="preserve">&lt;p&gt;I am trying to create a Zapier app to create a new invoice in Zoho.&lt;/p&gt;
&lt;p&gt;Has the requirements: Content-Type: application: x-www-form-urlencoded and input JSON string should be passed using JSONString parameter&lt;/p&gt;
&lt;p&gt;The following URI is working for me in REST console when I set the Content Type to "application/x-www-form-urlencoded" and method POST.&lt;/p&gt;
&lt;pre&gt;&lt;code&gt;https://invoice.zoho.com/api/v3/invoices?authtoken=xxxxxx&amp;amp;organization_id=xxxxxx&amp;amp;JSONString={"customer_id":"xxxxxx","line_items":[{"item_id":"xxxxxx"}]}
&lt;/code&gt;&lt;/pre&gt;
&lt;p&gt;However my problem is trying to implement this into Zapier. I think I need to use a function like below to convert the JSON into the right format, but I have no idea how to turn this into a query paramater called JSONString.&lt;/p&gt;
&lt;pre&gt;&lt;code&gt;create_invoice_pre_write: function(bundle) {
    var data = JSON.parse(bundle.request.data);
    bundle.request.data = $.param(data);
    bundle.request.headers['Content-Type'] = 'application/x-www-form-urlencoded';
    return bundle.request;
}   
&lt;/code&gt;&lt;/pre&gt;
&lt;p&gt;Just need a point in the right direction. I'm not sure what to try next.&lt;/p&gt;
</t>
  </si>
  <si>
    <t xml:space="preserve">&lt;p&gt;&lt;strong&gt;SITUATION:&lt;/strong&gt; Hi I have a query THAT functions well &amp;amp; as per expectations in salesforce vf page only.&lt;/p&gt;
&lt;p&gt;&lt;strong&gt;PROBLEM&lt;/strong&gt; It returns the output without its parent object when calling from an iframe.&lt;/p&gt;
&lt;p&gt;&lt;strong&gt;The code in apex:&lt;/strong&gt;&lt;/p&gt;
&lt;pre&gt;&lt;code&gt;public class showServiceHistory {
CKSW_BASE__Service__c services;
String id = ApexPages.currentPage().getParameters().get('id');
String x;
public myValues()
{
    services = [SELECT id, name, (SELECT Name, Previous_Status__c, New_Status__c, Reason_Code__c, comment__c FROM Service_Status_History__r) FROM CKSW_BASE__Service__c WHERE id=:id];           
}
public String getxx()
{
    x=JSON.Serialize(services);
    return x;   
}
}
&lt;/code&gt;&lt;/pre&gt;
&lt;p&gt;&lt;strong&gt;The Code In VF&lt;/strong&gt;&lt;/p&gt;
&lt;pre&gt;&lt;code&gt;&amp;lt; apex:page controller="myValues" &amp;gt;
&amp;lt; apex:pageBlock title="{!xx}" &amp;gt;
&amp;lt; /apex:pageBlock &amp;gt;
&amp;lt; /apex:page &amp;gt;
&lt;/code&gt;&lt;/pre&gt;
&lt;blockquote&gt;
  &lt;p&gt;&lt;strong&gt;Output From Salesforce&lt;/strong&gt;&lt;/p&gt;
  &lt;p&gt;&lt;code&gt;{"attributes":{"type":"CKSW_BASE__Service__c","url":"/services/data/v38.0/sobjects/CKSW_BASE__Service__c/sss"},"Id":"s","Name":"S","Service_Status_History__r":{"totalSize":6,"done":true,"records":[{"attributes":{"type":"Service_Status_History__c","url":"/services/data/v38.0/sobjects/Service_Status_History__c/ss"},"Service__c":"asss","Id":"uu","Name":"yyy","Previous_Status__c":"xyz","New_Status__c":"y","Reason_Code__c":"xyz","Comment__c":"abc"}]}&lt;/code&gt;&lt;/p&gt;
&lt;/blockquote&gt;
&lt;p&gt;And&lt;/p&gt;
&lt;blockquote&gt;
  &lt;p&gt;&lt;strong&gt;Output from iframe&lt;/strong&gt;&lt;/p&gt;
  &lt;p&gt;{"attributes":{"type":"CKSW_BASE__Service__c","url":"/services/data/v38.0/sobjects/CKSW_BASE__Service__c/444"},"Id":"444","Name":"xyz"}&lt;/p&gt;
&lt;/blockquote&gt;
&lt;p&gt;From the &lt;strong&gt;Vf page I get the desired output with full value&lt;/strong&gt;, but from an &lt;strong&gt;iframe in my force.com url the parent object (nested query) is not available&lt;/strong&gt;.&lt;/p&gt;
&lt;p&gt;However, when I &lt;strong&gt;call only parent&lt;/strong&gt; with a simple &lt;strong&gt;dedicated query&lt;/strong&gt;, it &lt;strong&gt;returns the value&lt;/strong&gt; in &lt;strong&gt;both(iframe and url)&lt;/strong&gt; places.&lt;/p&gt;
&lt;p&gt;&lt;em&gt;WHY MY NESTED SOQL IS UNABLE TO GET THE PARENT OBJECT. WHAT I AM MISSING HERE??&lt;/em&gt;&lt;/p&gt;
&lt;p&gt;Thanks in advance.
Please help.&lt;/p&gt;
&lt;p&gt;Output from Iframe&lt;/p&gt;
</t>
  </si>
  <si>
    <t xml:space="preserve">&lt;p&gt;I trying to set the Destination of the link in the email. But Iam not sure how to set the identifier as the input parameter.Below are the list of input parameters of the page.
&lt;a href="https://i.stack.imgur.com/ogF6g.jpg" rel="nofollow noreferrer"&gt;&lt;img src="https://i.stack.imgur.com/ogF6g.jpg" alt="enter image description here"&gt;&lt;/a&gt;&lt;/p&gt;
&lt;p&gt;So I am trying to pass the parameters using GetEntryURL as &lt;/p&gt;
&lt;pre&gt;&lt;code&gt;"http://" + Site.PageDirect + GetEntryURL("RiderRouteEditCreate","iCommute","WantsWithdraw",False,"ViewRouteEdit",False,"RouteId",NullIdentifier(),"ViewRiderEdit",False,"IsAdmin",False,"RiderId")
&lt;/code&gt;&lt;/pre&gt;
&lt;p&gt;I am not sure how to set the RiderId as it is the Dynamic here. Can anyone please suggest me how can I approach this.&lt;/p&gt;
</t>
  </si>
  <si>
    <t xml:space="preserve">&lt;p&gt;On your Email have an input parameter name it RiderId.&lt;/p&gt;
&lt;p&gt;Do not forget to change the data type of RiderId to be the identifier you want. &lt;/p&gt;
&lt;p&gt;Your Email will look like this:&lt;/p&gt;
&lt;p&gt;&lt;a href="https://i.stack.imgur.com/dCbHM.png" rel="nofollow noreferrer"&gt;&lt;img src="https://i.stack.imgur.com/dCbHM.png" alt="Sample Image"&gt;&lt;/a&gt;&lt;/p&gt;
&lt;p&gt;Then your link can be something like this:&lt;/p&gt;
&lt;pre&gt;&lt;code&gt;"http://" + Site.PageDirect + GetEntryURL("RiderRouteEditCreate","iCommute","WantsWithdraw",False,"ViewRouteEdit",False,"RouteId",NullIdentifier(),"ViewRiderEdit",False,"IsAdmin",False,"RiderId", RiderId)
&lt;/code&gt;&lt;/pre&gt;
</t>
  </si>
  <si>
    <t xml:space="preserve">&lt;p&gt;I have the exact same issue as what's in &lt;a href="https://stackoverflow.com/questions/17126323/parsing-a-complex-json-result-with-c-sharp"&gt;this question&lt;/a&gt;&lt;/p&gt;
&lt;p&gt;I was able to get the code to work in C#, however I'm writing my program in Visual Basic. I ran the code through a converter and got this :&lt;/p&gt;
&lt;pre&gt;&lt;code&gt;Public Class Form1
Private Sub Form1_Load(sender As Object, e As EventArgs) Handles MyBase.Load
    Dim html As String = String.Empty
    Dim url As String = "https://crm.zoho.com/crm/private/json/Contacts/searchRecords?authtoken=0e0dd5f8153bc0a1299766b32d09e4f7&amp;amp;&amp;amp;scope=crmapi&amp;amp;fromIndex=1&amp;amp;toIndex=200&amp;amp;criteria=(Store:3110)"
    Dim request As HttpWebRequest = DirectCast(WebRequest.Create(url), HttpWebRequest)
    request.AutomaticDecompression = DecompressionMethods.GZip
    Using response As HttpWebResponse = DirectCast(request.GetResponse(), HttpWebResponse)
        Using stream As Stream = response.GetResponseStream()
            Using reader As New StreamReader(stream)
                html = reader.ReadToEnd()
            End Using
        End Using
    End Using
    Dim loContactList As New List(Of Contact)()
    Dim loContact As Contact = Nothing
    Dim respone As ResponseActual = JsonConvert.DeserializeObject(Of ResponseActual)(html)
    For Each row var In respone.Response.Result.Contacts.Row
        loContact = New Contact()
        Dim rowItem = row.FL.ToList()
        Try
            loContact.ContactID = rowItem.Where(Of FL)(Function(s, t) s.Val = "CONTACTID").[Select](Function(x) x.Content).[Single]()
        Catch
        End Try
        Try
            loContact.OwnerID = rowItem.Where(Of FL)(Function(s, t) s.Val = "SMOWNERID").[Select](Function(x) x.Content).[Single]()
        Catch
        End Try
        Try
            loContact.ContactOwner = rowItem.Where(Of FL)(Function(s, t) s.Val = "Contact Owner").[Select](Function(x) x.Content).[Single]()
        Catch
        End Try
        Try
            loContact.FirstName = rowItem.Where(Of FL)(Function(s, t) s.Val = "First Name").[Select](Function(x) x.Content).[Single]()
        Catch
        End Try
        Try
            loContact.LastName = rowItem.Where(Of FL)(Function(s, t) s.Val = "Last Name").[Select](Function(x) x.Content).[Single]()
        Catch
        End Try
        Try
            loContact.Email = rowItem.Where(Of FL)(Function(s, t) s.Val = "Email").[Select](Function(x) x.Content).[Single]()
        Catch
        End Try
        Try
            loContact.CreatorID = rowItem.Where(Of FL)(Function(s, t) s.Val = "SMCREATORID").[Select](Function(x) x.Content).[Single]()
        Catch
        End Try
        Try
            loContact.CreatedBy = rowItem.Where(Of FL)(Function(s, t) s.Val = "Created By").[Select](Function(x) x.Content).[Single]()
        Catch
        End Try
        Try
            loContact.ModifiedByID = rowItem.Where(Of FL)(Function(s, t) s.Val = "MODIFIEDBY").[Select](Function(x) x.Content).[Single]()
        Catch
        End Try
        Try
            loContact.ModifiedBy = rowItem.Where(Of FL)(Function(s, t) s.Val = "Modified By").[Select](Function(x) x.Content).[Single]()
        Catch
        End Try
        Try
            loContact.CreatedTime = Convert.ToDateTime(rowItem.Where(Of FL)(Function(s, t) s.Val = "Created Time").[Select](Function(x) x.Content).[Single]())
        Catch
        End Try
        Try
            loContact.ModifiedTime = Convert.ToDateTime(rowItem.Where(Of FL)(Function(s, t) s.Val = "Modified Time").[Select](Function(x) x.Content).[Single]())
        Catch
        End Try
        Try
            loContact.LastActivityTime = Convert.ToDateTime(rowItem.Where(Of FL)(Function(s, t) s.Val = "Last Activity Time").[Select](Function(x) x.Content).[Single]())
        Catch
        End Try
        ListBox1.Items.Add(loContact.FirstName + " " + loContact.LastName)
        loContactList.Add(loContact)
    Next
End Sub
End Class
Public Class Contact
&amp;lt;JsonProperty(PropertyName:="CONTACTID")&amp;gt;
Public Property ContactID() As String
    Get
        Return m_ContactID
    End Get
    Set
        m_ContactID = Value
    End Set
End Property
Private m_ContactID As String
&amp;lt;JsonProperty(PropertyName:="SMOWNERID")&amp;gt;
Public Property OwnerID() As String
    Get
        Return m_OwnerID
    End Get
    Set
        m_OwnerID = Value
    End Set
End Property
Private m_OwnerID As String
&amp;lt;JsonProperty(PropertyName:="Contact Owner")&amp;gt;
Public Property ContactOwner() As String
    Get
        Return m_ContactOwner
    End Get
    Set
        m_ContactOwner = Value
    End Set
End Property
Private m_ContactOwner As String
&amp;lt;JsonProperty(PropertyName:="First Name")&amp;gt;
Public Property FirstName() As String
    Get
        Return m_FirstName
    End Get
    Set
        m_FirstName = Value
    End Set
End Property
Private m_FirstName As String
&amp;lt;JsonProperty(PropertyName:="Last Name")&amp;gt;
Public Property LastName() As String
    Get
        Return m_LastName
    End Get
    Set
        m_LastName = Value
    End Set
End Property
Private m_LastName As String
&amp;lt;JsonProperty(PropertyName:="Email")&amp;gt;
Public Property Email() As String
    Get
        Return m_Email
    End Get
    Set
        m_Email = Value
    End Set
End Property
Private m_Email As String
&amp;lt;JsonProperty(PropertyName:="SMCREATORID")&amp;gt;
Public Property CreatorID() As String
    Get
        Return m_CreatorID
    End Get
    Set
        m_CreatorID = Value
    End Set
End Property
Private m_CreatorID As String
&amp;lt;JsonProperty(PropertyName:="Created By")&amp;gt;
Public Property CreatedBy() As String
    Get
        Return m_CreatedBy
    End Get
    Set
        m_CreatedBy = Value
    End Set
End Property
Private m_CreatedBy As String
&amp;lt;JsonProperty(PropertyName:="MODIFIEDBY")&amp;gt;
Public Property ModifiedByID() As String
    Get
        Return m_ModifiedByID
    End Get
    Set
        m_ModifiedByID = Value
    End Set
End Property
Private m_ModifiedByID As String
&amp;lt;JsonProperty(PropertyName:="Modified By")&amp;gt;
Public Property ModifiedBy() As String
    Get
        Return m_ModifiedBy
    End Get
    Set
        m_ModifiedBy = Value
    End Set
End Property
Private m_ModifiedBy As String
&amp;lt;JsonProperty(PropertyName:="Created Time")&amp;gt;
Public Property CreatedTime() As DateTime
    Get
        Return m_CreatedTime
    End Get
    Set
        m_CreatedTime = Value
    End Set
End Property
Private m_CreatedTime As DateTime
&amp;lt;JsonProperty(PropertyName:="Modified Time")&amp;gt;
Public Property ModifiedTime() As DateTime
    Get
        Return m_ModifiedTime
    End Get
    Set
        m_ModifiedTime = Value
    End Set
End Property
Private m_ModifiedTime As DateTime
&amp;lt;JsonProperty(PropertyName:="Last Activity Time")&amp;gt;
Public Property LastActivityTime() As DateTime
    Get
        Return m_LastActivityTime
    End Get
    Set
        m_LastActivityTime = Value
    End Set
End Property
Private m_LastActivityTime As DateTime
End Class
Public Class ResponseActual
&amp;lt;JsonProperty("response")&amp;gt;
Public Property Response() As Response2
    Get
        Return m_Response
    End Get
    Set
        m_Response = Value
    End Set
End Property
Private m_Response As Response2
End Class
Public Class Response2
&amp;lt;JsonProperty("result")&amp;gt;
Public Property Result() As Result
    Get
        Return m_Result
    End Get
    Set
        m_Result = Value
    End Set
End Property
Private m_Result As Result
&amp;lt;JsonProperty("uri")&amp;gt;
Public Property Uri() As String
    Get
        Return m_Uri
    End Get
    Set
        m_Uri = Value
    End Set
End Property
Private m_Uri As String
End Class
Public Class Result
&amp;lt;JsonProperty("Contacts")&amp;gt;
Public Property Contacts() As Contacts
    Get
        Return m_Contacts
    End Get
    Set
        m_Contacts = Value
    End Set
End Property
Private m_Contacts As Contacts
End Class
Public Class Contacts
&amp;lt;JsonProperty("row")&amp;gt;
Public Property Row() As IList(Of Row)
    Get
        Return m_Row
    End Get
    Set
        m_Row = Value
    End Set
End Property
Private m_Row As IList(Of Row)
End Class
Public Class Row
&amp;lt;JsonProperty("no")&amp;gt;
Public Property No() As String
    Get
        Return m_No
    End Get
    Set
        m_No = Value
    End Set
End Property
Private m_No As String
&amp;lt;JsonProperty("FL")&amp;gt;
Public Property FL() As IList(Of FL)
    Get
        Return m_FL
    End Get
    Set
        m_FL = Value
    End Set
End Property
Private m_FL As IList(Of FL)
End Class
Public Class FL
&amp;lt;JsonProperty("content")&amp;gt;
Public Property Content() As String
    Get
        Return m_Content
    End Get
    Set
        m_Content = Value
    End Set
End Property
Private m_Content As String
&amp;lt;JsonProperty("val")&amp;gt;
Public Property Val() As String
    Get
        Return m_Val
    End Get
    Set
        m_Val = Value
    End Set
End Property
Private m_Val As String
End Class
&lt;/code&gt;&lt;/pre&gt;
&lt;p&gt;I'm getting stuck on this line :
For Each row var In respone.Response.Result.Contacts.Row&lt;/p&gt;
&lt;p&gt;I know I can't have the var in there from C# but I can't figure out how to make this work.&lt;/p&gt;
</t>
  </si>
  <si>
    <t xml:space="preserve">&lt;p&gt;I'm having troubles figuring out how to get rid of the dupes from the first table. please see highlighted rows here for reference &lt;a href="https://i.stack.imgur.com/5287k.jpg" rel="nofollow noreferrer"&gt;enter image description here&lt;/a&gt;&lt;/p&gt;
&lt;p&gt;This is the formaula I'm inputting &lt;/p&gt;
&lt;pre&gt;&lt;code&gt;SELECT
     "Classes.Class Name" AS Customer,
     "Customers.Customer Name" as docket,
     "Items.Item Name" as EST_Item,
     Quantity as EST_Qty,
     "Unit Price" as EST_UnitPrice,
     "Query_Bill Line items"."Items.Item Name" as BILL_Item,
     "Query_Bill Line items"."Quantity" as Bill_Qty,
     "Query_Bill Line items"."Unit Price" as Bill_UnitPrice
FROM  "Query_Estimate Line Items" LEFT JOIN "Query_Bill Line Items" ON "Query_Estimate Line Items"."cUSTOMERS.cUSTOMER NAME"  = "Query_Bill Line Items"."CUSTOMERS.CUSTOMER NAME"
 AND    "Query_Estimate Line Items"."iTEMS.ITEM NAME"  = "Query_Bill Line Items"."ITEMS.ITEM NAME"  
&lt;/code&gt;&lt;/pre&gt;
&lt;p&gt;Sorry for the super long column names! What am I missing to get rid of the dupes from Table1 ""Query_Estimate Line Items"?&lt;/p&gt;
&lt;p&gt;Thanks &lt;/p&gt;
</t>
  </si>
  <si>
    <t xml:space="preserve">&lt;p&gt;To reduce your row count you need to group by something (such as Customer, Docket, EST_Item), and aggregate your non-grouped columns (such as Bill_Qty or Unit_Price). Do you know how to use group by?&lt;/p&gt;
</t>
  </si>
  <si>
    <t xml:space="preserve">&lt;p&gt;I want to make an App Maker application that contains sensitive data. How do I make it so only certain users or groups can access the application?&lt;/p&gt;
</t>
  </si>
  <si>
    <t xml:space="preserve">&lt;p&gt;Your application is automatically restricted to members of your domain, but if you’d like to further restrict usage you can edit the settings of a particular deployment of your application to restrict usage. Under “Application access” click “Only allow access to specific users”, then you can add any combination of users and Google groups. Note you can only add users and groups within your domain.&lt;/p&gt;
&lt;p&gt;There are also lots of other security issues you might want to consider. Review &lt;a href="https://developers.google.com/appmaker/security/overview" rel="noreferrer"&gt;https://developers.google.com/appmaker/security/overview&lt;/a&gt; for more details.&lt;/p&gt;
</t>
  </si>
  <si>
    <t xml:space="preserve">&lt;p&gt;I want my application to be able to access url parameters, for example I’d like to be able to read “param” if someone navigates to my app using &lt;a href="https://script.google.com/myapp?param=20" rel="nofollow noreferrer"&gt;https://script.google.com/myapp?param=20&lt;/a&gt;.&lt;/p&gt;
</t>
  </si>
  <si>
    <t xml:space="preserve">&lt;p&gt;You can use the google.script.url API from a client script (&lt;a href="https://developers.google.com/apps-script/guides/html/reference/url" rel="nofollow noreferrer"&gt;https://developers.google.com/apps-script/guides/html/reference/url&lt;/a&gt;).&lt;/p&gt;
&lt;p&gt;For example:&lt;/p&gt;
&lt;pre class="lang-js prettyprint-override"&gt;&lt;code&gt;google.script.url.getLocation(function(location) {
    alert(location.parameter.param);
});
&lt;/code&gt;&lt;/pre&gt;
</t>
  </si>
  <si>
    <t xml:space="preserve">&lt;p&gt;I am having some trouble storing data to my local device on my microsoft powerapps app.&lt;/p&gt;
&lt;p&gt;The application I am creating is a survey application where a user can fill in a form and tap submit to ideally store their entry onto a table which can be viewed on a seperate page.&lt;/p&gt;
&lt;p&gt;I have been able to get as far as creating the form and storing the data locally in a collection however this only stores the data on the device whilst the app is open, as soon as the app is closed the data stored is gone.&lt;/p&gt;
&lt;p&gt;The question is whether there is a more efficient way to store any data collected from my app onto the device where it can be saved even if the application is closed?&lt;/p&gt;
&lt;p&gt;Any comments/answers are much appreciated.&lt;/p&gt;
</t>
  </si>
  <si>
    <t xml:space="preserve">&lt;p&gt;I'm seeing an error when typing into a suggest box:&lt;/p&gt;
&lt;p&gt;&lt;code&gt;&lt;br&gt;
Thu Dec 08 10:45:58 GMT-700 2016
Speckle models do not support distinct sorted field values. Error: Speckle models do not support distinct sorted field values.
E
Thu Dec 08 10:45:58 GMT-700 2016
Query for field suggest oracle.: (Error) : Speckle models do not support distinct sorted field values.
E
Thu Dec 08 10:45:58 GMT-700 2016
Query for field suggest oracle. failed.
&lt;/code&gt;&lt;/p&gt;
&lt;p&gt;Value of the suggest is set to:
@datasource.query.filters.project._equals&lt;/p&gt;
&lt;p&gt;and the suggestions are set to the datasource and field project. 
I have also un-checked "Value is a record" as that is an error already in the editor. &lt;/p&gt;
&lt;p&gt;I can use a normal text box and the same value to filter the data which works fine but would prefer the ability to select from suggest.  &lt;/p&gt;
</t>
  </si>
  <si>
    <t xml:space="preserve">&lt;p&gt;I signed up for a Salesforce developer account and then created an Account object in Salesforce.  I then ran a mule workflow to insert an Order object into Salesforce and it returns this error against the Account Id:&lt;/p&gt;
&lt;pre&gt;&lt;code&gt;[SaveResult  errors='{[1][Error  fields='{[0]}'
 message='insufficient access rights on cross-reference id: 0010Y00000A7kCp'
 statusCode='INSUFFICIENT_ACCESS_ON_CROSS_REFERENCE_ENTITY'
]
,}'
 id='null'
 success='false'
]
&lt;/code&gt;&lt;/pre&gt;
&lt;p&gt;The same data is inserted successfully from &lt;a href="https://workbench.developerforce.com" rel="nofollow noreferrer"&gt;https://workbench.developerforce.com&lt;/a&gt; so looks like something to do the call coming from Mule.  Is there a setting for external applications that needs to be activated?&lt;/p&gt;
&lt;p&gt;There is only one user which is me and is the same one I used to create the Salesforce account and it has System Administrator privileges.&lt;/p&gt;
&lt;p&gt;When I change the login credentials to my other Salesforce developer account it works (this other account was setup in 2015).&lt;/p&gt;
&lt;p&gt;Is there a setting that needs to be changed or permissions added and if so how and where would I do this?&lt;/p&gt;
&lt;p&gt;Datamapper looks like this for the salesforce developer account that fails:&lt;/p&gt;
&lt;pre&gt;&lt;code&gt;output.Pricebook2Id = "01s0Y0000026KHiQAM"; 
output.AccountId = "0010Y00000A7kCpQAJ"; 
output.Status = "Draft"; 
output.Type = "Order"; 
output.BillingCity = "New York"; 
output.EffectiveDate = str2date("2016-10-16","yyyy-MM-dd");
&lt;/code&gt;&lt;/pre&gt;
&lt;p&gt;&lt;a href="https://i.stack.imgur.com/Q7yeN.png" rel="nofollow noreferrer"&gt;&lt;img src="https://i.stack.imgur.com/Q7yeN.png" alt="enter image description here"&gt;&lt;/a&gt;&lt;/p&gt;
&lt;p&gt;Thanks for any help&lt;/p&gt;
</t>
  </si>
  <si>
    <t xml:space="preserve">&lt;p&gt;If you set a data transformer for example: #formatNumber('$#.00')
It then requires you to also use the $ when doing input. Is there a way to not require the $? &lt;/p&gt;
</t>
  </si>
  <si>
    <t xml:space="preserve">&lt;p&gt;I'm having an issue with one of my whitelisted domains, it's still under the old TT program and not under the new EAP.&lt;/p&gt;
&lt;p&gt;I have no answer from the usual people whom handled this durning TT, who should I contact?&lt;/p&gt;
&lt;p&gt;JD&lt;/p&gt;
</t>
  </si>
  <si>
    <t xml:space="preserve">&lt;p&gt;To transition from TT to EAP, you'll need to go through the same application process that was announced on 11/30.&lt;/p&gt;
&lt;p&gt;Basically you need to be running G Suite Business, and the applicant needs to be the domain admin for that domain.&lt;/p&gt;
&lt;p&gt;Here's the App Maker Landing Page that we published:
&lt;a href="https://gsuite.google.com/appmaker" rel="nofollow noreferrer"&gt;https://gsuite.google.com/appmaker&lt;/a&gt;&lt;/p&gt;
&lt;p&gt;If you sign up here, you'll get an email with the link to the actual EAP application form.&lt;/p&gt;
&lt;p&gt;Also, we are currently backlogged with EAP applications, so it could take more than a week, but we're hoping to speed up the process as we get up and running full steam.&lt;/p&gt;
&lt;p&gt;Thanks for your patience!
-Chris (App Maker)&lt;/p&gt;
</t>
  </si>
  <si>
    <t xml:space="preserve">&lt;p&gt;I just watched the video &lt;a href="https://labs.outsystems.net/silkui/#" rel="nofollow noreferrer"&gt;here&lt;/a&gt; and it appears that SilkUI is tied to Outsystems.  &lt;/p&gt;
&lt;p&gt;While I like the idea of the UI editor, is there something like this for Bootstrap, where I wouldn't be tied to a specific vendor?&lt;/p&gt;
</t>
  </si>
  <si>
    <t xml:space="preserve">&lt;p&gt;there is an independent tool for it .. 
&lt;a href="https://bootstrapstudio.io" rel="nofollow noreferrer"&gt;BootStrap Studio&lt;/a&gt;
you can try it:)&lt;/p&gt;
</t>
  </si>
  <si>
    <t xml:space="preserve">&lt;p&gt;When using arrow functions:&lt;/p&gt;
&lt;pre&gt;&lt;code&gt;[cbCenter, edtTitle].forEach(widget =&amp;gt; widget.validate());
&lt;/code&gt;&lt;/pre&gt;
&lt;p&gt;The following warning is displayed&lt;/p&gt;
&lt;p&gt;&lt;a href="https://i.stack.imgur.com/71tCo.png" rel="nofollow noreferrer"&gt;&lt;img src="https://i.stack.imgur.com/71tCo.png" alt="enter image description here"&gt;&lt;/a&gt;&lt;/p&gt;
&lt;p&gt;The code runs correctly, so I just need to know how to enable the esnext option to get rid of the warning?&lt;/p&gt;
</t>
  </si>
  <si>
    <t xml:space="preserve">&lt;p&gt;The syntax is awkward, you should add the following to the top of your script:&lt;/p&gt;
&lt;p&gt;/* jshint esnext:true */&lt;/p&gt;
&lt;p&gt;Note that as the other answer says, this will &lt;em&gt;not&lt;/em&gt; work for server-side scripts, because Apps Script doesn't support es6. But it will work fine for client-side scripts.&lt;/p&gt;
</t>
  </si>
  <si>
    <t xml:space="preserve">&lt;p&gt;I would like to prevent the user from entering invalid data in fields on edit forms and in the table edit cells. Because of the bound nature of inputs how can this be prevented? &lt;/p&gt;
&lt;p&gt;Currently I get the red warning text for validation but this does not prevent saving the data. &lt;/p&gt;
</t>
  </si>
  <si>
    <t xml:space="preserve">&lt;p&gt;I'm working on some Salesforce lightning components and I need a nice DateTime control. The component reference lists the ui:inputDateTime control and this control supports the functionality, but it sure doesn't look like the control in Salesforce! &lt;/p&gt;
&lt;p&gt;Here's what you get in SF experience:
&lt;a href="https://i.stack.imgur.com/pyMYp.jpg" rel="nofollow noreferrer"&gt;&lt;img src="https://i.stack.imgur.com/pyMYp.jpg" alt="enter image description here"&gt;&lt;/a&gt;&lt;/p&gt;
&lt;p&gt;And here's what you get out of the box with the ui:inputDateTime control:
&lt;a href="https://i.stack.imgur.com/9EMxB.jpg" rel="nofollow noreferrer"&gt;&lt;img src="https://i.stack.imgur.com/9EMxB.jpg" alt="enter image description here"&gt;&lt;/a&gt;&lt;/p&gt;
&lt;p&gt;The calendar itself is way too large and just isn't styled, and the Time control isn't even displaying the right icon. Here's my markup:&lt;/p&gt;
&lt;pre&gt;&lt;code&gt;&amp;lt;div class="slds-form-element"&amp;gt;
    &amp;lt;div class="slds-form-element__control"&amp;gt;      
        &amp;lt;ui:inputDateTime aura:id="encStart" 
                          label="Start Time" 
                          value="{!v.newEvent.startTime}" 
                          displayDatePicker="true" /&amp;gt; 
    &amp;lt;/div&amp;gt;
&amp;lt;/div&amp;gt;
&lt;/code&gt;&lt;/pre&gt;
&lt;p&gt;Am I just missing or mis-applying a SLDS tag here? Any advice would be appreciated. Thanks.&lt;/p&gt;
</t>
  </si>
  <si>
    <t xml:space="preserve">&lt;p&gt;For one of my models, I have a simple ondelete event handler:&lt;/p&gt;
&lt;pre&gt;&lt;code&gt;  function validateStateDeletion(record){
    if (record.Name===STATE_SUBMITTED || record.Name===STATE_CLOSED){
      throw 'Cannot delete internal states '+STATE_SUBMITTED+' and '+STATE_CLOSED;
  }
&lt;/code&gt;&lt;/pre&gt;
&lt;p&gt;This does indeed work and prevents records meeting the condition from being deleted. I see the error is propagated back to the client (it is displayed in the dev console as an exception). However, capturing the exception to display something to the user, using window.onerror as part of the app initialization script,  does not seem to have any effect (This may not be the correct Window object as window.onerror is undefined in the dev console, it may be some sandbox iframe where client side scripts are executed) .&lt;/p&gt;
&lt;pre&gt;&lt;code&gt;  window.onerror=function(message, url, line, column, error){
    window.toastr.error("Error:" +(message||error));
    return false;
  };
&lt;/code&gt;&lt;/pre&gt;
&lt;p&gt;&lt;strong&gt;Question&lt;/strong&gt;: Any insight on global exception handling in AppMaker, or an alternative way to display server side validation errors?&lt;/p&gt;
</t>
  </si>
  <si>
    <t xml:space="preserve">&lt;p&gt;&lt;strong&gt;&lt;em&gt;&gt;&gt; global exception handling in AppMaker&lt;/em&gt;&lt;/strong&gt;&lt;/p&gt;
&lt;p&gt;afaik there is no such mechanism right now&lt;/p&gt;
&lt;p&gt;&lt;strong&gt;&lt;em&gt;&gt;&gt; or an alternative way to display server side validation errors?&lt;/em&gt;&lt;/strong&gt;&lt;/p&gt;
&lt;p&gt;Here we have at least 3 cases&lt;/p&gt;
&lt;p&gt;1 &lt;a href="https://developers.google.com/apps-script/guides/html/reference/run" rel="nofollow noreferrer"&gt;Calling the server-side function&lt;/a&gt;&lt;/p&gt;
&lt;pre&gt;&lt;code&gt; google.script.run
       .withSuccessHandler(function(result) {   
         // TODO
       })
       .withFailureHandler(function(e) {
          // TODO
        })
       .MyServerSideFunction();
&lt;/code&gt;&lt;/pre&gt;
&lt;p&gt;2 &lt;a href="https://developers.google.com/appmaker/scripting/client#types_of_callbacks" rel="nofollow noreferrer"&gt;Triggering any data-related action(createItem, saveChanges, deleteItem, load, reload... etc)&lt;/a&gt;&lt;/p&gt;
&lt;pre&gt;&lt;code&gt;widget.datasource.createItem({
  success: function (somethingThatDependsOnActionType) {
    // TODO
  },
  failure: function (e) {
    // TODO
  }
});
&lt;/code&gt;&lt;/pre&gt;
&lt;p&gt;3 Making a change to an item for a datasource in auto save mode&lt;/p&gt;
&lt;pre&gt;&lt;code&gt;app.datasources.Employees.item.Name = 'Bob';
&lt;/code&gt;&lt;/pre&gt;
&lt;p&gt;Afaik there is no good way to handle error in this case. Hope it will be fixed soon. For the time being as workaround you can switch datasource to manual save mode and pass success+failure handler to the saveChanges callback&lt;/p&gt;
</t>
  </si>
  <si>
    <t xml:space="preserve">&lt;p&gt;Is there a way to retrieve GPS location from a device in an App Maker app?&lt;/p&gt;
&lt;p&gt;I'm trying to create a "checkin" app for my users. I want to retrieve their GPS location (lattitude, longitude) when they submit their "checkin".&lt;/p&gt;
</t>
  </si>
  <si>
    <t xml:space="preserve">&lt;p&gt;I am using &lt;code&gt;window.scroll&lt;/code&gt; function, but &lt;code&gt;window.scrollTop&lt;/code&gt; didn't return any value in lightning controller. Help me.&lt;/p&gt;
&lt;pre&gt;&lt;code&gt;initialize : function(component, event, helper) {
            var isHidden = false
            var lastScrollTop = 0
            console.log('heyyyyyy');
            window.addEventListener('scroll', function() {
                console.log('heyasasyyyyy');
                var scrollTop =  document.documentElement.scrollTop;
                var offset = scrollTop-lastScrollTop ;
                lastScrollTop = scrollTop ;
                console.log(scrollTop+'++++'+offset+'++++++'+lastScrollTop);
            });
        },
&lt;/code&gt;&lt;/pre&gt;
</t>
  </si>
  <si>
    <t xml:space="preserve">&lt;p&gt;I am re-writing and extending the our Lightning product which was created 4 months back. But I am getting some issue in code which used to work fine in previous version. I haven't changed anything from last working version. &lt;/p&gt;
&lt;p&gt;In navigation menu I added a custom community page named favorite article. 
Now this page is displaying error message "invalid page".&lt;/p&gt;
</t>
  </si>
  <si>
    <t xml:space="preserve">&lt;p&gt;I'm trying to use Microsoft Flow to fetch all my calendar events for the past two weeks, and do this every two weeks. The problem is that the "get all events" outlook action only accepts an ODATA $filter query and it's not clear how to filter it dinamically, something like:&lt;/p&gt;
&lt;pre&gt;&lt;code&gt;$filter=Start ge Today()-14
&lt;/code&gt;&lt;/pre&gt;
&lt;p&gt;Is that even possible? Thanks!&lt;/p&gt;
</t>
  </si>
  <si>
    <t xml:space="preserve">&lt;p&gt;I want to make an app with App Maker with a model based in Google Cloud SQL, I have read that I have to create the instance in the first generation in the us- central, but when I try to create it, I have the following error: "The apps GAE authorized must be in the same region than the database instance" SO I can´t create the instance, what can I do?&lt;/p&gt;
</t>
  </si>
  <si>
    <t xml:space="preserve">&lt;p&gt;I am evaluating outsystems and am trying to write a PoC List/CRUD app based on a legacy database table (the structure of which cannot be changed) which does not have a primary key but instead has two text fields that together constitute a unique index.  The database is SQL Server 2014.&lt;/p&gt;
&lt;p&gt;The table is successfully added in Integration Studio using "Connect to External table or view".&lt;/p&gt;
&lt;p&gt;Then when I open the TestApp in Service Studio and go to the data tab I see the entity there, but it's not usable because it has no identifier defined.  I have read some online info that I can double click on the entity and go to the Indexes tab.  Here I normally would expect to see the index already defined in the database but it's not there.  I also expect to the the New and Delete buttons to be enabled so I can create and delete indexes but New is disabled. &lt;/p&gt;
&lt;p&gt;Am I correct to assume that OutSystems should have already "seen" the existing composite unique index?  If so, am I correct to assume that this index would have sufficed to create a pseudo/virtual identifier for the entity, whereby making the entity system happy for CRUD and List operations?  And also why is the New button not enabled for me to even manually create the index?&lt;/p&gt;
&lt;p&gt;Can someone help me please in the correct direction?&lt;/p&gt;
&lt;p&gt;Thanks&lt;/p&gt;
</t>
  </si>
  <si>
    <t xml:space="preserve">&lt;p&gt;The OutSystems platform only supports single primary keys, so you have to create the CRUD operations by hand. &lt;/p&gt;
&lt;p&gt;For external entities, index information is not fetched from the database, and the reason you can't create the index is because OutSystems doesn't control the metadata (i.e. you can't create indexes, create/modify columns, etc).&lt;/p&gt;
</t>
  </si>
  <si>
    <t xml:space="preserve">&lt;p&gt;I am trying to create a simple PowerApps application using 'PowerApps Studio for Web', where I have already created a flow to create a new record in Dynamics 365. As per the tutorials I followed, I suppose to get a 'Flows' option under 'Action' tab. But, I am not getting it when I selected a custom button on Phone layout. Below is the image where I am having this issue. &lt;/p&gt;
&lt;p&gt;Appreciate your help on this..&lt;/p&gt;
&lt;p&gt;&lt;a href="https://i.stack.imgur.com/ewFr9.png" rel="nofollow noreferrer"&gt;&lt;img src="https://i.stack.imgur.com/ewFr9.png" alt="enter image description here"&gt;&lt;/a&gt;&lt;/p&gt;
</t>
  </si>
  <si>
    <t xml:space="preserve">&lt;p&gt;I am trying to update a file on google drive using google drive API. The body content does not work. I am trying with google simulator but do not know how to give the updated content in Body Request here. Below is the screenshot (In Parent attribute "id" is the Folder ID).&lt;/p&gt;
&lt;p&gt;&lt;a href="https://i.stack.imgur.com/Mfym0.png" rel="nofollow noreferrer"&gt;Google simulator screenshot&lt;/a&gt; &lt;/p&gt;
</t>
  </si>
  <si>
    <t xml:space="preserve">&lt;p&gt;The &lt;code&gt;vinyl-ftp&lt;/code&gt; package has a function &lt;a href="https://github.com/morris/vinyl-ftp#connclean-globs-local-options-" rel="nofollow noreferrer"&gt;&lt;code&gt;clean()&lt;/code&gt;&lt;/a&gt; but I'm not sure how to use it right. I need to:&lt;/p&gt;
&lt;ol&gt;
&lt;li&gt;get all files from my &lt;code&gt;build&lt;/code&gt; folder&lt;/li&gt;
&lt;li&gt;put them into the target folder on my ftp server &lt;/li&gt;
&lt;li&gt;clean files if they're not available locally&lt;/li&gt;
&lt;/ol&gt;
&lt;p&gt;I have the following gulp task:&lt;/p&gt;
&lt;pre&gt;&lt;code&gt;gulp.task('deploy', () =&amp;gt; {
  let conn = ftp.create({host:host,user:user,password: password});
  return gulp.src('build/**', {base: './build/', buffer: false })
      .pipe(conn.newer('/path/on/my/server/')) // only upload newer files
      .pipe(conn.dest('/path/on/my/server/'))
      .pipe(conn.clean('build/**', './build/'));
});
&lt;/code&gt;&lt;/pre&gt;
&lt;p&gt;1) and 2) is OK, but the &lt;code&gt;clean()&lt;/code&gt; function does nothing&lt;/p&gt;
</t>
  </si>
  <si>
    <t xml:space="preserve">&lt;p&gt;The &lt;code&gt;vinyl-ftp&lt;/code&gt; docs &lt;a href="https://www.npmjs.com/package/vinyl-ftp#connclean-globs-local-options-" rel="noreferrer"&gt;have this to say&lt;/a&gt;:&lt;/p&gt;
&lt;blockquote&gt;
  &lt;p&gt;&lt;strong&gt;conn.clean( globs, local[, options] )&lt;/strong&gt;&lt;/p&gt;
  &lt;p&gt;Globs remote files, tests if they are locally available at &lt;code&gt;&amp;lt;local&amp;gt;/&amp;lt;remote.relative&amp;gt;&lt;/code&gt; and removes them if not.&lt;/p&gt;
&lt;/blockquote&gt;
&lt;p&gt;Note that &lt;code&gt;globs&lt;/code&gt; expects a path for the &lt;strong&gt;remote&lt;/strong&gt; files on your FTP server. Since your remote files are located in &lt;code&gt;/path/on/my/server/&lt;/code&gt; you have to specify that path as your glob:&lt;/p&gt;
&lt;pre&gt;&lt;code&gt;  .pipe(conn.clean('/path/on/my/server/**', './build/'));
&lt;/code&gt;&lt;/pre&gt;
</t>
  </si>
  <si>
    <t xml:space="preserve">&lt;p&gt;Using &lt;a href="http://sabre.io/vobject/icalendar/" rel="nofollow noreferrer"&gt;sabre/vobject&lt;/a&gt; library I am creating an ics file like this one:&lt;/p&gt;
&lt;pre&gt;&lt;code&gt;BEGIN:VCALENDAR
VERSION:2.0
PRODID:-//Sabre//Sabre VObject 4.1.2//EN
CALSCALE:GREGORIAN
BEGIN:VEVENT
UID:sabre-vobject-d4b1ccb3-2197-4ee4-aab8-7bc2516adbf8
DTSTAMP:20170123T182612Z
SUMMARY:testev2
DESCRIPTION:
DTSTART;TZID=Europe/Athens:20170214T090000
DTEND;TZID=Europe/Athens:20170215T170000
LOCATION:
ORGANIZER;CN=Organizer Name:mailto:organizer@example.com
ATTENDEE;CN=Test User:MAILTO:test.user@somewhere.com
END:VEVENT
END:VCALENDAR
&lt;/code&gt;&lt;/pre&gt;
&lt;p&gt;Then using &lt;code&gt;phpmailer&lt;/code&gt;, I am attaching the file generated to an e-mail message and send it to the users who are participating on the event. Users who are using thunderbird (with Lightning extension - which is by default on) receive the e-mail message in the following format:&lt;/p&gt;
&lt;p&gt;&lt;a href="https://i.stack.imgur.com/Ktjp7.png" rel="nofollow noreferrer"&gt;&lt;img src="https://i.stack.imgur.com/Ktjp7.png" alt="enter image description here"&gt;&lt;/a&gt;&lt;/p&gt;
&lt;p&gt;As you see in the picture the ics file is parsed and rendered in the table at the bottom of the e-mail. However the table header (the one marked in red) is not displaying correct information. Test user has not ever cofirmed his/her presence, and if he does, the ics file does not provide any info about it.&lt;/p&gt;
&lt;p&gt;Am I formatting the ics file wrong?&lt;/p&gt;
&lt;p&gt;Is it a known bug of thunderbird / Lightning ?&lt;/p&gt;
&lt;p&gt;&lt;strong&gt;UPDATE&lt;/strong&gt;
The e-mail headers of the message:&lt;/p&gt;
&lt;pre&gt;&lt;code&gt;Return-Path: &amp;lt;XXXXXXXXXXXXXXXX&amp;gt;
Received: from deliver ([unix socket])
     by mail (Cyrus v2.3.16-Fedora-RPM-2.3.16-13.el6_6) with LMTPA;
     Tue, 24 Jan 2017 12:48:10 +0200
X-Sieve: CMU Sieve 2.3
Received: from [XXX.XXX.XXX.XXX] (XXXXXXXXXXXXXX [XXX.XXX.XXX.XXX
    (using TLSv1.2 with cipher DHE-RSA-AES128-SHA (128/128 bits))
    (No client certificate requested)
    by XXXXXXXXXXXXXX (Postfix) with ESMTPSA id 6F18C1BE0305
    for &amp;lt;XXXXXXXXXXXXXX&amp;gt;; Tue, 24 Jan 2017 12:48:10 +0200 (EET)
Subject: Fwd: Event invitation: testev2
To: "XXXXXXXX" &amp;lt;XXXXXXXXXXXXXX&amp;gt;
From: XXXXXXXXXXXXXX &amp;lt;XXXXXXXXXXXXXX&amp;gt;
X-Forwarded-Message-Id:
Message-ID: &amp;lt;bac7749e-9699-1b50-9de5-27a510c663a4@XXXXXXXX&amp;gt;
Date: Tue, 24 Jan 2017 12:48:09 +0200
User-Agent: Mozilla/5.0 (X11; Linux x86_64; rv:45.0) Gecko/20100101
 Thunderbird/45.6.0
MIME-Version: 1.0
Content-Type: multipart/mixed;
 boundary="------------79DD2A1D49F1A57579125B45"
This is a multi-part message in MIME format.
--------------79DD2A1D49F1A57579125B45
Content-Type: multipart/alternative;
 boundary="------------72E56459CD6D794D0DF5AC4B"
--------------72E56459CD6D794D0DF5AC4B
Content-Type: text/plain; charset=windows-1252; format=flowed
Content-Transfer-Encoding: 8bit
&amp;gt; ------- Forwarded Message --------
Forward message content
&amp;gt; --------------72E56459CD6D794D0DF5AC4B
&amp;gt; Content-Type: text/html; charset=windows-1252
&amp;gt; Content-Transfer-Encoding: 8bit
&amp;gt;
HTML Content
&amp;gt; --------------72E56459CD6D794D0DF5AC4B--
&amp;gt;
&amp;gt; --------------79DD2A1D49F1A57579125B45
&amp;gt; Content-Type: text/calendar;
&amp;gt;  name="invitation.ics"
&amp;gt; Content-Transfer-Encoding: 7bit
&amp;gt; Content-Disposition: attachment;
&amp;gt;  filename="invitation.ics"
&amp;gt;
ICS Content
&amp;gt; --------------79DD2A1D49F1A57579125B45--
&lt;/code&gt;&lt;/pre&gt;
</t>
  </si>
  <si>
    <t xml:space="preserve">&lt;p&gt;We are currently working on various project as a team. As such, we often have to transfer scenes and such from one project to another. However, we have a problem concerning the lightmaps.&lt;/p&gt;
&lt;p&gt;When I take my scene, make a package out of it all (lightmaps included) and then export, when I import in the other project, the lightmaps are there, (as in, in the "Lightning" window, they are present and loaded) but they just don't apply on the scene. It's like they aren't here at all.&lt;/p&gt;
&lt;p&gt;And so we have to rebake everything, which makes us lose hours of work. (And as the graphic guy, it frustrates me that I have to wait two times)&lt;/p&gt;
&lt;p&gt;Any tips on how to deal with this issue ?&lt;/p&gt;
&lt;p&gt;Thanks !&lt;/p&gt;
</t>
  </si>
  <si>
    <t xml:space="preserve">&lt;p&gt;[UPDATE]&lt;/p&gt;
&lt;p&gt;Improved code according to advice here.&lt;/p&gt;
&lt;p&gt;--&lt;/p&gt;
&lt;p&gt;I have build a grid using dijit and dgrid:&lt;/p&gt;
&lt;pre&gt;&lt;code&gt;define([
...
], function (declare, _WidgetBase, _TemplatedMixin, ...) {
    return declare("MyGrid.widget.MyGrid", [ _WidgetBase, _TemplatedMixin ], {
        deleteButton: new MendixButton({
            className: "btn mx-button claro haasgridbutton",
            iconClass: "dijitIconDelete"
        }),
        ...
        postCreate: function () {
        ...
            addButtons();
        },
        ...
        addButtons: function () {
            ...
            dojoConstruct.place(this.deleteButton.domNode, this.objectButtonsNode);
            this.deleteButton.on("Click", dojo.hitch(this, function () {
                this._deleteObjectDialog();
            }));
        },
    });
});
require(["MyGrid/widget/MyGrid"]);
&lt;/code&gt;&lt;/pre&gt;
&lt;p&gt;For whatever reason the delete button (or any other) does not work if I move away from the page and come back. the function &lt;code&gt;deleteObjectDialog();&lt;/code&gt; is simply not called and I don't know why, neither do I know how to debug this.
The Debugger starts at the function and I can't find the 'onClick' part using the Inspector.&lt;/p&gt;
</t>
  </si>
  <si>
    <t xml:space="preserve">&lt;p&gt;I know that gulp require a vinyl source stream to work properly, but is there an easy way to use an already existant vinyl file or a json object instead of the well known gulp.src that only takes globs?&lt;/p&gt;
</t>
  </si>
  <si>
    <t xml:space="preserve">&lt;p&gt;After several researches I did not found any good solution for that problem so I decided to share my solution with you.&lt;/p&gt;
&lt;p&gt;That problem is solved in 2 steps&lt;/p&gt;
&lt;p&gt;1: You need to convert what ever you want to pipe in gulp to a vinyl file.
This can be done like so&lt;/p&gt;
&lt;pre&gt;&lt;code&gt;const Vinyl = require('vinyl');
var vinyl = new Vinyl();
vinyl.cwd = '/';
vinyl.base = '/';
vinyl.path = '/yourfictivefilepath';
vinyl.contents = new Buffer(JSON.stringify(yourobject));
&lt;/code&gt;&lt;/pre&gt;
&lt;p&gt;For more information about that step: &lt;a href="https://github.com/gulpjs/vinyl" rel="nofollow noreferrer"&gt;https://github.com/gulpjs/vinyl&lt;/a&gt;&lt;/p&gt;
&lt;p&gt;2: Create a stream out of your vinyl files&lt;/p&gt;
&lt;p&gt;I found that those steps can be repetitive and can make code less readable so I decided to encapsulate those steps in an npm package that does this for you.&lt;/p&gt;
&lt;p&gt;&lt;a href="https://www.npmjs.com/package/gulp-to-stream" rel="nofollow noreferrer"&gt;https://www.npmjs.com/package/gulp-to-stream&lt;/a&gt;&lt;/p&gt;
</t>
  </si>
  <si>
    <t xml:space="preserve">&lt;p&gt;I write a script, which scrape data from an email inbox. Now it works fine when I run on browser.
I want to run this script for every New email in that inbox. Auto run could be complete by CronJob. But in my server there is limitation on Cron, which is 30 mins, which is too long for me.&lt;/p&gt;
&lt;p&gt;How could I do this ?  I need to run that script for every new Emails.&lt;/p&gt;
&lt;p&gt;Here is my IMAP code in PHP&lt;/p&gt;
&lt;pre&gt;&lt;code&gt;/* try to connect */
$inbox = imap_open($hostname,$username,$password) or die('Cannot connect to Email: ' . imap_last_error());
/* grab UNSEEN emails */
$emails = imap_search($inbox,'UNSEEN');
&lt;/code&gt;&lt;/pre&gt;
</t>
  </si>
  <si>
    <t xml:space="preserve">&lt;p&gt;I have a Lightning component that listens for an Updated Account event and retrieves the associated Contacts and Users. It then displays which Account the Contacts are for with a total of Contacts and Users, and creates an SLDS Card with repeating Tiles. &lt;/p&gt;
&lt;p&gt;It was working fine until I changed the header to say 'Loading' while the Contacts were loading. I added two new Attributes (one to hold the loading status and one to hold the total of Contacts and Users) and added the logic to update these attributes. Somehow this broke it, and I can't figure out how it's breaking.&lt;/p&gt;
&lt;p&gt;According to the console and debug logs, everything is fine. The Contacts and Users are being retrieved properly from the Apex Controller, and these values are being written to the Attributes. Nothing is being updated, however. &lt;/p&gt;
&lt;p&gt;ContactTable.cmp&lt;/p&gt;
&lt;p&gt;&lt;div class="snippet" data-lang="js" data-hide="false" data-console="true" data-babel="false"&gt;
&lt;div class="snippet-code"&gt;
&lt;pre class="snippet-code-html lang-html prettyprint-override"&gt;&lt;code&gt;&amp;lt;header class="slds-media slds-media--center slds-has-flexi-truncate"&amp;gt;
    &amp;lt;div class="slds-media__body"&amp;gt;
        &amp;lt;h2&amp;gt;
            &amp;lt;span class="slds-text-heading--large"&amp;gt;
                &amp;lt;aura:if istrue="{!v.accountName}"&amp;gt;
                    Contacts For {!v.accountName}: {!v.contactsLoadingStatus}
                    &amp;lt;aura:set attribute="else"&amp;gt;
                        Contacts: - Please Select a Clinic -
                    &amp;lt;/aura:set&amp;gt;
                &amp;lt;/aura:if&amp;gt;
            &amp;lt;/span&amp;gt;
        &amp;lt;/h2&amp;gt;
    &amp;lt;/div&amp;gt;
&amp;lt;/header&amp;gt;
.........
(Contacts Tile Iterator)
.........
&amp;lt;aura:if istrue="{!v.contacts.length &amp;gt; 0}"&amp;gt;
    &amp;lt;h2 style="padding-left: 1.5rem;"&amp;gt;&amp;lt;span class="slds-text-heading--medium"&amp;gt;Contacts&amp;lt;/span&amp;gt;&amp;lt;/h2&amp;gt;
    &amp;lt;div class="slds-card__body--inner slds-grid slds-wrap" style="margin-bottom: 30px; height: 20rem;        overflow: auto; border: 1px solid rgba(128, 128, 128, 0.32); border-radius: 10px;"&amp;gt;
        &amp;lt;aura:iteration items="{!v.contacts}" var="singleContact"&amp;gt;
            &amp;lt;c:ContactTableContactCard singlecontact="{!singleContact}" /&amp;gt;
        &amp;lt;/aura:iteration&amp;gt;
    &amp;lt;/div&amp;gt;
&amp;lt;/aura:if&amp;gt;&lt;/code&gt;&lt;/pre&gt;
&lt;/div&gt;
&lt;/div&gt;
&lt;/p&gt;
&lt;p&gt;ContactTableController.js&lt;/p&gt;
&lt;p&gt;&lt;div class="snippet" data-lang="js" data-hide="false" data-console="true" data-babel="false"&gt;
&lt;div class="snippet-code"&gt;
&lt;pre class="snippet-code-js lang-js prettyprint-override"&gt;&lt;code&gt;handleUpdateAccountEvent: function(component, event, helper){  
  helper.updateAccount(component, event);
  component.set('v.selectedContacts', null);
  component.set('v.total', 0);
  console.log('Account ID: ' + component.get('v.accountID'));
  console.log('Account Name: ' + component.get('v.accountName'));
  if(component.get('v.accountID')){
    console.log('Grabbing contacts and team members');
    component.set('v.contactsLoadingStatus', 'Loading...');
    helper.setContacts(component, helper);
    helper.setTeamMembers(component, helper);  
  }
  else{
    component.set('v.contacts', null);
    component.set('v.teamMembers', null);
  }
},&lt;/code&gt;&lt;/pre&gt;
&lt;/div&gt;
&lt;/div&gt;
&lt;/p&gt;
&lt;p&gt;ContactTableHelper.js&lt;/p&gt;
&lt;p&gt;&lt;div class="snippet" data-lang="js" data-hide="false" data-console="true" data-babel="false"&gt;
&lt;div class="snippet-code"&gt;
&lt;pre class="snippet-code-js lang-js prettyprint-override"&gt;&lt;code&gt;setContacts: function (component, helper) {
  var action = component.get("c.getContacts");
  var accountID = component.get("v.accountID");
  action.setParams({'accountId':accountID});
  action.setCallback(this, function(response){
    if(component.isValid()){
      var state = response.getState();
      if(state === 'SUCCESS'){
        var contacts = response.getReturnValue();
        component.set("v.contacts", contacts);
        var total = component.get("v.total");
        total += contacts.length;
        component.set("v.total", total);
        component.set("v.contactsLoadingStatus", total + " Records");
        contacts = component.get('v.contacts');
        console.log('Grabbing contacts.... Done');
        console.log('contacts:');
        console.log(contacts);
      }
      else{
        console.log('There was an issue in retrieving the contacts.');
        console.log(state);
        if(state === 'ERROR'){
          var errors = response.getError;
          for(var i = 0; i &amp;lt; errors.length; i++){
            console.log(errors[i].message);
          }
        }
      }
    }
  });
  $A.enqueueAction(action);
  console.log('Grabbing contacts....');
},
updateAccount: function(component, event){
  var accountID = event.getParam("accountID");
  component.set("v.accountID", accountID);
  var accountName = event.getParam("accountName");
  component.set("v.accountName", accountName);
  console.log('finished updateAccount');
},&lt;/code&gt;&lt;/pre&gt;
&lt;/div&gt;
&lt;/div&gt;
&lt;/p&gt;
&lt;p&gt;I left out setTeamMembers because it is the same, more or less, as setContacts.&lt;/p&gt;
&lt;p&gt;Relevant Console log:&lt;/p&gt;
&lt;blockquote&gt;
  &lt;p&gt;finished updateAccount&lt;/p&gt;
  &lt;p&gt;Account ID: 001F0000013YX5DIAW&lt;/p&gt;
  &lt;p&gt;Account Name: ~NAME~.&lt;/p&gt;
  &lt;p&gt;Grabbing contacts and team members&lt;/p&gt;
  &lt;p&gt;Grabbing contacts....&lt;/p&gt;
  &lt;p&gt;Grabbing team members....&lt;/p&gt;
  &lt;p&gt;Grabbing contacts.... Done&lt;/p&gt;
  &lt;p&gt;contacts:&lt;/p&gt;
  &lt;p&gt;[Object, Object, Object]&lt;/p&gt;
  &lt;p&gt;Grabbing team members.... Done&lt;/p&gt;
  &lt;p&gt;teamMembers:&lt;/p&gt;
  &lt;p&gt;[Object, Object, Object, Object, Object, Object]&lt;/p&gt;
&lt;/blockquote&gt;
</t>
  </si>
  <si>
    <t xml:space="preserve">&lt;p&gt;I figured it out. I used my IDE's code formatter which changed&lt;/p&gt;
&lt;p&gt;&lt;div class="snippet" data-lang="js" data-hide="false" data-console="true" data-babel="false"&gt;
&lt;div class="snippet-code"&gt;
&lt;pre class="snippet-code-html lang-html prettyprint-override"&gt;&lt;code&gt;&amp;lt;aura:if isTrue=""&amp;gt;&lt;/code&gt;&lt;/pre&gt;
&lt;/div&gt;
&lt;/div&gt;
&lt;/p&gt;
&lt;p&gt;to&lt;/p&gt;
&lt;p&gt;&lt;div class="snippet" data-lang="js" data-hide="false" data-console="true" data-babel="false"&gt;
&lt;div class="snippet-code"&gt;
&lt;pre class="snippet-code-html lang-html prettyprint-override"&gt;&lt;code&gt;&amp;lt;aura:if istrue=""&amp;gt;&lt;/code&gt;&lt;/pre&gt;
&lt;/div&gt;
&lt;/div&gt;
&lt;/p&gt;
&lt;p&gt;So if anyone else runs into this issue, check your spelling. &lt;/p&gt;
</t>
  </si>
  <si>
    <t xml:space="preserve">&lt;p&gt;I was able to pre-populate recipients list using javascript button by setting CRL parameter in SF Classic.&lt;/p&gt;
&lt;p&gt;Now I would like to achieve the same in Lightning.
I tried creating a VF page that would redirect user to dsfs__DocuSign_CreateEnvelope page and add desired ur parameters (much like in JS button).
It partly works - it pre-populates recipients list, it allows to send the email. But finally throws an error: "&lt;strong&gt;Javascript proxies were not generated for controlled dsfs.EnvelopeController: may not use public remoted methods inside an iframe&lt;/strong&gt;"&lt;/p&gt;
&lt;p&gt;What is the proper way to achieve such functionality in lightning?
Is it even possible?&lt;/p&gt;
&lt;p&gt;UPDATE:
VF Page:&lt;/p&gt;
&lt;pre&gt;&lt;code&gt;&amp;lt;apex:page standardController="Opportunity"
    extensions="CTRL_DocusignRedirect"
    sidebar="false"
    showHeader="false"
    action="{!autoRun}"
&amp;gt;
    &amp;lt;apex:sectionHeader title="DocuSign"/&amp;gt;
    &amp;lt;apex:outputPanel &amp;gt;
        You tried calling an Apex Controller from a button.
        If you see this page, something went wrong.
        Please notify your administrator.
    &amp;lt;/apex:outputPanel&amp;gt;
&amp;lt;/apex:page&amp;gt;
&lt;/code&gt;&lt;/pre&gt;
&lt;p&gt;Controller:&lt;/p&gt;
&lt;pre&gt;&lt;code&gt;global class CTRL_DocusignRedirect
{
    private static final STRING PARAM_DSEID = 'DSEID';
    private static final STRING PARAM_SOURCE_ID = 'SourceID';
    private static final STRING PARAM_CRL = 'CRL';
    private Opportunity anOpportunity = null;
    public CTRL_DocusignRedirect(ApexPages.StandardController stdController)
    {
        Id opportunityId = stdController.getRecord().Id;
        this.anOpportunity = DAL_Opportunity.getById(opportunityId);
    }
    public PageReference autoRun()
    {
        if (this.anOpportunity == null)
        {
            return null;
        }
        PageReference pageRef = Page.dsfs__DocuSign_CreateEnvelope;
        pageRef.getParameters().put(PARAM_DSEID, '0');
        pageRef.getParameters().put(PARAM_SOURCE_ID, this.anOpportunity.Id);
        pageRef.getParameters().put(PARAM_CRL, this.getCRL());
        pageRef.setRedirect(true);
        return pageRef;
    }
    private String getCRL()
    {
        return 'Email~' + anOpportunity.Payer_Email__c +
                ';FirstName~' + anOpportunity.Payer_First_Name__c +
                ';LastName~' + anOpport`enter code here`unity.Payer_Last_name__c +
                ';RoutingOrder~1;Role~Pay`enter code here`er;';
    }
}
&lt;/code&gt;&lt;/pre&gt;
&lt;p&gt;Thanks in advance&lt;/p&gt;
</t>
  </si>
  <si>
    <t xml:space="preserve">&lt;p&gt;I would like to use Google's AppMaker for G Suite to receive contact form submissions from my website.&lt;/p&gt;
&lt;p&gt;Ideally the form would submit a POST request to AppMaker, but I haven't been able to find any way to POST data from an external service - only fetching. &lt;/p&gt;
&lt;p&gt;Is it possible to send data from a standard HTML form (NOT a Google Form) to an AppMaker endpoint, or is there a way to use Sheets as a Datasource and accomplish the same thing?&lt;/p&gt;
</t>
  </si>
  <si>
    <t xml:space="preserve">&lt;p&gt;Still learning about app maker and found this presentation at Google I/O '17  "Build Powerful Custom Apps Fast with App Maker on G Suite"&lt;/p&gt;
&lt;p&gt;At timestamp 15.24 sec some code is shown on the screen showing how to send an email to yourself once someone creates a new item can.&lt;/p&gt;
&lt;p&gt;&lt;a href="https://youtu.be/Q84HQgI3Dd8?t=15m27s" rel="nofollow noreferrer"&gt;https://youtu.be/Q84HQgI3Dd8?t=15m27s&lt;/a&gt;&lt;/p&gt;
&lt;p&gt;&lt;strong&gt;Question&lt;/strong&gt;&lt;/p&gt;
&lt;p&gt;Can anyone advise where and how this code can be implemented its pretty cool and would be a great feature to add when a record is created&lt;/p&gt;
&lt;p&gt;Thanks in advance and no worries if you cant help&lt;/p&gt;
</t>
  </si>
  <si>
    <t xml:space="preserve">&lt;p&gt;Within the Google AppMaker, I am trying to connect to an external data source, in this case an existing Google Cloud SQL.&lt;/p&gt;
&lt;p&gt;As prompted I supply the projectName:regionName:instanceName/databaseName and the username and password, but that's as far as I get, as this error's with;&lt;/p&gt;
&lt;p&gt;"Import external Model:
Failed to load models for google Cloud SQL"&lt;/p&gt;
&lt;p&gt;The cloud SQL database is MySQL 5.7&lt;/p&gt;
&lt;p&gt;Any tips or pointers?&lt;/p&gt;
</t>
  </si>
  <si>
    <t xml:space="preserve">&lt;p&gt;I have managed to create a data model, and in doing so import data variables and values from my googlespreadsheets (by clicking on 'import data from sheet'). My table is of the form:&lt;/p&gt;
&lt;p&gt;table = {"age": {15,22}, "name": {"ted", "sally"}, "surname":{"anderson","medina"}}&lt;/p&gt;
&lt;p&gt;I would like to have a table that uploads this on a page, and then I can click on each row which would then open up another page and I could edit the contents&lt;/p&gt;
&lt;p&gt;I open a new page and drag a table in and link it to my data model. However, it only shows the variable titles and not the actual data. How can I get the data to automatically upload into the table?&lt;/p&gt;
&lt;p&gt;I read alot of the tutorials but they all assume I want to start with only headers, and then manually input the data to create a data entry table. However, my table updates automatically in googlesheets, so I would like to import it to appmaker, and then have the ability to click on each row and add notes/edits. Any help would be greatly appreciated!! thanks&lt;/p&gt;
</t>
  </si>
  <si>
    <t xml:space="preserve">&lt;p&gt;I want to be able to build an SQL query using variables. &lt;/p&gt;
&lt;p&gt;How can I create the equivalent of this PHP statement in a Google App Maker server-side script? &lt;/p&gt;
&lt;pre&gt;&lt;code&gt;$query = "SELECT * FROM table WHERE orderId = $orderNo";
&lt;/code&gt;&lt;/pre&gt;
&lt;p&gt;-('$orderNo' as a variable)&lt;/p&gt;
&lt;p&gt;This may be achieved through a calculated model, if so, I need to understand how to use variables within the calculated SQL query.&lt;/p&gt;
&lt;p&gt;Like this: &lt;a href="https://developers.google.com/appmaker/models/cloudsql#sql_calculated_model" rel="nofollow noreferrer"&gt;https://developers.google.com/appmaker/models/cloudsql#sql_calculated_model&lt;/a&gt;&lt;/p&gt;
&lt;p&gt;The variable here ultimately needs to be an ID property on the page.&lt;/p&gt;
&lt;p&gt;Entirely different approaches are welcome&lt;/p&gt;
&lt;p&gt;Thanks a lot.&lt;/p&gt;
</t>
  </si>
  <si>
    <t xml:space="preserve">&lt;p&gt;You can use datasource Query Builder (&lt;a href="https://developers.google.com/appmaker/models/datasources#query_builder" rel="nofollow noreferrer"&gt;https://developers.google.com/appmaker/models/datasources#query_builder&lt;/a&gt;):
&lt;a href="https://i.stack.imgur.com/i2f78.png" rel="nofollow noreferrer"&gt;&lt;img src="https://i.stack.imgur.com/i2f78.png" alt="enter image description here"&gt;&lt;/a&gt;&lt;/p&gt;
&lt;p&gt;or hack into 'where' query property (server script):&lt;/p&gt;
&lt;pre class="lang-js prettyprint-override"&gt;&lt;code&gt;var newQuery = app.models.Company.newQuery();
newQuery.where = 'Name contains? :SearchText or Address contains? :SearchText or Website contains? :SearchText';
newQuery.parameters.SearchText = 'search term';
companies = newQuery.run()
&lt;/code&gt;&lt;/pre&gt;
&lt;p&gt;You can find examples in templates (&lt;a href="https://developers.google.com/appmaker/templates/" rel="nofollow noreferrer"&gt;https://developers.google.com/appmaker/templates/&lt;/a&gt;). Q&amp;amp;A Forum (query builder), Partner Management (how to use 'where' query property).&lt;/p&gt;
</t>
  </si>
  <si>
    <t xml:space="preserve">&lt;p&gt;I have a Styles (Garments) model and an Images model and a one to many Styles&amp;lt;=Images relationship.&lt;/p&gt;
&lt;p&gt;I have a Cloudinary jQuery widget to upload images and then I am trying to update the Images relationship with the URL to the images. The intention is then to display these images in a table.&lt;/p&gt;
&lt;p&gt;However, when I update the relation using my code, it only saves the newest StyleCode against the relation. &lt;/p&gt;
&lt;p&gt;So if I save one image, then another one, the Image table goes from this:&lt;/p&gt;
&lt;pre&gt;&lt;code&gt;Image URL         Style
http://abc        1234
&lt;/code&gt;&lt;/pre&gt;
&lt;p&gt;to this&lt;/p&gt;
&lt;pre&gt;&lt;code&gt;Image URL         Style
http://abc        &amp;lt;blank&amp;gt;
http://xyz        1234  
&lt;/code&gt;&lt;/pre&gt;
&lt;p&gt;My first question is, how does the relation actually work? It seems it relies on my StyleCode to keep the record relation. I would've thought it would've been _key.....????&lt;/p&gt;
&lt;p&gt;Secondly, is there anything you can spot in my code which might be overwriting the previous StyleCode?&lt;/p&gt;
&lt;p&gt;&lt;strong&gt;Server side code&lt;/strong&gt;&lt;/p&gt;
&lt;pre&gt;&lt;code&gt;function saveImageToStyle(images, styleCode) {
  var imgs = [];
  images.forEach(function(image)
  {
    var imageRecord = app.models.Images.newRecord();
    imageRecord.ThumbnailURL = image.thumbnail_url;
    imageRecord.ImageURL = image.url;
    imageRecord.Path = image.path;
    imageRecord.ImageName = image.original_filename;
    imgs.push(imageRecord);
  }); 
  app.saveRecords(imgs);
  var query = app.models.Styles.newQuery();
  query.filters.StyleCode._equals = styleCode; // is it this???
  var styleRecord = query.run()[0];
  styleRecord.Images = imgs;
  app.saveRecords([styleRecord]);
}
&lt;/code&gt;&lt;/pre&gt;
&lt;p&gt;&lt;strong&gt;Client side code&lt;/strong&gt;&lt;/p&gt;
&lt;pre&gt;&lt;code&gt;function saveStyleImages(images) {
  var styleCode = app.datasources.Styles.item.StyleCode; // is there a better way to get the current StyleCode?
  var status = app.pages.StyleEdit.descendants.Status; 
  google.script.run
  .withFailureHandler(function(error) {
    status.text = error.message;
  })
  .withSuccessHandler(function(result) {
    status.text = images + "success";
  })
  .saveImageToStyle(images, styleCode);
}
&lt;/code&gt;&lt;/pre&gt;
</t>
  </si>
  <si>
    <t xml:space="preserve">&lt;p&gt;The following line replaces all existing style associations:&lt;br&gt;
&lt;code&gt;styleRecord.Images = imgs;&lt;/code&gt;  &lt;/p&gt;
&lt;p&gt;You can replace it with:&lt;br&gt;
&lt;code&gt;styleRecord.Images = styleRecord.Images.concat(imgs);&lt;/code&gt;&lt;/p&gt;
</t>
  </si>
  <si>
    <t xml:space="preserve">&lt;p&gt;Is there a way to copy a complete page from one AppMaker application to another AppMaker application? &lt;/p&gt;
</t>
  </si>
  <si>
    <t xml:space="preserve">
&lt;p&gt;&lt;strong&gt;My question is between the huge banners in the code block below.&lt;/strong&gt;&lt;/p&gt;
&lt;p&gt;Forgive the code dump, this is all pasted here for anyone wanting to replicate, and this code &lt;em&gt;does work&lt;/em&gt; as expected, although it's a bit strange. Notice the last two lines, they print proper SQL.&lt;/p&gt;
&lt;p&gt;&lt;strong&gt;Goal:&lt;/strong&gt;&lt;/p&gt;
&lt;p&gt;I have tables with primary keys of type &lt;code&gt;Text&lt;/code&gt;, specifically, emails. Instead of writing a new query function for each table, I took upon the task of generalizing the function, so that I could type-safely query &lt;em&gt;any&lt;/em&gt; table that has emails.&lt;/p&gt;
&lt;p&gt;&lt;strong&gt;Problem:&lt;/strong&gt;&lt;/p&gt;
&lt;p&gt;In order to get this to work, I had to include:&lt;/p&gt;
&lt;pre&gt;&lt;code&gt;instance Default Constant CEmail (Column PGText) where
  def = undefined
&lt;/code&gt;&lt;/pre&gt;
&lt;p&gt;Which makes me think I'm doing something wrong. Any advice for building a query that can find records from any table that has Emails?&lt;/p&gt;
&lt;pre&gt;&lt;code&gt;{- stack
--resolver lts-8.2
--install-ghc
exec ghci
--package aeson
--package composite-base
--package composite-aeson
--package text
--package string-conversions
--package postgres-simple
--package vinyl
-}
{-# LANGUAGE
Arrows
, DataKinds
, OverloadedStrings
, PatternSynonyms
, TypeOperators
, TemplateHaskell
, FlexibleContexts
, RankNTypes
, ConstraintKinds
, TypeSynonymInstances
, FlexibleInstances
, MultiParamTypeClasses
#-}
import Data.Vinyl (RElem)
import Data.Functor.Identity (Identity)
import Data.Vinyl.TypeLevel (RIndex)
import Composite.Aeson (JsonFormat, defaultJsonFormatRec, recJsonFormat, toJsonWithFormat)
import Composite.Opaleye (defaultRecTable)
import Composite.Record (Record, Rec(RNil), (:-&amp;gt;), pattern (:*:))
import Composite.TH (withOpticsAndProxies)
import Control.Arrow (returnA)
import Control.Lens (view)
import Data.Int (Int64)
import Data.Proxy (Proxy(Proxy))
import Data.Text (Text)
import Opaleye
import Opaleye.Internal.TableMaker (ColumnMaker)
import Data.String.Conversions (cs)
import qualified Data.Aeson as Aeson
import qualified Database.PostgreSQL.Simple as PGS -- used for printSql
import Data.Profunctor.Product.Default (Default(def))
--------------------------------------------------
-- | Types
-- | Newtype ClearPassword so it can't be passed around as ordinary Text
newtype ClearPassword a = ClearPassword a
withOpticsAndProxies [d|
  type FEmail = "email" :-&amp;gt; Text
  type CEmail = "email" :-&amp;gt; Column PGText
  type FAge = "age" :-&amp;gt; Text
  type CAge = "age" :-&amp;gt; Column PGText
  type FClearPassword = "clearpass" :-&amp;gt; ClearPassword Text
  type CHashPassword = "hashpass" :-&amp;gt; Column PGText
  |]
--------------------------------------------------
-- | Db Setup
-- | Helper Fn
printSql :: Default Unpackspec a a =&amp;gt; Query a -&amp;gt; IO ()
printSql = putStrLn . maybe "Empty query" id . showSqlForPostgres
-- | Db Records
type DbUser = '[CEmail, CAge]
type DbPassword = '[CEmail, CHashPassword]
--------------------------------------------------
--------------------------------------------------
--
-- LOOK HERE vvvvvvvvvvvvvvvvvvvvvvvv
--
--------------------------------------------------
--------------------------------------------------
type RecWith f rs = (Default ColumnMaker (Record rs) (Record rs),
                     Default Constant f (Column PGText),
                     RElem f rs (RIndex f rs))
-- | queryByEmail needs this, but totally works if `def` is declared
-- as `undefined` ???
instance Default Constant CEmail (Column PGText) where
  def = undefined
queryByEmail :: (RecWith CEmail rs) =&amp;gt;
                Table a (Record rs) -&amp;gt; Text -&amp;gt; QueryArr () (Record rs)
queryByEmail table email = proc () -&amp;gt; do
  u &amp;lt;- queryTable table -&amp;lt; ()
  let uEmail = view cEmail u
  restrict -&amp;lt; uEmail .=== constant email
  returnA -&amp;lt; u
--------------------------------------------------
--------------------------------------------------
--
-- LOOK UP ^^^^^^^^^^^^^^^^^^^^^^^^
--
--------------------------------------------------
--------------------------------------------------
userTable :: Table (Record DbUser) (Record DbUser)
userTable = Table "user" defaultRecTable
-- | Password
passwordTable :: Table (Record DbPassword) (Record DbPassword)
passwordTable = Table "password" defaultRecTable
-- SELECT ... FROM "user" ...
queryUserTest = printSql $ queryByEmail userTable "hi"
-- SELECT ... FROM "password" ...
queryPasswordTest = printSql $ queryByEmail passwordTable "hi"
&lt;/code&gt;&lt;/pre&gt;
</t>
  </si>
  <si>
    <t xml:space="preserve">
&lt;p&gt;Drop the extraneous &lt;code&gt;Default Constant f (Column PGTest)&lt;/code&gt; constraint and you should be good to go:&lt;/p&gt;
&lt;pre&gt;&lt;code&gt;#!/usr/bin/env stack
{- stack --resolver lts-8.11 --install-ghc exec ghci --package aeson --package composite-base --package composite-aeson --package text --package string-conversions --package vinyl --package composite-opaleye -}
{-# LANGUAGE Arrows, DataKinds, OverloadedStrings, PatternSynonyms, TypeOperators, TemplateHaskell, FlexibleContexts, RankNTypes, ConstraintKinds, TypeSynonymInstances, FlexibleInstances, MultiParamTypeClasses #-}
import Composite.Opaleye (defaultRecTable)
import Composite.Record (Record, (:-&amp;gt;))
import Composite.TH (withOpticsAndProxies)
import Control.Arrow (returnA)
import Control.Lens (view)
import Data.Profunctor.Product.Default (Default)
import Data.Text (Text)
import Data.Vinyl (RElem)
import Data.Vinyl.TypeLevel (RIndex)
import Opaleye.Internal.TableMaker (ColumnMaker)
import Opaleye
newtype ClearPassword a = ClearPassword a
withOpticsAndProxies [d|
  type FEmail = "email" :-&amp;gt; Text
  type CEmail = "email" :-&amp;gt; Column PGText
  type FAge = "age" :-&amp;gt; Text
  type CAge = "age" :-&amp;gt; Column PGText
  type FClearPassword = "clearpass" :-&amp;gt; ClearPassword Text
  type CHashPassword = "hashpass" :-&amp;gt; Column PGText
  |]
type DbUser = '[CEmail, CAge]
type DbPassword = '[CEmail, CHashPassword]
printSql :: Default Unpackspec a a =&amp;gt; Query a -&amp;gt; IO ()
printSql = putStrLn . maybe "Empty query" id . showSqlForPostgres
queryByEmail :: (RElem CEmail rs (RIndex CEmail rs), Default ColumnMaker (Record rs) (Record rs)) =&amp;gt; Table a (Record rs) -&amp;gt; Text -&amp;gt; QueryArr () (Record rs)
queryByEmail table email = proc () -&amp;gt; do
  u &amp;lt;- queryTable table -&amp;lt; ()
  let uEmail = view cEmail u
  restrict -&amp;lt; uEmail .=== constant email
  returnA -&amp;lt; u
userTable :: Table (Record DbUser) (Record DbUser)
userTable = Table "user" defaultRecTable
passwordTable :: Table (Record DbPassword) (Record DbPassword)
passwordTable = Table "password" defaultRecTable
queryUserTest = printSql $ queryByEmail userTable "hi"
queryPasswordTest = printSql $ queryByEmail passwordTable "hi"
&lt;/code&gt;&lt;/pre&gt;
&lt;p&gt;The &lt;code&gt;constant email&lt;/code&gt; call uses the (already extant) &lt;code&gt;Default Constant Text (Column PGText)&lt;/code&gt; constraint; were &lt;code&gt;email&lt;/code&gt; to have type &lt;code&gt;CEmail&lt;/code&gt; instead you would need a non-trivial non-undefined-using instance.&lt;/p&gt;
</t>
  </si>
  <si>
    <t xml:space="preserve">&lt;p&gt;There is something (probably simple) I am missing here.  I am trying to create a Data Source in Google App Maker that queries an SQL database.  I want to have a &lt;code&gt;WHERE&lt;/code&gt; clause that uses an email address.  I have set up the &lt;code&gt;email&lt;/code&gt; property but, for the life of me, I can't figure out where you assign a value to that property.  Do you do it in a server side script? The Data Source loads when the page loads - so it needs to assign this value on load.&lt;/p&gt;
&lt;p&gt;&lt;strong&gt;&lt;em&gt;Interface screenshot:&lt;/em&gt;&lt;/strong&gt;
&lt;img src="https://i.stack.imgur.com/8WARI.png" alt="Interface screenshot"&gt;&lt;/p&gt;
</t>
  </si>
  <si>
    <t xml:space="preserve">&lt;p&gt;I am trying to integrate Twilio with my Salesforce account, but I'm not sure how to go about it.
I followed the instructions on this page: &lt;a href="https://developer.salesforce.com/page/Lightning_Open_CTI" rel="nofollow noreferrer"&gt;https://developer.salesforce.com/page/Lightning_Open_CTI&lt;/a&gt;&lt;/p&gt;
&lt;p&gt;I've uncommented the Twilio related code inside SoftphoneProviderHelper.
Also, inside Custom Settings, I've input my Twilio Account Sid and token.
But, I'm still unable to make/receive calls. What am I missing?&lt;/p&gt;
</t>
  </si>
  <si>
    <t xml:space="preserve">&lt;p&gt;So I am using the following in the onValueEdit field of an entry form&lt;/p&gt;
&lt;pre&gt;&lt;code&gt;var widgets = widget.root.descendants;
var to = 'xxxx@yyy.com';
var subject = 'Delivery Date Change For: ' + widgets.ProjectName.value;
var msg = "The Delivery Date for [ " + widgets.UsersPosition.value + " ] on [ " + widgets.ProjectName.value + " ] has been changed;
sendMessage(to, subject, msg);
&lt;/code&gt;&lt;/pre&gt;
&lt;p&gt;So when a user changes a Delivery Date (by adjusting a Date Box) a notification email is sent out. I would like to add the actual in the Date Box but when I add &lt;strong&gt;" + widgets.DeliveryDate.value + "&lt;/strong&gt; it says it is unrecognized. &lt;/p&gt;
&lt;p&gt;Since the DeliveryDate is a Date Box, do I need something different? &lt;strong&gt;widgets.DeliveryDate.???&lt;/strong&gt;&lt;/p&gt;
&lt;p&gt;Thank you for any help. &lt;/p&gt;
</t>
  </si>
  <si>
    <t xml:space="preserve">&lt;p&gt;"value" property is the one you need. Please note that it's JavaScript Date object so in some cases you need to convert it. But code you provided looks good to me.&lt;/p&gt;
&lt;p&gt;What do you mean by "unrecognized"? Could you provide error details?&lt;/p&gt;
&lt;p&gt;BTW: it's better to use Server Script to generate email message. &lt;/p&gt;
</t>
  </si>
  <si>
    <t xml:space="preserve">&lt;p&gt;How do i check in code in Git Hub from Developer console.
I have been trying to browse, i saw we have to sync code to eclipse and then drop files to Git Hub.&lt;/p&gt;
&lt;p&gt;Can anyone suggest me a standard way to do this please&lt;/p&gt;
</t>
  </si>
  <si>
    <t xml:space="preserve">&lt;p&gt;The Salesforce Developer Console based out the UI cannot integrate with Git Hub to check in/out code.  You'll have to do it with files stored locally either using your IDE or terminal.  This is the same as working with any Git repo and really is unrelated to Salesforce.
There is a new feature called Salesforce DX that has a tighter integration with git repos, it's going beta in Summer 17.&lt;/p&gt;
</t>
  </si>
  <si>
    <t xml:space="preserve">&lt;p&gt;I promise I have read through the Query information page, but obviously I am missing/misunderstanding something.&lt;/p&gt;
&lt;p&gt;I have a Table that has the statuses for multiple departments (the fields are Strings). When a user loads that table I want App Maker to &lt;strong&gt;hide&lt;/strong&gt; jobs that have been &lt;strong&gt;finished&lt;/strong&gt;.&lt;/p&gt;
&lt;p&gt;The way we categorize a job as finishes is when: &lt;/p&gt;
&lt;p&gt;The &lt;strong&gt;Inventory Status = Complete&lt;/strong&gt; and when the &lt;strong&gt;The Delivery Status = Delivered&lt;/strong&gt;.&lt;/p&gt;
&lt;p&gt;Both these conditions need to be met. &lt;/p&gt;
&lt;p&gt;Example: &lt;/p&gt;
&lt;p&gt;Inventory (Complete) + Delivery (Delivered) = &lt;strong&gt;hide&lt;/strong&gt;&lt;/p&gt;
&lt;p&gt;Inventory (In Progress) + Delivery (Delivered) = don't hide&lt;/p&gt;
&lt;p&gt;Inventory (Complete) + Delivery (Scheduled) = don't hide&lt;/p&gt;
&lt;p&gt;I tried the following, however it hides &lt;strong&gt;all&lt;/strong&gt; the example listed above, not just the first one. &lt;/p&gt;
&lt;pre&gt;&lt;code&gt;var datasource = app.datasources.SystemOrders;
var inventory = ['Complete'];
var delivery = ['Delivered'];
    datasource.query.filters.InventoryStatus._notIn = inventory;
    datasource.query.filters.DeliveryStatus._notIn = delivery;
    datasource.load();
&lt;/code&gt;&lt;/pre&gt;
&lt;p&gt;I have also tried this: &lt;/p&gt;
&lt;pre&gt;&lt;code&gt;var datasource = app.datasources.SystemOrders;
    datasource.query.filters.InventoryStatus._notIn = 'Complete';
    datasource.query.filters.DeliveryStatus._notIn = 'Delivered';
    datasource.load();
&lt;/code&gt;&lt;/pre&gt;
&lt;p&gt;But I get this error: &lt;/p&gt;
&lt;blockquote&gt;
  &lt;p&gt;Type mismatch: Cannot set type String for property _notIn. Type List is expected. at SystemOrders.ToolBar.Button2.onClick:2:46&lt;/p&gt;
&lt;/blockquote&gt;
&lt;p&gt;Any help would be greatly appreciated. &lt;/p&gt;
</t>
  </si>
  <si>
    <t xml:space="preserve">&lt;p&gt;Filters are using AND operator. Please consider switching the Datasource Query Builder and applying the following query:&lt;/p&gt;
&lt;p&gt;"InventoryStatus != :CompleteStatus OR DeliveryStatus != :DeliveredStatus"&lt;/p&gt;
&lt;p&gt;Set CompleteStatus variable to Complete
Set DeliveredStatus variable to Delivered&lt;/p&gt;
&lt;p&gt;Explanation:
Filter you want to apply is "NOT(InventoryStatus = Complete AND DeliveryStatus = Delivered)" which is equivalent to "InventoryStatus != Complete OR DeliveryStatus != Delivered".&lt;/p&gt;
</t>
  </si>
  <si>
    <t xml:space="preserve">&lt;p&gt;In AppMaker, one my datasources has a simple query script associated with, because I need a filter &lt;strong&gt;everytime&lt;/strong&gt; the datasource is requested. I'm talking about a normal SQL based datasource (not calculated).&lt;/p&gt;
&lt;p&gt;Is it normal than this query script is not used when the datasource is used in a Suggest box ? Because it breaks my app (the user is able via the suggest box to select items he's not even supposed to see).&lt;/p&gt;
&lt;p&gt;Thanks for your help&lt;/p&gt;
</t>
  </si>
  <si>
    <t xml:space="preserve">&lt;p&gt;&lt;a href="https://i.stack.imgur.com/LE2gi.png" rel="nofollow noreferrer"&gt;&lt;img src="https://i.stack.imgur.com/LE2gi.png" alt="enter image description here"&gt;&lt;/a&gt;&lt;/p&gt;
&lt;p&gt;I am very new to saleforce and playing around to get to know how things work.
How do i remove that home button there and can i move that cases and products menu items to right side?&lt;/p&gt;
&lt;p&gt;Can you please help check&lt;/p&gt;
</t>
  </si>
  <si>
    <t xml:space="preserve">&lt;p&gt;You can use a CSS hack to hide the Home icon and option&lt;/p&gt;
&lt;p&gt;Click on the Pen icon in the builder and then the CSS button next to the word Branding at the top.&lt;/p&gt;
&lt;pre&gt;&lt;code&gt;.navigationMenuNode:first-child { 
  display: none;
  visibility: hidden;
}
&lt;/code&gt;&lt;/pre&gt;
</t>
  </si>
  <si>
    <t xml:space="preserve">&lt;p&gt;I am developing an application that creates an event in an other employee's google calendar when the Manager approves a vacation request. 
I am able to create events in the calendar I own, but not in the Calendar owned by a colleague. Is there a way to create a special account that can update all calendars in an organization?
If I am not able to make it part of the workflow, I would like to have a hyper link in the email i send to the colleague saying the vacation has been approved and click here to add it to your calendar. I am able to achieve this by creating a page for create event in calendar, is there a way by which i can call the serve side function directly from the hyper link?&lt;/p&gt;
&lt;p&gt;Thanks,&lt;/p&gt;
</t>
  </si>
  <si>
    <t xml:space="preserve">&lt;p&gt;Salesforce Lightning component won't attach my files in internet explorer 11, I have searched for a few solutions but none have worked, any ideas.&lt;/p&gt;
&lt;p&gt;My code for attaching the file is as follows.&lt;/p&gt;
&lt;pre&gt;&lt;code&gt;doAttach : function(component, event, helper) {
    var elem = event.target || event.srcElement; 
    var fileInput = $("#file-upload");
    if(fileInput[0].files.length &amp;lt;= 0){
        alert('You have to select a file to upload!');
        return;
    }
    var file = fileInput[0].files[0];
    if(file.size &amp;gt; 4500000){ // 6000000 * 3/4 to account for base64 
        alert('File size cannot exceed ' + this.MAX_FILE_SIZE + ' bytes.\n' +
                'Selected file size: ' + file.size);
        return;
    }
    //display panel loading
    $('#loading-status').css("display", "block");
    $(elem).attr('disabled', 'disabled');
    var filename = file.name;
    var filesize = file.size;
    var fileblob;
    var reader = new FileReader();
    reader.onload = function(readerEvt){
        var binaryString = readerEvt.target.result;
        fileblob = btoa(binaryString);
        var obj = {"filename" : filename,
                   "filesize" : filesize,
                   "body" : fileblob};
        var lstresult = component.get("v.lstAttachments"); 
        lstresult.push(obj);
        component.set("v.lstAttachments", lstresult); 
        $("#elem-upload").css("display", "inline-flex");
        $("#itemUploaded").css("display", "none");  
        $("#tbl-result").css("display", "table");
        $('#loading-status').css("display", "none");
        $("#btn-attach").attr('disabled', 'disabled');
    };
    reader.readAsBinaryString(file);
},
&lt;/code&gt;&lt;/pre&gt;
</t>
  </si>
  <si>
    <t xml:space="preserve">&lt;p&gt;I have database that I have multiple orders entered into. Everything seems to be working fine except for a few old entries which will not accept updates/changes to their Fields. &lt;/p&gt;
&lt;p&gt;Note: The majority of the Fields are Strings with Possible Values entered via a DropDown Box.  &lt;/p&gt;
&lt;p&gt;So if I open &lt;strong&gt;Order A&lt;/strong&gt; I can make adjustments just fine and those changes persist even after closing the page and coming back or refreshing.&lt;/p&gt;
&lt;p&gt;But if I open Order B, I can make changes via the dropdowns and it looks like they have adjusted, however if I leave the page or refresh all the changes have reverted back. &lt;/p&gt;
&lt;p&gt;One piece of info that may be helpful is that each of these orders has at least one Field that contains an entry that is &lt;strong&gt;no longer a Possible Value&lt;/strong&gt; (the original entries were removed/changed per request of the client).&lt;/p&gt;
&lt;p&gt;Maybe they are "locked" because of this? Is there a way to look at an error log for a Published app?&lt;/p&gt;
&lt;p&gt;I can delete the "corrupt" entries and recreate them (since there are currently only a few), but I would prefer to find a better solution in case this happens again in the future.&lt;/p&gt;
&lt;p&gt;Any help would be greatly appreciated. &lt;/p&gt;
</t>
  </si>
  <si>
    <t xml:space="preserve">&lt;p&gt;It's a bug. Such field level value updates should get through.&lt;/p&gt;
&lt;p&gt;As workaround you can update prohibited(not possible anymore) values with allowed ones in OnSave Model's Event like:&lt;/p&gt;
&lt;p&gt;&lt;div class="snippet" data-lang="js" data-hide="false" data-console="false" data-babel="false"&gt;
&lt;div class="snippet-code"&gt;
&lt;pre class="snippet-code-js lang-js prettyprint-override"&gt;&lt;code&gt;switch (record.Field) {
  case "old_value_1":
    record.Field = "new_value_1";
    break;
  case "old_value_2":
    record.Field = "new_value_2";
    break;
  ...
}&lt;/code&gt;&lt;/pre&gt;
&lt;/div&gt;
&lt;/div&gt;
&lt;/p&gt;
&lt;p&gt;Sorry for the inconvenience.&lt;/p&gt;
</t>
  </si>
  <si>
    <t xml:space="preserve">&lt;p&gt;wondering if anyone else noticing this. I can get an animation working using setInterval, but the timing isn't as precise as I'd like it to be. But for some reason, I can't get requestAnimationFrame to do much of anything. &lt;/p&gt;
&lt;p&gt;The intention of the code below is to have the screen flash between 2 different colors every 250ms, though that's not really what I'm trying to achieve in the end, I'm using this simplified concept to just try to get the concept of animation working. (if anyone wants to take a crack at it, I'm trying to get a black background to flash red for 100ms, every 400ms).&lt;/p&gt;
&lt;p&gt;Admittedly, I'm fairly new to javascript, but I'm wondering if anyone else has noticed anything like this?&lt;/p&gt;
&lt;p&gt;code I'm attempting, onClick of button calls sayHello();&lt;/p&gt;
&lt;pre&gt;&lt;code&gt;function sayHello(){
  var start = window.performance.now();
  var runStart = window.performance.now();
  var my_canvas = app.pages.Run.children.Panel1.children.Canvas.getElement().getElementsByTagName("CANVAS")[0];
  var requestId1;
  var totalDuration = 5000;
  var currentColor = '#000000';
  function animate1(now){
    my_canvas.style.backgroundColor = currentColor;
    console.log('animate now: ' + now + 'win' + windows.performance.now());
    if (now &amp;gt; start+250){
      start = now;
      now = 0;
      if (currentColor === '#ff0000') currentColor = '#000000';
      else currentColor = '#ff0000';
      console.log('switch: ' + window.performance.now());
    }
    if ((window.performance.now - runStart) &amp;gt; totalDuration){
      window.cancelAnimationFrame(requestId1); 
      console.log('done');
    }
    else{
      requestAnimationFrame(animate1);
      console.log('not done');
    }
  }
  function sayGoodbye(){
    window.cancelAnimationFrame(requestId1);
  }
  requestId1 = requestAnimationFrame(animate1);
  console.log('start app' + requestId1);
  console.log('info: ' + start + ' ' + runStart + ' ' + totalDuration);
}
&lt;/code&gt;&lt;/pre&gt;
</t>
  </si>
  <si>
    <t xml:space="preserve">&lt;p&gt;I have developed an application using google app maker, the data model is using google drive tables. Is it possible to use the same application but change the data sources to use google cloud SQL?&lt;/p&gt;
&lt;p&gt;Thanks&lt;/p&gt;
</t>
  </si>
  <si>
    <t xml:space="preserve">&lt;p&gt;How do I prevent the user from adding a duplicate entry in a specific field. I have a database in which I want a field to contain unique identifying names for equipment, how do I ensure a user can't add equipment to the database with the same identifier. &lt;/p&gt;
</t>
  </si>
  <si>
    <t xml:space="preserve">&lt;p&gt;You can add onSave and onCreate Event handlers (Model -&gt; Events) which will check if identifier is in use:&lt;/p&gt;
&lt;p&gt;&lt;div class="snippet" data-lang="js" data-hide="false" data-console="true" data-babel="false"&gt;
&lt;div class="snippet-code"&gt;
&lt;pre class="snippet-code-js lang-js prettyprint-override"&gt;&lt;code&gt;var query = app.models.Hardware.newQuery();
query.filters.HardwareId._equals = record.HardwareId;
if (query.run().length) {
  throw 'Hardware ID "' + record.HardwareId + '" is in use.';
}&lt;/code&gt;&lt;/pre&gt;
&lt;/div&gt;
&lt;/div&gt;
&lt;/p&gt;
&lt;p&gt;Also in CloudSQL you can define unique index on the field.&lt;/p&gt;
</t>
  </si>
  <si>
    <t xml:space="preserve">&lt;p&gt;I am trying to use jQuery and jQuery UI in salesforce lightning component which is embedded inside VF page. This VF page is available on console for ex. &lt;code&gt;domain/my.salesforce.com/console&lt;/code&gt;&lt;/p&gt;
&lt;p&gt;When I run it I am able to load only jQuery version 3.2.1 inside this console, not other jquery versions are able to load.... fine  I am happy with it. but next step is to load the jQuery UI version which should be compatible with jQuery 3.2.1.&lt;/p&gt;
&lt;p&gt;But I am getting below error when jQuery UI loads in such scenario : lightning component embedded inside vf which is shown on console.&lt;/p&gt;
&lt;p&gt;&lt;strong&gt;Jquery UI error:&lt;/strong&gt; &lt;/p&gt;
&lt;pre&gt;&lt;code&gt;Uncaught TypeError: n[o].hasOwnProperty is not a function
throws at /resource/jQuery_UITEST:8:5049
&lt;/code&gt;&lt;/pre&gt;
&lt;p&gt;what I found is jQuery v2.2.4 and jQuery UI - v1.11.2 works together well when use purely as lightning app but do not work when I embed this lightning component inside vf and that vf is part of console.&lt;/p&gt;
&lt;p&gt;If you have any idea kindly provide your inputs.&lt;/p&gt;
&lt;p&gt;Thanks,
Akki&lt;/p&gt;
</t>
  </si>
  <si>
    <t xml:space="preserve">&lt;p&gt;This question has been answered here:
&lt;a href="https://salesforce.stackexchange.com/questions/180535/jqueryui-inputinputindex-hasownproperty-is-not-a-function"&gt;https://salesforce.stackexchange.com/questions/180535/jqueryui-inputinputindex-hasownproperty-is-not-a-function&lt;/a&gt;&lt;/p&gt;
&lt;p&gt;Simply said: All external libs that use the function hasOwnProperty are not working (yet) because the function has not been added to the LockerService SecureWindow object. Using an older version of jquery UI solves it for now (version 1.11.4 is supported)&lt;/p&gt;
</t>
  </si>
  <si>
    <t xml:space="preserve">&lt;p&gt;User HomePhones, WorkPhones, etc. from a directory are not showing up when I am using AppMaker Directory.&lt;/p&gt;
&lt;p&gt;AppMaker states that these fields will be included if our organization uses them: &lt;/p&gt;
&lt;blockquote&gt;
  &lt;p&gt;"If your organization’s Google Cloud Directory includes these fields, your apps can retrieve them."&lt;/p&gt;
&lt;/blockquote&gt;
&lt;p&gt;Is this a bug or is there an error with my Directory?&lt;/p&gt;
</t>
  </si>
  <si>
    <t xml:space="preserve">&lt;p&gt;I am using zoho creator and I need to fetch records from zoho projects using api ( like zoho.books.getRecords(...) ) to liste all tasks.&lt;/p&gt;
&lt;p&gt;I need somtjing like this :&lt;/p&gt;
&lt;pre&gt;&lt;code&gt;response1 = zoho.books.getRecords("Invoices",organization_id,"cf_no_de_projet=" + no_projet);
&lt;/code&gt;&lt;/pre&gt;
</t>
  </si>
  <si>
    <t xml:space="preserve">&lt;p&gt;This URL lists all projects in a portal (JSON):&lt;/p&gt;
&lt;pre&gt;&lt;code&gt;https://projectsapi.zoho.com/restapi/portal/&amp;lt;PORTAL_ID&amp;gt;/projects/?authtoken=&amp;lt;YOUR_AUTHTOKEN&amp;gt;
&lt;/code&gt;&lt;/pre&gt;
&lt;p&gt;&lt;em&gt;You can run a GET request in Creator with the same parameters.&lt;/em&gt;&lt;/p&gt;
&lt;p&gt;If you don't know the &lt;em&gt;Portal ID&lt;/em&gt;, you can get a list of all available portals:&lt;/p&gt;
&lt;pre&gt;&lt;code&gt;https://projectsapi.zoho.com/restapi/portals?authtoken=&amp;lt;YOUR_AUTHTOKEN&amp;gt;
&lt;/code&gt;&lt;/pre&gt;
</t>
  </si>
  <si>
    <t xml:space="preserve">&lt;p&gt;I have a model with a auto-increment required int 'id'. And when I try to create a new record from server-script, I get &lt;code&gt;'id' field value is required, but found 'null'&lt;/code&gt;.  &lt;/p&gt;
&lt;p&gt;That's true I don't set this field. Because I assume it will be set by the the Cloud SQL instance behind that.&lt;/p&gt;
&lt;p&gt;Am I doing wrong ?&lt;/p&gt;
&lt;p&gt;[EDIT] &lt;/p&gt;
&lt;p&gt;I have other tables with the same structure (a required int &lt;code&gt;id&lt;/code&gt; auto-increment) and they work just fine. Setting 0 as a default value to this field produced &lt;code&gt;Error: MySQL does not support zeros as the value of an auto-increment field&lt;/code&gt;. Setting 1 just replaced my previous record with id=1.&lt;/p&gt;
&lt;p&gt;Something I did not say at first: in my app, this table used to be a view and so I was not able to create records from appmaker for it (and &lt;code&gt;id&lt;/code&gt; was not primary key, nor auto-increment). I've changed my database schema, the table is now a proper table and the &lt;code&gt;id&lt;/code&gt; field a proper id.&lt;br&gt;
I made the changes in my Cloud SQL instance and then, from AppMaker, updated the app so it matches the database.&lt;/p&gt;
&lt;p&gt;Could it be a problem from there ?&lt;/p&gt;
&lt;p&gt;Thanks&lt;/p&gt;
</t>
  </si>
  <si>
    <t xml:space="preserve">&lt;p&gt;I'm trying to create a simple app on Google appmaker that collects a Yes or No answer from the viewer to a fixed question (ex. "Was this useful? Yes / No").&lt;/p&gt;
&lt;p&gt;I would like to make this app available on the internet so I can embed it in open public facing pages.&lt;/p&gt;
&lt;p&gt;I have managed to make it embeddable but not accessible without a login.&lt;/p&gt;
&lt;p&gt;Is it possible to open access to users who are not logged into a Google account?&lt;/p&gt;
&lt;p&gt;Thanks in advance,&lt;/p&gt;
&lt;p&gt;Michael&lt;/p&gt;
</t>
  </si>
  <si>
    <t xml:space="preserve">&lt;p&gt;It is not possible at this time. Only users within your domain can access App Maker applications.&lt;/p&gt;
</t>
  </si>
  <si>
    <t xml:space="preserve">&lt;p&gt;Can you create a one-one relationship and use the other end in the query builder expression when creating a new data source based on either model?&lt;/p&gt;
</t>
  </si>
  <si>
    <t xml:space="preserve">&lt;p&gt;I am came across to a situation where I need to use a adf popup to put a payment system on it from zoho subscriptions. The way we developed it, when user agrees such some condition they will get a pop up where the zoho subscription payment shows up. Everything was working as expected but when user confirm payment the embedded zoho payment system triggers thank you page after showing the payment successful from the popup. We cannot use javascript that's is requirements. We need to close the popup when payment successful. Can any one put some idea which direction we should go to achieve this solution?&lt;/p&gt;
</t>
  </si>
  <si>
    <t xml:space="preserve">&lt;p&gt;I am trying to send ~10 emails from php. It sends the first two emails but then after that I get "Swift_TransportException with message 'Connection could not be established with host smtp.zoho.com [ #0]'" .&lt;/p&gt;
&lt;p&gt;I was told that it is most likely because of a limit on the amount of messages I can send per some time block (like 30 seconds). Is this true? I haven't been able to find any limit like this in zoho documentation.&lt;/p&gt;
&lt;p&gt;EDIT: There must be some kind of limit like this because I added &lt;code&gt;sleep(45)&lt;/code&gt; between every mail send call and now it works.&lt;/p&gt;
&lt;p&gt;This is different from the duplicate question that is being suggested because it refers specifically to ZOHO/hosts limits in sending multiple emails in a short time span.&lt;/p&gt;
</t>
  </si>
  <si>
    <t xml:space="preserve">&lt;p&gt;We have the following challenge:&lt;/p&gt;
&lt;p&gt;We connect to a webservice of a supplier and in some situations we receive an URL as reaction. On that page a number is "visible". We need that number in our system. We can ask the customer of our application to copy / paste it from a page in an iframe but that's not very customer friendly.&lt;/p&gt;
&lt;p&gt;What we tried:&lt;/p&gt;
&lt;p&gt;1) Used httprequesthandler.getrequest to receive the html of the page.
    That didn't work because the external page was created using Telerik Kendo (javascript) to fill the page after loading the HTML. So the value is not visible onload of the HTML structure.&lt;/p&gt;
&lt;p&gt;2) Javascript
     Javascript reading across different domains isn't allowed in the browser&lt;/p&gt;
&lt;p&gt;A solution would be a service or component that renders the page completely and then return the whole page source. But that creates dependencies and also increases reaction time.&lt;/p&gt;
&lt;p&gt;Unfortunately the supplier doesn't have a proper return structure through their webservice on their roadmap :(&lt;/p&gt;
&lt;p&gt;I hope someone has an idea to tackle this problem...&lt;/p&gt;
</t>
  </si>
  <si>
    <t xml:space="preserve">&lt;pre&gt;&lt;code&gt;        var refreshSubtab = function refreshSubtab(result) {
         var tabId = result.id;
         sforce.console.refreshPrimaryTabById(tabId, true);
        }
&lt;/code&gt;&lt;/pre&gt;
&lt;p&gt;I am using above code to refresh the tab by its id. When I am loading this page in salesforce console, its refreshing the whole page. &lt;/p&gt;
&lt;p&gt;When I am trying to move to lightning, its not refreshing. Sforce is not defined in lightning. &lt;/p&gt;
&lt;p&gt;Is there anything I am missing?&lt;/p&gt;
</t>
  </si>
  <si>
    <t xml:space="preserve">&lt;p&gt;I'm using Appian to create a interface form. I'm making the form dynamic. There's a textbox that needs to only appear when certain variables are true. Appian has a nice feature for that, which allows you to add an expression to an "only show when" function.&lt;/p&gt;
&lt;p&gt;It currently holds the expression:&lt;/p&gt;
&lt;pre&gt;&lt;code&gt;edate(today(), -804) &amp;gt;= ri!GeboorteDatum
&lt;/code&gt;&lt;/pre&gt;
&lt;p&gt;ri!geboortedatum is the variable on the form&lt;/p&gt;
&lt;p&gt;I need to add another expression that says: only show when date value is not null. I tried everything but can't get it to work. anyone got a solution? The programming language seems to be simular to excel.&lt;/p&gt;
&lt;p&gt;Maybe something like &lt;/p&gt;
&lt;pre&gt;&lt;code&gt;edate(today(), -804) &amp;gt;= ri!GeboorteDatum &amp;amp; isnull(ri!Geboortedatum)
&lt;/code&gt;&lt;/pre&gt;
</t>
  </si>
  <si>
    <t xml:space="preserve">&lt;p&gt;I have a datasource A which can have several B. I've set the prefetch so, from client-side, when you request a A, you also get its associated B sorted by "update_date" (DESC).&lt;/p&gt;
&lt;p&gt;On server-side, I'm also requesting some A, and I've set the prefetch the &lt;code&gt;query&lt;/code&gt; object so I'm getting my B. But they're not sorted by "update_date".&lt;/p&gt;
&lt;p&gt;Do you know why ? Do you if I have to do it by script or I'm missing an option in the &lt;code&gt;query&lt;/code&gt; object ?&lt;/p&gt;
&lt;p&gt;Thanks for your help&lt;/p&gt;
</t>
  </si>
  <si>
    <t xml:space="preserve">&lt;p&gt;Ok so I'll try and explain this as best as possible. Within Google's AppMaker I've put a search bar in my main page and I've pretty much copied the Partner Management exactly in terms of :SearchText. The only difference is that in my Server end code I've changed it to this:&lt;/p&gt;
&lt;pre&gt;&lt;code&gt;function getRequests_(query){
query.where = 'Requestor contains? :SearchText or Date_Of_Request contains? :SearchText or Title contains? :SearchText or Divisions contains? :SearchText or Development_Type contains? :SearchText or Perceived_Annual_Cost_Savings_for_Change_ contains? :SearchText or Website_Nameif_applicable contains? :SearchText or Benefit contains? :SearchText or Reason_for_Request contains? :SearchText or Impact contains? :SearchText or Consultation contains? :SearchText or Communication contains? :SearchText or Status contains? :SearchText'; 
return query.run();
}
&lt;/code&gt;&lt;/pre&gt;
&lt;p&gt;And when I go to search, it loads before displaying this error: "Expected Date for value of 'SearchText' parameter. Error: Expected Date for value of 'SearchText' parameter. at getRequests_ (Datasources:50) at datasources.DevRequests.script:1"&lt;/p&gt;
&lt;p&gt;Does it want me to convert everything to a string first before searching the data?&lt;/p&gt;
</t>
  </si>
  <si>
    <t xml:space="preserve">&lt;p&gt;One ot the fields user in the query is Date (I assume it's Date_Of_Request). You need to supply JS Date object to the filter.&lt;/p&gt;
&lt;p&gt;So you should change query to:&lt;/p&gt;
&lt;pre&gt;&lt;code&gt;Date_Of_Request contains? :SearchText
&lt;/code&gt;&lt;/pre&gt;
&lt;p&gt;to &lt;/p&gt;
&lt;pre&gt;&lt;code&gt;Date_Of_Request contains? :SearchDate
&lt;/code&gt;&lt;/pre&gt;
&lt;p&gt;And rest of the script to:&lt;/p&gt;
&lt;pre&gt;&lt;code&gt;...
var date = new Date(query.parameters.SearchText);
query.parameters.SearchDate = isNaN(date.getTime()) ? null : date;
return query.run();
&lt;/code&gt;&lt;/pre&gt;
</t>
  </si>
  <si>
    <t xml:space="preserve">&lt;p&gt;I'm having an issue where tapping on a button, I need it to open a hyperlink. How can I achieve this?&lt;/p&gt;
</t>
  </si>
  <si>
    <t xml:space="preserve">&lt;p&gt;So I'm quite new to Google App Maker and what the situation is is that I have one datasource which has a section that I would like to use a multiselect for. I've followed the Partner Management template to try and understand how relations work a bit better and I've read all of the documentation on them but despite what I do the multi select either always unticks everything by default when I come out of the edit dialog or it changes the values for all of the multiselects within each request. I'm struggling to bind the data. I know it's hard to describe without showing you but basically I just wondered if anyone would be able to explain to me a bit better how exactly I would get a multiselect to work and keep it's value for each individual request.&lt;/p&gt;
</t>
  </si>
  <si>
    <t xml:space="preserve">&lt;p&gt;Unfortunately in datasource only one item can be selected, you can add checkbox column, so you will be able to get list of checked items.&lt;/p&gt;
</t>
  </si>
  <si>
    <t xml:space="preserve">&lt;p&gt;I'm using OutSystems plataform and recently I'm getting timeout from a periodic e-mail. The timer responsible for this action has 20min timeout but the timer fails after 100s. &lt;/p&gt;
&lt;p&gt;Some times the timer executes in 99s and the process finish successfully.&lt;/p&gt;
&lt;p&gt;The error:&lt;/p&gt;
&lt;pre&gt;&lt;code&gt;OutSystems.HubEdition.RuntimePlatform.EmailException: Error creating Email. The operation has timed out
&lt;/code&gt;&lt;/pre&gt;
&lt;p&gt;How can I change this behavior to extend this 100s timeout?&lt;/p&gt;
</t>
  </si>
  <si>
    <t xml:space="preserve">&lt;p&gt;You can increase the timeout setting on the Aggregate / Advanced query that you are using to retrieve the data.
Improving the query is always first prize, but increasing the timeout could by you some time.&lt;/p&gt;
&lt;p&gt;&lt;strong&gt;UPDATE&lt;/strong&gt;&lt;/p&gt;
&lt;p&gt;According to the &lt;a href="https://success.outsystems.com/Support/Enterprise_Customers/Maintenance_and_Operations/Timeouts_Under_the_Hood#Timeout_Setting_5" rel="nofollow noreferrer"&gt;OutSystems documentation&lt;/a&gt; you cannot set the timeout for email rendering. You would have to speed up the rendering.&lt;/p&gt;
&lt;p&gt;You could perhaps split your logic into an action that executes the query and stores the result for quick retrieval during the email preparation.&lt;/p&gt;
</t>
  </si>
  <si>
    <t xml:space="preserve">&lt;p&gt;I have &lt;code&gt;EntertainmentController&lt;/code&gt;, and `EntertainmentControllerTestClass. Inside test class, I add test method refer to each method in the controller, all of them are empty methods so they all pass when run test. But when I upload to package application, I got the message:&lt;/p&gt;
&lt;pre&gt;&lt;code&gt;Upload Failed:
No test methods found in the Apex code included in the package. At least 75% test coverage is required.
&lt;/code&gt;&lt;/pre&gt;
</t>
  </si>
  <si>
    <t xml:space="preserve">&lt;p&gt;Apex Tests have to actually test your business classes.  Having empty tests serves no purpose.  You must write Unit Tests that validate the code in your EntertainmentController class.  The Unit Tests must result in 75% of the code in the EntertainmentController being executed without failures during test execution.
Also, when you add your Apex Classes to your package, you have to add both your EntertainmentController and EntertainmentControllerTestClass.&lt;/p&gt;
&lt;p&gt;&lt;a href="https://developer.salesforce.com/docs/atlas.en-us.apexcode.meta/apexcode/apex_testing.htm" rel="nofollow noreferrer"&gt;Testing Apex&lt;/a&gt;&lt;/p&gt;
</t>
  </si>
  <si>
    <t xml:space="preserve">&lt;p&gt;I have following smtp configuration on my development.rb&lt;/p&gt;
&lt;pre&gt;&lt;code&gt;   ActionMailer::Base.delivery_method = :smtp
      ActionMailer::Base.smtp_settings = {
        :address              =&amp;gt; "smtp.zoho.com",
        :port                 =&amp;gt; 465,
        :user_name =&amp;gt; "xxx@xxx.com",
        :password =&amp;gt; "xxxx",
        :authentication       =&amp;gt; :login,
        :ssl                  =&amp;gt; true,
        :tls                  =&amp;gt; true,
        :enable_starttls_auto =&amp;gt; true
      }
&lt;/code&gt;&lt;/pre&gt;
&lt;p&gt;I works when I send via rails console , but gives error of &lt;/p&gt;
&lt;pre&gt;&lt;code&gt;Net::SMTPAuthenticationError (535-5.7.8 Username and Password not accepted. Learn more at
):
&lt;/code&gt;&lt;/pre&gt;
&lt;p&gt;when I send via mailer class.&lt;/p&gt;
</t>
  </si>
  <si>
    <t xml:space="preserve">&lt;p&gt;I'm starting a new app using Firebase. The app has a consumer interface (mobile) and a business customer interface (web). To save time, I would like to use AppMaker to build the internal and business customer interface for the Firebase app. &lt;/p&gt;
&lt;p&gt;Are you planning to integrate Firebase (auth, database) with AppMaker?&lt;/p&gt;
</t>
  </si>
  <si>
    <t xml:space="preserve">&lt;p&gt;What are the freely available tools to clone &lt;strong&gt;data&lt;/strong&gt; from one salesforce sandbox to another with minimal mapping work ?&lt;/p&gt;
</t>
  </si>
  <si>
    <t xml:space="preserve">&lt;p&gt;I have an assignment which manages some custom entities of dynamics365 sales application. Is it possible to create a separate web application which resides in dynamics365 sales portal?&lt;/p&gt;
&lt;p&gt;The web portal will have  5 to 6 menus and various forms with edit update delete, paging, sorting, searching. All the operations will be done in custom entities of the dynamics365.&lt;/p&gt;
</t>
  </si>
  <si>
    <t xml:space="preserve">&lt;p&gt;So I have been using a normal Delete Button [&lt;strong&gt;widget.datasource.deleteItem();&lt;/strong&gt;] option to remove entries from our data models, but after a user accidentally deleted the wrong item I realized I would need to change to a recoverable method. &lt;/p&gt;
&lt;p&gt;My first thought was to just create a Boolean or String Field titled "Archived". Then have my table hide items (&lt;a href="https://stackoverflow.com/questions/44398453/trying-to-filter-only-rows-that-meet-two-criteria"&gt;using this method&lt;/a&gt;) where the Archive status is set for "true" or "yes".&lt;/p&gt;
&lt;p&gt;So Question 1 = What OnClick code would I use to tell App Maker to set the Archive Status of an item to "Yes" or "True"?&lt;/p&gt;
&lt;p&gt;Question 2 = Is there a better method for archiving data model entries?&lt;/p&gt;
&lt;p&gt;Thank you in advance! &lt;/p&gt;
</t>
  </si>
  <si>
    <t xml:space="preserve">&lt;p&gt;onClick -&gt; "Custom Action" and use next code&lt;/p&gt;
&lt;pre&gt;&lt;code&gt;widget.datasource.item.Archived = true;
&lt;/code&gt;&lt;/pre&gt;
</t>
  </si>
  <si>
    <t xml:space="preserve">&lt;p&gt;I am looking to get the list of all google groups within my organization. I used the var groups = GroupsApp.getGroups();  this gives me only the list of groups that I am a member of. &lt;/p&gt;
&lt;p&gt;What is the best way of getting the list of all groups?&lt;/p&gt;
</t>
  </si>
  <si>
    <t xml:space="preserve">&lt;p&gt;You can list all groups with Admin SDK Directory Service:  &lt;a href="https://developers.google.com/apps-script/advanced/admin-sdk-directory#list_all_groups" rel="nofollow noreferrer"&gt;https://developers.google.com/apps-script/advanced/admin-sdk-directory#list_all_groups&lt;/a&gt;&lt;/p&gt;
</t>
  </si>
  <si>
    <t xml:space="preserve">&lt;p&gt;To create child record, I use &lt;code&gt;e.force:createRecord&lt;/code&gt; but when I type the name of parent record into look-up field, it shows nothing even whole name or some letter.
&lt;a href="https://i.stack.imgur.com/qWBJt.png" rel="nofollow noreferrer"&gt;&lt;img src="https://i.stack.imgur.com/qWBJt.png" alt="enter image description here"&gt;&lt;/a&gt;&lt;/p&gt;
&lt;p&gt;I want to have the functionality as standard object like contact:&lt;/p&gt;
&lt;p&gt;&lt;a href="https://i.stack.imgur.com/qLmsl.png" rel="nofollow noreferrer"&gt;&lt;img src="https://i.stack.imgur.com/qLmsl.png" alt="enter image description here"&gt;&lt;/a&gt;&lt;/p&gt;
&lt;p&gt;Do I need to config somewhere?&lt;/p&gt;
</t>
  </si>
  <si>
    <t xml:space="preserve">&lt;p&gt;I am trying to use a SuggestBox on a Calculated Table. I am able to see the values, however the results are not filtered based on the value I type in the field. Is there a limitation with its used on Calculated tables?&lt;/p&gt;
&lt;p&gt;Thanks,
Maria.&lt;/p&gt;
</t>
  </si>
  <si>
    <t xml:space="preserve">&lt;p&gt;I am very new to PowerApps and I'm working on developing an App which will display the lunch selections for our cafeteria. There are a static number of items that are served daily (i.e hot dogs, sandwiches, salads, etc.) and then a lunch special everyday. The static items are stored as a collection with the name &lt;code&gt;Static_Lunch&lt;/code&gt;. This collection is generated on the welcome page through a ClearCollect on the OnStart:&lt;/p&gt;
&lt;pre&gt;&lt;code&gt;ClearCollect(Static_Lunch, {Food:"Sandwhich"}, {Food:"Yogurt"}, {Food:"Salad"}, {Food:"Hot Dogs"}, {Food:"Baked Potato"},{Food: "Apple"}, {Food: "Fee"},{Food:"Fi"}, {Food:"Fo"}, {Food:"Fum"})
&lt;/code&gt;&lt;/pre&gt;
&lt;p&gt;Then there is the daily lunch special which is stored in an excel file that will be updated weekly by the Cafeteria. This is an Entity in PowerApps called &lt;code&gt;Test_Data&lt;/code&gt; which is an excel sheet with two columns for date and the respective special. &lt;/p&gt;
&lt;p&gt;I am trying to display a screen that has the lunch special on top and then all of the static items below all in one Gallery (doesn't necessarily need to be a gallery, just something with a continuous scroll). I am finding the lunch special for that day using:&lt;/p&gt;
&lt;pre&gt;&lt;code&gt;Filter(Test_Data, Text( Now(), "mm/dd/yyyy" )))
&lt;/code&gt;&lt;/pre&gt;
&lt;p&gt;What would be the best method for displaying both the lunch special and the static food in one continuous scroll-able screen?&lt;/p&gt;
</t>
  </si>
  <si>
    <t xml:space="preserve">&lt;p&gt;I'm trying to figure out how to query the Zoho Books API to get all of the invoices that have been assigned to a particular contact/customer. So far I'm not finding the documentation, but there has to be a way right? When customers login to the portal they can see their invoices, so it would make sense that I can get that information somehow.&lt;/p&gt;
&lt;p&gt;Bonus points if I can also link that customer back to a Zoho CRM contact.&lt;/p&gt;
&lt;p&gt;I'm basically building a simplified portal that shows the customer some CRM data as well as any outstanding invoices they have in Zoho Books.&lt;/p&gt;
</t>
  </si>
  <si>
    <t xml:space="preserve">&lt;p&gt;I am trying to &lt;strong&gt;filter&lt;/strong&gt; a table using a &lt;strong&gt;DateBox&lt;/strong&gt;. The problem I have is that it doesn't display the records of that day when binding value is set to &lt;code&gt;@datasource.query.filters.date._equals&lt;/code&gt;. However, it does work when the filter is &lt;code&gt;_greaterThanOrEquals&lt;/code&gt;, but it also includes later records. &lt;/p&gt;
&lt;p&gt;I am using SQL tables with date field type is &lt;code&gt;DATE&lt;/code&gt;.&lt;/p&gt;
&lt;hr&gt;
&lt;p&gt;&lt;a href="https://i.stack.imgur.com/j68X5.png" rel="nofollow noreferrer"&gt;&lt;img src="https://i.stack.imgur.com/j68X5.png" alt="enter image description here"&gt;&lt;/a&gt;&lt;/p&gt;
&lt;hr&gt;
&lt;p&gt;&lt;a href="https://i.stack.imgur.com/sKWZfm.png" rel="nofollow noreferrer"&gt;&lt;img src="https://i.stack.imgur.com/sKWZfm.png" alt="enter image description here"&gt;&lt;/a&gt;&lt;/p&gt;
</t>
  </si>
  <si>
    <t xml:space="preserve">&lt;p&gt;I am currently working with throught2 module to write gulp plugin to replace something in the buffer, below is a simplified version of it&lt;/p&gt;
&lt;pre&gt;&lt;code&gt;module.exports = function(replaceData: DataChange | DataChange[]) {
  let count = 0;
  return through.obj(function (file: any, encoding: any, callback: any) {
    this.push(file);
    callback(null, file);
    console.log('@COUNT: ', ++count);
  });
};
&lt;/code&gt;&lt;/pre&gt;
&lt;p&gt;I found out that it will pick up only 8 files and will continue, ignoring the others, my output will be like:&lt;/p&gt;
&lt;pre&gt;&lt;code&gt;@COUNT: 1
@COUNT: 2
...
@COUNT: 8
&lt;/code&gt;&lt;/pre&gt;
&lt;p&gt;If I don't return anything in callback&lt;/p&gt;
&lt;pre&gt;&lt;code&gt;module.exports = function(replaceData: DataChange | DataChange[]) {
  let count = 0;
  return through.obj(function (file: any, encoding: any, callback: any) {
    this.push(file);
    callback();
    console.log('@COUNT: ', ++count);
  });
};
&lt;/code&gt;&lt;/pre&gt;
&lt;p&gt;it will process 16 files.
How to increase the number of files through will pick up?&lt;/p&gt;
</t>
  </si>
  <si>
    <t xml:space="preserve">&lt;p&gt;I am trying to figure how to use a &lt;strong&gt;DateBox&lt;/strong&gt; widget to filter the datasource using a &lt;strong&gt;query-script&lt;/strong&gt;. But I don't know how to add parameter variables to the script.&lt;/p&gt;
&lt;p&gt;When using &lt;strong&gt;query-builder&lt;/strong&gt;, there is a special button to add query parameters. However, there is no mention in the docs on &lt;strong&gt;where&lt;/strong&gt; to add &lt;strong&gt;query parameters&lt;/strong&gt; when writing a &lt;strong&gt;query-script&lt;/strong&gt;. &lt;/p&gt;
&lt;p&gt;docs -&gt; &lt;a href="https://developers.google.com/appmaker/models/datasources#query_script" rel="nofollow noreferrer"&gt;https://developers.google.com/appmaker/models/datasources#query_script&lt;/a&gt;&lt;/p&gt;
</t>
  </si>
  <si>
    <t xml:space="preserve">&lt;p&gt;It looks like since you asked the question docs were updated. Here is the latest code snippet from the docs:&lt;/p&gt;
&lt;pre class="lang-javascript prettyprint-override"&gt;&lt;code&gt;// Modify passed query to additionally filter by minimum age
// if client asks us to do so.
if (query.parameters.RestrictAge) {
  query.filters.Age._greaterThan = 20;
}
var employees = query.run();
&lt;/code&gt;&lt;/pre&gt;
</t>
  </si>
  <si>
    <t xml:space="preserve">&lt;p&gt;I am trying to create a form in Google app maker and want to populate certain values from the data source but I have a very little idea on how to proceed with it. &lt;/p&gt;
&lt;p&gt;I am trying this solution&lt;/p&gt;
&lt;pre&gt;&lt;code&gt;function fetchdata() {
  var query = app.models.aq.newQuery();
  query.filters.email._equals=Session.getActiveUser().getEmail();
  var allRecords = app.models.aq.newQuery().run();
  console.info(allRecords);
}
&lt;/code&gt;&lt;/pre&gt;
&lt;p&gt;it is giving me these errors&lt;/p&gt;
&lt;pre&gt;&lt;code&gt;{ 
  "serviceContext": { 
    "service": "AKfycbx9DoVPosC5I4ku0Pa75POroOGmZ7xML5juPHfnWhghrc5TrqhFY2Cm" 
  }, 
  "message": "Exceeded maximum stack depth\n" 
}
Executing query for datasource GET_DATA: (Error) : Exceeded maximum stack 
depth at Main.Container.onAttach:1:26
Executing query for datasource GET_DATA failed.
&lt;/code&gt;&lt;/pre&gt;
</t>
  </si>
  <si>
    <t xml:space="preserve">&lt;p&gt;I have an "edit" button on each row in a table of records in Google App Maker. &lt;/p&gt;
&lt;p&gt;When the user clicks this button I would like the dialog/page that opens to be editing the record the user clicked on. &lt;/p&gt;
&lt;p&gt;Ideally, the answer would work with the &lt;code&gt;showDialog()&lt;/code&gt; function.&lt;/p&gt;
</t>
  </si>
  <si>
    <t xml:space="preserve">&lt;p&gt;Try creating a page fragment (say, named "EditDialog") that uses the same datasource as your table. Then set this page fragment to be opened as when you click the edit button:&lt;/p&gt;
&lt;pre&gt;&lt;code&gt;app.showDialog(app.pageFragments.EditDialog);
&lt;/code&gt;&lt;/pre&gt;
&lt;p&gt;Table clicks should automatically select that row of data, so this should be enough. In some cases, I've noticed that the selection happens too late, and the previously selected record might get used in the dialog.&lt;/p&gt;
&lt;p&gt;In this case, you might have to make sure that the selection actually happens before the dialog is opened. If I recall correctly, something in the sense of the following (as onClick) made it work for me (this might not be that smart of a solution though):&lt;/p&gt;
&lt;pre&gt;&lt;code&gt;var key = widget.datasource.item._key;
widget.datasource.selectKey(key);
app.showDialog(app.pageFragments.EditDialog);
&lt;/code&gt;&lt;/pre&gt;
&lt;p&gt;Hope this helps!&lt;/p&gt;
&lt;p&gt;EDIT: I found out that actually this work better when you make the selection to the datasource not through that widget you're clicking, but through its parents or straight to the datasource (app.datasources.ArbitraryDatasource.selectKey(key);).&lt;/p&gt;
</t>
  </si>
  <si>
    <t xml:space="preserve">&lt;p&gt;Is there a list of button icons that can be used in App Maker? E.g. when you set the HTML text field of a button to 'Edit' and choose 'Icon' as button style, App Maker conveniently provides me an icon with a pencil on it.&lt;/p&gt;
&lt;p&gt;Right now I'm looking for a dropdown arrow icon, but a list of icons would be so useful to make my UIs more clean.&lt;/p&gt;
</t>
  </si>
  <si>
    <t xml:space="preserve">&lt;p&gt;App Maker uses material font:&lt;/p&gt;
&lt;p&gt;&lt;a href="https://material.io/icons/" rel="noreferrer"&gt;https://material.io/icons/&lt;/a&gt;&lt;/p&gt;
</t>
  </si>
  <si>
    <t xml:space="preserve">&lt;p&gt;Hello i am new here so if i ask a stupid question please forgive me.&lt;/p&gt;
&lt;p&gt;We at AppAtSchool are working with Google ApMaker and we want to call a published App with 2 parameters. How can we read those in App Maker? Thanks in advance!&lt;/p&gt;
</t>
  </si>
  <si>
    <t xml:space="preserve">&lt;p&gt;I am a beginner in powerapps. I am trying to create app which can be used by employees of my organization and all are having Office 365 accounts. I have shared app with all user but only 3 users (including myself) are able to work on apps and other users are getting below error on first screen of my app.&lt;/p&gt;
&lt;p&gt;Error occurred when user open app:&lt;/p&gt;
&lt;blockquote&gt;
  &lt;p&gt;you don't have permission to view this data. server response : The HTTP request is unauthorized with client authentication scheme "Anonymous".The authentication  header received from server was 'browser error in powerApps&lt;/p&gt;
&lt;/blockquote&gt;
</t>
  </si>
  <si>
    <t xml:space="preserve">&lt;p&gt;I want to write a sample demo using OpenCTI API for Lightning Experience. The 
URL I mentioned in the CallCenter's Adapter URL refers to a page developed using JSPs and served from a third-party domain. So, based on the documentation below, I connect to the OpenCTI API using the script-Tag.&lt;/p&gt;
&lt;p&gt;&lt;div class="snippet" data-lang="js" data-hide="false" data-console="true" data-babel="false"&gt;
&lt;div class="snippet-code"&gt;
&lt;pre class="snippet-code-html lang-html prettyprint-override"&gt;&lt;code&gt;&amp;lt;script src="https://c.&amp;lt;yourInstance&amp;gt;.visual.force.com/support/api/40.0/lightning/opencti_min.js" type="text/javascript"&amp;gt;&amp;lt;/script&amp;gt;&lt;/code&gt;&lt;/pre&gt;
&lt;/div&gt;
&lt;/div&gt;
&lt;/p&gt;
&lt;p&gt;N.B. Salesforce documentation: &lt;a href="https://developer.salesforce.com/docs/atlas.en-us.api_cti.meta/api_cti/sforce_api_cti_connecting.htm" rel="nofollow noreferrer"&gt;Connect To OpenCTI&lt;/a&gt;&lt;/p&gt;
&lt;p&gt;The problem is, that at page load, the browser-console logs the following exception message:
"uncaught exception: Failed to initialize Open CTI. Ensure that it is loaded from the right frame with correct URL parameters".&lt;/p&gt;
&lt;p&gt;As subsequent problem, all OpenCTI functions return with error.&lt;/p&gt;
&lt;p&gt;What am I doing wrong?&lt;/p&gt;
</t>
  </si>
  <si>
    <t xml:space="preserve">&lt;p&gt;I'm following the Zoholics videos on Deluge and used this statement to lookup the pizza price from the Inventory:&lt;/p&gt;
&lt;pre&gt;&lt;code&gt;colPizzaDetails = Inventory[Pizza == input.Pizza &amp;amp;&amp;amp; Size == input.Pizza_Size];
&lt;/code&gt;&lt;/pre&gt;
&lt;p&gt;This error is displayed when trying to save the script:&lt;/p&gt;
&lt;pre&gt;&lt;code&gt;In Criteria left expression is of type STRING and right expression is of type BIGINT and the operator == is not valid
&lt;/code&gt;&lt;/pre&gt;
&lt;p&gt;In the video, the narrator was able to save the script. Looks like a BIGINT is stored in the Lookup Dropdown now instead of text as shown in the video.&lt;/p&gt;
&lt;p&gt;Can you tell me how to alter the code statement so I can change input.Pizza to represent the actual Pizza Name text that the user sees on the screen?&lt;/p&gt;
</t>
  </si>
  <si>
    <t xml:space="preserve">&lt;pre&gt;&lt;code&gt;window.scrollTo(0,0); 
&lt;/code&gt;&lt;/pre&gt;
&lt;p&gt;Desired result: page scrolls up to top&lt;/p&gt;
&lt;p&gt;Tried it attached to button click and nothing happens.&lt;/p&gt;
&lt;p&gt;I have pages of information and when the user clicks on the next/previous page button at the bottom, I want the window to scroll back up to the top. &lt;/p&gt;
&lt;p&gt;What's going wrong here? Is there some other App Maker method we're supposed to use within App Maker?&lt;/p&gt;
</t>
  </si>
  <si>
    <t xml:space="preserve">&lt;p&gt;Check out: &lt;a href="https://stackoverflow.com/questions/11007971/google-apps-script-ui-scroll-to-top-of-screen"&gt;Google Apps Script UI: Scroll to top of screen&lt;/a&gt;&lt;/p&gt;
&lt;p&gt;I haven't tried this, but from this post something like:&lt;/p&gt;
&lt;pre&gt;&lt;code&gt;var element = app.currentPage.getElement();
element.scrollTop = 0;
// (And if you need left as well)
element.scrollLeft = 0;
&lt;/code&gt;&lt;/pre&gt;
</t>
  </si>
  <si>
    <t xml:space="preserve">&lt;p&gt;The documentation mentions that MySQL can be used:&lt;/p&gt;
&lt;blockquote&gt;
  &lt;p&gt;Your app can access tens of gigabytes of data stored in Google Cloud
  SQL, a &lt;strong&gt;MySQL&lt;/strong&gt; relational database hosted on Google Cloud Platform.&lt;/p&gt;
&lt;/blockquote&gt;
&lt;p&gt;However, it seems to be have been written before PostgreSQL was available on Google Cloud SQL. &lt;/p&gt;
</t>
  </si>
  <si>
    <t xml:space="preserve">&lt;p&gt;Support for PostgreSQL is not available. See &lt;a href="https://developers.google.com/appmaker/models/cloudsql" rel="nofollow noreferrer"&gt;https://developers.google.com/appmaker/models/cloudsql&lt;/a&gt;, it says:&lt;/p&gt;
&lt;blockquote&gt;
  &lt;p&gt;Note: App Maker supports only MySQL databases. You can't use
  PostgreSQL.&lt;/p&gt;
&lt;/blockquote&gt;
</t>
  </si>
  <si>
    <t xml:space="preserve">&lt;p&gt;Failed to load resource: the server responded with a status of 401 (The HTTP request is unauthorized with client authentication scheme 'Anonymous'. The authentication header received from the server was 'Bearer error=access_denied, error_description=Authentication fail. Ticket id xxxxxxxx-xxxx-xxxx-xxxx-xxxxxxxxxxxx, redirect_uri=https%3a%2f%2flogin.windows.net%2fcommon%2fwsfed, realm=Microsoft.CRM'.)&lt;/p&gt;
</t>
  </si>
  <si>
    <t xml:space="preserve">&lt;p&gt;I'm trying to work out how to generate totals of fields from related model records.&lt;/p&gt;
&lt;p&gt;Example: I have 2 Google Drive Table models (Projects &amp;amp; Stages) with a relation where 1 Project can have many Stages. The Stages model has a number of fields, one of which is Budget.&lt;/p&gt;
&lt;p&gt;I'm trying work out how to display a Total Project Budget, which is the sum of the Budget fields of the Stages related to each Project.&lt;/p&gt;
&lt;p&gt;I'm really stuck on getting this to work and wondering if I need to create a client script, server script, or calculated model, or if there's an easy way to do this directly within a binding.&lt;/p&gt;
&lt;p&gt;Here is a link to a bunch of screen-grabs of what I'm trying to build, the UI and setup in App Maker:&lt;/p&gt;
&lt;p&gt;&lt;a href="https://www.dropbox.com/sh/wt00virvn88puyi/AACy7-fPLYFF1H9uFkvEuvgTa?dl=0" rel="nofollow noreferrer"&gt;https://www.dropbox.com/sh/wt00virvn88puyi/AACy7-fPLYFF1H9uFkvEuvgTa?dl=0&lt;/a&gt;&lt;/p&gt;
</t>
  </si>
  <si>
    <t xml:space="preserve">&lt;p&gt;I am using a Cloud SQL database with one table of ~700 records with ~100 fields and it takes 8-10 seconds to load an individual record from the database into AppMaker. This is how long it takes even when I have set the Query Page size to "1".&lt;/p&gt;
&lt;p&gt;To test if this was an issue with my database I created an External Model (e.g., new table) in the database through AppMaker. The new table created through AppMaker loads in less than 2 seconds, which is fairly typical load speeds for AppMaker.&lt;/p&gt;
&lt;p&gt;Why would my pre-existing table load slowly whereas my table created in the SQL DB through AppMaker load quickly?&lt;/p&gt;
</t>
  </si>
  <si>
    <t xml:space="preserve">&lt;p&gt;The only idea that popups in my mind is that you had different regions for the databases. &lt;a href="https://developers.google.com/appmaker/models/cloudsql" rel="nofollow noreferrer"&gt;App Maker's documentation recommends&lt;/a&gt; to create database instance in &lt;code&gt;us-central&lt;/code&gt; region to achieve best performance. Some time ago I've tried to pair App Maker with database from some European region and it worked fairly slow.&lt;/p&gt;
</t>
  </si>
  <si>
    <t xml:space="preserve">&lt;p&gt;Trying to figure out how to present/edit related data in a table, could really use a push in the right direction!&lt;/p&gt;
&lt;p&gt;Broadly, this is looking at subscription data - I want to see how much each client is paying per month. If a client gets upsold halfway through the year - I need the data to reflect that.&lt;/p&gt;
&lt;p&gt;So, I have a database of clients, and a database of months, with a Many-One relationship. I also have a "monthlyallocation" database related to both, so I can say Client A has $40 for Jun 2017, for eg. I'm looking to present the data like so in a table, and make the numbers editable:&lt;/p&gt;
&lt;pre&gt;&lt;code&gt;             Jun   Jul   Aug   Sep 
  Client A   20    20    22    20
  Client B   15    20    15    15
  Client C   null  11    11    12
&lt;/code&gt;&lt;/pre&gt;
&lt;p&gt;So I can filter out months (columns), and I can filter out Clients (rows). Any help appreciated!&lt;/p&gt;
&lt;p&gt;************EDIT - So I've managed to get partway there.&lt;/p&gt;
&lt;p&gt;First, the datasource for the table needs to Client - since I want my table rows to be grouped by client. &lt;/p&gt;
&lt;p&gt;Next, the page has a custom property "datenum" which I can change to help filter out columns.&lt;/p&gt;
&lt;p&gt;Each column header now becomes @datasources.Months.items..MonthName[@properties.datenum + &lt;strong&gt;Insert Column Number Here&lt;/strong&gt;]. As the datenum changes, the columns display different names. Great.&lt;/p&gt;
&lt;p&gt;The last piece of the puzzle though - the values shown IN the table need to filter by the column header name. I can't do the "[@properties.datenum + &lt;strong&gt;Insert Column Number Here&lt;/strong&gt;]" trick here, in case I'm missing a value.. If I did that, I could accidentally get the Sep value under Aug, for eg.&lt;/p&gt;
&lt;p&gt;Really hope that makes sense - my first instinct is to make a script that takes the rows datasource, and the "MonthName[@properties.datenum + &lt;strong&gt;Insert Column Number Here&lt;/strong&gt;]", and return the correct value, but maybe I'm just misunderstanding how binding works and there's a simpler way to do this.&lt;/p&gt;
</t>
  </si>
  <si>
    <t xml:space="preserve">&lt;p&gt;I've added a media query for a page size &amp;lt; 800px, &lt;a href="https://i.stack.imgur.com/PcyDZ.png" rel="nofollow noreferrer"&gt;like this,&lt;/a&gt; and there is no change in size &amp;lt; 800px.&lt;/p&gt;
&lt;p&gt;How is this type of responsiveness supposed to be done in App Maker?&lt;/p&gt;
</t>
  </si>
  <si>
    <t xml:space="preserve">&lt;p&gt;Most media queries are supported for most widgets types. You can find expamles here:
&lt;a href="https://developers.google.com/appmaker/templates/" rel="nofollow noreferrer"&gt;https://developers.google.com/appmaker/templates/&lt;/a&gt;&lt;/p&gt;
&lt;p&gt;In your particular case, most likely you need to add '!important':&lt;/p&gt;
&lt;pre&gt;&lt;code&gt;width: 100px !important;
&lt;/code&gt;&lt;/pre&gt;
</t>
  </si>
  <si>
    <t xml:space="preserve">&lt;p&gt;This is the error I receive:&lt;/p&gt;
&lt;pre&gt;&lt;code&gt;E Tue Jul 11 15:48:12 GMT-600 2017
Error: Equipment ID "EXAMPLE-GRAV001" is in use.
E Tue Jul 11 15:48:12 GMT-600 2017
Modifying records: (Error) : Equipment ID "EXAMPLE-GRAV001" is in use.
E Tue Jul 11 15:48:12 GMT-600 2017 Modifying records failed.
&lt;/code&gt;&lt;/pre&gt;
&lt;p&gt;What determines if a record is "in use"?&lt;/p&gt;
</t>
  </si>
  <si>
    <t xml:space="preserve">&lt;p&gt;This error was being thrown by a custom script in the onSave event of my datasource.&lt;/p&gt;
</t>
  </si>
  <si>
    <t xml:space="preserve">&lt;p&gt;Is there way to view (or create) a log of users actions? Like who created/edited/deleted an item?&lt;/p&gt;
&lt;p&gt;ex: I need to be able to see that "User A" changed the "Status Dropdown" from "In Progress" to "Complete" on 7/11/17 at 4pm. &lt;/p&gt;
</t>
  </si>
  <si>
    <t xml:space="preserve">&lt;p&gt;Each Model has &lt;a href="https://developers.google.com/appmaker/models/events#onsave_example" rel="nofollow noreferrer"&gt;events&lt;/a&gt;, so you can log user actions in this events: &lt;/p&gt;
&lt;pre&gt;&lt;code&gt;**console.log(Session.getActiveUser().getEmail() + " updated status from " + record.status + " to " + oldRecord.status);**
&lt;/code&gt;&lt;/pre&gt;
</t>
  </si>
  <si>
    <t xml:space="preserve">&lt;p&gt;With Google App Maker, I can make a form.  I can create a Submit button that emails to a particular email address.  And I can pass individual field values into the email.  &lt;/p&gt;
&lt;p&gt;But I want to be able to send the whole completed form exactly how it looks when the user fills out the form in the email. (If need be, sending it as an image is okay.  But sending it as an editable form is even better.)&lt;/p&gt;
</t>
  </si>
  <si>
    <t xml:space="preserve">&lt;p&gt;Trying to replicate some of the functions of the Project Tracker template, so I am using a Datasource in Manual Save Mode. &lt;/p&gt;
&lt;p&gt;When I try to create a new item I get the following error: &lt;/p&gt;
&lt;blockquote&gt;
  &lt;p&gt;Cannot create a new record on a datasource in manual save mode with
  pending changes.&lt;/p&gt;
&lt;/blockquote&gt;
&lt;p&gt;I tried creating a button and clicking "&lt;code&gt;widget.datasource.clearChanges();&lt;/code&gt;" but that doesn't seem to help.&lt;/p&gt;
&lt;p&gt;I am not sure how to clear the pending changes. Any help would be greatly appreciated. &lt;/p&gt;
</t>
  </si>
  <si>
    <t xml:space="preserve">&lt;p&gt;I think I have figured it out/figured out a work around. &lt;/p&gt;
&lt;p&gt;I adjusted all my buttons (ex: my Add Item button, my Delete button, etc.) by adding &lt;code&gt;"widget.datasource.saveChanges();"&lt;/code&gt; to them. So now it looks like this: &lt;/p&gt;
&lt;pre&gt;&lt;code&gt;widget.datasource.saveChanges(); 
app.showDialog(app.pageFragments.Add);
&lt;/code&gt;&lt;/pre&gt;
&lt;p&gt;And this: &lt;/p&gt;
&lt;pre&gt;&lt;code&gt;widget.datasource.saveChanges();
app.closeDialog();
&lt;/code&gt;&lt;/pre&gt;
</t>
  </si>
  <si>
    <t xml:space="preserve">&lt;p&gt;Just started using App Maker and I'm still getting the console displayed at the bottom of the window when I publish an app. How do I hide this please?&lt;/p&gt;
</t>
  </si>
  <si>
    <t xml:space="preserve">&lt;p&gt;I'm struggling to get a field to be enabled and/or visible based on user's role in Google App Maker.&lt;/p&gt;
&lt;p&gt;I'm assigned to the Admins role and am trying to get the field to enable and/or visible if an Admin is the user of the page.&lt;/p&gt;
&lt;p&gt;On the object i've added the below to the enabled and visible option &lt;/p&gt;
&lt;p&gt;@user.roles ? "Admins"&lt;/p&gt;
&lt;p&gt;but it's permenantly disabled. I've tried testing as both preview and published versions. I've also tried seeing it as @user.roles ? Admins and it still stays disabled.&lt;/p&gt;
&lt;p&gt;Any ideas?&lt;/p&gt;
</t>
  </si>
  <si>
    <t xml:space="preserve">&lt;p&gt;It should be (@user.roles).indexOf('Admins') &gt; -1. Bracket placement seems to be very particular when using visibility or enabled when using a binding in app maker.&lt;/p&gt;
</t>
  </si>
  <si>
    <t xml:space="preserve">&lt;p&gt;In the demos, there aren't css rules making the elements stay at fixed relative to the viewport. I don't know how this it is being accomplished. &lt;/p&gt;
</t>
  </si>
  <si>
    <t xml:space="preserve">&lt;p&gt;The trick of 'fixed' elements in App Maker samples/templates is in fixed(css position absolute) layout of the root panel. To achieve this effect you need just to:&lt;/p&gt;
&lt;ol&gt;
&lt;li&gt;Create a page and set its layout to fixed&lt;/li&gt;
&lt;li&gt;Add elements you want to be fixed and set their position with property editor (top, left, etc..)&lt;/li&gt;
&lt;li&gt;Then you can add nested content/container/wrapper panel with flow (vertical/horizontal) layout type and tell it to fit to content&lt;/li&gt;
&lt;/ol&gt;
&lt;p&gt;&lt;strong&gt;Note:&lt;/strong&gt; Of course, you can go and set CSS position: fixed !important for your element, but in this case your page will look scrumbled in editor...&lt;/p&gt;
</t>
  </si>
  <si>
    <t xml:space="preserve">&lt;p&gt;&lt;em&gt;Can I use Master Data Services to import data via Excel add-in mainly Measures (Numbers/Values)&lt;/em&gt;&lt;/p&gt;
&lt;p&gt;&lt;strong&gt;Shortversion:&lt;/strong&gt;&lt;/p&gt;
&lt;p&gt;&lt;em&gt;Looking for the best way to comfortably input data to an SQl-Server table with immediate feedback for the user.&lt;/em&gt;&lt;/p&gt;
&lt;p&gt;&lt;strong&gt;Set-up:&lt;/strong&gt;
    We have a Datawarehouse (dwh) based on SQL Server 2012. 
    Everything is set up with the Tools from MS BI Suite (SSIS, SSAS, SSRS and so on)
    The Departments access the BI-Cubes via Excel. They prefer to do everything in Excel if possible.&lt;br&gt;
    Most sources for the DWH are databases but one use-case has Excel-files as a source.  &lt;/p&gt;
&lt;h2&gt;Use-Case with Excel files as a source&lt;/h2&gt;
&lt;p&gt;&lt;strong&gt;As-Is:&lt;/strong&gt;&lt;/p&gt;
&lt;p&gt;We have several Excel-files placed in a network folder.
Each Excel file is edited by a different user.
The files are ingested by an SSIS process looping through the files on a daily base. &lt;/p&gt;
&lt;pre&gt;&lt;code&gt;The contents of the Excel-files is like this (fake data):
Header: Category | Product | Type | ... | Month     | abc_costs | xyz_costs | abc_budget | xyz_budget | ...
Data:       A        Soup    Beta         2017-06       16656      89233        4567          34333
&lt;/code&gt;&lt;/pre&gt;
&lt;p&gt;&lt;strong&gt;Data Flow:&lt;/strong&gt; &lt;/p&gt;
&lt;pre&gt;&lt;code&gt;   source.Excel -&amp;gt; 1.-&amp;gt;  dwh.Stage -&amp;gt; 2.-&amp;gt; dwh.intermediateLayer -&amp;gt; 3.-&amp;gt; dwh.FactTable
&lt;/code&gt;&lt;/pre&gt;
&lt;ul&gt;
&lt;li&gt;Step 1 to 3 are SSIS ETL-Packages.&lt;/li&gt;
&lt;li&gt;Step 3 looks-up the the Surrogate-Keys from the Dimensions and saves
them as Foreign-Keys in Fact-table based on the "Codes" provided by
the Excel (Code e.g. can be 'A' for Category).&lt;/li&gt;
&lt;/ul&gt;
&lt;p&gt;&lt;strong&gt;Problems:&lt;/strong&gt;&lt;/p&gt;
&lt;ul&gt;
&lt;li&gt;Step 1 "ingesting the Excel-files" is very error-prone.&lt;/li&gt;
&lt;li&gt;Users can easily misstype the codes and numbers can be in the wrong
format.&lt;/li&gt;
&lt;li&gt;Error messages regarding excel-sources are often missleading &amp;amp;
debugging Excel-sources in SSIS becomes a pain.&lt;/li&gt;
&lt;li&gt;Sometimes Users leave Excel file open and a temporary Lock-File
blocks the whole ingestion process.&lt;/li&gt;
&lt;/ul&gt;
&lt;p&gt;&lt;strong&gt;Requirements&lt;/strong&gt;&lt;/p&gt;
&lt;ul&gt;
&lt;li&gt;I want to avoid the problems coming up when ingesting Excel-files.&lt;/li&gt;
&lt;li&gt;It should be possible to validate data input and give a quick
feedback to the user&lt;/li&gt;
&lt;li&gt;As BI-Developers we will try to avoid a solution that would involve
webdevelopment in the first place.&lt;/li&gt;
&lt;li&gt;Excel-like input is preferred by the users.&lt;/li&gt;
&lt;/ul&gt;
&lt;p&gt;&lt;strong&gt;Idea:&lt;/strong&gt; &lt;/p&gt;
&lt;p&gt;As Master Data Services comes with an Excel- addin that allows data manipulation
we thought that could be used for this data-input-scenario as well.
That would give us the oppurtunity to Test MDS at the same time.&lt;/p&gt;
&lt;p&gt;But I'am not sure if this use-case fits to Master-Data-Services. &lt;/p&gt;
&lt;p&gt;Doing a research I could not find any MDS example showing how measures are 
entered via Excel-addin [samples are about modelling and and managing entities].&lt;/p&gt;
&lt;ol&gt;
&lt;li&gt;Can anybody clarify if this Use Case fits to MDS?&lt;/li&gt;
&lt;li&gt;If it does not fit to MDS ? What can be a good choice that fits into
this BI-ecosystem? (preferrable Excel-based). [Lightswitch, Infopath, Powerapps or if no ther option Webdevelopment -&gt; I am a bit confused about the options]&lt;/li&gt;
&lt;/ol&gt;
</t>
  </si>
  <si>
    <t xml:space="preserve">&lt;p&gt;Keep in mind, an Entity in MDS does not represent a table in the database. This means when you load data in MDS, there are underlying tables populated with the data and metadata to keep track of changes, for example.&lt;/p&gt;
&lt;p&gt;Using the Excel plugin to import data into MDS, and then expose the data to another system can work, considering the following:&lt;/p&gt;
&lt;ul&gt;
&lt;li&gt;Volume of data. The excel plugin handles large volumes in batches. So the process can become tedious.&lt;/li&gt;
&lt;li&gt;Model setup. You need to configure the model properly with the Entities and Attributes well defined. The MDS architecture is 'pseudo data warehouse' where the entities can be considered 'facts' and the domain based attributes 'dimensions'. This is an oversimplification of the system but once you define a model you will understand what I mean.&lt;/li&gt;
&lt;li&gt;A nice functionality is subscription views. Once you have the data in MDS, then you can expose it with subscription views which combines entities with domain based attributes in one view.&lt;/li&gt;
&lt;/ul&gt;
&lt;p&gt;Considering your requirements:&lt;/p&gt;
&lt;ul&gt;
&lt;li&gt;&lt;p&gt;I want to avoid the problems coming up when ingesting Excel-files. &lt;/p&gt;
&lt;p&gt;This is possible, just keep in mind the Excel plugin has its own rules. So Excel effectively becomes the 'input form' of MDS, where data is input and committed. The user will need to have a connection set up to MDS using the credential manager etc.&lt;/p&gt;&lt;/li&gt;
&lt;li&gt;&lt;p&gt;It should be possible to validate data input and give a quick feedback
to the user &lt;/p&gt;
&lt;p&gt;This can easily be handled with domain based attributes and business rules&lt;/p&gt;&lt;/li&gt;
&lt;li&gt;&lt;p&gt;As BI-Developers we will try to avoid a solution that
would involve webdevelopment in the first place. Excel-like input is
preferred by the users.&lt;/p&gt;
&lt;p&gt;Keep in mind, the MDS plugin determines how the excel sheet looks and feels. No customization is possible. So your entity definitions need to be correct to facilitate a good user experience.&lt;/p&gt;&lt;/li&gt;
&lt;/ul&gt;
</t>
  </si>
  <si>
    <t xml:space="preserve">&lt;p&gt;I'm trying to work out how I can display a form to a user upon their first login to my app ( to fill in profile information) after which they can proceed to the regular site.&lt;/p&gt;
&lt;p&gt;Could anyone point me in the right direction?&lt;/p&gt;
&lt;p&gt;Thanks&lt;/p&gt;
</t>
  </si>
  <si>
    <t xml:space="preserve">&lt;p&gt;I got error code 7005 from Zoho Reports API after integrating okhttp into my Android app. There's virtually no help available online, but I have worked out the answer so will share it here.&lt;/p&gt;
&lt;p&gt;The problem code turned out to be the &lt;strong&gt;"file"&lt;/strong&gt; String in this code:&lt;/p&gt;
&lt;pre&gt;&lt;code&gt;MultipartBody.Builder postBodyBuilder = new MultipartBody.Builder();
postBodyBuilder.setType(MultipartBody.FORM);
postBodyBuilder.addFormDataPart("file", tempFileToUpload.getName(), RequestBody.create(MediaType.parse("application/json"), tempFileToUpload));
&lt;/code&gt;&lt;/pre&gt;
</t>
  </si>
  <si>
    <t xml:space="preserve">&lt;p&gt;Short version: New entries don't appear in a table with a Query Builder filter unless I manually refresh the page.&lt;/p&gt;
&lt;hr&gt;
&lt;p&gt;Long Version: I have a Table that is using a &lt;a href="https://stackoverflow.com/questions/44398453/trying-to-filter-only-rows-that-meet-two-criteria"&gt;Datasource Query Builder&lt;/a&gt; to filter out entries that have been marked as Complete and Delivered.&lt;/p&gt;
&lt;p&gt;So the model is &lt;strong&gt;SystemOrders&lt;/strong&gt;, but the datasource for the table is the one with the filters added (&lt;strong&gt;SystemOrders_HideComplete&lt;/strong&gt;). All of this works fine. &lt;/p&gt;
&lt;p&gt;When users create a new entry for the database they click an "Add" button which opens a Page Fragment. They can enter all of their data and it gets written, but the table doesn't automatically refresh when the Fragment closes and it does not show the new entry. &lt;/p&gt;
&lt;p&gt;Refreshing the browser page or reloading the datasource with a custom button on the same page as the table (listed below) causes the new entry to show up. &lt;/p&gt;
&lt;pre&gt;&lt;code&gt;widget.datasource.query.clearFilters();
var datasource = app.datasources.SystemOrders_HideComplete;
datasource.load();
&lt;/code&gt;&lt;/pre&gt;
&lt;p&gt;I tried adjusting the Submit button for the Page Fragment with the hopes that it would save users from having to manually refresh the page, but that doesn't seem to work either: &lt;/p&gt;
&lt;pre&gt;&lt;code&gt;widget.datasource.createItem();
var datasource = app.datasources.SystemOrders_HideComplete;
datasource.load();
app.closeDialog();
&lt;/code&gt;&lt;/pre&gt;
&lt;p&gt;I assuming this is maybe because the datasource.load(); command is coming from a Fragment?&lt;/p&gt;
&lt;p&gt;Any help in figuring out a way to have the new entries appear automatically would be greatly appreciated.  &lt;/p&gt;
</t>
  </si>
  <si>
    <t xml:space="preserve">&lt;p&gt;In theory, if you use the same datasource for your table and create page fragment then new item should append autamatically:&lt;/p&gt;
&lt;pre class="lang-js prettyprint-override"&gt;&lt;code&gt;// Table datasource
app.datasources.SystemOrders_HideComplete
// Page fragment datasource
app.datasources.SystemOrders_HideComplete.modes.create
&lt;/code&gt;&lt;/pre&gt;
&lt;p&gt;If by some reason you want to use different datasource to create new items, you can either push new record to the list datasource(in this case you will avoid extra call to server and provide 100% guarntee that new item will appear in the list, even if it doesn't fit to selected filters/paging/sorting...):&lt;/p&gt;
&lt;pre class="lang-js prettyprint-override"&gt;&lt;code&gt;widget.datasource.createItem({
  success: function(record) {
    app.datasources.SystemOrders_HideComplete.items.push(record);
    app.closeDialog();
  },
  failure: function(error) {
    // TODO: handle error
  }
});
&lt;/code&gt;&lt;/pre&gt;
&lt;p&gt;... or force list datasource to reload (in this case you'll get fresh data that fits your filters, but may be it'll miss your new item):&lt;/p&gt;
&lt;pre class="lang-js prettyprint-override"&gt;&lt;code&gt;widget.datasource.createItem({
  success: function(record) {
    app.datasources.SystemOrders_HideComplete.load();
    app.closeDialog();
  },
  failure: function(error) {
    // TODO: handle error
  }
});
&lt;/code&gt;&lt;/pre&gt;
</t>
  </si>
  <si>
    <t xml:space="preserve">&lt;p&gt;What are the public facing IP addresses, when app maker calls an external service with urlfetch?&lt;/p&gt;
&lt;p&gt;My external service insists on white-listing these. Is there a public list available from google?&lt;/p&gt;
&lt;p&gt;Within App Maker, I want to use the UrlFetch to call an external service, very much like the App maker sample.&lt;/p&gt;
&lt;p&gt;I see there is a list of Apps Script's IP address ranges for the JDBC. Would this be the same ranges?
(&lt;a href="https://developers.google.com/apps-script/guides/jdbc#accessing" rel="nofollow noreferrer"&gt;https://developers.google.com/apps-script/guides/jdbc#accessing&lt;/a&gt;)&lt;/p&gt;
&lt;p&gt;Thanks in advance,
John&lt;/p&gt;
</t>
  </si>
  <si>
    <t xml:space="preserve">&lt;p&gt;So if I have a customer lookup fragment form (i.e. name to lookup and displays address), then need a page with a from and to customer, is there a way to isolate the data binding so that both can be individual?&lt;/p&gt;
&lt;p&gt;Currently I can only get the same data to show up in either and so changing one effects the other.&lt;/p&gt;
&lt;p&gt;&lt;a href="https://i.stack.imgur.com/7bYkx.png" rel="nofollow noreferrer"&gt;&lt;img src="https://i.stack.imgur.com/7bYkx.png" alt="enter image description here"&gt;&lt;/a&gt;&lt;/p&gt;
&lt;p&gt;&lt;a href="https://i.stack.imgur.com/Q8dXp.png" rel="nofollow noreferrer"&gt;&lt;img src="https://i.stack.imgur.com/Q8dXp.png" alt="enter image description here"&gt;&lt;/a&gt;&lt;/p&gt;
</t>
  </si>
  <si>
    <t xml:space="preserve">&lt;p&gt;Ah got it!  In part to what @Pavel responded with....
So in the fragment, the data source is set up pretty much normally:
&lt;a href="https://i.stack.imgur.com/OBvPa.png" rel="nofollow noreferrer"&gt;&lt;img src="https://i.stack.imgur.com/OBvPa.png" alt="Fragment Settings"&gt;&lt;/a&gt;
In the inserted fragments, settings are as follows: 
 - over-ride checked
 - datasource: @Datasources.Addresses.items&lt;/p&gt;
&lt;p&gt;&lt;a href="https://i.stack.imgur.com/oxt0z.png" rel="nofollow noreferrer"&gt;&lt;img src="https://i.stack.imgur.com/oxt0z.png" alt="Page Settings"&gt;&lt;/a&gt;
Both fragments now act individually on selected name.&lt;/p&gt;
</t>
  </si>
  <si>
    <t xml:space="preserve">&lt;p&gt;I need to get the information of a lead from crm, using the rest api and php how can I acomplish this?&lt;/p&gt;
&lt;p&gt;I am using the code below but it is giving me an error, "4500Problem occured while processing the request", it in a php file called index and using wamp to run it, is this enought or what is missing? &lt;/p&gt;
&lt;pre&gt;&lt;code&gt;$authtoken = 'mytokennumber';
$name = 'client name';
$xmlData='&amp;lt;Lead&amp;gt;&amp;lt;FirstName&amp;gt;'.$name.'&amp;lt;/FirstName&amp;gt;&amp;lt;/Lead&amp;gt;';
$ch = curl_init('https://crm.zoho.com/crm/private/xml/Leads/insertRecords?');
curl_setopt($ch, CURLOPT_VERBOSE, 1);
curl_setopt($ch, CURLOPT_SSL_VERIFYPEER, FALSE);
curl_setopt($ch, CURLOPT_SSL_VERIFYHOST, FALSE); 
curl_setopt($ch, CURLOPT_RETURNTRANSFER, 1); 
curl_setopt($ch, CURLOPT_POST, 1);
$query = "newFormat=1&amp;amp;authtoken={$authtoken}&amp;amp;scope=crmapi&amp;amp;xmlData={$xmlData}"; 
curl_setopt($ch, CURLOPT_POSTFIELDS, $query); 
$response = curl_exec($ch); 
curl_close($ch);
print_r($response);
&lt;/code&gt;&lt;/pre&gt;
&lt;p&gt;can you help me ? thanks&lt;/p&gt;
</t>
  </si>
  <si>
    <t xml:space="preserve">&lt;p&gt;I have been struggling to determine whether I have the latest version of the &lt;a href="https://www.outsystems.com/forge/Component_Versions.aspx?ProjectId=680" rel="nofollow noreferrer" title="Google Maps"&gt;Google Maps&lt;/a&gt; component installed in my cloud environment. Checked in service center and in Service Studio but haven't found any version indicators.&lt;/p&gt;
&lt;p&gt;Can anyone help me out on how to determine the version that I have installed currently?&lt;/p&gt;
</t>
  </si>
  <si>
    <t xml:space="preserve">&lt;p&gt;All you need to do is to open the OutSystems tab and log in Forge. Then, just search for the Google Maps component. After that, click in the Versions tab and browse through the versions until you find the one marked with "Installed".&lt;/p&gt;
&lt;p&gt;It should look something like this:&lt;/p&gt;
&lt;p&gt;&lt;a href="https://i.stack.imgur.com/zwfU5.png" rel="nofollow noreferrer"&gt;&lt;img src="https://i.stack.imgur.com/zwfU5.png" alt="screenshot"&gt;&lt;/a&gt;&lt;/p&gt;
</t>
  </si>
  <si>
    <t xml:space="preserve">&lt;p&gt;I want a notification email to go out when a user creates an entry that contains information from that entry (or widget). &lt;/p&gt;
&lt;p&gt;Ex: &lt;/p&gt;
&lt;p&gt;to: groupemail@company.com&lt;/p&gt;
&lt;p&gt;subject: Project Name&lt;/p&gt;
&lt;p&gt;body: "User1 has created a new project with the Status of In Progress". &lt;/p&gt;
&lt;hr&gt;
&lt;p&gt;I tried to look at the Project Tracker App for reference, but I'm still lost.&lt;/p&gt;
&lt;p&gt;I assumed I would need to create a Client Script, do something like the function below and add that function to the onClick Event for "Submit Button" in the Page Fragment for creating new entries, but it isn't working. &lt;/p&gt;
&lt;p&gt;&lt;strong&gt;Submit Button onClick Event:&lt;/strong&gt;&lt;/p&gt;
&lt;pre&gt;&lt;code&gt;widget.datasource.createItem();
sendEmailCreated_(to, subject, body);
app.closeDialog();
&lt;/code&gt;&lt;/pre&gt;
&lt;p&gt;&lt;strong&gt;Client Script:&lt;/strong&gt;&lt;/p&gt;
&lt;pre&gt;&lt;code&gt;    function sendEmailCreated_(to, subject, body) {
      var widgets = widget.root.descendants;     
      try {
        MailApp.sendEmail({
          to: 'groupemail@company.com',
          subject: widgets.ProjectName.value,
          body: 'User1 has created a new project with the Status of' + widgets.ProjectStatus.value,
          noReply: true
        });
       } catch (e) {
        // Suppressing errors in email sending because email notifications
        //   are not critical for the functioning of the app.
        console.error(JSON.stringify(e));
      }
    }
&lt;/code&gt;&lt;/pre&gt;
&lt;p&gt;When the function tries to run it says "to" is undefined and I'm sure I'm not using the correct option for things like "widgets.ProjectName.value". &lt;/p&gt;
&lt;p&gt;Any help would be greatly appreciated. &lt;/p&gt;
&lt;p&gt;Thank you. &lt;/p&gt;
</t>
  </si>
  <si>
    <t xml:space="preserve">&lt;p&gt;There is no client side API to send emails. You need to move your &lt;strong&gt;&lt;em&gt;'sendEmailCreated_'&lt;/em&gt;&lt;/strong&gt; function to Server Script and call it in onCreate model event (what it is preferable from the security perspective):&lt;/p&gt;
&lt;pre class="lang-js prettyprint-override"&gt;&lt;code&gt;// onCreate model event receives about-to-create record
// Undersocre in the end of the function name means that
// function is private (cannot be called from the client)
sendEmailCreated_(record.to, record.subject, record.body);
&lt;/code&gt;&lt;/pre&gt;
&lt;p&gt;...or using google.script.run in create callback(what is less secure, since you expose Mail API to the end user):&lt;/p&gt;
&lt;pre class="lang-js prettyprint-override"&gt;&lt;code&gt;widget.datasource.createItem({
  success: function(record) {
    google.script.run
          .withSuccessHandler(function() {
            // TODO: Handle success
          })
          .withFailureHandler(function(error) {
            // TODO: Handle failure
          })
          .sendEmailCreated(record.to, record.subject, record.body);
          // sendEmailCreated - is a server side function.
          // It is public (can be called from the client), since
          // it doesn't end with underscore
  },
  failure: function(error) {
     // TODO: Handle failure
  }
});
&lt;/code&gt;&lt;/pre&gt;
&lt;p&gt;If you don't care about security and error handling, then the client side of the code can be simplified to this:&lt;/p&gt;
&lt;pre class="lang-js prettyprint-override"&gt;&lt;code&gt;widget.datasource.createItem(function(record) {
    google.script.run.sendEmailCreated(record.to, record.subject, record.body);
  });
&lt;/code&gt;&lt;/pre&gt;
&lt;p&gt;Usefull links on the topic:&lt;/p&gt;
&lt;ul&gt;
&lt;li&gt;&lt;a href="https://developers.google.com/appmaker/samples/email/" rel="nofollow noreferrer"&gt;App Maker Email Sample&lt;/a&gt;&lt;/li&gt;
&lt;li&gt;&lt;a href="https://developers.google.com/apps-script/reference/mail/mail-app" rel="nofollow noreferrer"&gt;App Script Email API&lt;/a&gt;&lt;/li&gt;
&lt;li&gt;&lt;a href="https://developers.google.com/apps-script/guides/html/communication#private_functions" rel="nofollow noreferrer"&gt;App Script private functions&lt;/a&gt;&lt;/li&gt;
&lt;/ul&gt;
</t>
  </si>
  <si>
    <t xml:space="preserve">&lt;p&gt;When I create new record in Google AppMaker and then try to add correlated record to this new one I get this warning in console:&lt;/p&gt;
&lt;blockquote&gt;
  &lt;p&gt;com.google.apps.appmaker.client.datasource.AbstractModelDataSource
  WARNING: Could not find element with key RecordKey{key=private$7,
  model key=...&lt;/p&gt;
&lt;/blockquote&gt;
&lt;p&gt;Both datasources are set to:&lt;/p&gt;
&lt;pre&gt;&lt;code&gt;Manual save mode 
Automatically load data
&lt;/code&gt;&lt;/pre&gt;
&lt;p&gt;The problem doesn't appear when I refresh the page or try to add correlated record to other existing record.&lt;/p&gt;
&lt;p&gt;Anybody knows what could be a reason for this error?&lt;/p&gt;
</t>
  </si>
  <si>
    <t xml:space="preserve">&lt;p&gt;Hoping someone here can help me, I have the below code:&lt;/p&gt;
&lt;pre&gt;&lt;code&gt;    function getSSData(){
  var values = SpreadsheetApp.openById('1iKO7j_ETu_x1iJf7y_ih76sDTBS21JULid_5pNIit8w').getSheets()[0].getDataRange().getValues();
  var ssData = [];
//   app.datasources.P11d.unload(function(){});
  console.log('Made it to Line 5');
  for (var i = 0; i&amp;lt;values.length; i++){
    var newRecord = app.models.P11d.newRecord();
   // add all fields to the new record
    console.log('Made it to Line 9');
    newRecord.MODEL_FIELD = values[i][0];
    ssData.push(newRecord);
//     console.log(newRecord.MODEL_FIELD);
  }
  console.log('Finished');
// return the array of the model.newRecord objects that would be consumed by the Model query.
  return ssData;
}
&lt;/code&gt;&lt;/pre&gt;
&lt;p&gt;I have taken this from another post on here, however I can't seem to understand what is happening around the MODEL_FIELD section. Do I need to specify each column title individually or will this just know what to do?&lt;/p&gt;
&lt;p&gt;Thank you in advance and I'm sorry if the question seems simple, I'm still very new at this and trying to pick it up as I go along.&lt;/p&gt;
</t>
  </si>
  <si>
    <t xml:space="preserve">&lt;p&gt;I am trying to setup a hidden menu: &lt;/p&gt;
&lt;p&gt;What is the onClick command for a button in "Panel_A", that would allow me to toggle the visibility of "Panel_B"?&lt;/p&gt;
&lt;p&gt;Alternate scenario (if this simplifies things): &lt;/p&gt;
&lt;p&gt;"Button A" in "Panel A" toggles visibility for "Panel B" as true. &lt;/p&gt;
&lt;p&gt;"Button B" in "Panel B" toggles visibility for "Panel B" to hidden. &lt;/p&gt;
&lt;p&gt;Thank you for your help! &lt;/p&gt;
</t>
  </si>
  <si>
    <t xml:space="preserve">&lt;p&gt;There are at least two ways to do this.&lt;/p&gt;
&lt;ol&gt;
&lt;li&gt;Directly manipulating widgets visibility properties:&lt;/li&gt;
&lt;/ol&gt;
&lt;pre class="lang-js prettyprint-override"&gt;&lt;code&gt;// Button A click handler(toggles Panel B visibility)
var panelB = app.currentPage.descendants.PanelB;
panelB.visible = !panelB.visible;
// Button B click handler(hides Panel B)
app.currentPage.descendants.PanelB.visible = false;
&lt;/code&gt;&lt;/pre&gt;
&lt;ol start="2"&gt;
&lt;li&gt;Binding widgets visibility to page's custom property:&lt;/li&gt;
&lt;/ol&gt;
&lt;p&gt;Let's assume that you have 'ShowB' Boolean Custom Property on your page and Panel's B visiblity property is bound to it:&lt;/p&gt;
&lt;pre class="lang-js prettyprint-override"&gt;&lt;code&gt;// Button A click handler(toggles Panel B visibility)
var props = app.currentPage.properties;
props.ShowB = !props.ShowB;
// Button B click handler(hides Panel B)
var props = app.currentPage.properties;
props.ShowB = false;
&lt;/code&gt;&lt;/pre&gt;
&lt;p&gt;I personally prefer option 2, since it provides higher level of abstraction, makes code easier to read and refactor.&lt;/p&gt;
</t>
  </si>
  <si>
    <t xml:space="preserve">&lt;p&gt;I want if I select a country from drop down, dynamically the states of that country should come in the drop down&lt;/p&gt;
</t>
  </si>
  <si>
    <t xml:space="preserve">&lt;p&gt;I have created an &lt;a href="https://www.outsystems.com/forge/component/2341/textmod/" rel="nofollow noreferrer"&gt;extension for the forge&lt;/a&gt; but the file size is extreme at ~2.9MB. How can I reduce the file size?&lt;/p&gt;
&lt;p&gt;I have removed all unnecessary references etc. but the size remains high.&lt;/p&gt;
&lt;p&gt;There is also no help in the documentation on this or any post on the OutSystems forum that I could find.&lt;/p&gt;
</t>
  </si>
  <si>
    <t xml:space="preserve">&lt;p&gt;So I have a table that shows the entries. Users click on a button to open a fragment page to edit the data. &lt;/p&gt;
&lt;pre&gt;&lt;code&gt;app.datasources.SystemOrders.selectKey(widget.datasource.item._key);
app.showDialog(app.pageFragments.SystemOrders_Edit);
&lt;/code&gt;&lt;/pre&gt;
&lt;p&gt;This part works fine. &lt;/p&gt;
&lt;p&gt;I have changed my datasource to &lt;strong&gt;Manual Save Mode&lt;/strong&gt; to be able to utilize the "email notification for changes" functions that are used in the Project Tracker sample. So that a user can make changes, hit a Save (Close) Button and an email goes out showing the changes.&lt;/p&gt;
&lt;p&gt;The problem is that when the user closes the fragment, the table does not update (they have the same datasource). When I was in automatic save mode, I was able to utilize the following to force the table to reload so it reflected  any changes: &lt;/p&gt;
&lt;pre&gt;&lt;code&gt;var datasource = app.datasources.SystemOrders_HideComplete;
datasource.load();
app.closeDialog();
&lt;/code&gt;&lt;/pre&gt;
&lt;p&gt;So I figured I just needed to add the widget.datasource.saveChanges(); option for the Close Button. &lt;/p&gt;
&lt;pre&gt;&lt;code&gt;widget.datasource.saveChanges();
var datasource = app.datasources.SystemOrders_HideComplete;
    datasource.load();
    app.closeDialog();
&lt;/code&gt;&lt;/pre&gt;
&lt;p&gt;Unfortunately, when I use the above I get the following error and the table seems like it gets stuck trying to reload (the spinner keeps spinning). &lt;/p&gt;
&lt;p&gt;&lt;strong&gt;"Cannot query records on models with changes."&lt;/strong&gt;&lt;/p&gt;
&lt;p&gt;I'm assuming this is maybe because the datasource hasn't finished saving the new change, before trying to reload the datasouce?&lt;/p&gt;
&lt;p&gt;How can I have the Save (Close) Button:&lt;/p&gt;
&lt;p&gt;Save the changes&lt;/p&gt;
&lt;p&gt;Close the dialog&lt;/p&gt;
&lt;p&gt;Refresh the table so it reflects the changes?&lt;/p&gt;
&lt;p&gt;Thank you for your help. &lt;/p&gt;
</t>
  </si>
  <si>
    <t xml:space="preserve">&lt;p&gt;You can try to refresh datasource in save callback(assuming that you are actually sharing datasource between page fragment and page):&lt;/p&gt;
&lt;pre class="lang-js prettyprint-override"&gt;&lt;code&gt;widget.datasource.saveChanges(function() {
  widget.datasource.load();
  app.closeDialog();
});
&lt;/code&gt;&lt;/pre&gt;
</t>
  </si>
  <si>
    <t xml:space="preserve">&lt;p&gt;I am a pretty new to App Maker.  I have a form that the user completes called &lt;strong&gt;CreditApplication&lt;/strong&gt; (it's linked datasource is also called &lt;strong&gt;CreditApplication&lt;/strong&gt;).&lt;br&gt;
This form has a Submit button. Upon submission, I want an email with a link to the record that was just completed to be emailed to another user.&lt;/p&gt;
&lt;p&gt;I am having trouble creating this link.  I would like the link to bring the emailed user to the same record in the &lt;strong&gt;CreditApplication&lt;/strong&gt; form. 
I have listed what I have below.&lt;/p&gt;
&lt;p&gt;The &lt;strong&gt;CreditApplication&lt;/strong&gt; form has a &lt;strong&gt;Submit&lt;/strong&gt; button with the onClick set to:&lt;/p&gt;
&lt;pre&gt;&lt;code&gt;createRequest(widget).
&lt;/code&gt;&lt;/pre&gt;
&lt;p&gt;The &lt;strong&gt;CreditApplication&lt;/strong&gt; datasource has the following code in the &lt;strong&gt;onCreate&lt;/strong&gt; event:&lt;/p&gt;
&lt;pre&gt;&lt;code&gt;var to = "jdoe@gmail.com";
var subject = "New Online Credit Application Submission - " + record.FirstName + " (Sales Contact: " + record.SalesContact + ")";
var msg = "A credit application has been submitted for " + record.FirstName + "." + "&amp;lt;br&amp;gt;&amp;lt;br&amp;gt;";
var appUrl = ScriptApp.getService().getUrl() + '#CreditApplication?requestId=' + record._key;
msg = msg + appUrl;
MailApp.sendEmail(to, subject, msg, {htmlBody: msg});   
&lt;/code&gt;&lt;/pre&gt;
&lt;p&gt;My client javascript code is in a library called ClientScripts and is displayed below:&lt;/p&gt;
&lt;pre&gt;&lt;code&gt;/**
 * Replaces the url history state to reflect the changes upon navigation
 *     from a different screen.
 * @param {String} requestId - id of the selected request.
 */
function replaceUrlForReadRequest(requestId) {
  var params = {
    requestId: requestId
  };
  google.script.history.replace(null, params, app.pages.NewPage1.name);
}
/**
 * Replaces the url history state to reflect the changes upon navigation
 *     from a different screen.
 * @param {Page} page - application page to navigate.
 */
function replaceUrlForPage(page) {
  var params = {};
  google.script.history.replace(null, params, page.name);
}
/**
 * Creates a new request and redirects user to the read screen afterwards.
 * @param {Widget} submitButton - button that triggers the action.
 */
function createRequest(submitButton) {
  if (!submitButton.root.validate()) {
    return;
  }
  var NewPage1 = app.pages.NewPage1;
  submitButton.datasource.createItem(function(record) {    
    if (app.currentPage === NewPage1) {
      replaceUrlForReadRequest(record._key);     
    }
  });  
  app.showPage(NewPage1);
  replaceUrlForPage(NewPage1);
}
&lt;/code&gt;&lt;/pre&gt;
</t>
  </si>
  <si>
    <t xml:space="preserve">&lt;p&gt;&lt;strong&gt;Short Version:&lt;/strong&gt; &lt;/p&gt;
&lt;p&gt;I am using the code from the Project Tracker Template to send out emails showing the change in a status for a field (Contact Name changed from: Billy -&gt; Susan). &lt;/p&gt;
&lt;p&gt;Everything works perfectly expect when I have a field that is a Date instead of a String. If I have a Date field in the code I get the following error: &lt;/p&gt;
&lt;p&gt;&lt;strong&gt;'string' value is expected for 'NewValue' field in model 'SystemOrdersHistory', but found object. Error: 'string' value is expected for 'NewValue' field in model 'SystemOrdersHistory', but found object. at onSystemOrdersSave_ (Datasources:218) at models.SystemOrders.onSaveEvent:1&lt;/strong&gt;&lt;/p&gt;
&lt;p&gt;&lt;strong&gt;Modifying records: (Error) : 'string' value is expected for 'NewValue' field in model 'SystemOrdersHistory', but found object.&lt;/strong&gt;&lt;/p&gt;
&lt;p&gt;&lt;strong&gt;(Error) : 'string' value is expected for 'NewValue' field in model 'SystemOrdersHistory', but found object.&lt;/strong&gt;&lt;/p&gt;
&lt;p&gt;Any help would be greatly appreciated!&lt;/p&gt;
&lt;hr&gt;
&lt;p&gt;&lt;strong&gt;Long Version&lt;/strong&gt;&lt;/p&gt;
&lt;p&gt;I am using the code below (adjusted to fit the names of my models and fields).&lt;/p&gt;
&lt;p&gt;Whenever I add a Date field (ex: DeliveryDate) to the function "notifyAboutItemChanges_" function and the "onSystemOrdersSave_" function I get the error about "expecting a string, but found an object".&lt;/p&gt;
&lt;p&gt;Note: The OldValue and NewValue fields in the "History" model are both Strings.&lt;/p&gt;
&lt;p&gt;Notifications Server Script:&lt;/p&gt;
&lt;pre&gt;&lt;code&gt;/**
 * Sends email.
 * @param {!string} to - email address of a recipient.
 * @param {!string} subject - subject of email message.
 * @param {!string} body - body of email message.
 */
function sendEmail_(to, subject, body) {
  try {
    MailApp.sendEmail({
      to: to,
      subject: subject,
      htmlBody: body,
      noReply: true
    });
   } catch (e) {
    // Suppressing errors in email sending because email notifications
    //   are not critical for the functioning of the app.
    console.error(JSON.stringify(e));
  }
}
/**
 * Sends email notification about recent project item changes to item owner
 *     and assignee.
 * @param {!Array&amp;lt;ItemHistory&amp;gt;} changes - list of recent project item changes.
 */
function notifyAboutItemChanges_(changes) {
  if (!changes || changes.length &amp;lt; 2) {
    return;
  }
  var settings = getAppSettingsRecord_()[0];
  if (!settings.EnableEmailNotifications) {
    return;
  }
  var data = {
    appUrl: settings.AppUrl,
    itemShowName: changes[0].ShowName,
    itemUsersPosition: changes[0].UsersPosition,
    itemDeliveryInfo: changes[0].DeliveryInfo,
    itemDeliveryDate: changes[0].DeliveryDate,
    itemKey: changes[0]._key,
    itemName: changes[0].Name,
    modifiedBy: changes[0].ModifiedBy,
    changes: changes
  };
  // Email subject.
  var subjectTemplate =
      HtmlService.createTemplate(settings.NotificationEmailSubject);
  subjectTemplate.data = data;
  var subject = subjectTemplate.evaluate().getContent();
  // Email body.
  var emailTemplate =
      HtmlService.createTemplate(settings.NotificationEmailBody);
  emailTemplate.data = data;
  var htmlBody = emailTemplate.evaluate().getContent();
  sendEmail_('user@gmail.com', subject, htmlBody);
&lt;/code&gt;&lt;/pre&gt;
&lt;p&gt;Datasources Server Script: &lt;/p&gt;
&lt;pre&gt;&lt;code&gt;/**
 * Item key URL parameter.
 */
var ITEM_KEY = 'itemKey';
/**
 * Checks that Application Settings record already exists.
 *     Otherwise creates a new one.
 * @return {!Array&amp;lt;AppSettings&amp;gt;} app settings record as an array.
 */
function getAppSettingsRecord_() {
  var newQuery = app.models.AppSettings.newQuery();
  var settingsRecords = newQuery.run();
  if (settingsRecords.length &amp;gt; 1) {
    console.warn('There is more than one(%s) App Settings entries' + 
                 'in the database', settingsRecords.length);
  }
  if (settingsRecords.length === 0) {
    var settingsRecord = app.models.AppSettings.newRecord();
    settingsRecord.AppUrl = ScriptApp.getService().getUrl();
    settingsRecord.NotificationEmailSubject =
      'A change has been made to &amp;lt;?= data.itemShowName?&amp;gt;: &amp;lt;?= data.itemUsersPosition?&amp;gt;';
    settingsRecord.NotificationEmailBody =
      'Hello!\n&amp;lt;br/&amp;gt;\n&amp;lt;p&amp;gt;&amp;lt;b&amp;gt;&amp;lt;?= data.modifiedBy ?&amp;gt;&amp;lt;/b&amp;gt; ' +
      'made the following changes: &amp;lt;/p&amp;gt;\n' +
      '&amp;lt;? for (var i = 1; i &amp;lt; data.changes.length; i++) {\n' +
      '\tvar change = data.changes[i]; ?&amp;gt;\n' +
      '\t&amp;lt;b&amp;gt;&amp;lt;?= change.FieldName ?&amp;gt;: &amp;lt;/b&amp;gt;\n' +
      '\t&amp;lt;? if (change.FieldName === "Comment") { ?&amp;gt;\n' +
      '\t\t&amp;lt;div style="white-space: pre-line;"&amp;gt;&amp;lt;?= change.NewValue ?&amp;gt;&amp;lt;/div&amp;gt;' +
      '\n\t&amp;lt;? } else { ?&amp;gt;\n ' +
      '\t\t&amp;lt;?= change.OldValue ?&amp;gt; &amp;amp;#8594; &amp;lt;?= change.NewValue ?&amp;gt;' +
      '\n\t&amp;lt;? } ?&amp;gt;\n\t&amp;lt;br/&amp;gt;\n' +
      '&amp;lt;? } ?&amp;gt;\n&amp;lt;br/&amp;gt;\n' +
      '&amp;lt;a href="&amp;lt;?= data.appUrl ?&amp;gt;?' + ITEM_KEY + '=&amp;lt;?= data.itemKey ?&amp;gt;' +
      '#EditItem" target="_blank"&amp;gt;Go to the project item&amp;lt;/a&amp;gt;';
    app.saveRecords([settingsRecord]);
    return [settingsRecord];
  } else {
    return settingsRecords;
  }
}
/**
 * Populates project record with required data on project create event.
 * @param {!Project} project - project being created.
 */
function onProjectCreate_(project) {
  var date = new Date();
  project.CreatedDate = date;
  project.ModifiedDate = date;
  project.ModifiedBy = currentUserEmail_();
}
/**
 * Audits project on changes.
 * @param {!Project} project - project being modified.
 */
function onProjectSave_(project) {
  project.ModifiedDate = new Date();
  project.ModifiedBy = currentUserEmail_();
}
/**
 * Populates project item with required data on item create event, adds
 *     comment entry to the project item history.
 * @param {!SystemOrders} SystemOrders - project item being created.
 */
function onSystemOrdersCreate_(SystemOrders) {
  var date = new Date();
  var editor = currentUserEmail_();
  if (SystemOrders.Comment) {
    SystemOrders.Comment = SystemOrders.Comment.trim();
  }
  SystemOrders.CreatedDate = date;
  SystemOrders.Owner = editor;
  SystemOrders.ModifiedDate = date;
  SystemOrders.ModifiedBy = editor;
  if (SystemOrders.Comment) {
    var history = app.models.SystemOrdersHistory.newRecord();
    history.CreatedBy = currentUserEmail_();
    history.CreatedDate = new Date();
    history.FieldName = 'Comment';
    history.NewValue = SystemOrders.Comment;
    app.saveRecords([history]);
    SystemOrders.History.push(history);
  }
}
/**
 * Calculates history entries sum for {Array&amp;lt;SystemOrders&amp;gt;}.
 * @param {!number} historySum - the accumulated number of history entries
 *     previously returned in the last invocation of the callback, or
 *     initialValue, if supplied.
 * @param {!SystemOrders} SystemOrders - the current {SystemOrders} being
 *     processed in the array.
 * @return {!number} history entries sum.
 */
function sumHistory_(historySum, SystemOrders) {
  return historySum + SystemOrders.History.length;
}
/**
 * Calculates potential project deletion impact.
 * Throws an error if there is no project with the key provided.
 * @param {!string} projectKey - project key to calculate deletion impact.
 */
function getDeleteProjectImpact(projectKey) {
  var projectQuery = app.models.Project.newQuery();
  projectQuery.prefetch.Items._add();
  projectQuery.prefetch.Items.History._add();
  projectQuery.filters._key._equals = projectKey;
  var projects = projectQuery.run();
  if (projects.length === 0) {
    throw new Error('Project with key ' + projectKey + ' was not found.');
  }
  var SystemOrderss = projects[0].Items;
  return {
    affectedItems: SystemOrderss.length,
    affectedHistory: SystemOrderss.reduce(sumHistory_, 0)
  };
}
/**
 * Checks that project item readonly fields were not modified.
 * Throws an error if user attempts to modify read only fields.
 * @param {!SystemOrders} record - modified project item.
 * @param {!SystemOrders} oldRecord - project item before modification.
 */
function validateItemChange_(record, oldRecord) {
  var readonlyFields = [
    'CreatedDate',
    'ModifiedBy',
    'ModifiedDate',
    'Owner'
  ];
  for (var i = 0; i &amp;lt; readonlyFields.length; i++) {
    var field = readonlyFields[i];
    var newValue = record[field];
    var oldValue = oldRecord[field];
    var isDate = newValue instanceof Date &amp;amp;&amp;amp; oldValue instanceof Date;
    if (isDate === true) {
      newValue = record[field].getDate();
      oldValue = oldRecord[field].getDate();
    }
    if (newValue === oldValue) {
      continue;
    }
    throw new Error(field + ' field is read only');
  }
}
/**
 * Handles project item change event, creates history entries for each changed
 *     field.
 * @param {!SystemOrders} record - modified project item.
 * @param {!SystemOrders} oldRecord - project item before modification.
 */
function onSystemOrdersSave_(record, oldRecord) {
  validateItemChange_(record, oldRecord);
  var editableFields = [
    'ShowName',
    'UsersPosition',
    'DeliveryInfo',
    'DeliveryDate'
    ];
  var editor = currentUserEmail_();
  var date = new Date();
  var changes = [record];
  record.ModifiedBy = editor;
  record.ModifiedDate = date;
  for (var i = 0; i &amp;lt; editableFields.length; i++) {
    var field = editableFields[i];
    var newValue = record[field];
    var oldValue = oldRecord[field];
    if (newValue !== oldValue) {
      var history = app.models.SystemOrdersHistory.newRecord();
      history.Item = record;
      history.CreatedBy = editor;
      history.CreatedDate = date;
      history.FieldName = field;
      history.NewValue = newValue;
      history.OldValue = oldValue;
      changes.push(history);
    }
  }
  app.saveRecords(changes);
  notifyAboutItemChanges_(changes);
}
/**
 * Counts project items by some grouping criteria(field).
 * @param {!string} projectKey - project key to calculate stats.
 * @param {!string} grouping - project item field to group items by.
 * @param {!Array&amp;lt;string&amp;gt;} groupingValues - possible field values.
 * @return {!Array&amp;lt;SystemOrderssBreakdown&amp;gt;} grouped project items counts.
 */
function getSystemOrderssBreakdown_(projectKey, grouping, groupingValues) {
  if (!grouping || !groupingValues || groupingValues.length === 0) {
    return [];
  }
  var itemsQuery = app.models.SystemOrders.newQuery();
  itemsQuery.prefetch.Project._add();
  itemsQuery.filters.Project._key._equals = projectKey;
  var items = itemsQuery.run();
  if (items.length === 0) {
    return [];
  }
  var records = [];
  var map = {};
  for (var i = 0; i &amp;lt; items.length; i++) {
    var itemGrouping = items[i][grouping];
    if (!map[itemGrouping]) {
      map[itemGrouping] = 0;
    }
    map[itemGrouping]++;
  }
  for (i = 0; i &amp;lt; groupingValues.length; i++) {
    var breakdownRecord = app.models.SystemOrderssBreakdown.newRecord();
    var groupingValue = groupingValues[i];
    breakdownRecord.Grouping = groupingValue;
    breakdownRecord.ItemsCount = map[groupingValue] || 0;
    records.push(breakdownRecord);
  }
  return records;
}
&lt;/code&gt;&lt;/pre&gt;
</t>
  </si>
  <si>
    <t xml:space="preserve">&lt;p&gt;It fails here:&lt;/p&gt;
&lt;pre class="lang-js prettyprint-override"&gt;&lt;code&gt;// history.NewValue and history.OldValue are strings
// newValue and oldValue can be of any type (Boolean, Number, Date,
// but not a relation as of now)
// You are getting an exception because you are not casting types
history.NewValue = newValue;
history.OldValue = oldValue;
&lt;/code&gt;&lt;/pre&gt;
&lt;ol&gt;
&lt;li&gt;&lt;p&gt;You can fix it by adding fields of each possible type to your history model (NewStringValue, NewDateValue, NewBoolValue, NewNumberValue, OldStringValue...). With that approach you'll get benefits of strong typing, but your code and UI will become significantly more complex...&lt;/p&gt;&lt;/li&gt;
&lt;li&gt;&lt;p&gt;You can store all your fields' history as strings(like you are doing now), but in this case you'll need to think about formatting and localization in advance:&lt;/p&gt;&lt;/li&gt;
&lt;/ol&gt;
&lt;pre class="lang-js prettyprint-override"&gt;&lt;code&gt;function fieldToString(field, fieldValue) {
  // TODO: pass field metadata to individually handle
  // different data types.
  return fieldValue !== null ? fieldValue.toString() : null;
}
...
history.NewValue = fieldToString(field, newValue);
history.OldValue = fieldToString(field, oldValue);
...
&lt;/code&gt;&lt;/pre&gt;
</t>
  </si>
  <si>
    <t xml:space="preserve">&lt;p&gt;I am working on to use Microsoft Common Data Services SDK methods in ASP.Net Web API. When I am creating connection to the common data service, it is giving a prompt to sign in with azure id but after login it does not return response to web API to proceed further.&lt;/p&gt;
&lt;p&gt;This is working fine when I am using the SDK methods inside console application, I am able to perform CRUD operations on CDS database from console application.&lt;/p&gt;
&lt;p&gt;Please suggest how to use the SDK methods in ASP.Net web API? I want to avoid the login prompt as my application is a web API service which will run in background and there will no user interaction. Is there a way to define login credentials in config file or in code to avoid the login prompt?&lt;/p&gt;
&lt;p&gt;Thanks&lt;/p&gt;
</t>
  </si>
  <si>
    <t xml:space="preserve">&lt;p&gt;I am trying to establish a connection via shell on the VPS with this code:  &lt;/p&gt;
&lt;pre&gt;&lt;code&gt;import smtplib
from email.mime.text import MIMEText
sender = 'my zoho email'
recipient = 'my gmail account email'
msg = MIMEText("Message text")
msg['Subject'] = "Sent from python"
msg['From'] = sender
msg['To'] = recipient
server = smtplib.SMTP_SSL('smtp.zoho.com', 465)
# Perform operations via server
server.login('my zoho account email', '*********')
&lt;/code&gt;&lt;/pre&gt;
&lt;p&gt;All the credentials are correct, since I am login in successfully to my account at &lt;a href="https://www.zoho.eu/mail/" rel="nofollow noreferrer"&gt;https://www.zoho.eu/mail/&lt;/a&gt;&lt;/p&gt;
&lt;p&gt;When i try to login with:&lt;/p&gt;
&lt;pre&gt;&lt;code&gt;server.login('my zoho account email', '*********')
&lt;/code&gt;&lt;/pre&gt;
&lt;p&gt;I get SMTPAuthenticationError and the stack trace shows:&lt;/p&gt;
&lt;pre&gt;&lt;code&gt; self.connection.login(force_str(self.username), force_str(self.password)) 
 ...
 raise SMTPAuthenticationError(code, resp)
&lt;/code&gt;&lt;/pre&gt;
&lt;p&gt;my settings.py is:&lt;/p&gt;
&lt;pre&gt;&lt;code&gt;EMAIL_BACKEND = 'django.core.mail.backends.smtp.EmailBackend'     
EMAIL_USE_TSL = True
EMAIL_PORT = 465
EMAIL_HOST = 'smtp.zoho.com'
EMAIL_HOST_USER = '**********'
EMAIL_HOST_PASSWORD = '*********'
&lt;/code&gt;&lt;/pre&gt;
&lt;p&gt;There are numerous threads about this on the web but, not even one has an answer about it. Their support doesn't answer for third day now...&lt;/p&gt;
&lt;p&gt;I am using NGINX and the default configuration is not set for https:// but my custom configuration is and the website is running over https://.&lt;/p&gt;
&lt;p&gt;Edit: If I try to connect over port 587 with:&lt;/p&gt;
&lt;pre&gt;&lt;code&gt;server = smtplib.SMTP_SSL('smtp.zoho.com', 587)
&lt;/code&gt;&lt;/pre&gt;
&lt;p&gt;I get:&lt;/p&gt;
&lt;pre&gt;&lt;code&gt;SSLError: [SSL: UNKNOWN_PROTOCOL] unknown protocol (_ssl.c:590)
&lt;/code&gt;&lt;/pre&gt;
</t>
  </si>
  <si>
    <t xml:space="preserve">&lt;p&gt;Turns out I was registered under the European host of zoho so I fixed it by changing the EMAIL_HOST to 'smtp.zoho.eu'&lt;/p&gt;
</t>
  </si>
  <si>
    <t xml:space="preserve">&lt;p&gt;as the title states, I need to create a 'Compact' style variant for a dropdown widget. But I can't figure out how to target the dropdown items (rows) with it.
This works to target all the dropdowns: &lt;/p&gt;
&lt;pre&gt;&lt;code&gt;.app-Dropdown-Item {  
  padding: 0px !important;
}
&lt;/code&gt;&lt;/pre&gt;
&lt;p&gt;Here's how I've tried to do it with the style variant to target only specific widgets:&lt;/p&gt;
&lt;pre&gt;&lt;code&gt;.app-Dropdown--Compact .app-Dropdown-Item {
  padding: 0px !important;
}
&lt;/code&gt;&lt;/pre&gt;
&lt;p&gt;This has worked for me before, like with Tabs-widget's header:&lt;/p&gt;
&lt;pre&gt;&lt;code&gt;.app-Tabs--RedBg .app-Tabs-Header {
  background-color: red;
  color: white;
}
&lt;/code&gt;&lt;/pre&gt;
&lt;p&gt;I would suspect it could have something to do with the list items being not immediate sub-items of the dropdown widget, but I'm not sure.&lt;/p&gt;
&lt;p&gt;Thanks for your help!&lt;/p&gt;
</t>
  </si>
  <si>
    <t xml:space="preserve">&lt;p&gt;It looks like it is not possible to create custom style variants for dropdown items at this time... So, the only way to style dropdown items individually is to write style for particular dropdown:&lt;/p&gt;
&lt;pre class="lang-css prettyprint-override"&gt;&lt;code&gt;.app-PageName-DropdownName-List &amp;gt; .app-Dropdown-Item {
  padding: 0px; /* it seems that this rule works without !important */
}
&lt;/code&gt;&lt;/pre&gt;
</t>
  </si>
  <si>
    <t xml:space="preserve">&lt;p&gt;In Google App Maker I have an HTML widget with the following tag:&lt;/p&gt;
&lt;pre&gt;&lt;code&gt;&amp;lt;div id='map'&amp;gt;&amp;lt;/div&amp;gt;
&lt;/code&gt;&lt;/pre&gt;
&lt;p&gt;I create the map in the div like this:&lt;/p&gt;
&lt;pre&gt;&lt;code&gt;map = new google.maps.Map(document.getElementById('map'), 
{
  zoom: 11,
  center: {lat: 41.879, lng: -87.624}
});
&lt;/code&gt;&lt;/pre&gt;
&lt;p&gt;This works fine in Firefox and IE, but in Chrome the map just does not appear.  There are no errors, just an empty widget.  BTW, I can show the actual Map widget fine in Chrome but I need it to be in the HTML widget.&lt;/p&gt;
&lt;p&gt;Has anybody run into this?&lt;/p&gt;
&lt;p&gt;Thanks for any tips or pointers.&lt;/p&gt;
&lt;p&gt;Scott&lt;/p&gt;
</t>
  </si>
  <si>
    <t xml:space="preserve">&lt;p&gt;I have a Page Fragment that allows users to create an entry. When they click the send button it runs the following: &lt;/p&gt;
&lt;pre&gt;&lt;code&gt;newSOEmailMessage(widget);
widget.datasource.createItem();
app.closeDialog();
&lt;/code&gt;&lt;/pre&gt;
&lt;p&gt;This activates a Client Script that sends an email to the user which includes the values from the widget fields: &lt;/p&gt;
&lt;pre&gt;&lt;code&gt;function newSOEmailMessage(sendButton) {
  var pageWidgets = sendButton.root.descendants;
  var currentuser = Session.getActiveUser().getEmail();
  var htmlbody = currentuser + 'has created new system order for: &amp;lt;h1&amp;gt;&amp;lt;span style="color:#2196F3"&amp;gt;' + pageWidgets.ShowName.value + ' - ' + pageWidgets.UsersPosition.value + '&amp;lt;/h1&amp;gt;' +
      '&amp;lt;p&amp;gt;R2 Order #: &amp;lt;b&amp;gt;' + pageWidgets.R2OrderNumber.value + '&amp;lt;/b&amp;gt;' +
      '&amp;lt;p&amp;gt;Delivery Date: &amp;lt;b&amp;gt;' + pageWidgets.DeliveryDate.value.toDateString() + '&amp;lt;/b&amp;gt;' +
      '&amp;lt;p&amp;gt;Start of Billing: &amp;lt;b&amp;gt;' + pageWidgets.SOB.value.toDateString() + '&amp;lt;/b&amp;gt;' +
      '&amp;lt;p&amp;gt;Sales Person: &amp;lt;b&amp;gt;' + pageWidgets.SalesPerson.value + '&amp;lt;/b&amp;gt;' + 
      '&amp;lt;p&amp;gt;&amp;amp;nbsp;&amp;lt;/p&amp;gt;' +
      '&amp;lt;p&amp;gt;Company: &amp;lt;b&amp;gt;' + pageWidgets.Company.value + '&amp;lt;/b&amp;gt;' +          
      '&amp;lt;p&amp;gt;&amp;amp;nbsp;&amp;lt;/p&amp;gt;' +
      '&amp;lt;p&amp;gt;Notes: &amp;lt;b&amp;gt;' + pageWidgets.Notes.value + '&amp;lt;/b&amp;gt;';
  google.script.run
    .withSuccessHandler(function() {
     })
    .withFailureHandler(function(err) {
      console.error(JSON.stringify(err));
    })
    .sendEmailCreate(
      'user@email.com',
      'New order for: ' + pageWidgets.ShowName.value + ' - ' + pageWidgets.UsersPosition.value,
      htmlbody);
}
&lt;/code&gt;&lt;/pre&gt;
&lt;p&gt;All of this works fine except the "currentuser" option (after var htmlbody =). With the code above I get the following error:&lt;/p&gt;
&lt;pre&gt;&lt;code&gt;Session is not defined
at newSOEmailMessage (Notifications_ClientScripts:7:45)
at SystemOrders_Add.SubmitButton.onClick:1:1
&lt;/code&gt;&lt;/pre&gt;
&lt;p&gt;I would like "currentuser" to equal the email address (or preferably the user's actual name). &lt;/p&gt;
&lt;p&gt;ex: "&lt;strong&gt;John Doe&lt;/strong&gt; has created a new system order for..."&lt;/p&gt;
&lt;p&gt;What am I missing? &lt;/p&gt;
&lt;p&gt;Thank you!&lt;/p&gt;
&lt;p&gt;&lt;em&gt;Note: I already have a Directory Model setup to show user's names in a comments section for a different Model. That Model is running the following (I'm assuming I could add that to my SystemOrders model?)&lt;/em&gt;&lt;/p&gt;
&lt;pre&gt;&lt;code&gt;// onCreate
var email = Session.getActiveUser().getEmail();
var directoryQuery = app.models.Directory.newQuery();
directoryQuery.filters.PrimaryEmail._equals = email;
var reporter = directoryQuery.run()[0];
&lt;/code&gt;&lt;/pre&gt;
</t>
  </si>
  <si>
    <t xml:space="preserve">&lt;p&gt;Looks like you are mixing server and client side APIs&lt;/p&gt;
&lt;pre class="lang-js prettyprint-override"&gt;&lt;code&gt;// It is server side API
var email = Session.getActiveUser().getEmail();
// It is client side API
var email = app.user.email;
&lt;/code&gt;&lt;/pre&gt;
&lt;p&gt;If you want to utilize user Full Name from the directory, then you need to load it advance, for instance in app startup script:&lt;/p&gt;
&lt;pre class="lang-js prettyprint-override"&gt;&lt;code&gt;// App startup script
// CurrentUser - assuming that it is Directory model's datasource
// configured to load record for current user.
loader.suspendLoad();
app.datasources.CurrentUser.load({
  success: function() {
    loader.resumeLoad();
  },
  failure: function(error) {
   // TODO: Handle error
  }
});
&lt;/code&gt;&lt;/pre&gt;
&lt;p&gt;So, you can refer to this datasource item later in your code:&lt;/p&gt;
&lt;pre class="lang-js prettyprint-override"&gt;&lt;code&gt;var fullName = app.datasources.CurrentUser.item.FullName;
&lt;/code&gt;&lt;/pre&gt;
&lt;p&gt;Also, I would recommend send emails only when record is actually created:&lt;/p&gt;
&lt;pre class="lang-js prettyprint-override"&gt;&lt;code&gt;// Sends async request to server to create record
widget.datasource.createItem(function() {
   // Record was successfully created
   newSOEmailMessage(widget);  
});
&lt;/code&gt;&lt;/pre&gt;
</t>
  </si>
  <si>
    <t xml:space="preserve">&lt;p&gt;&lt;strong&gt;Short Version:&lt;/strong&gt; I want to have my Copy button in a table to be able to grab the values from an existing entry and populate those into a "Create Entry" Page Fragment. This way users don't have to reenter all the data when making a new entry.&lt;/p&gt;
&lt;hr&gt;
&lt;p&gt;&lt;strong&gt;Long Version:&lt;/strong&gt; &lt;/p&gt;
&lt;p&gt;I have two buttons added the rows in my table: Edit and Copy.&lt;/p&gt;
&lt;p&gt;&lt;a href="https://i.stack.imgur.com/yDB95.png" rel="nofollow noreferrer"&gt;&lt;img src="https://i.stack.imgur.com/yDB95.png" alt="enter image description here"&gt;&lt;/a&gt;&lt;/p&gt;
&lt;p&gt;The Edit Button uses the following code to grab the information from that specific row and uses the Fragment to edit the entry. &lt;/p&gt;
&lt;pre&gt;&lt;code&gt;widget.datasource.saveChanges();
app.datasources.SystemOrders.selectKey(widget.datasource.item._key);
app.showDialog(app.pageFragments.SystemOrders_Edit);
&lt;/code&gt;&lt;/pre&gt;
&lt;p&gt;The Copy button is currently using the following code to duplicate the entry and automatically create it. &lt;/p&gt;
&lt;pre&gt;&lt;code&gt;//Allows for copying table/row
var rowDataSource = widget.datasource;
var listDatasource = app.datasources.SystemOrders_HideComplete;
var createDataSource = listDatasource.modes.create;
widget.datasource.saveChanges();
// Enter fields you want to duplicate below
createDataSource.item.ProjectName = rowDataSource.item.ShowName;
createDataSource.item.DeliveryInfo = rowDataSource.item.DeliveryInfo;
createDataSource.item.SOB = rowDataSource.item.SOB;
createDataSource.item.DeliveryDate = rowDataSource.item.DeliveryDate;
createDataSource.item.Company = rowDataSource.item.Company;
createDataSource.item.Location = rowDataSource.item.Location;
 createDataSource.item.AdditionalPeripherals = rowDataSource.item.AdditionalPeripherals;
createDataSource.item.Notes = rowDataSource.item.Notes;
createDataSource.createItem();
&lt;/code&gt;&lt;/pre&gt;
&lt;p&gt;I would like to change this behavior so that the Copy button grab the values from those specific fields, however instead of doing a createDataSource/createItem(); I want it to place those values into a Page Fragment (ex: SystemOrders_Add) that has the corresponding fields.&lt;/p&gt;
&lt;p&gt;This way the user can click "Copy" and the SystemOrders_Add Fragment appears with pre-populated values. &lt;/p&gt;
&lt;p&gt;I want to make sure these values are only in the Page Fragment and do not get commited until the user presses the Submit button. &lt;/p&gt;
&lt;pre&gt;&lt;code&gt;newSOEmailMessage(widget);
widget.datasource.createItem();
app.closeDialog();
&lt;/code&gt;&lt;/pre&gt;
&lt;p&gt;Thank you for your help! &lt;/p&gt;
</t>
  </si>
  <si>
    <t xml:space="preserve">&lt;p&gt;Thank you to Pavel and Wilmar. The solution that worked for me is listed below: &lt;/p&gt;
&lt;pre&gt;&lt;code&gt;//Allows for copying table/row
var rowDataSource = widget.datasource;
var listDatasource = app.datasources.SystemOrders_HideComplete;
var createDataSource = listDatasource.modes.create;
widget.datasource.saveChanges();
// Enter fields you want to duplicate below
createDataSource.item.ShowName = rowDataSource.item.ShowName;
createDataSource.item.DeliveryInfo = rowDataSource.item.DeliveryInfo;
createDataSource.item.SOB = rowDataSource.item.SOB;
createDataSource.item.Notes = rowDataSource.item.Notes;
app.datasources.SystemOrders.selectKey(widget.datasource.item._key);
app.showDialog(app.pageFragments.SystemOrders_Add);
&lt;/code&gt;&lt;/pre&gt;
</t>
  </si>
  <si>
    <t xml:space="preserve">&lt;p&gt;I am creating a Microsoft Flow, and I am connecting to Common Data Service and getting records from an entity. For that I added "When a record is created" action and configured to monitor the database. But the step is running only 60 sec (1min) all the time even I change the Timeout duration. I wish to run this flow for long time infinitely. If infinite not possible at least one month.&lt;/p&gt;
&lt;p&gt;Can you please let me know how to increase the duration the "When a record is created" action to look a CDS.&lt;/p&gt;
&lt;p&gt;Many Thanks, Thirumalai M&lt;/p&gt;
</t>
  </si>
  <si>
    <t xml:space="preserve">&lt;p&gt;I want to use Radio for the possible selection of a field.  I have found that I am required to select one of the values.  Is it possible to use radio buttons for a field and not require the user to select one?  (I don't want to use a null default value as that gives me an odd looking, blank radio button).&lt;/p&gt;
</t>
  </si>
  <si>
    <t xml:space="preserve">&lt;p&gt;I've been using Google App Maker for a few months now, but tried to log into an existing App today and am getting this error: &lt;/p&gt;
&lt;p&gt;&lt;a href="https://i.stack.imgur.com/WmIdU.png" rel="nofollow noreferrer"&gt;&lt;img src="https://i.stack.imgur.com/WmIdU.png" alt="enter image description here"&gt;&lt;/a&gt;&lt;/p&gt;
&lt;p&gt;The published app still seems to be working. But, I tested two different admin accounts to try and edit it and both get the same error. I looked under the G Suites Admin Panel and don't see App Maker in the G Suite Apps or Additional Google Services section. &lt;/p&gt;
&lt;p&gt;Who do I need to contact? Should I submit something to the &lt;a href="https://issuetracker.google.com/issues?q=status:open%20componentid:192783%2B%20type:bug" rel="nofollow noreferrer"&gt;Issue Tracker&lt;/a&gt;?&lt;/p&gt;
</t>
  </si>
  <si>
    <t xml:space="preserve">&lt;p&gt;If App Maker is no longer showing in your Admin Console then it seems there is a problem with your G Suite account. There are other reports in the App Maker Google Group from other users who are also reporting something similar hence I believe this is a bug. Please don't use Issue Trackers since this is mainly used to report bugs or issues found inside the App Maker service. &lt;/p&gt;
&lt;p&gt;You must contact G Suite Support to report this since this an issues associated with the services inside the Admin Console. There is an App Maker Team in G Suite Support that will be able to help on this. More info on how to contact G Suite is available here &lt;a href="https://support.google.com/a/answer/1047213" rel="nofollow noreferrer"&gt;https://support.google.com/a/answer/1047213&lt;/a&gt;&lt;/p&gt;
</t>
  </si>
  <si>
    <t xml:space="preserve">&lt;p&gt;I have a shared application in Powerapps using 2 different SQL connections hosted by 2 different On-Premise gateways.  Multiple users are using the App without issue -- everyone has the same share permissions (shared with app, gateways and connections).  For both SQL Server connections, a service account is used to connect.&lt;/p&gt;
&lt;p&gt;Only one of the users sees this error when attempting to open the App:
&lt;a href="https://i.stack.imgur.com/ncgXD.png" rel="nofollow noreferrer"&gt;&lt;img src="https://i.stack.imgur.com/ncgXD.png" alt="Snippet of error message.  User is unable to progress beyond this point."&gt;&lt;/a&gt;&lt;/p&gt;
&lt;p&gt;The user sees this error for one SQL Server but not the other.  Clicking "Ask for access" sends an email to me with links that take me to the "Share" page for the connections -- but he's already in the list!&lt;/p&gt;
&lt;p&gt;I've triple checked all permissions - they are the same as other users who are not experiencing this issue.  I'm not sure what else I have control of to try to fix this issue -- what am I missing?&lt;/p&gt;
</t>
  </si>
  <si>
    <t xml:space="preserve">&lt;p&gt;I have an extensible Vinyl / Composite record (similar to HList, Frames...), and I would like to generate the tuples of keys/values, such as&lt;/p&gt;
&lt;pre&gt;&lt;code&gt;tuplify '[String :-&amp;gt; Whatevs, ...] :: [(String, String)]
&lt;/code&gt;&lt;/pre&gt;
&lt;p&gt;This is surprisingly hard. &lt;a href="https://gist.github.com/freckletonj/b1fafa06230c672850ca2248e8b2a625/5dba8366fd9332105069cc83906c1109c55ebf75" rel="nofollow noreferrer"&gt;&lt;strong&gt;original gist&lt;/strong&gt;&lt;/a&gt;.&lt;/p&gt;
&lt;p&gt;&lt;a href="https://gist.github.com/freckletonj/b1fafa06230c672850ca2248e8b2a625/b50b8c13597fd128ffd712d0d3a932145fcdd8a0" rel="nofollow noreferrer"&gt;&lt;strong&gt;Solution Gist, thanks to Alec below&lt;/strong&gt;&lt;/a&gt;&lt;/p&gt;
&lt;pre&gt;&lt;code&gt;type FA = "a" :-&amp;gt; String
type FB = "b" :-&amp;gt; Int
type AB = '[FA, FB]
ab :: Rec Identity AB
ab = "A" :*: 1 :*: RNil
tuplify :: (Show a) =&amp;gt; Rec Identity '[a] -&amp;gt; [(String, String)]
tuplify = recordToList . rmap undefined -- ??????
-- tuplify ab = [("a", "A"), ("b", "1")]
&lt;/code&gt;&lt;/pre&gt;
&lt;p&gt;If you care to try out what I've done so far, check out that &lt;a href="https://gist.github.com/freckletonj/b1fafa06230c672850ca2248e8b2a625/5dba8366fd9332105069cc83906c1109c55ebf75" rel="nofollow noreferrer"&gt;gist&lt;/a&gt;, and it has well-thought-out examples and the errors I see:&lt;/p&gt;
&lt;p&gt;Here is the hardware for refying in Composite &lt;a href="https://github.com/ConferHealth/composite/blob/f5f396153a95d5b57d1e12ab3afcdc15327aefb6/composite-base/src/Composite/Record.hs#L239" rel="nofollow noreferrer"&gt;(&lt;code&gt;reifyDicts&lt;/code&gt;):&lt;/a&gt; &lt;/p&gt;
&lt;p&gt;And the same for Vinyl &lt;a href="https://github.com/VinylRecords/Vinyl/blob/5ccbfb1ba237bb9a865f9dc29a59f69871d88c74/Data/Vinyl/Core.hs#L164" rel="nofollow noreferrer"&gt;(&lt;code&gt;reifyConstraints&lt;/code&gt;):&lt;/a&gt; &lt;/p&gt;
&lt;p&gt;AFAICT, the problem is that in something like &lt;code&gt;rmap&lt;/code&gt;:&lt;/p&gt;
&lt;pre&gt;&lt;code&gt;rmap :: (forall x. f x -&amp;gt; g x) -&amp;gt; Rec f rs -&amp;gt; Rec g rs
&lt;/code&gt;&lt;/pre&gt;
&lt;p&gt;The mapped fn is defined &lt;code&gt;forall x&lt;/code&gt;, but my &lt;code&gt;tuplify&lt;/code&gt; is constrained, and I think the reification should move the constraint into the type (that's what &lt;code&gt;Dict&lt;/code&gt;s are for), but, alas, no luck so far.&lt;/p&gt;
</t>
  </si>
  <si>
    <t xml:space="preserve">&lt;p&gt;I can't get &lt;code&gt;composite&lt;/code&gt; related stuff to install on my global Stack setup but the following should still work (I just copy-pasted relevant definitions). That said, I think a simple type-class based dispatch based on type is simpler here (since the constraints are non-trivial). With all of the right extensions enabled [1], you just need:&lt;/p&gt;
&lt;pre&gt;&lt;code&gt;class Tuplify a where
  tuplify :: a -&amp;gt; [(String, String)]
instance Tuplify (Rec Identity '[]) where
  tuplify RNil = []
instance (Show t, KnownSymbol s, Tuplify (Rec Identity rs)) =&amp;gt;
           Tuplify (Rec Identity (s :-&amp;gt; t ': rs)) where
  tuplify (v :*: rs) = (symbolVal (Proxy :: Proxy s), show v) : tuplify rs
&lt;/code&gt;&lt;/pre&gt;
&lt;p&gt;Then, in GHCi:&lt;/p&gt;
&lt;pre&gt;&lt;code&gt;ghci&amp;gt; tuplify ab
[("a","\"A\""),("b","1")]
&lt;/code&gt;&lt;/pre&gt;
&lt;hr&gt;
&lt;p&gt;If you really want to try the reifying constraint approach, you'll have to start by declaring a type class and instance for the particular constraint you want:&lt;/p&gt;
&lt;pre&gt;&lt;code&gt;class ShowField a where 
  showField :: a -&amp;gt; (String, String)                                                                                
instance (KnownSymbol s, Show a) =&amp;gt; ShowField (Identity (s :-&amp;gt; a)) where
  showField (Identity (Val v)) = (symbolVal (Proxy :: Proxy s), show v)
&lt;/code&gt;&lt;/pre&gt;
&lt;p&gt;Then it becomes more straightforward to use &lt;code&gt;reifyConstraints&lt;/code&gt; and &lt;code&gt;rmap&lt;/code&gt;:&lt;/p&gt;
&lt;pre&gt;&lt;code&gt;tuplify' :: RecAll Identity rs ShowField =&amp;gt; Rec Identity rs -&amp;gt; [(String, String)]
tuplify' xs = recordToList
            . rmap (\(Vinyl.Compose (Dict x)) -&amp;gt; Vinyl.Const $ showField x)
            $ reifyConstraint (Proxy :: Proxy ShowField) xs
&lt;/code&gt;&lt;/pre&gt;
&lt;p&gt;I imagine something similar is possible with &lt;code&gt;reifyDicts&lt;/code&gt;, although I wish there was a variant of it defined using &lt;code&gt;ValuesAllHave&lt;/code&gt; instead of just &lt;code&gt;AllHave&lt;/code&gt; (then we could bypass declaring a &lt;code&gt;ShowField&lt;/code&gt; typeclass and do everything in just a function).&lt;/p&gt;
&lt;hr&gt;
&lt;pre&gt;&lt;code&gt;[1] extensions needed for first example
{-# LANGUAGE DataKinds           #-}
{-# LANGUAGE FlexibleContexts    #-}
{-# LANGUAGE FlexibleInstances   #-}
{-# LANGUAGE GADTs               #-}
{-# LANGUAGE RankNTypes          #-}
{-# LANGUAGE ScopedTypeVariables #-}
{-# LANGUAGE TypeFamilies        #-}
{-# LANGUAGE TypeOperators       #-}
&lt;/code&gt;&lt;/pre&gt;
</t>
  </si>
  <si>
    <t xml:space="preserve">&lt;p&gt;Perhaps a very 'beginner' question, but I want to grant access to my app to a number of users outside my organisation. I would assign them a login sent to a registered email adress. Is this possible or is App Maker access limited to the members of my organisation?&lt;/p&gt;
&lt;p&gt;Thanks&lt;/p&gt;
</t>
  </si>
  <si>
    <t xml:space="preserve">&lt;p&gt;I currently have a Page Fragment with the following code that creates an entry for a datasource and sends out an email (code below) notifying everyone. &lt;/p&gt;
&lt;p&gt;&lt;strong&gt;Button:&lt;/strong&gt; &lt;/p&gt;
&lt;pre&gt;&lt;code&gt;newSalesEmailMessage(widget);
widget.datasource.createItem();
app.closeDialog();
&lt;/code&gt;&lt;/pre&gt;
&lt;p&gt;&lt;strong&gt;Client Script Email notification code:&lt;/strong&gt;&lt;/p&gt;
&lt;pre&gt;&lt;code&gt;/**
 * Calls a server method to send an email.
 * @param {Widget} sendButton - widget that triggered the action.
 */
function newSalesEmailMessage(sendButton) {
  var pageWidgets = sendButton.root.descendants;
  var fullName = app.datasources.Directory.item.FullName;
  var htmlbody = '&amp;lt;b&amp;gt;&amp;lt;font size="3"&amp;gt;' + fullName + '&amp;lt;/font&amp;gt;&amp;lt;/b&amp;gt;' + ' has created a new sales entry for: ' +  
      '&amp;lt;h1&amp;gt;&amp;lt;span style="color:#2196F3"&amp;gt;' +pageWidgets.ProjectName.value  + '&amp;lt;/h1&amp;gt;' +
      '&amp;lt;p&amp;gt;Contact: &amp;lt;b&amp;gt;' + pageWidgets.Contact.value + '&amp;lt;/b&amp;gt;' +      
      '&amp;lt;p&amp;gt;Sales Person: &amp;lt;b&amp;gt;' + pageWidgets.SalesPerson.value + '&amp;lt;/b&amp;gt;' +
      '&amp;lt;p&amp;gt;Notes: &amp;lt;b&amp;gt;' + pageWidgets.Notes.value + '&amp;lt;/b&amp;gt;';
  google.script.run
    .withSuccessHandler(function() {
     })
    .withFailureHandler(function(err) {
      console.error(JSON.stringify(err));
    })
    .sendEmailCreate(
      'test@email.com',
      'New Sales Entry for: ' + pageWidgets.ProjectName.value,
      htmlbody);
}
&lt;/code&gt;&lt;/pre&gt;
&lt;p&gt;&lt;strong&gt;onCreate code for the Model:&lt;/strong&gt; &lt;/p&gt;
&lt;pre&gt;&lt;code&gt;// onCreate
var email = Session.getActiveUser().getEmail();
var directoryQuery = app.models.Directory.newQuery();
directoryQuery.filters.PrimaryEmail._equals = email;
var reporter = directoryQuery.run()[0];
record.reported_by = email;
record.reported_full_name = reporter.FullName;
record.Date = new Date();
&lt;/code&gt;&lt;/pre&gt;
&lt;p&gt;Everything works except for the fullName option. It keeps pulling my name even when another user creates an entry (maybe because I am an admin?). I have a Directory Model setup and that seems to work for when I am displaying the full name for a users's comments.&lt;/p&gt;
&lt;p&gt;I would like to have fullName = the name of the person currently creating the entry.&lt;/p&gt;
&lt;p&gt;Thank you for your help!&lt;/p&gt;
&lt;p&gt;&lt;strong&gt;App Startup Script:&lt;/strong&gt; &lt;/p&gt;
&lt;pre&gt;&lt;code&gt;// App startup script
// CurrentUser - assuming that it is Directory model's datasource
// configured to load record for current user.
loader.suspendLoad();
app.datasources.Directory.load({
  success: function() {
    loader.resumeLoad();
  },
  failure: function(error) {
   // TODO: Handle error
  }
});
&lt;/code&gt;&lt;/pre&gt;
</t>
  </si>
  <si>
    <t xml:space="preserve">&lt;p&gt;You need to filter your Directory model datasource. If you are planning to use it for different purposes, then I'll recommend to create dedicated datasource for current user. You can filter it on server (preferable) or client side:&lt;/p&gt;
&lt;p&gt;&lt;strong&gt;Filter on server, load on client:&lt;/strong&gt;&lt;/p&gt;
&lt;pre class="lang-js prettyprint-override"&gt;&lt;code&gt;// Directory model's Server Script for Current User datasource
var query = app.models.Directory.newQuery();
query.filters.PrimaryEmail._equals = Session.getActiveUser().getEmail();
return query.run();
// ------------------------
// Your startup script will remain almost the same:
loader.suspendLoad();
app.datasources.CurrentUser.load({
  success: function() {
    loader.resumeLoad();
  },
  failure: function(error) {
   // TODO: Handle error
  }
});
&lt;/code&gt;&lt;/pre&gt;
&lt;p&gt;&lt;strong&gt;Client-only:&lt;/strong&gt;&lt;/p&gt;
&lt;pre class="lang-js prettyprint-override"&gt;&lt;code&gt;var currentUserDs = app.datasources.CurrentUser;
currentUserDs.query.filters.PrimaryEmail._equals = app.user.email;
loader.suspendLoad();
currentUserDs.load({
  success: function() {
    loader.resumeLoad();
  },
  failure: function(error) {
   // TODO: Handle error
  }
});
&lt;/code&gt;&lt;/pre&gt;
</t>
  </si>
  <si>
    <t xml:space="preserve">&lt;p&gt;I'm trying to configure Zoho mail smtp and i don't understand what do i do wrong. In development mode everything is ok but in production i have the error below when i send email:&lt;/p&gt;
&lt;pre&gt;&lt;code&gt;Net::SMTPAuthenticationError: 530 5.5.1 Authentication Required.
&lt;/code&gt;&lt;/pre&gt;
&lt;p&gt;My production env settings:&lt;/p&gt;
&lt;pre&gt;&lt;code&gt;config.action_mailer.delivery_method = :smtp
config.action_mailer.default_url_options = { host: 'not-real.com' }
config.action_mailer.smtp_settings = {
  port: 465,
  ssl: true,
  tls: true,
  authentication: :login,
  address: 'smtp.zoho.eu',
  domain: 'not-real.com',
  enable_starttls_auto: true,
  password:  ENV['ZOHO_PASSWORD'],
  user_name: ENV['ZOHO_USER_NAME']
}
&lt;/code&gt;&lt;/pre&gt;
&lt;p&gt;First at all i thought the problem in wrong password or user_name but not. Next i checked domain in Zoho Control Panel ---&gt; Domains but everything is ok. In Zoho SMTP Server Configuration says:&lt;/p&gt;
&lt;pre&gt;&lt;code&gt; Outgoing Server Name: smtp.zoho.eu
 Port: 465
 Security Type: SSL 
 Require Authentication: Yes. 
&lt;/code&gt;&lt;/pre&gt;
&lt;p&gt;But could you please tell me what does this mean? -&gt; Require Authentication: Yes.&lt;/p&gt;
&lt;p&gt;Should i change something in Zoho settings?&lt;/p&gt;
</t>
  </si>
  <si>
    <t xml:space="preserve">&lt;p&gt;Is it possible to publish apps build with PowerApps for use by the general public i.e. people not in my organisation.&lt;/p&gt;
&lt;p&gt;If so, do they scale well - to 10,000s of users?&lt;/p&gt;
</t>
  </si>
  <si>
    <t xml:space="preserve">&lt;p&gt;I am afraid, it is not possible at this time. There are resources that app needs that are currently only managed at tenant level.&lt;/p&gt;
</t>
  </si>
  <si>
    <t xml:space="preserve">&lt;p&gt;I apologize. I am sure this is a rookie question, with a simple answer. &lt;/p&gt;
&lt;p&gt;So I am using the following to send an email notification when a user creates an entry. Everything works fine, except two behaviors related to "null" (blank) entries. &lt;/p&gt;
&lt;pre&gt;&lt;code&gt;function newSalesEmailMessage(sendButton) {
  var pageWidgets = sendButton.root.descendants;
  var fullName = app.datasources.CurrentUser.item.FullName;
  var htmlbody = '&amp;lt;b&amp;gt;&amp;lt;font size="3"&amp;gt;' + fullName + '&amp;lt;/font&amp;gt;&amp;lt;/b&amp;gt;' + ' has created a new sales entry for: ' +  
      '&amp;lt;h1&amp;gt;&amp;lt;span style="color:#2196F3"&amp;gt;' + pageWidgets.ShowName.value  + '&amp;lt;/h1&amp;gt;' +
      '&amp;lt;p&amp;gt;Shoot Date: &amp;lt;b&amp;gt;' + pageWidgets.ProjectDate.value.toDateString() + '&amp;lt;/b&amp;gt;' +
      '&amp;lt;p&amp;gt;Contact: &amp;lt;b&amp;gt;' + pageWidgets.Contact.value + '&amp;lt;/b&amp;gt;' +      
      '&amp;lt;p&amp;gt;Post AP: &amp;lt;b&amp;gt;' + pageWidgets.PostAP.value + '&amp;lt;/b&amp;gt;' +
      '&amp;lt;p&amp;gt;Sales Person: &amp;lt;b&amp;gt;' + pageWidgets.SalesPerson.value + '&amp;lt;/b&amp;gt;' +
      '&amp;lt;p&amp;gt;Notes: &amp;lt;b&amp;gt;' + pageWidgets.Notes.value + '&amp;lt;/b&amp;gt;';
  google.script.run
    .withSuccessHandler(function() {
     })
    .withFailureHandler(function(err) {
      console.error(JSON.stringify(err));
    })
    .sendEmailCreate(
      'test@test.com',
      'New Sales Entry for: ' + pageWidgets.ShowName.value,
      htmlbody);
  return sendButton === "" || sendButton === null || sendButton === undefined;
}
&lt;/code&gt;&lt;/pre&gt;
&lt;p&gt;&lt;strong&gt;Issue 1:&lt;/strong&gt; Whenever a user leaves a field blank the email puts "null" in the field, which makes sense, but people keep asking me "Who is null?" Ugh. &lt;/p&gt;
&lt;p&gt;So if there is a way to output a blank space (ex:"") instead of "null" that would be great. &lt;/p&gt;
&lt;p&gt;&lt;strong&gt;Issue 2:&lt;/strong&gt; Whenever a user leaves the ProjectDate (which is a date field) blank I get the error: Cannot read property 'toDateString' of null. &lt;/p&gt;
&lt;p&gt;This makes sense, but obviously this causes this script to not complete. I was hoping something like this would fix both issues, but it didn't: &lt;/p&gt;
&lt;pre&gt;&lt;code&gt;function newSalesEmailMessage(sendButton) {
  var pageWidgets = sendButton.root.descendants;
  if (pageWidgets === null) {
    pageWidgets = "";
  }
  var fullName = app.datasources.CurrentUser.item.FullName;
  var htmlbody = '&amp;lt;b&amp;gt;&amp;lt;font size="3"&amp;gt;' + fullName + '&amp;lt;/font&amp;gt;&amp;lt;/b&amp;gt;' + ' has created a new sales entry for: ' +  
      '&amp;lt;h1&amp;gt;&amp;lt;span style="color:#2196F3"&amp;gt;' + pageWidgets.ShowName.value  + '&amp;lt;/h1&amp;gt;' +
      '&amp;lt;p&amp;gt;Shoot Date: &amp;lt;b&amp;gt;' + pageWidgets.ProjectDate.value.toDateString() + '&amp;lt;/b&amp;gt;' +
      '&amp;lt;p&amp;gt;Contact: &amp;lt;b&amp;gt;' + pageWidgets.Contact.value + '&amp;lt;/b&amp;gt;' +      
      '&amp;lt;p&amp;gt;Post AP: &amp;lt;b&amp;gt;' + pageWidgets.PostAP.value + '&amp;lt;/b&amp;gt;' +
      '&amp;lt;p&amp;gt;Sales Person: &amp;lt;b&amp;gt;' + pageWidgets.SalesPerson.value + '&amp;lt;/b&amp;gt;' +
      '&amp;lt;p&amp;gt;Notes: &amp;lt;b&amp;gt;' + pageWidgets.Notes.value + '&amp;lt;/b&amp;gt;';
  google.script.run
    .withSuccessHandler(function() {
     })
    .withFailureHandler(function(err) {
      console.error(JSON.stringify(err));
    })
    .sendEmailCreate(
      'test@test.com',
      'New Sales Entry for: ' + pageWidgets.ShowName.value,
      htmlbody);
}
&lt;/code&gt;&lt;/pre&gt;
&lt;p&gt;Thank you for your help. &lt;/p&gt;
</t>
  </si>
  <si>
    <t xml:space="preserve">&lt;p&gt;There are multiple ways to handle such situations, the easiest one will be introducing some helper functions:&lt;/p&gt;
&lt;pre class="lang-js prettyprint-override"&gt;&lt;code&gt;// This function will return empty string in case widget's value is null
// You can return any default value or even pass it as function's parameter
function getSafeString(widget) {
  return widget.value === null ?
         '' :
         widget.value;
}
function getSafeDate(widget) {
  return widget.value === null ?
         '' :
         widget.value.toDateString();
}
function newSalesEmailMessage(sendButton) {
...
'...some HTML...' + getSafeString(widgets.SomeWidget)  + '...some HTML...' +
'...some HTML...' + getSafeDate(widgets.DateWidget)  + '...some HTML...'
...
}
&lt;/code&gt;&lt;/pre&gt;
&lt;p&gt;By the way, I would also suggest using datasource.item (or datasource.modes.create.item, depending on your bindings), to get user inputs.&lt;/p&gt;
</t>
  </si>
  <si>
    <t xml:space="preserve">&lt;p&gt;Hello i have follow this question:&lt;a href="https://stackoverflow.com/questions/34085695/i-want-to-send-email-through-zohomail-using-spring-mvc-is-this-configuration-cor"&gt;I want to send email through zohomail using spring mvc Is this configuration correct for zoho mail to send an email&lt;/a&gt;&lt;/p&gt;
&lt;p&gt;And i have this following configuration bean:&lt;/p&gt;
&lt;pre&gt;&lt;code&gt;&amp;lt;bean id="mailSender" class="org.springframework.mail.javamail.JavaMailSenderImpl"&amp;gt;
    &amp;lt;property name="host" value="smtp.zoho.com"/&amp;gt;
    &amp;lt;property name="port" value="587"/&amp;gt;
    &amp;lt;property name="username" value="info@mywebsite.com"/&amp;gt;
    &amp;lt;property name="password" value="mypassword"/&amp;gt;
    &amp;lt;property name="javaMailProperties"&amp;gt;
        &amp;lt;props&amp;gt;
            &amp;lt;prop key="mail.transport.protocol"&amp;gt;smtp&amp;lt;/prop&amp;gt;
            &amp;lt;prop key="mail.smtp.auth"&amp;gt;true&amp;lt;/prop&amp;gt;
            &amp;lt;prop key="mail.smtp.socketFactory.class"&amp;gt;javax.net.ssl.SSLSocketFactory&amp;lt;/prop&amp;gt;
            &amp;lt;prop key="mail.smtp.socketFactory.fallback"&amp;gt;false&amp;lt;/prop&amp;gt;
            &amp;lt;prop key="mail.smtp.socketFactory.port"&amp;gt;465&amp;lt;/prop&amp;gt;
            &amp;lt;prop key="mail.smtp.startssl.enable"&amp;gt;true&amp;lt;/prop&amp;gt;
        &amp;lt;/props&amp;gt;
    &amp;lt;/property&amp;gt;
&amp;lt;/bean&amp;gt;
&lt;/code&gt;&lt;/pre&gt;
&lt;p&gt;And still i can not send E-mails from my application knowing that my bean was working on my gmail account.
This is the Exception i get:&lt;/p&gt;
&lt;pre&gt;&lt;code&gt;com.sun.mail.smtp.SMTPSendFailedException: 553 Relaying disallowed as
&lt;/code&gt;&lt;/pre&gt;
</t>
  </si>
  <si>
    <t xml:space="preserve">&lt;p&gt;I am working on a project where I am using Google App-maker as Front-end and BigQuery as backend.&lt;/p&gt;
&lt;p&gt;I understand currently there are no App-maker models which are fully integrated with BigQuery, hence probably we will have to use some server side scripts to read/insert/update/delete.&lt;/p&gt;
&lt;p&gt;I was able to read the data from BigQuery via App-maker, however, I am looking for help with insert/update/delete.&lt;/p&gt;
&lt;p&gt;I would like to know, if anyone has implemented this functionality and if yes, can you please help share the code snippet or example.&lt;/p&gt;
&lt;p&gt;Thank you&lt;/p&gt;
</t>
  </si>
  <si>
    <t xml:space="preserve">&lt;p&gt;I have implemented a user picker into my app in google app maker and synced up the Directory. It works when I use it and stores the email address into the Project datasource I have setup, but I also want to record the associated PrimaryPhone and FullName of the email address as seperate variables within my project database. I do not know if this will be code within a script or within the datasource onCreate or onLoad. Any help on this issue would be greatly appreciated. &lt;/p&gt;
</t>
  </si>
  <si>
    <t xml:space="preserve">&lt;p&gt;If you are concerned about security and data consistency, then you can go with server side implementation:&lt;/p&gt;
&lt;pre class="lang-js prettyprint-override"&gt;&lt;code&gt;// onCreate model event handler (takes about-to-create record as parameter)
var query = app.models.Directory.newQuery();
// assuming that email field value is populated by UserPicker widget on client-side
query.filters.PrimaryEmail._equals = record.Email;
var people = query.run();
if (people.length === 1) {
  var person = people[0];
  record.FullName = person.FullName;
  record.PrimaryPhone = person.PrimaryPhone;
} else {
  // TODO: handle edge cases
}
&lt;/code&gt;&lt;/pre&gt;
&lt;p&gt;If you are not paranoiac about security, you can:&lt;/p&gt;
&lt;ol&gt;
&lt;li&gt;Configure UserPicker to select entire object (check 'valueIsRecord' property checkbox).&lt;/li&gt;
&lt;li&gt;Handle onValueEdit UserPicker widget event:&lt;/li&gt;
&lt;/ol&gt;
&lt;pre class="lang-js prettyprint-override"&gt;&lt;code&gt;// onValueEdit UserPicker event
// assuming that widget is bound to datasource's create mode item
var draft = widget.datasource.item;
draft.Email = newValue.PrimaryEmail;
draft.FullName = newValue.FullName;
draft.PrimaryPhone = newValue.PrimaryPhone;
&lt;/code&gt;&lt;/pre&gt;
</t>
  </si>
  <si>
    <t xml:space="preserve">&lt;p&gt;Code:&lt;/p&gt;
&lt;pre&gt;&lt;code&gt;    var date = new Date().toLocaleTimeString({timezone: 'UTC'});
&lt;/code&gt;&lt;/pre&gt;
&lt;p&gt;The result is 4 hours difference from the real current time. Could someone help?&lt;/p&gt;
</t>
  </si>
  <si>
    <t xml:space="preserve">&lt;p&gt;How to parsing json in Zoho&lt;/p&gt;
&lt;p&gt;My Input Is Below&lt;/p&gt;
&lt;pre&gt;&lt;code&gt;{"projects":[{"is_strict":"no","role":"admin","owner_name":"James Lozos","IS_BUG_ENABLED":true,"created_date_long":1502180785112,"owner_id":"647743525","link":{"task":{"url":"https://projectsapi.zoho.com/restapi/portal/sqmscrm/projects/1115954000000093005/tasks/"}}}]}
&lt;/code&gt;&lt;/pre&gt;
&lt;p&gt;Output : We Need Above url : &lt;a href="https://projectsapi.zoho.com/restapi/portal/sqmscrm/projects/1115954000000093005/tasks/" rel="nofollow noreferrer"&gt;https://projectsapi.zoho.com/restapi/portal/sqmscrm/projects/1115954000000093005/tasks/&lt;/a&gt;&lt;/p&gt;
</t>
  </si>
  <si>
    <t xml:space="preserve">&lt;p&gt;&lt;div class="snippet" data-lang="js" data-hide="false" data-console="true" data-babel="false"&gt;
&lt;div class="snippet-code"&gt;
&lt;pre class="snippet-code-js lang-js prettyprint-override"&gt;&lt;code&gt;//chart controller to highlight data point
    chartChange: function(component, event, helper) {
        var filters = event.getParam("data");
        var highlight = function(dataset, point){
            component.chart.data.datasets[dataset].controller.highlightPoints(point);
        }
        component.chart.update();
        return;
    }&lt;/code&gt;&lt;/pre&gt;
&lt;pre class="snippet-code-html lang-html prettyprint-override"&gt;&lt;code&gt;// chart component
  &amp;lt;aura:handler event="c:ChartUpdate" action="{!c.chartChange}"/&amp;gt;
  &amp;lt;aura:registerEvent name="chartEvent" type="c:ChartEvent"/&amp;gt;
  &amp;lt;div&amp;gt;
    &amp;lt;canvas aura:id="chart" height="380"&amp;gt;&amp;lt;/canvas&amp;gt;
  &amp;lt;/div&amp;gt;
// table component
  &amp;lt;aura:registerEvent name="chartUpdate" type="c:ChartUpdate"/&amp;gt;
      &amp;lt;div class="slds-card__body"&amp;gt;
          &amp;lt;table class="slds-table slds-table--bordered slds-table--striped slds-table--cell-buffer slds-table--fixed-layout"&amp;gt;
              &amp;lt;thead&amp;gt;
                  &amp;lt;tr class="slds-text-heading--label"&amp;gt;
                      &amp;lt;th scope="col"&amp;gt;&amp;lt;div class="slds-truncate" title="Year"&amp;gt;YEAR&amp;lt;/div&amp;gt;&amp;lt;/th&amp;gt;
                      &amp;lt;th scope="col"&amp;gt;&amp;lt;div class="slds-truncate" title="Revenue"&amp;gt;REVENUE&amp;lt;/div&amp;gt;&amp;lt;/th&amp;gt;
                      &amp;lt;th scope="col"&amp;gt;&amp;lt;div class="slds-truncate" title="EV"&amp;gt;EV&amp;lt;/div&amp;gt;&amp;lt;/th&amp;gt;
                      &amp;lt;th scope="col"&amp;gt;&amp;lt;div class="slds-truncate" title="Revenue"&amp;gt;EBITDA&amp;lt;/div&amp;gt;&amp;lt;/th&amp;gt;
                  &amp;lt;/tr&amp;gt;
              &amp;lt;/thead&amp;gt;
              &amp;lt;tbody&amp;gt;
                  &amp;lt;aura:iteration items="{!v.Financial_Information}" var="info"  indexVar="index"&amp;gt;
                      &amp;lt;tr&amp;gt;
                          &amp;lt;td&amp;gt;&amp;lt;div class="slds-truncate" &amp;gt;{!info.Year__c}&amp;lt;/div&amp;gt;&amp;lt;/td&amp;gt;
                          &amp;lt;td&amp;gt;&amp;lt;div class="slds-truncate"&amp;gt;&amp;lt;lightning:formattedNumber style="currency" currencyDisplayAs="code" value="{!info.Revenue__c}"/&amp;gt;&amp;lt;/div&amp;gt;&amp;lt;/td&amp;gt;
                          &amp;lt;td&amp;gt;&amp;lt;div class="slds-truncate"&amp;gt;&amp;lt;lightning:formattedNumber style="currency" currencyDisplayAs="code" value="{!info.EV__c}"/&amp;gt;&amp;lt;/div&amp;gt;&amp;lt;/td&amp;gt;
                          &amp;lt;td&amp;gt;&amp;lt;div class="slds-truncate"&amp;gt;&amp;lt;lightning:formattedNumber style="currency" currencyDisplayAs="code" value="{!info.EBITDA__c}"/&amp;gt;&amp;lt;/div&amp;gt;&amp;lt;/td&amp;gt;
                      &amp;lt;/tr&amp;gt;
                  &amp;lt;/aura:iteration&amp;gt;
              &amp;lt;/tbody&amp;gt;
          &amp;lt;/table&amp;gt;
      &amp;lt;/div&amp;gt;&lt;/code&gt;&lt;/pre&gt;
&lt;/div&gt;
&lt;/div&gt;
&lt;/p&gt;
&lt;p&gt;I'm using chart.js 2.3 and have a line charts on a page and a data table. I'd like to Be able to select a value in my table of values  and this will put the corresponding point of the chart in highlight. I can't figure out how to code this . thanks for any tips.&lt;/p&gt;
</t>
  </si>
  <si>
    <t xml:space="preserve">&lt;p&gt;I am building a page that contains a Table widget which is linked to my data source.  I have 3 drop downs on that page, which are associated with values in the data source columns.&lt;/p&gt;
&lt;p&gt;When a selection from a drop down is made, it will query the data source and return the rows of data to the Table widget.  Once those rows are returned and displayed in the Table widget, if they select from another drop down, it will query those rows in the table, not the data source.&lt;/p&gt;
&lt;p&gt;For example, drop down "A" lists Agencies, drop down "B" lists all the Project Statuses, and drop down "C" lists all Project Managers.  When the user opens the page in AppMaker, he/she are presented with an empty Table widget and the 3 drop downs.  If the user selects from drop down "A" the value of HR, the data source is queried and all the rows that have HR as their agency is returned.  Now, the Table widget lists those returned rows.  If the user now selects from drop down "B" the value of Open, it will query the displayed rows (not query the data source), and display only those rows with Agency = HR and Status = Open.  And if the user selects from drop down "C" the value of John Doe, as before, it will query the displayed rows (not query the data source), and display only those rows with Agency = HR, Status = Open, and Manager = John Doe.&lt;/p&gt;
&lt;p&gt;I am guessing I may have to set up Calculated Models, but would love to see a sample app that already does this.&lt;/p&gt;
</t>
  </si>
  <si>
    <t xml:space="preserve">&lt;p&gt;I have a sharepoint list , I have a created a "flow" that says when a new item is added to sharepoint list send notification to my custom powerapps application.&lt;/p&gt;
&lt;p&gt;My powerapps notifications are not going through. Below is my error message,&lt;/p&gt;
&lt;p&gt;Action 'SendPushNotification' failed&lt;/p&gt;
&lt;p&gt;&lt;strong&gt;Fix It:&lt;/strong&gt;&lt;/p&gt;
&lt;blockquote&gt;
  &lt;p&gt;You should be able to fix this by verifying your account with PowerApps Notification. You may need to re-enter your password.&lt;/p&gt;
&lt;/blockquote&gt;
&lt;p&gt;&lt;strong&gt;Error type:&lt;/strong&gt;&lt;/p&gt;
&lt;blockquote&gt;
  &lt;p&gt;This action failed because the connection '-People Advocacy' is not authorized.&lt;/p&gt;
&lt;/blockquote&gt;
&lt;p&gt;&lt;strong&gt;Error Details:&lt;/strong&gt;&lt;/p&gt;
&lt;blockquote&gt;
  &lt;p&gt;The error message from the service is below. This maybe useful for support:
  The client certificate was not provided.&lt;/p&gt;
&lt;/blockquote&gt;
</t>
  </si>
  <si>
    <t xml:space="preserve">&lt;p&gt;I am working on a PO request/approval system and would like to be able to link PDF of purchase receipts to specific datasource entries. &lt;/p&gt;
&lt;p&gt;ex: When you search for PO-00001 you have an entry with all relevant data, plus a PDF of the receipt. &lt;/p&gt;
&lt;p&gt;Is this possible? Is there one of the samples that does this that I could reference? &lt;/p&gt;
&lt;p&gt;I know there is the Drive Picker Widget that allows uploading files, but I haven't seen a way to link to a specific entry. Maybe just a string with a hyperlink to a Google Drive file? &lt;/p&gt;
&lt;p&gt;Thank you!&lt;/p&gt;
</t>
  </si>
  <si>
    <t xml:space="preserve">&lt;p&gt;My app has 3 buttons marked Male, Female, and All, which pass search criteria to a variable used in a gallery filter.&lt;/p&gt;
&lt;p&gt;All should return both male &amp;amp; female.  &lt;/p&gt;
&lt;p&gt;I have retained the search text box that the wizard adds, so users might search retail Promotions Starts With "Summer" &amp;amp;&amp;amp; Category = "Male".   But users also want to search for all Promotions starting with "Summer" regardless of Male/Female category.  I have a Date Picker in play too.&lt;/p&gt;
&lt;p&gt;This formula is applied to the BrowseGallry Items property:-
SortByColumns(Filter('Promotions', StartsWith(PromoTitle, TxtSearch.Text) &amp;amp;&amp;amp; StartDate&gt;=DatePick.SelectedDate &amp;amp;&amp;amp; PromoCategory=searchTerm), "PromoTitle", If(SortDescending1, Descending, Ascending))&lt;/p&gt;
&lt;p&gt;The formula above works until I change the category to All.  I have tried feeding "" and " " into the searchTerm variable via UpdateContext, but neither work.  Any help would be much appreciated.&lt;/p&gt;
</t>
  </si>
  <si>
    <t xml:space="preserve">&lt;p&gt;There are a few alternatives you can use for this.&lt;/p&gt;
&lt;p&gt;You can use another &lt;code&gt;StartsWith&lt;/code&gt; condition, and set the search term to &lt;code&gt;""&lt;/code&gt;. If the possible values of &lt;code&gt;PromoCategory&lt;/code&gt; are &lt;code&gt;Male&lt;/code&gt; and &lt;code&gt;Female&lt;/code&gt;, then this should work (since everything "starts with" an empty string):&lt;/p&gt;
&lt;pre&gt;&lt;code&gt;SortByColumns(
    Filter(
        'Promotions',
        StartsWith(PromoTitle, TxtSearch.Text) &amp;amp;&amp;amp;
            StartDate &amp;gt;= DatePick.SelectedDate &amp;amp;&amp;amp;
            StartsWith(PromoCategory, searchTerm)),
    "PromoTitle",
    If(SortDescending1, Descending, Ascending))
&lt;/code&gt;&lt;/pre&gt;
&lt;p&gt;Another option is to use an &lt;code&gt;If&lt;/code&gt; condition, so that if the search term is empty, then &lt;/p&gt;
&lt;pre&gt;&lt;code&gt;SortByColumns(
    Filter(
        'Promotions',
        StartsWith(PromoTitle, TxtSearch.Text) &amp;amp;&amp;amp;
            StartDate &amp;gt;= DatePick.SelectedDate &amp;amp;&amp;amp;
            If(searchTerm = "", true, PromoCategory = searchTerm)),
    "PromoTitle",
    If(SortDescending1, Descending, Ascending))
&lt;/code&gt;&lt;/pre&gt;
&lt;p&gt;Hope this helps!&lt;/p&gt;
</t>
  </si>
  <si>
    <t xml:space="preserve">&lt;p&gt;How can I display the Login details(username, password) that user entered in login page in another screen in power apps?&lt;/p&gt;
&lt;p&gt;I have designed login page in power apps which contain username and password. I have validated the details. Now I need to display the username and password that user entered in the login page in another screen in power apps.&lt;/p&gt;
</t>
  </si>
  <si>
    <t xml:space="preserve">&lt;p&gt;for neophytes like me&lt;/p&gt;
&lt;p&gt;&lt;strong&gt;1) Terminology&lt;/strong&gt;&lt;/p&gt;
&lt;p&gt;Screen1 = "Login screen"&lt;/p&gt;
&lt;p&gt;Screen2 =  "Another screen"&lt;/p&gt;
&lt;p&gt;On screen on there are two TextInput boxes:&lt;/p&gt;
&lt;p&gt;username is labeled TextInput1&lt;/p&gt;
&lt;p&gt;password is labeled TextInput2&lt;/p&gt;
&lt;p&gt;&lt;strong&gt;2) Create button (or icon) on Screen1&lt;/strong&gt;&lt;/p&gt;
&lt;p&gt;&lt;strong&gt;3) Edit the OnSelect of the button with a Navigate formula:&lt;/strong&gt;&lt;/p&gt;
&lt;p&gt;Navigate(Screen2, ScreenTransition.Fade,({PassUsername:TextInput1.Text,PassPassword:TextInput2.Text})&lt;/p&gt;
&lt;p&gt;&lt;strong&gt;4) Create two labels on Screen2&lt;/strong&gt;&lt;/p&gt;
&lt;p&gt;Set Default for one Label to PassUsername&lt;/p&gt;
&lt;p&gt;Set Default for second Label PassPassword&lt;/p&gt;
&lt;p&gt;Bathe in your success&lt;/p&gt;
</t>
  </si>
  <si>
    <t xml:space="preserve">&lt;p&gt;Right now I have a relational datasource that holds the attachment name, link, date uploaded and who uploaded it. When you select a file with the drive picker widget it always uploads the file to your own personal drive. Is there a way to set the path for where the file uploads? &lt;/p&gt;
</t>
  </si>
  <si>
    <t xml:space="preserve">&lt;p&gt;In app maker where on a table do I set and reset manual save mode after the table has been created on the page?&lt;/p&gt;
&lt;p&gt;I have tried look at the API documentation, and while it talks to Manual Save Mode. It does not have a method to call, that I can see, to toggle this.&lt;/p&gt;
</t>
  </si>
  <si>
    <t xml:space="preserve">&lt;p&gt;I am trying to build a PowerApp to log setup times of our machines by our fitters.&lt;/p&gt;
&lt;p&gt;This is what my app looks like:&lt;/p&gt;
&lt;p&gt;&lt;a href="https://i.stack.imgur.com/kg4LF.png" rel="nofollow noreferrer"&gt;&lt;img src="https://i.stack.imgur.com/kg4LF.png" alt="Main Page"&gt;&lt;/a&gt;&lt;/p&gt;
&lt;p&gt;There are buttons named "Uhrzeit". Pressing these will write the current date and time into the Date/Time fields. I am using the following code:&lt;/p&gt;
&lt;pre&gt;&lt;code&gt;UpdateContext({Total8:(Text( Now(); "[$-de-DE]dd/mm/yyyy hh:mm:ss" ))})
&lt;/code&gt;&lt;/pre&gt;
&lt;p&gt;The Date/Time field is named Total8.&lt;/p&gt;
&lt;p&gt;The code is working well but after saving the form and opening a new record the old data is still available in the fields. By clicking on the button "Zeiten zurücksetzen" I can "delete" the old data.&lt;/p&gt;
&lt;pre&gt;&lt;code&gt;UpdateContext({Total8:""})
&lt;/code&gt;&lt;/pre&gt;
&lt;p&gt;Problem: When I open one of the older records the old data is not available in the form. There is only the value of the last record. In the Common Data Service where my records are saved the values are correct.&lt;/p&gt;
&lt;p&gt;As an example, I am saving this record:&lt;/p&gt;
&lt;p&gt;&lt;a href="https://i.stack.imgur.com/Ep478.png" rel="nofollow noreferrer"&gt;&lt;img src="https://i.stack.imgur.com/Ep478.png" alt="Record_1"&gt;&lt;/a&gt;&lt;/p&gt;
&lt;p&gt;When I open a new record, the values of the record 1 are still available. This should not be the case if my app worked properly.&lt;/p&gt;
&lt;p&gt;For your Information:
If I enter the date/time without tapping the button, saving the record and opening a new record I don't have the problem. I think the "UpdateContext" code is not the code I should use here.&lt;/p&gt;
&lt;p&gt;Can anyone help me solve the problem?&lt;/p&gt;
</t>
  </si>
  <si>
    <t xml:space="preserve">&lt;p&gt;&lt;strong&gt;tl;dr - approval settings not working in Outlook Flow&lt;/strong&gt;&lt;/p&gt;
&lt;p&gt;Of 130 staff, I need to when they leave who has returned all their kit. My Column is titled 'Further Action Required.'&lt;/p&gt;
&lt;p&gt;I want to set up a weekly email which, if this cell is set to 'Yes', emails the area manager asking them if kit has been returned. Answer is 'Yes' or 'No'.&lt;/p&gt;
&lt;p&gt;If they click 'Yes', it emails me and other staff, it also overwrites the cell so that next time it runs, it doesn't email them.&lt;/p&gt;
&lt;p&gt;If they hit 'No', I get a notification, nothing happens and it triggers the following week.&lt;/p&gt;
&lt;p&gt;I created the whole thing - it doesn't work. So I pared it down to test different areas and it doesn't seem to like the condition for approval....I get Bad Request error, a branch condition not satisfied error and condition failed error. Any ideas? I'm stumped.&lt;/p&gt;
&lt;p&gt;Flow error:&lt;/p&gt;
&lt;p&gt;&lt;a href="https://i.stack.imgur.com/9CZEW.png" rel="nofollow noreferrer"&gt;&lt;img src="https://i.stack.imgur.com/9CZEW.png" alt="Flow error"&gt;&lt;/a&gt;&lt;/p&gt;
&lt;p&gt;Edit view:&lt;/p&gt;
&lt;p&gt;&lt;a href="https://i.stack.imgur.com/BYzPq.png" rel="nofollow noreferrer"&gt;&lt;img src="https://i.stack.imgur.com/BYzPq.png" alt="Edit view"&gt;&lt;/a&gt;&lt;/p&gt;
&lt;p&gt;Point of clarity - it sent the approval email (I tried the 'Select Options' version but doesn't send any follow up email).&lt;/p&gt;
&lt;p&gt;Then I select 'Yes' (returned kit)&lt;/p&gt;
&lt;p&gt;and it returns the 'no' (kit not returned) email and then throws up the error above. &lt;/p&gt;
&lt;p&gt;When I select No, it does the same....&lt;/p&gt;
</t>
  </si>
  <si>
    <t xml:space="preserve">&lt;p&gt;I have an edit form that upon submitting I get the error 'Cannot query records on models with changes.'&lt;/p&gt;
&lt;p&gt;Any ideas?&lt;/p&gt;
</t>
  </si>
  <si>
    <t xml:space="preserve">&lt;p&gt;I have a table with a list of records.  Each record has a View button.  But no matter which View button I click, the bottom record (Acme6) gets opened?&lt;/p&gt;
&lt;p&gt;&lt;a href="https://i.stack.imgur.com/crl9x.png" rel="nofollow noreferrer"&gt;enter image description here&lt;/a&gt;&lt;/p&gt;
</t>
  </si>
  <si>
    <t xml:space="preserve">&lt;p&gt;I need help with trying to understand how to delete all data from a table and then try to automatically import a new sheet with data into the newly cleared down table.&lt;/p&gt;
&lt;p&gt;I'm currently trying the unload() method client side but that doesn't seem to cleardown my tables&lt;/p&gt;
&lt;pre&gt;&lt;code&gt;function ClearDown(){
  app.datasources.P11d.unload(function(){});
  console.log('Finish Delete');
}
&lt;/code&gt;&lt;/pre&gt;
&lt;p&gt;I've also tried to create a server side function, which also doesn't appear to work&lt;/p&gt;
&lt;pre&gt;&lt;code&gt;function ClearTable(){
  var records = app.models.P11d.newQuery();
//   records.run();
  console.log('Server Function Ran');
  app.deleteRecords(records.run());
}
&lt;/code&gt;&lt;/pre&gt;
&lt;p&gt;This is ran from a client side function:&lt;/p&gt;
&lt;pre&gt;&lt;code&gt;function Delete(){
 google.script.run.withSuccessHandler(function(result){
 }).ClearTable();
  console.log('Function Ran');
}
&lt;/code&gt;&lt;/pre&gt;
&lt;p&gt;Again this is all to no avail&lt;/p&gt;
&lt;p&gt;With the import side I've tried to do the below:-
Client Side:&lt;/p&gt;
&lt;pre&gt;&lt;code&gt;function ImportData(){
  console.log('Begin');
  var ss = SpreadsheetApp.openById('SHEET ID');
  var values = ss.getSheetByName('P11d').getDataRange().getValues();
  var ssData = [];
//   app.datasources.P11d.unload(function(){});
  for (var i = 0; i&amp;lt;values.length; i++){
    var newRecord = app.models.P11d.newRecord();
   // add all fields to the new record
    newRecord.Reg_Number = values[i][0];
    newRecord.Reg_Date = values[i][1];
    newRecord.Model_Description = values[i][2];
    newRecord.P11d_Value = values[i][3];
    newRecord.EngineSize = values[i][4];
    newRecord.Fuel = values[i][5];
    newRecord.CO2 = values[i][6];
    newRecord.SIPP = values[i][7];
    newRecord.GTA_Code = values[i][8];
    newRecord.Type = values[i][9];
    ssData.push(newRecord);
//     console.log(newRecord.MODEL_FIELD);
  }
  console.log('Finished');
// return the array of the model.newRecord objects that would be consumed by the Model query.
}
&lt;/code&gt;&lt;/pre&gt;
&lt;p&gt;Please can someone help with this, at the moment the way the data is sent over to me adding new stuff into the Drive Table is causing many duplicates.&lt;/p&gt;
&lt;p&gt;Thanks in advance,&lt;/p&gt;
</t>
  </si>
  <si>
    <t xml:space="preserve">&lt;p&gt;You can delete all records, import, and read from a spreadsheet using the &lt;a href="https://script.google.com/a/ignitesynergy.com/d/148C-svFP_-50XseKiXFScVM8DgIozY_FALFlzkEtu2fI7l0_yt0FvbOh/edit?usp=drive_web&amp;amp;folder=0B6GErXJ0zvk0ME9teV95RjhWeGc&amp;amp;splash=yes" rel="nofollow noreferrer"&gt;AMU Library&lt;/a&gt;&lt;/p&gt;
&lt;p&gt;Copy and paste the server and client scripts into your app. &lt;/p&gt;
&lt;p&gt;I'm sure that will make it much easier!&lt;/p&gt;
&lt;p&gt;To delete all the data in a model using this:
Button onClick: &lt;/p&gt;
&lt;pre&gt;&lt;code&gt;google.script.run.AMU.deleteAllData('ModelName');
&lt;/code&gt;&lt;/pre&gt;
&lt;p&gt;The correct way to delete records on the server is: &lt;/p&gt;
&lt;pre&gt;&lt;code&gt;app.models.MODEL_NAME.deleteRecords(key_array); 
&lt;/code&gt;&lt;/pre&gt;
&lt;p&gt;datasource.unload() simply unloads the widget on the client. It does not affect the database records.&lt;/p&gt;
&lt;p&gt;A better way to write your records query on the server is: &lt;/p&gt;
&lt;pre&gt;&lt;code&gt;var query = app.models.MODEL_NAME.newQuery(); 
query.filters.your_filter_here;
var records = query.run(); 
&lt;/code&gt;&lt;/pre&gt;
&lt;p&gt;Note that you cannot return a single record or an array of records from anything but a calculated model function without using a &lt;a href="https://groups.google.com/forum/#!topic/appmaker-users/suVWjSFMXp0" rel="nofollow noreferrer"&gt;function posted here&lt;/a&gt;. (You can return a single field of a record using stringify for any json data.)&lt;/p&gt;
&lt;p&gt;I am currently working on a solution to create datasource independent tables needed in App Maker.&lt;/p&gt;
</t>
  </si>
  <si>
    <t xml:space="preserve">&lt;p&gt;&lt;a href="https://i.stack.imgur.com/qGfpv.png" rel="nofollow noreferrer"&gt;I need to display the cards who got the marks in writtentest more than 50 &lt;/a&gt;. I have connected to the SQL Server database. PowerApps automatically created an app for my database. The data in the database is student details and written test marks. In my app, it shows all the students information. But I need to display only the students list who got more than 50 marks in written test. How to customize the card in BrowserGallery to get the required output. First of all, is it possible to customize the cards? Please help me. Thank you.&lt;/p&gt;
</t>
  </si>
  <si>
    <t xml:space="preserve">&lt;p&gt;If you click the BrowseGallery, and select the you'll see the expression that is listed in that property is already filtering your data source based on the search item the user can type: &lt;/p&gt;
&lt;p&gt;&lt;a href="https://i.stack.imgur.com/YxtTS.png" rel="nofollow noreferrer"&gt;&lt;img src="https://i.stack.imgur.com/YxtTS.png" alt="enter image description here"&gt;&lt;/a&gt;&lt;/p&gt;
&lt;p&gt;The expression you have is probably something along these lines (I added spaces / indentation for clarity):&lt;/p&gt;
&lt;pre&gt;&lt;code&gt;SortByColumns(
    Search(&amp;lt;yourDataSource&amp;gt;, TextSearchBox1.Text, "Name", "Email"),
    "Name",
    If(SortDescending1, Descending, Ascending))
&lt;/code&gt;&lt;/pre&gt;
&lt;p&gt;In PowerApps you can compose the expression, so instead of searching directly in your data source, you can also search over a &lt;em&gt;filtered&lt;/em&gt; version of the data source, which is probably what you want. You can use the &lt;a href="https://powerapps.microsoft.com/tutorials/function-filter-lookup/" rel="nofollow noreferrer"&gt;Filter function&lt;/a&gt; to only have the students that meet a certain condition. If the number of marks is in a column named "marks", you can rewrite the Items property to include it as well:&lt;/p&gt;
&lt;pre&gt;&lt;code&gt;SortByColumns(
    Search(
        Filter(&amp;lt;yourDataSource&amp;gt;, marks &amp;gt; 50),
        TextSearchBox1.Text,
        "Name",
        "Email"),
    "Name",
    If(SortDescending1, Descending, Ascending))
&lt;/code&gt;&lt;/pre&gt;
</t>
  </si>
  <si>
    <t xml:space="preserve">&lt;p&gt;According to the &lt;a href="https://developers.google.com/appmaker/scripting/api/server#Model" rel="nofollow noreferrer"&gt;documentation&lt;/a&gt;, new records can be inserted into a datasource like this:&lt;/p&gt;
&lt;pre&gt;&lt;code&gt;var record = app.models.Person.newRecord();
app.saveRecords([record]);
&lt;/code&gt;&lt;/pre&gt;
&lt;p&gt;However, when in my server script I'm trying to do something as simple as:&lt;/p&gt;
&lt;pre&gt;&lt;code&gt;var item = app.models.ScheduledTournaments.newRecord()
&lt;/code&gt;&lt;/pre&gt;
&lt;p&gt;...I'm getting this in return:&lt;/p&gt;
&lt;blockquote&gt;
  &lt;p&gt;TypeError: [object Object] is not a function, it is object. at SharkScope:125 at scheduledTournaments (SharkScope:122)&lt;/p&gt;
&lt;/blockquote&gt;
&lt;p&gt;So it appears that &lt;code&gt;newRecord&lt;/code&gt; is not a function at all. Why? And how do you access datasources from a server script?&lt;/p&gt;
</t>
  </si>
  <si>
    <t xml:space="preserve">&lt;blockquote&gt;
  &lt;p&gt;how do you access datasources from a server script?&lt;/p&gt;
&lt;/blockquote&gt;
&lt;p&gt;The link you provided points to server-side API, but there are no datasources on server(datasources exist only on client side). Of course, you can create records on server, but to see them you need to reload datasource on client side.&lt;/p&gt;
&lt;blockquote&gt;
  &lt;p&gt;So it appears that newRecord is not a function at all.&lt;/p&gt;
&lt;/blockquote&gt;
&lt;p&gt;The most obvious answer will be that you are trying to call Sever Side API on the client(make sure, you selected right script type when created)...&lt;/p&gt;
&lt;p&gt;If you actually want to create new record on the client side, then you need to go with datasource's create mode:&lt;/p&gt;
&lt;pre class="lang-js prettyprint-override"&gt;&lt;code&gt;// Create a new record for datasource in auto-save mode
var create = app.datasources.MyDatasource.modes.create;
create.item.Field1 = 'a';
create.item.Field2 = 'b';
...
create.createItem(function(record) {
  // do stuff
});
&lt;/code&gt;&lt;/pre&gt;
</t>
  </si>
  <si>
    <t xml:space="preserve">&lt;p&gt;After creating a custom entity and choosing the CSV file that I wish to import, Powerapps is showing the Mapping Status as 'Matched'. However when I go to import data from this CSV I receive a 'Import failed' message along with a notification saying 'Your import was unsuccessful' with no further information. Is there anywhere that I can access an error log to show any further details, or does anyone have an idea of how to address this generic error?&lt;/p&gt;
&lt;p&gt;Thanks! &lt;/p&gt;
</t>
  </si>
  <si>
    <t xml:space="preserve">&lt;p&gt;I need to access views in powerapps from the sql server management studio. But in powerapps, it only shows tables. How can I access views. Is there any possibility to access views in powerapps?&lt;/p&gt;
</t>
  </si>
  <si>
    <t xml:space="preserve">&lt;p&gt;Afraid not, atleast not yet.&lt;/p&gt;
&lt;p&gt;&lt;a href="https://powerusers.microsoft.com/t5/PowerApps-Ideas/PowerApps-must-also-see-SQL-Azure-Queries-not-only-Tables/idi-p/863" rel="nofollow noreferrer"&gt;https://powerusers.microsoft.com/t5/PowerApps-Ideas/PowerApps-must-also-see-SQL-Azure-Queries-not-only-Tables/idi-p/863&lt;/a&gt;&lt;/p&gt;
&lt;p&gt;Vote for it! 
But apparantly it's in the "Planned" section - So hopefully it comes soon! &lt;/p&gt;
</t>
  </si>
  <si>
    <t xml:space="preserve">&lt;p&gt;Is it possible to connect the one App to more than one cloud SQL database?&lt;/p&gt;
&lt;p&gt;I can connect to a single cloud SQL database within the App settings (projectName:regionName:instanceName/databaseName).&lt;/p&gt;
&lt;p&gt;But I want to add models from more than one existing Cloud SQL database to my single App.&lt;/p&gt;
&lt;p&gt;When Creating External Data Models, there is no option or settings to configure another/additional google cloud SQL database.&lt;/p&gt;
&lt;p&gt;Any advise appreciated if there's a way to work around this?&lt;/p&gt;
&lt;p&gt;Reference: Connect your app to an existing Google Cloud SQL database:
&lt;a href="https://developers.google.com/appmaker/models/cloudsql#connect_your_app_to_an_existing_google_cloud_sql_database" rel="nofollow noreferrer"&gt;https://developers.google.com/appmaker/models/cloudsql#connect_your_app_to_an_existing_google_cloud_sql_database&lt;/a&gt;&lt;/p&gt;
&lt;p&gt;John &lt;/p&gt;
</t>
  </si>
  <si>
    <t xml:space="preserve">&lt;p&gt;For the sake of my app's end-users, I tried to copy data from the App Maker's basic table widget to Excel and GSheets. However, this results in getting all the data in a single column in the spreadsheet.&lt;/p&gt;
&lt;p&gt;I already noticed that this kind of copying is possible using the table chart widget. Still, I would need the basic table widget's functionalities like row click events.&lt;/p&gt;
&lt;p&gt;Is there any way for common users to do easy exporting to Excel (while using the basic table widget)? Could this kind of copying possibility be implemented to that widget (i.e. would there be any sense in making a feature request)? Any other suggestions to make the data easily usable in other programs?&lt;/p&gt;
&lt;p&gt;Thanks in advance!&lt;/p&gt;
</t>
  </si>
  <si>
    <t xml:space="preserve">&lt;p&gt;It is unlikely, that this will be implemented by App Maker, since basic table is fully customizable and can contain any widget and display model relations as well. It makes more sense to think about copying datasource items to clipboard or exporting them to spreadsheet. Here is a reference code, that you can try to use to generate serialized string compatible with Google Spreadsheet from datasource:&lt;/p&gt;
&lt;pre class="lang-js prettyprint-override"&gt;&lt;code&gt;// onClick event handler for 'copy to clipboard' button
var ds = app.datasources.MyDatasource;
var items = ds.items;
var fields = ds.model.fields._values;
var serialized = '';
items.forEach(function(item) {
  var values = [];
  fields.forEach(function(field) {
    var value = item[field.name];
    var strVal = value === null ? '' : value.toString();
    values.push(strVal);
  });
  serialized += values.join('\t') + '\n';
});
// You can find how to implement copying to clipboard
// here: https://stackoverflow.com/questions/400212
copyToClipboard(serialized);
&lt;/code&gt;&lt;/pre&gt;
&lt;p&gt;&lt;strong&gt;Note:&lt;/strong&gt; this code snippet will serialize ALL model fields, even if they are not present in table, but will not serialize model relations, even if there are some in your table. If you need only subset of model's fields, you can specify them explicitly:&lt;/p&gt;
&lt;pre class="lang-js prettyprint-override"&gt;&lt;code&gt;...
var fieldNames = ['FieldA', 'FieldB', ......]; // actually fieldNames
...
  fieldNames.forEach(function(fieldName) {
  var value = item[fieldName];
....
&lt;/code&gt;&lt;/pre&gt;
&lt;p&gt;To serialize model's relations as well you'll need to put even more efforts...&lt;/p&gt;
</t>
  </si>
  <si>
    <t xml:space="preserve">&lt;p&gt;Salesforce as recently acquired Demandware and re-branded it as Salesforce Commerce Cloud which is e-commerce solution, this comes with Einstein which has inbuilt AI, machine learning, deep learning to give seamless digital cutomer journey experience.
Can I use Salesforce Commerce Cloud just as CMS and leverage the advantages of Einstein? I don't have any requirement of e-commerce.&lt;/p&gt;
</t>
  </si>
  <si>
    <t xml:space="preserve">&lt;p&gt;You can definitely use Salesforce Commerce Cloud as a CMS without the e-commerce features but you would "loose" what SFCC excels at.&lt;/p&gt;
&lt;p&gt;Considering the high price barrier, if you (or your client) don't have any plans to implement e-commerce features in the near future I strongly suggest to find an alternative solution like Squarespace, Big Commerce or other services more oriented at content management (however I'm not sure which one supports Einstein).&lt;/p&gt;
</t>
  </si>
  <si>
    <t xml:space="preserve">&lt;p&gt;Is it possible to implement custom &lt;a href="https://developers.google.com/appmaker/properties#transformers" rel="nofollow noreferrer"&gt;transformers&lt;/a&gt; to perform non-trivial transformations, preferably both ways?&lt;/p&gt;
</t>
  </si>
  <si>
    <t xml:space="preserve">&lt;p&gt;Unfortunately, App Maker doesn't have a mechanism to add custom transformers. &lt;/p&gt;
&lt;p&gt;However, you can use client scripts to transform your bindings. For example, if you have a label that bound to &lt;strong&gt;@datasource.item.name&lt;/strong&gt;, you can create &lt;strong&gt;Client Script&lt;/strong&gt; with a function:&lt;/p&gt;
&lt;p&gt;&lt;div class="snippet" data-lang="js" data-hide="false" data-console="true" data-babel="false"&gt;
&lt;div class="snippet-code"&gt;
&lt;pre class="snippet-code-js lang-js prettyprint-override"&gt;&lt;code&gt;function nameTransformer(name) {
  return name + ' after transformation';
}&lt;/code&gt;&lt;/pre&gt;
&lt;/div&gt;
&lt;/div&gt;
&lt;/p&gt;
&lt;p&gt;and change your binding to &lt;strong&gt;nameTransformer(@datasource.item.name)&lt;/strong&gt;. That function can contain more complex logic. &lt;/p&gt;
</t>
  </si>
  <si>
    <t xml:space="preserve">&lt;p&gt;I'm displaying a dataset in a table. How can I modify the binding of one of the data cells to use a &lt;a href="https://developers.google.com/appmaker/properties#transformers" rel="nofollow noreferrer"&gt;transformer&lt;/a&gt; or maybe even a &lt;a href="https://developers.google.com/appmaker/properties#binding_expressions" rel="nofollow noreferrer"&gt;binding expression&lt;/a&gt;? In the property editor, it appears, I can only select bindings for individual cells from a list and cannot edit them in a text box.&lt;/p&gt;
&lt;p&gt;Specifically, I need to display only a time part of a DateTime, in a &lt;em&gt;specific timezone&lt;/em&gt;, and maybe (not sure yet) also make DateTimes look different if they are not for today but, say, for tomorrow.&lt;/p&gt;
</t>
  </si>
  <si>
    <t xml:space="preserve">&lt;p&gt;I'm trying to setup ZOHO mail with Nodemailer. The mail is configured correctly and I'm using following code to send the mail:&lt;/p&gt;
&lt;pre&gt;&lt;code&gt;var transporter = nodemailer.createTransport({
    host: 'smtp.zoho.eu',
    port: 465,
    secure: true, //ssl
    auth: {
            user:'info@myaddress.be',
            pass:'supersecretpassword'
    }
});
sendMail = function(req,res) {
var data = req.body;
transporter.sendMail({
    from: data.contactEmail,
    to: 'info@myaddress.be',
    subject: data.contactSubject,
    text: data.contactMsg
});
res.json(data);
};
&lt;/code&gt;&lt;/pre&gt;
&lt;p&gt;I contacted official support but no response so far. Maybe someone here has experience with it. The problem is that when using these settings I get a message that relaying is disallowed for the address in variable 'data.contactEmail'. When I change the from e-mail also to info@myaddress.be I do receive the e-mail but of course I do not know who sent it and can't reply to it.&lt;/p&gt;
&lt;p&gt;Anyone who knows how to make the 'from' address work with unknown addresses? Like john@gmail.com ?&lt;/p&gt;
</t>
  </si>
  <si>
    <t xml:space="preserve">&lt;h1&gt;Solution :&lt;/h1&gt;
&lt;p&gt;You should make an email account for your server : &lt;code&gt;bot@myaddress.be&lt;/code&gt;&lt;/p&gt;
&lt;p&gt;When you are going to relay the mail craft a custom &lt;strong&gt;MAILBODY&lt;/strong&gt; containing the subject and message
&lt;/p&gt;
&lt;pre&gt;&lt;code&gt;var MAILBODY ='\n[suject]:\n'+data.contactSubject+'\n\n[msg]:\n'+data.contactMsg;
&lt;/code&gt;&lt;/pre&gt;
&lt;p&gt;So you will be sending the original &lt;strong&gt;contactEmail as the subject of the mail&lt;/strong&gt; and using the mail's text (body) to se the message subject and the message content.&lt;/p&gt;
&lt;pre&gt;&lt;code&gt;transporter.sendMail({
    from: 'bot@myaddress.be',
    to: 'info@myaddress.be',
    subject: data.contactEmail,
    text: MAILBODY
});
&lt;/code&gt;&lt;/pre&gt;
&lt;h1&gt;Reason of Solution :&lt;/h1&gt;
&lt;p&gt;Example bot account will be able of sending the email to yourself with all the details you really need. (because you control that email account / your domain)&lt;/p&gt;
</t>
  </si>
  <si>
    <t xml:space="preserve">&lt;p&gt;I am trying to use OAuth2 (Azure Active Directory) to authenticate against a web api that I wrote, which is secured by Azure Active Directory. I know my security is setup correctly because I wrote a different app to consume the API, and it works.&lt;/p&gt;
&lt;p&gt;When I try to setup the PowerApps custom connector, I keep getting a 401 Unauthorized error. I believe that it is because I don't have my settings correct. However, I cannot figure out what the fields in the PowerApps security page are supposed to map to. &lt;/p&gt;
&lt;p&gt;Here is a screen shot of the page in powerapps. Please advise...
&lt;a href="https://i.stack.imgur.com/dUsqr.png" rel="nofollow noreferrer"&gt;&lt;img src="https://i.stack.imgur.com/dUsqr.png" alt="Security Tab for Custom Connector"&gt;&lt;/a&gt;
Thanks,&lt;/p&gt;
</t>
  </si>
  <si>
    <t xml:space="preserve">&lt;p&gt;The client id and client secrecy is that the property the client app you register in the app.&lt;/p&gt;
&lt;p&gt;And the resource URL is the app id URI of the app which represents the web API. And you can decode it from the token which works for previews request.&lt;/p&gt;
&lt;p&gt;More detail about authentication for the PowerApps for Azure Active Directory, you can refer the link below:&lt;/p&gt;
&lt;p&gt;&lt;a href="https://powerapps.microsoft.com/en-us/tutorials/customapi-azure-resource-manager-tutorial/" rel="nofollow noreferrer"&gt;Use Azure Active Directory with a custom connector in PowerApps&lt;/a&gt;&lt;/p&gt;
</t>
  </si>
  <si>
    <t xml:space="preserve">&lt;p&gt;Obviously, I know how to drag the DrivePicker widget to a form.  But after that, I am completely clueless on how to work like a normal upload control.  &lt;/p&gt;
&lt;p&gt;I have a text box field with a google drive icon to the right of it.  &lt;/p&gt;
&lt;p&gt;The text box has the name exemptionAttachment.&lt;/p&gt;
&lt;p&gt;The google drive icon has in the OnDocumentSelect and onDocumentSelect events the code: widget.parent.descendants.exemptionAttachment.value = result.docs[0].id;&lt;/p&gt;
&lt;p&gt;All that really happens is when the user clicks on the drive icon, they select a file from their hard drive and the file id is put in the exemptionAttachment text box.&lt;/p&gt;
&lt;p&gt;So after submitting the form, there is no attachment attached to the form or anything similar.  Perhaps I am missing the point of Google and that the file is supposed to get stored in google drive somewhere (though I don't where in terms of synching this to the application).&lt;/p&gt;
&lt;p&gt;So basically, I'm kind of clueless in terms of uploading attachments in a form.&lt;/p&gt;
</t>
  </si>
  <si>
    <t xml:space="preserve">&lt;p&gt;I have what I thought to be a rather simple task - to implement a small / un-complex database application that users should be able to read / write using an easy-to-use interface, to be made available for lots of users via Sharepoint or our Intranet. &lt;/p&gt;
&lt;p&gt;I'm somewhat familiar with coding and databases, but I had hoped for a no-coding-required solution, like just using a microsoft product such as Power Apps (but that does not seem to work with Desktop layouts). And for so many reasons, I'd not like to use Ms Access. As it's so easy to connect to a SQL database in Power BI, I assumed that there should be an application that could actually WRITE into the database as well. Right?&lt;/p&gt;
&lt;p&gt;I realize that this is a rather vague and broad question, but I have no idea where to start ... does anyone have any tips on where to start looking?&lt;/p&gt;
</t>
  </si>
  <si>
    <t xml:space="preserve">&lt;p&gt;How to access (read) custom fields from the directoy?
If I create the Directory Model the custom field of the directory are not shown.
Has someone done this before with App Maker?&lt;/p&gt;
&lt;p&gt;Best regards&lt;/p&gt;
&lt;p&gt;Karl&lt;/p&gt;
</t>
  </si>
  <si>
    <t xml:space="preserve">&lt;p&gt;When working with bill items through the REST API, there is a field called &lt;code&gt;tax_type&lt;/code&gt; on the response body that seems to (at least to me) always return with &lt;code&gt;tax&lt;/code&gt; as its value.&lt;/p&gt;
&lt;p&gt;I thought that a tax could be classified as inclusive or exclusive (as in the tax is included on the item's price or is to be charged separately).&lt;/p&gt;
&lt;p&gt;Any ideas on what this field means?&lt;/p&gt;
&lt;p&gt;A JSON sample can be seen at &lt;a href="https://www.zoho.com/books/api/v3/#Bills_Get_a_bill" rel="nofollow noreferrer"&gt;https://www.zoho.com/books/api/v3/#Bills_Get_a_bill&lt;/a&gt;&lt;/p&gt;
</t>
  </si>
  <si>
    <t xml:space="preserve">&lt;p&gt;In Zoho Books, taxes can be either simple tax (&lt;code&gt;tax&lt;/code&gt;) or compound tax (&lt;code&gt;compound_tax&lt;/code&gt;) or tax groups (&lt;code&gt;tax_groups&lt;/code&gt;). In Settings -&gt; Taxes, You can create these type of taxes. &lt;/p&gt;
&lt;p&gt;If you associate &lt;code&gt;compound tax&lt;/code&gt; to the bill, you will get the &lt;code&gt;tax_type&lt;/code&gt; as &lt;code&gt;compound_tax&lt;/code&gt;.&lt;/p&gt;
&lt;p&gt;PS: &lt;code&gt;is_inclusive_tax&lt;/code&gt; node is used to find the bill is either inclusive or exclusive.&lt;/p&gt;
</t>
  </si>
  <si>
    <t xml:space="preserve">&lt;p&gt;I am calling AMU.loadRecordByKey(widget) in the onAttach event of an edit form (not an insert form) to display the correct record that was previously submitted.&lt;/p&gt;
&lt;p&gt;Here is the function from the App Maker University script library:&lt;/p&gt;
&lt;pre&gt;&lt;code&gt;/**
 * Loads a record by Key
 * Checks URL first and then uses page parameter RECORD_ID
 * Use in the page onAttach, recommend a deticated datasource
 * @param {Object} widget Should be the page
 */
AMU.loadRecordByKey = function(widget){
  google.script.url.getLocation(function(location) {
    var recordId = location.parameter.record_id;
    var properties = app.pages[app.currentPage.name].properties;
    if (recordId !== undefined &amp;amp;&amp;amp; recordId !== null) {
      widget.datasource.query.filters._key._equals = recordId;     
    }else if(properties.RECORD_ID !== null){
      widget.datasource.query.filters._key._equals = properties.RECORD_ID;     
    }else{
    //  alert('No Record ID Found'); 
    }   
    widget.datasource.load();    
  });
};
&lt;/code&gt;&lt;/pre&gt;
&lt;p&gt;When the form initially opens its displays fine, but right after the AMU function is called, everything on the form shifts to the left. There is no error in the function (I tested this by putting alerts between every line).&lt;/p&gt;
&lt;p&gt;Any ideas?&lt;/p&gt;
</t>
  </si>
  <si>
    <t xml:space="preserve">&lt;p&gt;On a Google appmaker &lt;code&gt;table&lt;/code&gt;, I have a &lt;code&gt;label&lt;/code&gt; that I only want &lt;code&gt;visible&lt;/code&gt; when the row is active/selected by the user.&lt;/p&gt;
&lt;p&gt;I can see that the &lt;code&gt;datasource.itemtIndex&lt;/code&gt; would give me the current index that my label is at (I presume it's not the selected index), but I can not seem to find a property that shows me the currently selected index/row.&lt;/p&gt;
</t>
  </si>
  <si>
    <t xml:space="preserve">&lt;p&gt;I'm building a Backoffice and want the 1st page to resemble the google Apps dashboard (see image). Any idea how I can create large buttons that include a title, image and sub text?&lt;/p&gt;
&lt;p&gt;&lt;a href="https://i.stack.imgur.com/mA88r.png" rel="nofollow noreferrer"&gt;Google Apps Dashboard&lt;/a&gt;&lt;/p&gt;
&lt;p&gt;&lt;a href="https://indestat.tinytake.com/sf/MTg5Nzc5NF82MDY4MDY0" rel="nofollow noreferrer"&gt;Behaviour on mouseOver&lt;/a&gt;&lt;/p&gt;
</t>
  </si>
  <si>
    <t xml:space="preserve">&lt;p&gt;I am trying to send a mail using Zoho SMTP server using the following code :&lt;/p&gt;
&lt;pre&gt;&lt;code&gt; public void sendEmail(Email email) {
        Properties props = setupMailEnv();
        Session session = Session.getDefaultInstance(props,
                new javax.mail.Authenticator() {
                    protected PasswordAuthentication getPasswordAuthentication() {
                        return new PasswordAuthentication("sssxxxx@xxx.com", "xxxxx");
                    }
                });
        try {
            Message message = new MimeMessage(session);
            message.setFrom(new InternetAddress(email.getFromMailId()));
            message.setRecipients(Message.RecipientType.TO,
                    InternetAddress.parse(email.getToEmailId()));
            message.setSubject(email.getSubject());
            message.setText(email.getBody());
            Transport.send(message);
            log.info("Mail Sent.");
        } catch (MessagingException e) {
            throw e;
        }
    }
    private Properties setupMailEnv() {
        Properties props = new Properties();
        props.put("mail.smtp.host", "smtp.zoho.com");
        props.put("mail.smtp.socketFactory.port", "465");
        props.put("mail.smtp.socketFactory.class", javax.net.ssl.SSLSocketFactory");
        props.put("mail.smtp.auth", "true");
        props.put("mail.smtp.port", "465");
        props.setProperty("mail.smtp.socketFactory.fallback", "false");
        props.put("mail.smtp.startssl.enable", "true");
        props.put("mail.smtp.starttls.enable", "false");
        return props;
    }
&lt;/code&gt;&lt;/pre&gt;
&lt;p&gt;When I execute this program it is giving the following exception :&lt;/p&gt;
&lt;pre&gt;&lt;code&gt;javax.mail.MessagingException: Can't send command to SMTP host;
  nested exception is:
    java.net.SocketException: Connection closed by remote host
&lt;/code&gt;&lt;/pre&gt;
&lt;p&gt;I have referred Zoho forums but none of them gave the solution. How can I resolve this issue?&lt;/p&gt;
</t>
  </si>
  <si>
    <t xml:space="preserve">&lt;p&gt;I used the following property to debug the error:&lt;/p&gt;
&lt;pre&gt;&lt;code&gt;props.put("mail.debug", "true");
&lt;/code&gt;&lt;/pre&gt;
&lt;p&gt;The issue was with from address. The from address should match with the address in :&lt;/p&gt;
&lt;pre&gt;&lt;code&gt;new PasswordAuthentication("sssxxxx@xxx.com", "xxxxx");
&lt;/code&gt;&lt;/pre&gt;
&lt;p&gt;I changed it and everything is working fine as expected.&lt;/p&gt;
</t>
  </si>
  <si>
    <t xml:space="preserve">&lt;p&gt;I am working in Zoho Crm. I have many duplicates records in &lt;strong&gt;Account&lt;/strong&gt;. Is it possible to find and merge all the duplicate records at once.&lt;/p&gt;
&lt;p&gt;Thanks.&lt;/p&gt;
</t>
  </si>
  <si>
    <t xml:space="preserve">&lt;p&gt;As far my knowledge for now, Currently there is not any possible way by which it can be possible to merge all the duplicate records in bulk in ZOHO CRM.
The only way to merge it one by one by click on find and merge. but not in bulk.&lt;/p&gt;
&lt;p&gt;you have to get it done manually. All the best&lt;/p&gt;
</t>
  </si>
  <si>
    <t xml:space="preserve">&lt;p&gt;In my project script it always runs smooth but only when the description is like this it gives "Unable to parse error" . or if there are high number of special character than such error also arises. I have already taken care of basic special characters . it will be great if you can tell me whats the prob lem with this description as it is always giving this error.&lt;/p&gt;
&lt;pre&gt;&lt;code&gt;$description = "hi every one
now i will tell you what i want exactly
i want Development script for upload and sharing files like mediafire and mega 
i will tell you about every details what i need 
the websit or script will be dedicated to upload files, Whether been videos or photos or psd or pdf or mp3 every thing, i want members system in       the script, will be there normal members and premium members, premium members will be have more features more than normal member, you can see difference between them in this picture 
there are other things i want it in script 
like Control Panel for members and Control Panel  for admin 
contact us page, terms page &amp;amp; other pages like that 
linking the website in my account on Paypal to receive the money on him
this is the important things so i want tell me how much exactly will cost script like this"
&amp;lt;Leads&amp;gt;
&amp;lt;row no="1"&amp;gt;
&amp;lt;FL val="Name"&amp;gt;'XYZ'&amp;lt;/FL&amp;gt;
&amp;lt;FL val="Email"&amp;gt;'XYZ@ABC.COM'&amp;lt;/FL&amp;gt;
&amp;lt;FL val="Country"&amp;gt;'NEW JERSEY'&amp;lt;/FL&amp;gt;
&amp;lt;FL val="Description"&amp;gt;'.$description.'&amp;lt;/FL&amp;gt;
&amp;lt;/row&amp;gt;
&amp;lt;/Leads&amp;gt;
&lt;/code&gt;&lt;/pre&gt;
</t>
  </si>
  <si>
    <t xml:space="preserve">&lt;p&gt;Use in your script the CDATA.&lt;/p&gt;
&lt;pre&gt;&lt;code&gt;&amp;lt;FL val="Description"&amp;gt;&amp;lt;![CDATA['.$description.']]]]&amp;gt;&amp;lt;/FL&amp;gt;
&lt;/code&gt;&lt;/pre&gt;
</t>
  </si>
  <si>
    <t xml:space="preserve">&lt;p&gt;How do I access page fragment's custom properties within an event handler of one of its widget? For example, I'm trying to access them in an &lt;code&gt;OnLoad&lt;/code&gt; event of the page fragment itself like this:&lt;/p&gt;
&lt;pre&gt;&lt;code&gt;function SumBoxOnDataLoad (widget) {
    widget.descendants.TextBox.value = Currencies [widget.properties.currency]+widget.properties.value;
}
&lt;/code&gt;&lt;/pre&gt;
&lt;p&gt;...and &lt;code&gt;widget.properties&lt;/code&gt; is undefined. According to the &lt;a href="https://developers.google.com/appmaker/scripting/api/widgets#LayoutWidget" rel="nofollow noreferrer"&gt;API&lt;/a&gt;, even if I use &lt;code&gt;widget.root&lt;/code&gt;, which points to the same page fragment, there's nothing there resembling properties to work with.&lt;/p&gt;
</t>
  </si>
  <si>
    <t xml:space="preserve">&lt;p&gt;It depends on what you are trying to do. Basically, there are two major use cases:&lt;/p&gt;
&lt;ol&gt;
&lt;li&gt;Workaround lack of global bindable variables in App Maker. Page Fragment itself (not an instance of Page Fragment on particular page) has its own properties, that can be used globally across the app. This hack/feature is used in &lt;a href="https://developers.google.com/appmaker/templates/starter-app/" rel="nofollow noreferrer"&gt;Starter App template&lt;/a&gt; to track menu state on app level.&lt;/li&gt;
&lt;/ol&gt;
&lt;pre class="lang-js prettyprint-override"&gt;&lt;code&gt;...
var x = app.pageFragments.MyPageFragment.properties.MyCustomProperty;
...
&lt;/code&gt;&lt;/pre&gt;
&lt;ol start="2"&gt;
&lt;li&gt;Use properties of particular Page Fragment instance:&lt;/li&gt;
&lt;/ol&gt;
&lt;pre class="lang-js prettyprint-override"&gt;&lt;code&gt;// access from current page:
var x = app.currentPage.descendants.MyPageFragmentInstance.properties.MyCustomProperty;
// ...or
var x = app.pages.MyPage.descendants.MyPageFragmentInstance.properties.MyCustomProperty;
// access in page fragment instance's event (onAttach for example)
var x = widget.parent.properties.MyCustomProperty;
// access in page fragment instance descendant's event
var x = widget.root.parent.properties.MyCustomProperty;
&lt;/code&gt;&lt;/pre&gt;
&lt;p&gt;&lt;strong&gt;Further reading:&lt;/strong&gt;&lt;/p&gt;
&lt;p&gt;&lt;a href="https://developers.google.com/appmaker/ui/viewfragments#use_custom_properties_to_customize_page_fragments" rel="nofollow noreferrer"&gt;Page Fragment Custom Properties&lt;/a&gt;&lt;/p&gt;
</t>
  </si>
  <si>
    <t xml:space="preserve">&lt;p&gt;i'm tring to use python 3 insted of python 2 in ZOHO CRM API.&lt;/p&gt;
&lt;p&gt;in python 2 the code that works is:&lt;/p&gt;
&lt;pre&gt;&lt;code&gt;import urllib
import urllib2
module_name = 'Leads'
authtoken = '[authtoken]'
valueToSeek = 'test'
params = {'authtoken':authtoken,'scope':'crmapi','criteria':'(((Last 
Name:'+valueToSeek+')'}
final_URL = "https://crm.zoho.com/crm/private/xml/Leads/searchRecords"
data = urllib.urlencode(params)
request = urllib2.Request(final_URL,data)
response = urllib2.urlopen(request)
xml_response = response.read()
&lt;/code&gt;&lt;/pre&gt;
&lt;p&gt;in python 3 the code that doesn't works is:&lt;/p&gt;
&lt;pre&gt;&lt;code&gt;import urllib
import urllib.request
from urllib.request import urlopen
import urllib.parse
module_name = 'Leads'
authtoken = '[authtoken]'
valueToSeek = 'test'
params = {'authtoken':authtoken,'scope':'crmapi','criteria':'(((Last 
Name:'+valueToSeek+')'}
final_URL = 'https://crm.zoho.com/crm/private/xml/Leads/searchRecords'
data = urllib.parse.urlencode(params)
request = urllib.request.Request(final_URL,data)
response = urllib.request.urlopen(request)
xml_response = response.read()
print (xml_response)
&lt;/code&gt;&lt;/pre&gt;
&lt;p&gt;i get this:&lt;/p&gt;
&lt;p&gt;Traceback (most recent call last):   File "C:/Users/Darda_000/AppData/Local/Programs/Python/Python36-32/zohoTestPY3.py", line 12, in 
    response = urllib.request.urlopen(request)   File "C:\Users\Darda_000\AppData\Local\Programs\Python\Python36-32\lib\urllib\request.py", line 223, in urlopen
    return opener.open(url, data, timeout)   File "C:\Users\Darda_000\AppData\Local\Programs\Python\Python36-32\lib\urllib\request.py", line 524, in open
    req = meth(req)   File "C:\Users\Darda_000\AppData\Local\Programs\Python\Python36-32\lib\urllib\request.py", line 1248, in do_request_
    raise TypeError(msg) TypeError: POST data should be bytes, an iterable of bytes, or a file object. It cannot be of type str.&lt;/p&gt;
&lt;p&gt;What is my mistake?&lt;/p&gt;
</t>
  </si>
  <si>
    <t xml:space="preserve">&lt;p&gt;I would like to query one of my models in a server script. I'm trying to use the &lt;a href="https://developers.google.com/appmaker/scripting/api/server#Query" rel="nofollow noreferrer"&gt;Query&lt;/a&gt; object for this, however, I don't see a way to formulate the conditions within the given API. What I need can be expressed in a &lt;a href="https://developers.google.com/appmaker/models/datasources#query_builder" rel="nofollow noreferrer"&gt;query language&lt;/a&gt; like this:&lt;/p&gt;
&lt;pre&gt;&lt;code&gt;(FirstValue = :FirstValue or FirstValue = null) and (SecondValue = :SecondValue or SecondValue = null) and (ThirdValue = :ThirdValue or ThirdValue = null)
&lt;/code&gt;&lt;/pre&gt;
&lt;p&gt;&lt;em&gt;(The goal is to query a lookup table based on several values. In the lookup table, &lt;code&gt;null&lt;/code&gt; represents that this value isn't relevant and any value should be considered a match.)&lt;/em&gt;&lt;/p&gt;
&lt;p&gt;The &lt;code&gt;Query&lt;/code&gt; class appears to support only &lt;code&gt;and&lt;/code&gt; by specifying more than one filter, but there's no clear way to express &lt;code&gt;or&lt;/code&gt;, is there? Or maybe there's a way to use the query language within the server script?&lt;/p&gt;
&lt;p&gt;Using query script to fetch records in a UI element, reacting to &lt;code&gt;onLoad&lt;/code&gt; and processing them there is not an option.&lt;/p&gt;
</t>
  </si>
  <si>
    <t xml:space="preserve">&lt;p&gt;Is there a way to create a REST API in a server side script in app maker?&lt;/p&gt;
&lt;p&gt;I need to call a server side function from an iOS app passing some parameters and have a response without having to go to a page in the app.&lt;/p&gt;
&lt;p&gt;I know that for regular google apps script it’s possible trough the Execution API but I don’t know how to do it inside app maker.&lt;/p&gt;
&lt;p&gt;Thanks.&lt;/p&gt;
</t>
  </si>
  <si>
    <t xml:space="preserve">&lt;p&gt;I have an extra required error validation I can't figure out where it comes from which prevents me from submitting the form:&lt;/p&gt;
&lt;p&gt;&lt;img src="https://i.stack.imgur.com/1naWj.gif" alt=""&gt;&lt;/p&gt;
</t>
  </si>
  <si>
    <t xml:space="preserve">&lt;p&gt;&lt;a href="https://i.stack.imgur.com/qFYVT.png" rel="nofollow noreferrer"&gt;&lt;img src="https://i.stack.imgur.com/qFYVT.png" alt="represents crm place for new event that I would like to create using code"&gt;&lt;/a&gt;I am trying to add New Event to Leads via API (Open Activities --- New Event, please see the images attached for references). I can create an event just but not Open Activities - New Event associated with Lead.&lt;/p&gt;
&lt;pre&gt;&lt;code&gt;          //Initialize connection 
          $ch = curl_init('https://crm.zoho.com/crm/private/xml/Events/updateRecords?'); 
          // insertRecords instead updateRecords works fine but as informed before it creates only event just
          curl_setopt($ch, CURLOPT_VERBOSE, 1);//standard i/o streams 
          curl_setopt($ch, CURLOPT_SSL_VERIFYPEER, FALSE);// Turn off the server and peer verification 
          curl_setopt($ch, CURLOPT_SSL_VERIFYHOST, FALSE); 
          curl_setopt($ch, CURLOPT_RETURNTRANSFER, 1);//Set to return data to string ($response) 
          curl_setopt($ch, CURLOPT_POST, 1);//Regular post 
          //Set post fields 
          //this script is being proccessed by a form so I also put all of my $_POST['name'] variable here to be 
          //used in the $xmlData variable below
          $authtoken = " f12ccd3daa030d2980b61d85d4824abf";
          $xml_data  = '&amp;lt;Events&amp;gt;'; 
            $xml_data .= '&amp;lt;row no="1"&amp;gt;';
            $xml_data .= '&amp;lt;FL val="Subject"&amp;gt;Subject of your choice&amp;lt;/FL&amp;gt;';
            $xml_data .= '&amp;lt;FL val="Start DateTime"&amp;gt;'.date('Y-m-d H:i:s').'&amp;lt;/FL&amp;gt;';
            $xml_data .= '&amp;lt;FL val="End DateTime"&amp;gt;'.date('Y-m-d H:i:s').'&amp;lt;/FL&amp;gt;';
            $xml_data .= '&amp;lt;FL val="Venue"&amp;gt;Mohanty&amp;lt;/FL&amp;gt;';
            $xml_data .= '&amp;lt;FL val="Send Notification Email"&amp;gt;false&amp;lt;/FL&amp;gt;';
            $xml_data .= '&amp;lt;/row&amp;gt;';
            $xml_data .= '&amp;lt;/Events&amp;gt;';
          $query = "authtoken=$authtoken&amp;amp;scope=crmapi&amp;amp;newFormat=1&amp;amp;id=2739523000000127005&amp;amp;xmlData=$xml_data"; // id --- is the lead id
          curl_setopt($ch, CURLOPT_POSTFIELDS, $query);// Set the request as a POST FIELD for curl. 
          //Execute cUrl session 
          $response = curl_exec($ch); 
          print_r($response);
          curl_close($ch);
&lt;/code&gt;&lt;/pre&gt;
</t>
  </si>
  <si>
    <t xml:space="preserve">&lt;p&gt;Salesforce Guru:&lt;/p&gt;
&lt;p&gt;I am writing a Salesforce visualforce page extension controller to implement validation and other biz logic in it. However, my code doesn't work as expected. It seems the code validating sub category and serial number is never reached. The system debug log shows the sub category is always null though I have input values in VF page. Can you pls help? thank you very much!&lt;/p&gt;
&lt;pre&gt;&lt;code&gt;public class CaseCreationExtension {
    ApexPages.StandardController stdCtrl;
    Case newCase;
    public CaseCreationExtension(ApexPages.StandardController controller){
        if (!Test.isRunningTest()){
            controller.addFields(new List&amp;lt;String&amp;gt;{'Categ__c', 'Sub_Category__c', 'Id', 'Serial_Number__c', 'Refund_Required__c', 'Total_Value__c', 'Per_Month__c'});
            system.debug('AddFields');
        }
        system.debug('Initial Controller');
        this.stdCtrl = controller;
        newCase = (Case)stdCtrl.getRecord();
        system.debug('AccountId' + newCase.AccountId);
    }
    public PageReference validateSaveRedirect(){
        system.debug('Sub Category:' + newCase.Sub_Category__c);
        system.debug('Serial Number:' + newCase.Serial_Number__c);
        if(newCase.Sub_Category__c == 'Cancellations' &amp;amp;&amp;amp; newCase.Serial_Number__c == null){
            system.debug('Adding error message');
            ApexPages.Message myMsg = new ApexPages.Message(ApexPages.Severity.ERROR,'Error: Serial Number must be specified for cancellation case.');
            ApexPages.addMessage(myMsg);
            system.debug('finished Adding error message');
            return null;
        }else{
            if(null==stdCtrl.save()){
                return null;
            }
            /*try{
                stdCtrl.save();
            }
            catch(system.Exception e){
                ApexPages.Message msg = new apexPages.Message(Apexpages.Severity.ERROR, e.getdmlMessage(0));
                ApexPages.addMessage(msg);
                return null;
            }*/
            stdCtrl.save();
            system.debug('New Case Id:' + newCase.Id);
            PageReference pr = new PageReference('/' + newCase.Id);
            pr.setRedirect(true);
            return pr;
       }
    }
    public PageReference cancelRedirect(){
        stdCtrl.cancel();
        system.debug('New Case Id:' + newCase.Contact);
        PageReference pr = new PageReference('/' + newCase.Contact);
        pr.setRedirect(true);
        return pr;
    }
}
&lt;/code&gt;&lt;/pre&gt;
</t>
  </si>
  <si>
    <t xml:space="preserve">&lt;p&gt;I am trying to do automate office 365 on Microsoft powerapps and I want to connect it with Azure AD of my organization.so I want to show entire user-list in power apps so I can select the particular user.&lt;br&gt;
The scenario is if the user add in the organization automatically reflect in the drop down List
How can I do this anyone has idea ??&lt;/p&gt;
</t>
  </si>
  <si>
    <t xml:space="preserve">&lt;p&gt;Does App maker has any debugging options on the JavaScript functions. I can see debugging options in google script. &lt;/p&gt;
&lt;p&gt;When I tried to run functions it shows the error in the logger, it is not enough to identify the exact issue. If there is a default debugging option it will be easy to identify the issue&lt;/p&gt;
</t>
  </si>
  <si>
    <t xml:space="preserve">&lt;p&gt;There are different debugging techniques for App Maker and they are different for Server and Client scripts.&lt;/p&gt;
&lt;p&gt;&lt;strong&gt;Client Script debugging:&lt;/strong&gt;&lt;/p&gt;
&lt;ol&gt;
&lt;li&gt;&lt;p&gt;Write &lt;a href="https://developer.mozilla.org/en-US/docs/Web/JavaScript/Reference/Statements/debugger" rel="nofollow noreferrer"&gt;'debugger;'&lt;/a&gt; statement in code where you need to break, redeploy app, open Browser Dev Tools and reload app. It is just a basic JS debugging technique.&lt;/p&gt;&lt;/li&gt;
&lt;li&gt;&lt;p&gt;You can use 'console.log()' to put some messages to browser's console.&lt;/p&gt;&lt;/li&gt;
&lt;/ol&gt;
&lt;p&gt;&lt;strong&gt;Server Script debugging:&lt;/strong&gt;&lt;/p&gt;
&lt;ol&gt;
&lt;li&gt;&lt;p&gt;You can use 'console.log()' to put some messages to browser's console (this will work only if you are deployment owner, otherwise you'll not see these messages).&lt;/p&gt;&lt;/li&gt;
&lt;li&gt;&lt;p&gt;You can use 'console.log()' and see your messages in Google Cloud Platform logs for your &lt;strong&gt;Deployment&lt;/strong&gt;:&lt;/p&gt;&lt;/li&gt;
&lt;/ol&gt;
&lt;p&gt;&lt;a href="https://i.stack.imgur.com/bLlIl.png" rel="nofollow noreferrer"&gt;&lt;img src="https://i.stack.imgur.com/bLlIl.png" alt="Deployment logs"&gt;&lt;/a&gt;&lt;/p&gt;
&lt;p&gt;or &lt;strong&gt;Preview&lt;/strong&gt;:&lt;/p&gt;
&lt;p&gt;&lt;a href="https://i.stack.imgur.com/Kos0a.png" rel="nofollow noreferrer"&gt;&lt;img src="https://i.stack.imgur.com/Kos0a.png" alt="enter image description here"&gt;&lt;/a&gt;&lt;/p&gt;
</t>
  </si>
  <si>
    <t xml:space="preserve">&lt;p&gt;I am creating an IVR for twilio and was given a twiml app and have decided to use php. &lt;/p&gt;
&lt;p&gt;How do the  integrate the php file with zoho crm? I am a bit stuck. &lt;/p&gt;
&lt;p&gt;Updates: We have created a php file for this and posted it in my github&lt;/p&gt;
&lt;p&gt;&lt;a href="https://gist.github.com/sjvelasquez/c55a9cca94f0852b4f267668e230be07" rel="nofollow noreferrer"&gt;https://gist.github.com/sjvelasquez/c55a9cca94f0852b4f267668e230be07&lt;/a&gt;&lt;/p&gt;
</t>
  </si>
  <si>
    <t xml:space="preserve">&lt;p&gt;We have methods to create and update the item in App Maker, but it will save the whole record. If I want to update only a particular field on the button click, there is no option.&lt;/p&gt;
&lt;p&gt;Please post if there are any options to update a particular field?&lt;/p&gt;
</t>
  </si>
  <si>
    <t xml:space="preserve">&lt;p&gt;&lt;strong&gt;Automatic Save Mode&lt;/strong&gt;&lt;/p&gt;
&lt;p&gt;In auto save mode App Maker instantly saves every field, so you have per-field saving granularity. In other words, whenever field's value is changed App Maker sends request to server to save the modification.&lt;/p&gt;
&lt;pre class="lang-js prettyprint-override"&gt;&lt;code&gt;// this code will trigger async call to server to save the modification
// only for this particular field.
app.datasources.MyDatasource.item.MyField = 'My new value';
&lt;/code&gt;&lt;/pre&gt;
&lt;p&gt;&lt;strong&gt;Manual Save Mode&lt;/strong&gt;&lt;/p&gt;
&lt;p&gt;With manual save mode there is no easy way to save modifications subsets separately, since whenever you call 'saveChanges' method App Maker will try to persist all modifications made to the datasource. Here are some pretty bad workarounds that &lt;strong&gt;I would not recommend&lt;/strong&gt; unless you have no other options:&lt;/p&gt;
&lt;pre class="lang-js prettyprint-override"&gt;&lt;code&gt;// Implementation with callback chaining if field save
// order matters. It will work extremely slow.
var ds = app.datasources.MyDatasource; 
ds.item.MyField1 = 'My new value 1';
ds.saveChanges(function() {
  ds.item.MyField2 = 'My new value 2';
  ds.saveChanges(function() {
    ds.item.MyField3 = 'My new value 3';
    ...  
  });
});
// Implementation without chaining. In theory should work
// faster(if it would work at all...)
var ds = app.datasources.MyDatasource;
ds.item.MyField1 = 'My new value 1';
ds.saveChanges();
ds.item.MyField2 = 'My new value 2';
ds.saveChanges();
ds.item.MyField3 = 'My new value 3';
ds.saveChanges();
...  
&lt;/code&gt;&lt;/pre&gt;
&lt;p&gt;&lt;strong&gt;Server Script&lt;/strong&gt;&lt;/p&gt;
&lt;p&gt;Pretty much same answer as for Manual Save mode, it is doable, but &lt;strong&gt;I would not recommend do it&lt;/strong&gt; since performance will significantly degrade.&lt;/p&gt;
&lt;pre class="lang-js prettyprint-override"&gt;&lt;code&gt;record.MyField1 = 'My new value 1';
app.saveRecords([record]);
record.MyField2 = 'My new value 2';
app.saveRecords([record]);
record.MyField3 = 'My new value 3';
app.saveRecords([record]);
...
&lt;/code&gt;&lt;/pre&gt;
</t>
  </si>
  <si>
    <t xml:space="preserve">&lt;p&gt;We have drive picker in the widgets panel. We added the drive picker in our canvas when we tried to set the bindings for SelectedDocUrl and SelectedDocName the binding popup does not shows the &lt;strong&gt;properties&lt;/strong&gt; where we can use the file properties in our requirement.&lt;/p&gt;
&lt;p&gt;But in the sample projects it is showing, for the drive picker sample project and document approval sample project it is showing other than that it is not showing any other apps.&lt;/p&gt;
</t>
  </si>
  <si>
    <t xml:space="preserve">&lt;p&gt;In those samples page &lt;a href="https://developers.google.com/appmaker/ui/binding#custom_properties" rel="nofollow noreferrer"&gt;Custom Properties&lt;/a&gt; are used. To use these properties you need to define them manually first:
&lt;a href="https://i.stack.imgur.com/pXS0Q.png" rel="nofollow noreferrer"&gt;&lt;img src="https://i.stack.imgur.com/pXS0Q.png" alt="Page custom properties"&gt;&lt;/a&gt;&lt;/p&gt;
&lt;p&gt;But most likely in real-life application you'll need to bind Drive Picker's properties to some datasource item fields(so be sure, that your Drive Picker widget inherits right datasource).&lt;/p&gt;
</t>
  </si>
  <si>
    <t xml:space="preserve">&lt;p&gt;I'm new to lightning components and I am trying to develop a leaflet map component that will display on the account page.  When I first click on an account record I get "Map already initialized" error.  If I refresh the page it loads fine.  Then if I click out and back into the same account it works.  But clicking on another account fires the same error as before.  I've tried adding the map container dynamically and I've tried removing the map container.  Any suggestions would be great.  &lt;/p&gt;
&lt;p&gt;Thanks!&lt;/p&gt;
&lt;p&gt;Here is the code for all the pieces&lt;/p&gt;
&lt;p&gt;controller.js&lt;/p&gt;
&lt;pre&gt;&lt;code&gt;({
jsLoaded: function(component, event, helper) {
    var recType = component.get("v.branch.fields.RecordTypeId.value");
    var action = component.get("c.getBranch");
    action.setParams({'recID' : component.get("v.recordId"),
                      'recordTypeID' : recType});
    action.setCallback(this,function(response){
      var state = response.getState();
      if(state === "SUCCESS"){
        var branch = response.getReturnValue();
        helper.buildmap(component,branch);
      }  
    });
    $A.enqueueAction(action);
},
//future code goes here
})
&lt;/code&gt;&lt;/pre&gt;
&lt;p&gt;helper.js:&lt;/p&gt;
&lt;pre&gt;&lt;code&gt;({
loadAllClients: function(component,map){
    var action = component.get("c.findAll");
    var recType = component.get("v.branch.fields.RecordTypeId.value");
    action.setParams({'recID' : component.get("v.recordId"),
                      'recordTypeID' : recType});
    action.setCallback(this,function(response){
        var state = response.getState();
        console.log(state);
        var objects = response.getReturnValue();
        if(state === "SUCCESS"){
            if(objects != null){
           for (var i=0; i&amp;lt;objects.length; i++) {
            var singleRec = objects[i];
            var url = '/' + singleRec.recID;
            var popup = '&amp;lt;a href=' + url + '&amp;gt;' +singleRec.Name+'&amp;lt;/a&amp;gt;';
            var latLng = [singleRec.Latitude, singleRec.Longitude];
            L.marker(latLng, {account: singleRec}).addTo(map)
            .bindPopup(popup);
           }
          }
        }
    });
    $A.enqueueAction(action); 
},
 buildmap: function (component,branch){
    var lat = branch.BillingLatitude;
    var long = branch.BillingLongitude;
    var map = new L.map('map');
    map.setView(new L.LatLng(lat,long), 8);
    setTimeout(function() {
        L.AwesomeMarkers.Icon.prototype.options.prefix = 'fa';
        var redMarker = L.AwesomeMarkers.icon({icon : 'home',markerColor: 'red'});
        var radius = 80467.2;
        L.tileLayer('https://server.arcgisonline.com/ArcGIS/rest/services/World_Street_Map/MapServer/tile/{z}/{y}/{x}',
        {
           attribution: 'Tiles © Esri'
        }).addTo(map);
        L.marker([lat,long],{icon:redMarker}).addTo(map)
        .bindPopup(branch.Name);
        L.circle([lat,long], radius).addTo(map);
    });
    this.loadAllClients(component,map);     
},//future code goes here
})
&lt;/code&gt;&lt;/pre&gt;
&lt;p&gt;Component:&lt;/p&gt;
&lt;pre&gt;&lt;code&gt;&amp;lt;aura:component implements="flexipage:availableForAllPageTypes,force:hasRecordId" access="global" controller="AccountController"&amp;gt;
&amp;lt;aura:attribute name="branch" type="account"/&amp;gt;
&amp;lt;aura:attribute name="recordId" type="Id" /&amp;gt;
&amp;lt;aura:attribute name="accounts" type="object[]" /&amp;gt;
&amp;lt;ltng:require styles="/resource/leaflet/leaflet.css" /&amp;gt;  
&amp;lt;ltng:require styles="/resource/fontawesome/font-awesome-4.7.0/css/font-awesome.min.css"/&amp;gt;
&amp;lt;ltng:require styles="http://code.ionicframework.com/ionicons/1.5.2/css/ionicons.min.css"/&amp;gt;
&amp;lt;ltng:require styles="/resource/leaflet/leaflet.awesome-markers.css"/&amp;gt;
&amp;lt;ltng:require scripts="/resource/leaflet/leaflet.js,/resource/leaflet/leaflet.awesome-markers.js" 
         afterScriptsLoaded="{!c.jsLoaded}" /&amp;gt;
&amp;lt;force:recordData aura:id="branchservice"
              recordId="{!v.recordId}"
              targetRecord="{!v.branch}"
              fields="Name,RecordTypeId" /&amp;gt;
    &amp;lt;div id="map"&amp;gt;&amp;lt;/div&amp;gt;
&amp;lt;/aura:component&amp;gt;
&lt;/code&gt;&lt;/pre&gt;
</t>
  </si>
  <si>
    <t xml:space="preserve">&lt;p&gt;I have a requirement to group list view in app maker. In app maker there are three options to show data in list view.&lt;/p&gt;
&lt;ul&gt;
&lt;li&gt;Using Tables &lt;/li&gt;
&lt;li&gt;Using List View&lt;/li&gt;
&lt;li&gt;Using Accordion&lt;/li&gt;
&lt;/ul&gt;
&lt;p&gt;In that Accordion has similar functionality of grouping. But in sample projects accordion is used to show details for a base record. But I need &lt;strong&gt;grouping&lt;/strong&gt; like how it is available in &lt;strong&gt;SharePoint&lt;/strong&gt;.&lt;/p&gt;
&lt;p&gt;Can we group data like &lt;strong&gt;SharePoint&lt;/strong&gt;.&lt;/p&gt;
</t>
  </si>
  <si>
    <t xml:space="preserve">&lt;p&gt;We have drive picker in app maker to upload files in google drive, but we have a requirement to upload files as attachment as we do in SharePoint.
Should we use Drive picker as attachment picker or do we need to write script to save files in fields.&lt;/p&gt;
</t>
  </si>
  <si>
    <t xml:space="preserve">&lt;p&gt;App Maker has default validations and regular expression validation which will highlight the fields once the error occurs.&lt;/p&gt;
&lt;p&gt;We have requirement to do custom validations to check duplicate records in models. Is there any function to check the validation or do we need to do any script?&lt;/p&gt;
</t>
  </si>
  <si>
    <t xml:space="preserve">&lt;p&gt;The best way to avoid data duplication will be enforcing 'unique' constraint for your tables using Cloud SQL.&lt;/p&gt;
&lt;p&gt;In case you don't want to use Cloud SQL and want to go with &lt;strong&gt;Drive Tables&lt;/strong&gt; you can emulate unique constraint manually using locks, queries and model events:&lt;/p&gt;
&lt;pre class="lang-js prettyprint-override"&gt;&lt;code&gt;// onCreate model event (actually it is onBeforeCreate)
// this events accepts about-to-create record as parameter
var lock = LockService.getScriptLock();
lock.waitLock(5000);
var query = app.models.MyModel.newQuery();
query.filters.SomeField._equals = record.SomeField;
var records = query.run();
if (records.length &amp;gt; 0) {
  throw new Error('Record with SomeField value equal to ' + record.SomeField +
                   ' already exists.');
}
lock.releaseLock();
&lt;/code&gt;&lt;/pre&gt;
&lt;p&gt;You need &lt;code&gt;lock&lt;/code&gt; here to prevent other threads concurrently creating records that will violate your unique constraint.&lt;/p&gt;
&lt;p&gt;Then you can handle the error on UI in &lt;code&gt;createItem&lt;/code&gt; function callback:&lt;/p&gt;
&lt;pre class="lang-js prettyprint-override"&gt;&lt;code&gt;// create button onClick handler
widget.datasource.createItem({
  success: function(record) {
    // TODO
  },
  failure: function(error) {
    // TODO
  }
});
&lt;/code&gt;&lt;/pre&gt;
</t>
  </si>
  <si>
    <t xml:space="preserve">&lt;p&gt;I want to send mail by using zoho smtp server from my codeigniter application.&lt;/p&gt;
&lt;p&gt;I have tried with below code but I got error.&lt;/p&gt;
&lt;pre&gt;&lt;code&gt;    $config['protocol'] = 'smtp';
    $config['smtp_host'] = 'smtp.zoho.eu';
    $config['smtp_user'] = 'test@example.com';
    $config['smtp_pass'] = '12345678';
    $config['smtp_port'] = 465;
    $config['smtp_crypto'] = 'ssl';
    $config['mailtype'] = 'html';
    $this-&amp;gt;email-&amp;gt;initialize($config);
    $this-&amp;gt;email-&amp;gt;from('no-reply@example.com', 'Test');
    $this-&amp;gt;email-&amp;gt;to('test@gmail.com');
    $this-&amp;gt;email-&amp;gt;subject("Test");
    $this-&amp;gt;email-&amp;gt;message("Test message");
    if(!$this-&amp;gt;email-&amp;gt;send()){
        $this-&amp;gt;email-&amp;gt;print_debugger();
    }
&lt;/code&gt;&lt;/pre&gt;
&lt;p&gt;I Got below error&lt;/p&gt;
&lt;p&gt;&lt;a href="https://i.stack.imgur.com/3iVx8.png" rel="nofollow noreferrer"&gt;&lt;img src="https://i.stack.imgur.com/3iVx8.png" alt="enter image description here"&gt;&lt;/a&gt;&lt;/p&gt;
&lt;p&gt;I have hosted the files in google cloud connect. &lt;strong&gt;It's working fine in localhost&lt;/strong&gt;&lt;/p&gt;
</t>
  </si>
  <si>
    <t xml:space="preserve">&lt;p&gt;In sample projects left navigation or menu bar is shown and hide based on the button click on the header.&lt;/p&gt;
&lt;p&gt;Left navigation links is created as fragment, but it is not called is any of the pages, but hide and show is working. Can any one show how it works.&lt;/p&gt;
&lt;p&gt;We tried similar thing in our project but it is not working can anyone explain how it is working&lt;/p&gt;
</t>
  </si>
  <si>
    <t xml:space="preserve">&lt;p&gt;In &lt;a href="https://developers.google.com/appmaker/templates/starter-app/" rel="nofollow noreferrer"&gt;Starter App template&lt;/a&gt; side-menu link's clicks are propagated to its parent panel and handled by it. Here is MenuItemPanel click handler for reference:&lt;/p&gt;
&lt;pre class="lang-js prettyprint-override"&gt;&lt;code&gt;app.pageFragments.Menu.properties.IsVisible = false;
app.showPage(app.pages.SomePage);
&lt;/code&gt;&lt;/pre&gt;
&lt;p&gt;Every page in the app has menu page fragment and its &lt;code&gt;visible&lt;/code&gt; property is bound to Menu page fragment's &lt;code&gt;IsVisible&lt;/code&gt; &lt;a href="https://developers.google.com/appmaker/ui/binding#custom_properties" rel="nofollow noreferrer"&gt;custom property&lt;/a&gt;(it is kind of bindable global variable).&lt;/p&gt;
</t>
  </si>
  <si>
    <t xml:space="preserve">&lt;p&gt;We have tables in app maker that shows data in list view and it will add default features like sorting, paging. We want filters on top of each column in &lt;/p&gt;
&lt;p&gt;that table, drop down control acts as filter that will list all the distinct values on its configured column. When I select a value in dropdown it should &lt;/p&gt;
&lt;p&gt;filter the value from datasource and load in the list view.&lt;/p&gt;
&lt;p&gt;If two filters or more filters is applied at the same time, the filters should act as AND condition that will bring values satisfied with all filters.&lt;/p&gt;
</t>
  </si>
  <si>
    <t xml:space="preserve">&lt;p&gt;There is no such type of table in App Maker at this time (but you can always file feature request &lt;a href="https://issuetracker.google.com/issues/new?component=192783&amp;amp;template=833410" rel="nofollow noreferrer"&gt;here&lt;/a&gt;)&lt;/p&gt;
&lt;p&gt;Meanwhile you can put some effort and implement it on your own. You just need to add input widgets, layout them and bind to &lt;a href="https://developers.google.com/appmaker/scripting/api/client#Query" rel="nofollow noreferrer"&gt;filters(_equals, _in, _notIt, _startsWith...)&lt;/a&gt;:&lt;/p&gt;
&lt;pre&gt;&lt;code&gt;@datasource.query.filters.FieldName._equals
&lt;/code&gt;&lt;/pre&gt;
&lt;p&gt;There are some relevant apps with this functionality:&lt;/p&gt;
&lt;ul&gt;
&lt;li&gt;&lt;a href="https://developers.google.com/appmaker/samples/project-list/" rel="nofollow noreferrer"&gt;Project List&lt;/a&gt;&lt;/li&gt;
&lt;li&gt;&lt;a href="https://developers.google.com/appmaker/templates/project-tracker/" rel="nofollow noreferrer"&gt;Project Tracker&lt;/a&gt;&lt;/li&gt;
&lt;/ul&gt;
</t>
  </si>
  <si>
    <t xml:space="preserve">&lt;p&gt;I am creating a Visual Flow and I have few address fields which needs to be verified via 3rd part Address Verification javascript library(Smarty Street API). I am not able to find how to invoke this javascript inside my visual flow screen.
However the same address verification API is integrated with one of my VF page but I want to implement the same inside Visual Flow.&lt;/p&gt;
&lt;p&gt;Can someone please guide on this?&lt;/p&gt;
</t>
  </si>
  <si>
    <t xml:space="preserve">&lt;p&gt;In App maker we don't have any out of box widget for grouping. We have accordion for list view but it does not filter the list based on grouping. &lt;/p&gt;
&lt;p&gt;We want to group the list data and the grouping will contain the relevant data based on the grouping.
Please find the below link for image reference.
&lt;a href="http://4.bp.blogspot.com/-WUkYmvJeh-Q/U75MJBeK96I/AAAAAAAAExc/EHjz2lKO2Q4/s1600/expand+all+collapse+all+in+sharepoint+list+grouped+items.png" rel="nofollow noreferrer"&gt;SharePoint grouping image&lt;/a&gt;&lt;/p&gt;
</t>
  </si>
  <si>
    <t xml:space="preserve">&lt;p&gt;I would like to add an event listener to a Text Editor but I cannot seem to get it to work.&lt;/p&gt;
&lt;p&gt;In the past I have been able to add event listeners to Text Box and Text Area widgets by adding some script to the onAttach event of the widget:&lt;/p&gt;
&lt;pre&gt;&lt;code&gt;widget.getElement().addEventListener('keypress', function(e){
   // event listener code goes here...
});
&lt;/code&gt;&lt;/pre&gt;
&lt;p&gt;However, this approach does not seem to work with the Text Editor widget and the only events that I am able to use are the onValueChange or onValueEdit App Maker events, which only trigger when the Text Editor loses focus&lt;/p&gt;
&lt;p&gt;Is there any way that I get such an event listener to work with a Text Editor widget?&lt;/p&gt;
&lt;p&gt;Can anyone suggest how I can overcome this problem?&lt;/p&gt;
</t>
  </si>
  <si>
    <t xml:space="preserve">&lt;p&gt;I'd like to save uploaded files to a specific folder, not root. Google's Picker Class Reference specifies using DocsUploadView.setParent("folderID"), however I can't figure out how to access this property in App Maker.
Thanks!&lt;/p&gt;
</t>
  </si>
  <si>
    <t xml:space="preserve">&lt;p&gt;In App maker user picker widget is populating the users added in the organization.
But it is not throwing any error when a valid value is not entered in the field. It just saves as an empty field.
How to use the Validation display and Validation error message when an error encountered. I want display different error message when a particular error occurs. &lt;/p&gt;
</t>
  </si>
  <si>
    <t xml:space="preserve">&lt;p&gt;First of all, you can enforce it on Model level by making the field required. Secondary, you can add your custom validation logic on UI:&lt;/p&gt;
&lt;pre class="lang-js prettyprint-override"&gt;&lt;code&gt;// UserPicker onValidate event
if (widget.value === null || widget.value === '') {
  return 'validation error message goes here';
}
&lt;/code&gt;&lt;/pre&gt;
&lt;p&gt;Be sure, that your form's submit button is bound to &lt;code&gt;@widget.parent.parent.valid&lt;/code&gt; (it is default App Maker binding for forms) or forces validation on click:&lt;/p&gt;
&lt;pre class="lang-js prettyprint-override"&gt;&lt;code&gt;// submit button onClick event for AM auto-generated form
if (widget.parent.parent.validate()) {
  widget.datasource.createItem();
}
&lt;/code&gt;&lt;/pre&gt;
&lt;p&gt;This will trigger &lt;code&gt;onValidate&lt;/code&gt; event for the UserPicker widget.&lt;/p&gt;
</t>
  </si>
  <si>
    <t xml:space="preserve">&lt;p&gt;I have a variable with structure type. This structure has some mandatory attributes.&lt;/p&gt;
&lt;p&gt;How can I validate if this variable has all mandatory attributes filled out correctly?&lt;/p&gt;
&lt;p&gt;Do it manually is not an available option.&lt;/p&gt;
</t>
  </si>
  <si>
    <t xml:space="preserve">&lt;p&gt;I have a form a with a few simple fields and a rich text Body field.  I want to be able to just show the Body field (not the whole form) for a particular record.  &lt;/p&gt;
&lt;p&gt;For instance, this record has the url: &lt;a href="https://script.google.com/a/macros/somecompany.com/s/AKfycbz-SGylT7XkQ0pZsC9DLCqBlaBVUrJrh9-weCGD4CFGmncrFD233fFP/exec?console=1&amp;amp;devConsoleProjectId=project-id-1608486759417312249#ViewSecurityPolicy/" rel="nofollow noreferrer"&gt;https://script.google.com/a/macros/somecompany.com/s/AKfycbz-SGylT7XkQ0pZsC9DLCqBlaBVUrJrh9-weCGD4CFGmncrFD233fFP/exec?console=1&amp;amp;devConsoleProjectId=project-id-1608486759417312249#ViewSecurityPolicy/&lt;/a&gt;&lt;/p&gt;
&lt;p&gt;I want to just show the Body field from the record.&lt;/p&gt;
&lt;p&gt;A gif of myform is below&lt;/p&gt;
&lt;p&gt;&lt;a href="https://i.stack.imgur.com/yxTPP.gif" rel="nofollow noreferrer"&gt;enter image description here&lt;/a&gt;&lt;/p&gt;
</t>
  </si>
  <si>
    <t xml:space="preserve">&lt;p&gt;In sample projects loading image is shown when a process or event is on going. How to configure loading image for a button click or page loading can anyone give a example.&lt;/p&gt;
</t>
  </si>
  <si>
    <t xml:space="preserve">&lt;p&gt;This code will update &lt;code&gt;src&lt;/code&gt; attribute of the &lt;code&gt;img&lt;/code&gt; DOM element and force browser to (re)load image:&lt;/p&gt;
&lt;pre&gt;&lt;code&gt;// onClick event of some button/widget
app.currentPage.descendants.ImageWidget.url = 'http://cats.com/myCat.jpg';
&lt;/code&gt;&lt;/pre&gt;
</t>
  </si>
  <si>
    <t xml:space="preserve">&lt;p&gt;How do get a Google App Make application open to not only a specific page/form in Google App Maker but also a specific record within that page?&lt;/p&gt;
</t>
  </si>
  <si>
    <t xml:space="preserve">&lt;p&gt;I'm using Salesforce lightning, and creating a lookup field in Activity object and referencing the lookup field to a custom object (Property).&lt;br&gt;
I accidentally deleted the lookup field, and recreate again. Salesforce shows the following error &lt;/p&gt;
&lt;blockquote&gt;
  &lt;p&gt;There were custom validation error(s) encountered while saving the affected record(s). The first validation error encountered was "Lookups on activites must have a unique domain. You can not have multiple relationships to the same object.".&lt;/p&gt;
&lt;/blockquote&gt;
&lt;p&gt;I'm suspecting this is due to some internal referencing, but I have no idea how to resolve it. &lt;/p&gt;
</t>
  </si>
  <si>
    <t xml:space="preserve">&lt;p&gt;When I deleted a lookup field in Salesforce Lightning, the deleted field will move to recycle bin and keep up to 15 days before Salesforce automatically remove it.  To remove from the recycle bin, I have to switch from Lightning to Classic portal and delete it because Lightning does not have this function yet.&lt;/p&gt;
</t>
  </si>
  <si>
    <t xml:space="preserve">&lt;p&gt;Does app maker have the options to collaborate drive files to all users in the application.&lt;/p&gt;
&lt;p&gt;Currently drive picker uploads files in current user drive, so when several users uploads files it will be uploaded in their drives. So it will not be accessible to all the users in the application.&lt;/p&gt;
&lt;p&gt;Does drive picker has the option to configure centralize drive or team drive, so that users can collaborate their files across the application.&lt;/p&gt;
</t>
  </si>
  <si>
    <t xml:space="preserve">&lt;p&gt;Superbadge: Lightning Component Framework Specialist - Step 3&lt;/p&gt;
</t>
  </si>
  <si>
    <t xml:space="preserve">&lt;p&gt;I am trying to download and use the Salesforce Lightining Design System for an external app that will be integrated with Salesforce. However, when I follow instructions on GitHub page, after I build the project and issues npm start command I get the following&lt;/p&gt;
&lt;p&gt;I have node 9.1.0, npm 5.1.1 installed&lt;/p&gt;
&lt;p&gt;output from Powershell on Windows 10&lt;/p&gt;
&lt;pre&gt;&lt;code&gt;SyntaxError: Invalid regular expression: //: \ at end of pattern
at new RegExp ()
at chunked (C:/Users/klanguedoc/nodedev/design-system/scripts/compile/bundle.js:32:42)
at entryMap.map (C:/Users/klanguedoc/nodedev/design-system/scripts/compile/bundle.js:46:35)
at C:\Users\klanguedoc\nodedev\design-system\node_modules\immutable\dist\immutable.js:3018:46
at C:\Users\klanguedoc\nodedev\design-system\node_modules\immutable\dist\immutable.js:1379:16
at ArrayMapNode.iterate.HashCollisionNode.iterate [as iterate] (C:\Users\klanguedoc\nodedev\design-system\node_modules\immutable\dist\immutable.js:1728:11)
at Map.__iterate (C:\Users\klanguedoc\nodedev\design-system\node_modules\immutable\dist\immutable.js:1377:32)
at KeyedIterable.mappedSequence.__iterateUncached (C:\Users\klanguedoc\nodedev\design-system\node_modules\immutable\dist\immutable.js:3017:23)
at seqIterate (C:\Users\klanguedoc\nodedev\design-system\node_modules\immutable\dist\immutable.js:606:16)
at KeyedIterable.Seq.__iterate (C:\Users\klanguedoc\nodedev\design-system\node_modules\immutable\dist\immutable.js:276:14)
npm ERR! code ELIFECYCLE
npm ERR! errno 1
npm ERR! design-system@2.4.5 previewer: babel-node scripts/previewer
npm ERR! Exit status 1
npm ERR!
npm ERR! Failed at the design-system@2.4.5 previewer script.
npm ERR! This is probably not a problem with npm. There is likely additional logging output above.
npm ERR! A complete log of this run can be found in:
npm ERR! C:\Users\klanguedoc\AppData\Roaming\npm-cache_logs\2017-12-14T14_39_20_960Z-debug.log
npm ERR! code ELIFECYCLE
npm ERR! errno 1
npm ERR! design-system@2.4.5 start: npm run build &amp;amp;&amp;amp; npm run previewer
npm ERR! Exit status 1
npm ERR!
npm ERR! Failed at the design-system@2.4.5 start script.
npm ERR! This is probably not a problem with npm. There is likely additional logging output above.
Here is the ouput from the log file:
0 info it worked if it ends with ok
1 verbose cli [ 'C:\\Program Files (x86)\\nodejs\\node.exe',
1 verbose cli   'C:\\Program Files (x86)\\nodejs\\node_modules\\npm\\bin\\npm-cli.js',
1 verbose cli   'start' ]
2 info using npm@5.5.1
3 info using node@v9.1.0
4 verbose run-script [ 'prestart', 'start', 'poststart' ]
5 info lifecycle objectives@1.0.0~prestart: objectives@1.0.0
6 info lifecycle objectives@1.0.0~start: objectives@1.0.0
7 verbose lifecycle objectives@1.0.0~start: unsafe-perm in lifecycle true
8 verbose lifecycle objectives@1.0.0~start: PATH: C:\Program Files (x86)\nodejs\node_modules\npm\bin\node-gyp-bin;C:\Users\klanguedoc\nodedev\objectives\node_modules\.bin;C:\Program Files\Git\bin;C:\Program Files\Microsoft MPI\Bin\;C:\Program Files\Pervasive Software\PSQL\bin\;C:\ProgramData\Oracle\Java\javapath;C:\Program Files (x86)\Intel\iCLS Client\;C:\Program Files\Intel\iCLS Client\;C:\WINDOWS\system32;C:\Users\klanguedoc\AppData\Local\Programs\Python\Python36-32;C:\WINDOWS;C:\WINDOWS\System32\Wbem;C:\WINDOWS\System32\WindowsPowerShell\v1.0\;C:\Program Files (x86)\Intel\Intel(R) Management Engine Components\DAL;C:\Program Files\Intel\Intel(R) Management Engine Components\DAL;C:\Program Files (x86)\Intel\Intel(R) Management Engine Components\IPT;C:\Program Files\Intel\Intel(R) Management Engine Components\IPT;C:\Program Files\Symantec.cloud\PlatformAgent\;C:\Program Files (x86)\Java\jre1.8.0_121;C:\Program Files (x86)\Java\jre1.8.0_121\bin;C:\Program Files\Microsoft SQL Server\120\Tools\Binn\;C:\Program Files\Microsoft SQL Server\130\Tools\Binn\;C:\Program Files (x86)\Microsoft Emulator Manager\1.0\;C:\Program Files (x86)\Microsoft SQL Server\110\DTS\Bi;C:\Program Files (x86)\nodejs\;C:\php\PHP7;C:\composer;C:\Program Files\Microsoft SQL Server\Client SDK\ODBC\130\Tools\Binn\;C:\Python27;C:\Users\klanguedoc\AppData\Local\Programs\Python\Python36-32\Scripts\;C:\Users\klanguedoc\AppData\Local\Programs\Python\Python36-32\;C:\Users\klanguedoc\AppData\Local\Microsoft\WindowsApps;C:\Program Files (x86)\Microsoft VS Code\bin;C:\Users\klanguedoc\AppData\Local\atom\bin;C:\Users\klanguedoc\AppData\Local\.meteor\;C:\Program Files\sfdx\bin;C:\Users\klanguedoc\AppData\Roaming\Composer\vendor\bin;C:\Program Files\Heroku\bin;C:\Users\klanguedoc\AppData\Local\Yarn\bin;C:\Users\klanguedoc\AppData\Roaming\npm
9 verbose lifecycle objectives@1.0.0~start: CWD: C:\Users\klanguedoc\nodedev\objectives
10 silly lifecycle objectives@1.0.0~start: Args: [ '/d /s /c', 'node ./bin/www' ]
11 silly lifecycle objectives@1.0.0~start: Returned: code: 1  signal: null
12 info lifecycle objectives@1.0.0~start: Failed to exec start script
13 verbose stack Error: objectives@1.0.0 start: `node ./bin/www`
13 verbose stack Exit status 1
13 verbose stack     at EventEmitter.&amp;lt;anonymous&amp;gt; (C:\Program Files (x86)\nodejs\node_modules\npm\node_modules\npm-lifecycle\index.js:280:16)
13 verbose stack     at emitTwo (events.js:135:13)
13 verbose stack     at EventEmitter.emit (events.js:224:7)
13 verbose stack     at ChildProcess.&amp;lt;anonymous&amp;gt; (C:\Program Files (x86)\nodejs\node_modules\npm\node_modules\npm-lifecycle\lib\spawn.js:55:14)
13 verbose stack     at emitTwo (events.js:135:13)
13 verbose stack     at ChildProcess.emit (events.js:224:7)
13 verbose stack     at maybeClose (internal/child_process.js:943:16)
13 verbose stack     at Process.ChildProcess._handle.onexit (internal/child_process.js:220:5)
14 verbose pkgid objectives@1.0.0
15 verbose cwd C:\Users\klanguedoc\nodedev\objectives
16 verbose Windows_NT 10.0.15063
17 verbose argv "C:\\Program Files (x86)\\nodejs\\node.exe" "C:\\Program Files (x86)\\nodejs\\node_modules\\npm\\bin\\npm-cli.js" "start"
18 verbose node v9.1.0
19 verbose npm  v5.5.1
20 error code ELIFECYCLE
21 error errno 1
22 error objectives@1.0.0 start: `node ./bin/www`
22 error Exit status 1
23 error Failed at the objectives@1.0.0 start script.
23 error This is probably not a problem with npm. There is likely additional logging output above.
24 verbose exit [ 1, true ]
&lt;/code&gt;&lt;/pre&gt;
&lt;p&gt;Is this something I can fix or the developer
Thanks&lt;/p&gt;
</t>
  </si>
  <si>
    <t xml:space="preserve">&lt;p&gt;My question is as stated above: is it possible to use R code in an outsystems application? To connect the code to the application as an action or something?&lt;/p&gt;
&lt;p&gt;I had a basic course in outsystems, and I like how it works. Especially how easy it is for other people to use the application. Now I want to use it on something I created in R. Or, in other words, create a nice app around the functionalities of my code in R. &lt;/p&gt;
</t>
  </si>
  <si>
    <t xml:space="preserve">&lt;p&gt;Using GoogleAppMaker how to create a data source from google contacts.  There is an employee HR example app but I want to similarly manage contacts (add, modify, delete) and use select criteria.&lt;/p&gt;
</t>
  </si>
  <si>
    <t xml:space="preserve">&lt;p&gt;I may be overthinking this drastically, but what is the easiest way to access a widget's value in a server script?&lt;/p&gt;
&lt;p&gt;In my particular case, I am trying to use a dropdown widget's value as the filter for a calculated model query.&lt;/p&gt;
&lt;pre&gt;&lt;code&gt;function getMonthlyTotalsByResource_() {
  var allRecordsQuery = app.models.Allocations.newQuery();
  allRecordsQuery.filters.Approved._equals = true;
  allRecordsQuery.filters.Resource.Manager.ManagerName._equals = /* How do I make the widget's value available here? */
  var allRecords = allRecordsQuery.run();
...
...
&lt;/code&gt;&lt;/pre&gt;
</t>
  </si>
  <si>
    <t xml:space="preserve">&lt;p&gt;I'm trying to UI Test Salesforce Lightning with Katalon Studio, and with manual attention, it works, because I am always able to dismiss the Alert that wants to send me notifications (a standard when Lightning is used).
The Dismiss/Accept alert Steps don't work as they don't recognize the alert as part of the Website, so I would need to suppress them via preferences.&lt;/p&gt;
&lt;p&gt;I have found &lt;a href="http://learn-automation.com/disable-chrome-notifications-selenium-webdriver/" rel="nofollow noreferrer"&gt;this chunk of code&lt;/a&gt; which I have tried to implement with a custom keyword, but to no avail. I also tried the firefox_profile way with a chrome_profile dictionary in the execution settings, putting the preference in the code chunk there, but that didn't help either.&lt;/p&gt;
&lt;p&gt;I want to run Chrome headless with a Jenkins Job in the future and it seems I need to get this working somehow. Any pointers?&lt;/p&gt;
</t>
  </si>
  <si>
    <t xml:space="preserve">&lt;p&gt;Please tell me about secure setup of Cloud SQL with Google AppMaker.&lt;br&gt;
In GCP, I created a second generation instance(My SQL).&lt;/p&gt;
&lt;p&gt;In the following URL, to connect to Cloud SQL from AppMaker,&lt;br&gt;Cloud SQL side approves &lt;code&gt;appmaker-maestro@appspot.gserviceaccount.com&lt;/code&gt; as Role.
&lt;a href="https://developers.google.com/appmaker/models/cloudsql" rel="nofollow noreferrer"&gt;https://developers.google.com/appmaker/models/cloudsql&lt;/a&gt;&lt;/p&gt;
&lt;p&gt;In this case, since the above Role is common to all the applications created by Google App Maker, if someone knows the Database user name and password, it seems to be accessible from any AppMaker in the world.&lt;/p&gt;
&lt;p&gt;How can I setup Cloud SQL so that can be accessed Cloud SQL only from specific AppMaker or from internal network?&lt;/p&gt;
</t>
  </si>
  <si>
    <t xml:space="preserve">&lt;p&gt;App Maker do check the ACL(access control list) of the project when establishing the Cloud SQL connection, so if the user account doesn't have the right permission to the project, the connection will be denied, despite whether he/she has the username/password or not.&lt;/p&gt;
</t>
  </si>
  <si>
    <t xml:space="preserve">&lt;p&gt;I need to connect Salesforce to an external database we have, and constantly keep both the database and salesforce updated in as close to real time as we can get. I have tired Google searching possible solutions, but nearly all of them have been outdated by over a year. Any ideas?&lt;/p&gt;
&lt;p&gt;Thank You!&lt;/p&gt;
</t>
  </si>
  <si>
    <t xml:space="preserve">&lt;p&gt;I'm building an app.&lt;/p&gt;
&lt;p&gt;I'd like to select an option in a drop-down and have other fields fill themselves in based on the selection.&lt;/p&gt;
&lt;p&gt;How can I do that?&lt;/p&gt;
</t>
  </si>
  <si>
    <t xml:space="preserve">&lt;blockquote&gt;
  &lt;p&gt;other fields fill themselves in based on the selection&lt;/p&gt;
&lt;/blockquote&gt;
&lt;p&gt;Assuming, that &lt;code&gt;other fields&lt;/code&gt; are fields of a record and the dropdown shares the same record's datasource I can suggest you populating their values in the &lt;code&gt;onValueEdit&lt;/code&gt; event of your dropdown:&lt;/p&gt;
&lt;pre class="lang-javascript prettyprint-override"&gt;&lt;code&gt;var record = widget.datasource.item;
switch(newValue) {
  case 'xxx':
    record.FieldOne = 'Foo';
    record.FieldTwo = 3;
  break;
  case 'xxx':
    record.FieldOne = 'Bar';
    record.FieldTwo = 42;
  break;
  ...
  default:
     throw new Error('Caused by UFO');
}
&lt;/code&gt;&lt;/pre&gt;
</t>
  </si>
  <si>
    <t xml:space="preserve">&lt;p&gt;In the revision screen of AppMaker, I can find which revision is currently deployed (the "deployment" column), but how can I know which other revisions have been deployed before ? So I can rollback to one of them&lt;/p&gt;
&lt;p&gt;Thanks&lt;/p&gt;
</t>
  </si>
  <si>
    <t xml:space="preserve">&lt;p&gt;I have a table of customers, with a column 'account owner', with which I'd like to filter the table of displayed customers so that only the customers assigned to a particular owner will be rendered. When an account owner signs in to the app, the app will detect the active user, find all customers with 'account owner' === active user and list those customers.&lt;/p&gt;
&lt;p&gt;So far I've got this code on the page containing the table 'onAttach':&lt;/p&gt;
&lt;pre&gt;&lt;code&gt;var datasource = widget.datasource;
datasource.query.filters.accountOwner._equals = app.user.username;
datasource.load();
&lt;/code&gt;&lt;/pre&gt;
&lt;p&gt;It works for now, but I'd like to know if there was a better way to filter a table onLoad. &lt;/p&gt;
</t>
  </si>
  <si>
    <t xml:space="preserve">&lt;p&gt;I would like to know if it is possible to migrate everything created in Pardot (Engagement Studios, Content, Files, Campaigns, Lists, Dynamic Lists, etc) seamlessly into the Marketing Cloud when a company is migraiting out of Pardot and into the Marketing Cloud (while retaining Salesforce CRM)?&lt;/p&gt;
&lt;p&gt;I haven't been able to find concrete answers to this.&lt;/p&gt;
&lt;p&gt;​Thank you - Kalina&lt;/p&gt;
</t>
  </si>
  <si>
    <t xml:space="preserve">&lt;p&gt;I've got a page where I am using relations to pull in various items&lt;/p&gt;
&lt;ol&gt;
&lt;li&gt;Dropdown lets you select an employee&lt;/li&gt;
&lt;li&gt;Second dropdown lets you pick a timeframe&lt;/li&gt;
&lt;li&gt;The table then pulls items related to the employee + timeframe&lt;/li&gt;
&lt;/ol&gt;
&lt;p&gt;The problem is that the loader disappears before the screen is refereshed with the data from #3.&lt;/p&gt;
&lt;p&gt;I've tried binding the visibility of the loader to multiple datasources&lt;br&gt;
&lt;code&gt;widget.datasource.loading || second_datasource.loading || ...&lt;/code&gt;
 but I'm struggling to get it to appear for the duration of the load. Is there anything I can do to have it appear until my client is fully updated? Do I need to be manually manipulating visibility with jQuery or is there is an App Maker binding I should be using?&lt;/p&gt;
</t>
  </si>
  <si>
    <t xml:space="preserve">&lt;p&gt;Powerapps supports timer events in addition to user events.  This introduces the possibility of concurrent timers accessing global variables or collections.  Documentation provides no information on event handling (concurrent vs sequential, message pump vs callback).  Powerapps community forum is silent.  Am posting here to inquire with the SO community whether testing has been done on this already before re-inventing the wheel.  (SO search revealed no relevant topics, would happily stand corrected if there are).&lt;/p&gt;
&lt;p&gt;Example use case is separating and backgrounding barcode registration and data transmission using timers.  I.e. imagine a grocery store check out.&lt;/p&gt;
&lt;p&gt;Will report back on findings if no existing information available.&lt;/p&gt;
</t>
  </si>
  <si>
    <t xml:space="preserve">&lt;p&gt;PowerApps is built on JavaScript, which is single threaded (*), based on callbacks. Every expression is executed as a single "unit of execution", so if you have something like:&lt;/p&gt;
&lt;pre&gt;&lt;code&gt;UpdateContext({ a: 1, b: 2 }); UpdateContext({ c: a + b })
&lt;/code&gt;&lt;/pre&gt;
&lt;p&gt;You can count on the fact that the 'a' and 'b' will be initialized together (without being interrupted). You cannot, however, rely on the fact that the second UpdateContext call will be made before anything happens that may change the values of 'a' or 'b' (such as a timer's OnTimerEnd expression) - although it's very unlikely that this will happen.&lt;/p&gt;
&lt;p&gt;For the specific example of timers, if you have two of them with this expression:&lt;/p&gt;
&lt;pre&gt;&lt;code&gt;Set(globalVarA, globalVarA + 1)
&lt;/code&gt;&lt;/pre&gt;
&lt;p&gt;It's possible (although quite unlikely, especially for this kind of simple operation) that the value of 'globalVarA + 1' will be calculated for the two timers before the internal implementation of the Set function is called to update the value of that variable (in which case the app would "lose" one of the increments).&lt;/p&gt;
&lt;p&gt;A scenario where a problem is more likely to happen is when you have calls to data sources (which involve network calls that are slower). For example, if you have this expression on two timers:&lt;/p&gt;
&lt;pre&gt;&lt;code&gt;Set(oldVar1, var1);
Patch(dataSource, record, changes);
Set(var1, oldVar1 + 1)
&lt;/code&gt;&lt;/pre&gt;
&lt;p&gt;Then the likelihood of a race condition happening increases by a lot.&lt;/p&gt;
&lt;p&gt;Hope this helps!&lt;/p&gt;
&lt;p&gt;(*) Currently there is some very limited usage of JS worker threads, so the app isn't technically completely single threaded, but that should not affect expressions that you write.&lt;/p&gt;
</t>
  </si>
  <si>
    <t xml:space="preserve">&lt;p&gt;I am trying to get the attribute value of the element clicked in my javascript code but for some reason the value I am getting is undefined.&lt;/p&gt;
&lt;p&gt;This is the code:&lt;/p&gt;
&lt;p&gt;HTML:&lt;/p&gt;
&lt;pre&gt;&lt;code&gt;&amp;lt;c:button buttonLabel="Skype" buttonClass="valmetSecondaryButton noMargin" id="I_WANT_THIS_VALUE" onclick="{!c.openSkype}"/&amp;gt;
&lt;/code&gt;&lt;/pre&gt;
&lt;p&gt;JS:&lt;/p&gt;
&lt;pre&gt;&lt;code&gt;console.log(event.currentTarget.id);
&lt;/code&gt;&lt;/pre&gt;
&lt;p&gt;This is working on Internet Explorer, havent tested in Firefox, but not working in Chrome. Also just so you know I am using Lightening Component, Salesforce!&lt;/p&gt;
</t>
  </si>
  <si>
    <t xml:space="preserve">&lt;p&gt;I have two fields. One is 'Date Last Checked' the other is 'Date Due'. I need the 'Date due' to automatically be 364 days ahead of the 'Date Last Checked'&lt;/p&gt;
</t>
  </si>
  <si>
    <t xml:space="preserve">&lt;p&gt;Basically it comes down to this question: &lt;a href="https://stackoverflow.com/questions/563406"&gt;Add days to JavaScript Date&lt;/a&gt;&lt;/p&gt;
&lt;p&gt;...however it has some App Maker specificity. It seems that the right way to implement it from the Security standpoint will be using &lt;code&gt;onBeforeCreate&lt;/code&gt; and &lt;code&gt;onBeforeSave&lt;/code&gt; &lt;a href="https://developers.google.com/appmaker/models/events" rel="nofollow noreferrer"&gt;Model Events&lt;/a&gt; and &lt;a href="https://developers.google.com/appmaker/scripting/server" rel="nofollow noreferrer"&gt;Server Side script&lt;/a&gt; to enforce data consistency:&lt;/p&gt;
&lt;pre class="lang-javascript prettyprint-override"&gt;&lt;code&gt;// Define this function somewhere in server scripts
function addDays(date, days) {
  var result = new Date(date);
  result.setDate(result.getDate() + days);
  return result;
}
// onBeforeCreate event handler
record.DueDate = addDays(record.LastChecked, 364);
// onBeforeSave event handler (to keep things simple we can
// update DueDate when any of record's fields is changed)
record.DueDate = addDays(record.LastChecked, 364);
&lt;/code&gt;&lt;/pre&gt;
&lt;p&gt;Other benefits of this approach&lt;/p&gt;
&lt;ul&gt;
&lt;li&gt;no need to duplicate logic in multiple places on UI&lt;/li&gt;
&lt;li&gt;updated DueDate will be returned with callback and automatically update UI&lt;/li&gt;
&lt;/ul&gt;
</t>
  </si>
  <si>
    <t xml:space="preserve">&lt;p&gt;I have an app integrating with Microsoft Teams to get the list of teams linked to a user. I managed to get the list of teams by binding a gallery to &lt;code&gt;MicrosoftTeams.GetAllTeams().value&lt;/code&gt; and another gallery items bound to &lt;code&gt;MicrosoftTeams.GetChannelsForGroup(FIRSTGallery.Selected.id).value&lt;/code&gt;.&lt;/p&gt;
&lt;p&gt;I saw there is a method to post a new comment to a channel but can't find anyway to get the existing posts in the selected channel.&lt;/p&gt;
&lt;p&gt;Thanks,&lt;/p&gt;
</t>
  </si>
  <si>
    <t xml:space="preserve">&lt;p&gt;In Power Bi we get this error when trying to make a web connection:&lt;/p&gt;
&lt;p&gt;"We couldn't authenticate with the credentials provided. Please try again"&lt;/p&gt;
&lt;p&gt;The Azure function app is registered in our AAD . The function is a C# httptrigger with this code:&lt;/p&gt;
&lt;pre&gt;&lt;code&gt;using System.Net;
using System.Net.Http;
using System.Security.Claims;
using System.Threading.Tasks;
public static async Task&amp;lt;HttpResponseMessage&amp;gt; Run(HttpRequestMessage req, TraceWriter log)
{
// parse query parameter
ClaimsIdentity userClaimsId = ClaimsPrincipal.Current.Identity as ClaimsIdentity;
    var claims = userClaimsId.FindAll(ClaimTypes.Upn);
    var groups = userClaimsId.Claims.Where(x =&amp;gt; x.Type.Equals("groups")).ToList();
    var upns = userClaimsId.Claims.ToList();
    var roles = userClaimsId.Claims.Where(x =&amp;gt; x.Type.Equals("upn")).ToList();
    return  req.CreateResponse(HttpStatusCode.OK, groups);
}
&lt;/code&gt;&lt;/pre&gt;
&lt;p&gt;We are attempting to connect from Power Bi Desktop via the  Get Data &gt; Web option using an organizational account in our same AAD.  When we call the function from browser it prompts for login and seems to return data.&lt;/p&gt;
&lt;p&gt;&lt;a href="https://i.stack.imgur.com/dqi8y.png" rel="noreferrer"&gt;&lt;img src="https://i.stack.imgur.com/dqi8y.png" alt="enter image description here"&gt;&lt;/a&gt;&lt;/p&gt;
</t>
  </si>
  <si>
    <t xml:space="preserve">&lt;p&gt;The token that Power BI Desktop obtains from AAD when you sign in with an organizational account is for the &lt;a href="https://yourfunction.azurewebsites.net" rel="noreferrer"&gt;https://yourfunction.azurewebsites.net&lt;/a&gt; audience. But when you configure AAD authentication for your Azure Function App, by default the audience configured is &lt;a href="https://yourfunction.azurewebsites.net/.auth/login/aad/callback" rel="noreferrer"&gt;https://yourfunction.azurewebsites.net/.auth/login/aad/callback&lt;/a&gt;. That's why you receive an access denied. &lt;/p&gt;
&lt;p&gt;So you can go to the AAD authentication settings of your Azure Function App, click AAD &gt; Advanced &gt; and enter the new allowed token audience there (see below, marked in red). Make sure to click OK, and to save the changes.&lt;/p&gt;
&lt;p&gt;&lt;a href="https://i.stack.imgur.com/cvgeY.png" rel="noreferrer"&gt;&lt;img src="https://i.stack.imgur.com/cvgeY.png" alt="enter image description here"&gt;&lt;/a&gt;&lt;/p&gt;
</t>
  </si>
  <si>
    <t xml:space="preserve">&lt;p&gt;I'm making an integration between two apis, what the api makes is to take information from one site to add it in another site in one way api conection. 
As a first step the program should enter to the PART1 of the view.php file, then is comes to the fill.php I insert some information to the database and then fill the $_SESSION with some information.&lt;/p&gt;
&lt;p&gt;fill.php&lt;/p&gt;
&lt;pre&gt;&lt;code&gt;        try{
            $DB_ = new PDO("mysql:host={$GLOBALS['db_host']};dbname=$GLOBALS['database']};
        charset=utf8",$GLOBALS['db_user'],$GLOBALS['db_password']);
        $query = $DB_-&amp;gt;query("INSERT into users (User1, 
        Pass1, User2, Pass2, status) VALUES 
         ('".$GLOBALS['User1']."', '".$jsonResponse["Pass1"]."', 
         null, null, 1)");
        if(is_numeric($DB_-&amp;gt;lastInsertId()) == TRUE){
            $_SESSION['ID'] = $DB_-&amp;gt;lastInsertId();
            $_SESSION['User1'] = $GLOBALS['User1'];
            $_SESSION['Pass1'] = $jsonResponse["Pass1"];
            $DB_ = null;
        }else{
            echo "Las variables de sesion no fueron seteadas correctamente";
            $DB_ = null;
        }
    }catch(PDOException $e) {
        echo "Ha ocurrido un error al momento de insertar una información.";
        die();
    }
&lt;/code&gt;&lt;/pre&gt;
&lt;p&gt;Then I come back again to view.php and I should enter to the PART 2 of the view because now the $_SESSION['ID'] is set with some numeric value. But it's not working on Chrome, for some reason in Edge and Firefox works bus in chrome it is not.&lt;/p&gt;
&lt;p&gt;view.php&lt;/p&gt;
&lt;pre&gt;&lt;code&gt;  &amp;lt;?php 
        if(!isset($_SESSION['ID'])){   //PART 1
                echo '&amp;lt;div class="alert alert-warning"&amp;gt; 
                        &amp;lt;strong&amp;gt;its not sync, click over here &amp;lt;/strong&amp;gt;&amp;lt;a class="green-link" href="./create-account.php" target="_blank"&amp;gt; CLICK.&amp;lt;/a&amp;gt;
                     &amp;lt;/div&amp;gt;';
            }
        ?&amp;gt;
        &amp;lt;div id="status-message"&amp;gt;
            &amp;lt;!-- Contenido cargado a través de javascript --&amp;gt;
        &amp;lt;/div&amp;gt;
        &amp;lt;?php 
            if(isset($_SESSION['ID'])){  //PART 2
                echo '&amp;lt;div class="alert alert-warning"&amp;gt;
                        &amp;lt;strong&amp;gt;Its sync now&amp;lt;/strong&amp;gt; &amp;lt;a class="green-link" href="https://'.$_SESSION['someurl'].'" target="_blank"&amp;gt; CLICK&amp;lt;/a&amp;gt;
                     &amp;lt;/div&amp;gt;';
            }
        ?&amp;gt;
&lt;/code&gt;&lt;/pre&gt;
</t>
  </si>
  <si>
    <t xml:space="preserve">&lt;p&gt;I have a custom form for a new item in SharePoint list. I added a javascript code (JSOM) to create a folder and SPGroup with the info given in the form. This is working in classic view, but when I change to the 'new experience' view a PowerApp form is shown to enter new item. So, how I can do the same functionality for SharePoint online using PowerApps? do I have to use Azure functions? or would be better to create a SharePoint Add-ins?. I was reading some info and looks like PowerApps does not allow to add a link to the js file. &lt;/p&gt;
</t>
  </si>
  <si>
    <t xml:space="preserve">&lt;p&gt;After some days of research and testing I ended up with some useful links to create functions on Azure with CSOM and call them from Flow using HTTP Actions. I think this is the way how to create workflows in SharePoint Online, since Flow has limited actions to work with SharePoint Groups, permissions, Libraries.&lt;/p&gt;
&lt;p&gt;&lt;a href="http://www.c-sharpcorner.com/article/working-with-azure-functions-from-sharepoint-components/" rel="nofollow noreferrer"&gt;azure-functions-csom&lt;/a&gt;&lt;/p&gt;
&lt;p&gt;&lt;a href="https://veenstra.me.uk/2017/08/02/azure-function-apps-sharepoint-lists-creating-web-hooks-that-run-powershell-triggered-by-item-creation/" rel="nofollow noreferrer"&gt;azure-function-flow&lt;/a&gt;&lt;/p&gt;
</t>
  </si>
  <si>
    <t xml:space="preserve">&lt;p&gt;I am building an application that will have the ability to create agenda items to discuss in a meeting. The agenda item might include one or more attachments to discuss so there is a one to many relation between the AgendaItems and the AgendaDocs models. So far, I have an insert form that looks like this:&lt;/p&gt;
&lt;p&gt;&lt;a href="https://i.stack.imgur.com/PMdVI.png" rel="nofollow noreferrer"&gt;&lt;img src="https://i.stack.imgur.com/PMdVI.png" alt="enter image description here"&gt;&lt;/a&gt;&lt;/p&gt;
&lt;p&gt;The "Select File" button is a drive picker and the code I have inside the onDocumentSelect event is the following:&lt;/p&gt;
&lt;pre&gt;&lt;code&gt;var docs = result.docs; 
var createDataSource = app.datasources.AgendaDocs.modes.create;
for(var i=0; i&amp;lt;docs.length-1; i++){
  var uniqueDraft = createDataSource.item;
  createDataSource.items.push(uniqueDraft);
}
for(var i=0; i&amp;lt;createDataSource.items.length-1; i++){  
  var draft = createDataSource.item;
  createDataSource.items[i].DocTitle = docs[i].name;
  createDataSource.items[i].DocURL = docs[i].url;
  createDataSource.items[i].DriveID = docs[i].id;
}
console.log(createDataSource.items);
&lt;/code&gt;&lt;/pre&gt;
&lt;p&gt;The code is supposed to fill out the the List widget below the "Select File" button, but as how you see, the three items are the same. The datasource of the List widget is "AgendaDocs.modes.create" and the datasource of the insert form is "AgendaItems.modes.create".&lt;/p&gt;
&lt;p&gt;Reading the &lt;a href="https://developers.google.com/appmaker/scripting/api/client#CreateDataSource" rel="nofollow noreferrer"&gt;official documentation&lt;/a&gt; from appmaker, makes me think it is possible since the properties of "CreateDataSource" includes "&lt;strong&gt;items&lt;/strong&gt;". I need help from an expert here. Is this possible? Am I using the wrong approach?&lt;/p&gt;
</t>
  </si>
  <si>
    <t xml:space="preserve">&lt;p&gt;First things first, it seems that you are trying to create records from different models and relationship between them in a one call... at this time App Maker is not that smart to digest such a complex meal. Most likely you'll need to break your flow into multiple steps:&lt;/p&gt;
&lt;ol&gt;
&lt;li&gt;Create (persist) Agenda Item&lt;/li&gt;
&lt;li&gt;Create AgendaDocs records and relation with AgendaItem&lt;/li&gt;
&lt;/ol&gt;
&lt;p&gt;Similar flow is implemented in &lt;a href="https://developers.google.com/appmaker/templates/travel-approval/" rel="nofollow noreferrer"&gt;Travel Approval&lt;/a&gt; template app, but it is not exactly the same as yours, since it doesn't create associations in batches.&lt;/p&gt;
&lt;p&gt;Going back to the original question. Yep, it is possible to have multiple &lt;em&gt;drafts&lt;/em&gt;, but not with the Create Datasource. You are looking for &lt;a href="https://developers.google.com/appmaker/models/datasources#manual_save_mode" rel="nofollow noreferrer"&gt;Manual Save Mode&lt;/a&gt;. Somewhere in &lt;em&gt;perfect world&lt;/em&gt; your code would look similar to this:&lt;/p&gt;
&lt;pre class="lang-javascript prettyprint-override"&gt;&lt;code&gt;// AgendaItems in Manual Save mode
var agendaDs = app.datasources.AgendaItems;
// this line will create item on client and automatically push it
// to ds.items and set ds.item to it.
agendaDs.createItem();
var agendaDraft = agendaDs.item;
// Field values can be populated from UI via bindings...
agendaDraft.Type = 'X';
agendaDraft.Description = 'Y';
// onDocumentSelect Drive Picker's event handler
var docsDs = agendaDs.relations.AgendaDocs;
result.docs.forEach(function(doc) {
  // this line will create item on client and automatically push it
  // to ds.items and set ds.item to it...however it will throw an exception
  // with this message:
  // Cannot save a foreign key association for the 'AgendaItem'
  // relation because the target record has not been persisted
  // to the server. To fix this, call saveChanges()
  // on the data source for that record's model: AgendaItem
  docsDs.createItem();
  var docDraft = docsDs.item;
  docDraft.DocTitle = doc.name;
  docDraft.DocURL = doc.url;
  docDraft.DriveID = doc.id;
});
// submit button click
agendaDraft.saveChanges();
&lt;/code&gt;&lt;/pre&gt;
</t>
  </si>
  <si>
    <t xml:space="preserve">&lt;p&gt;I need to call an API based on some trigger (i.e. an account is added in Salesforce).&lt;/p&gt;
&lt;p&gt;Ho can I get a notification to this API with the inserted data?&lt;/p&gt;
&lt;p&gt;The following is an example of the Web API I have to call.&lt;/p&gt;
&lt;pre&gt;&lt;code&gt;public class ProductController : ApiController
{
  // GET api/product/getPriceForCustomer?id={id}
  public decimal GetPriceForCustomer(string id)
  {
    try
    {
      ConnectionStringSettings connectionString = ConfigurationManager.ConnectionStrings["ERP"];
      using (SqlConnection cn = new SqlConnection(connectionString.ConnectionString))
      {
        using (SqlCommand command = new SqlCommand("salesforce_getProductPrice", cn))
        {
          command.CommandType = CommandType.StoredProcedure;
          command.Parameters.Add("@productId", SqlDbType.VarChar).Value = (object)id ?? DBNull.Value;
          SqlParameter priceParameter = command.Parameters.Add("@price", SqlDbType.Money);
          priceParameter.Direction = ParameterDirection.Output;
          cn.Open();
          command.ExecuteNonQuery();
          return (decimal)command.Parameters["@price"].Value;
        }
      }
    }
    catch (Exception e)
    {
      Trace.WriteLine(e.Message);
      return 0;
    }
  }
}
&lt;/code&gt;&lt;/pre&gt;
</t>
  </si>
  <si>
    <t xml:space="preserve">&lt;p&gt;Salesforce provides &lt;strong&gt;Service Cloud Snap-Ins SDK for IOS and Android&lt;/strong&gt;. One can use these SDKs to add Salesforce Knowledge, Case Management, Live Agent Chat, SOS and ServiceCore. My mobile app is developed with &lt;strong&gt;Xamarin.iOS and Xamarin.Android&lt;/strong&gt;. &lt;/p&gt;
&lt;p&gt;Is it possible to use these SDKs with &lt;code&gt;Xamarin.iOS&lt;/code&gt; and &lt;code&gt;Xamarin.Android&lt;/code&gt;? &lt;/p&gt;
</t>
  </si>
  <si>
    <t xml:space="preserve">&lt;p&gt;How to set a TextBox to only accept Numbers?&lt;/p&gt;
</t>
  </si>
  <si>
    <t xml:space="preserve">&lt;p&gt;The easy way is to bind it to Model's field of Number type. In this case App Maker will take care about the user's input validation (on some extent).&lt;/p&gt;
&lt;p&gt;If you want to have more control then you can script your custom validation rules in the textbox's &lt;code&gt;onValidate&lt;/code&gt; event and play with its configuration in the &lt;a href="https://developers.google.com/appmaker/ui/logic#validate_input" rel="nofollow noreferrer"&gt;Data Validation&lt;/a&gt; properties section.&lt;/p&gt;
&lt;p&gt;If you want to explicitly forbid user to enter everything but numbers, then you'll need to go down the native JS way and handle keyboard events or any other approach mentioned here: &lt;a href="https://stackoverflow.com/questions/469357"&gt;HTML text input allows only numeric input&lt;/a&gt;. You can hack into in &lt;code&gt;onAttach&lt;/code&gt; event of the textbox widget. To get widget's DOM element you can use this code: &lt;code&gt;widget.getElement()&lt;/code&gt;.&lt;/p&gt;
</t>
  </si>
  <si>
    <t xml:space="preserve">&lt;p&gt;How to get parameter from lightning URL in Salesforce? Is there any way to achieve it?&lt;/p&gt;
</t>
  </si>
  <si>
    <t xml:space="preserve">&lt;p&gt;I have 3 tables in Cloud SQL: person,tag,person_tag&lt;/p&gt;
&lt;p&gt;In Appmaker, I have a form widget (datasource:person) and a list widget (datasources.person.relations.tag_id) displaying text bound to datasource.item.name.   This works great, showing only the tags assigned to the person selected.&lt;/p&gt;
&lt;p&gt;I've placed a delete button on the tag list item so I can remove the tag from that person's record.  However, I can't figure out how to set the onClick event to delete the relationship (person_tag record) instead of the tag itself (from the tag table).  Ideas?&lt;/p&gt;
</t>
  </si>
  <si>
    <t xml:space="preserve">&lt;p&gt;App Maker will generate this code to &lt;strong&gt;delete current item&lt;/strong&gt; :&lt;/p&gt;
&lt;p&gt;&lt;code&gt;widget.datasource.deleteItem();&lt;/code&gt;&lt;/p&gt;
&lt;p&gt;But as it is mentioned in the question we don't need to delete the item, but break the relation between the two records. In order to do this you can modify array of items and App Maker will intelligently sync your changes:&lt;/p&gt;
&lt;pre class="lang-javascript prettyprint-override"&gt;&lt;code&gt;// Here widget is delete button and
// widget.parent will be list's row (or grid's cell depending on the UI)
// and by getting its position in the list/grid
// we will get index of datasource's item (relation) we need to break
var row = widget.parent;
var index = row.childIndex;
// remove one item at index, this will force
// App Maker to break the relation
app.datasources.Person.item.Tags.splice(index, 1);
&lt;/code&gt;&lt;/pre&gt;
&lt;p&gt;You can find this pattern in &lt;a href="https://developers.google.com/appmaker/templates/vendor-ratings/" rel="nofollow noreferrer"&gt;Vendor Ratings template&lt;/a&gt;&lt;/p&gt;
</t>
  </si>
  <si>
    <t xml:space="preserve">&lt;p&gt;I am trying to insert data/record into a SQL Server database using a powerapp application.&lt;/p&gt;
&lt;p&gt;I have created form and submit the form using button it's showing this error:&lt;/p&gt;
&lt;p&gt;&lt;a href="https://i.stack.imgur.com/1DuYq.png" rel="nofollow noreferrer"&gt;&lt;img src="https://i.stack.imgur.com/1DuYq.png" alt="enter image description here"&gt;&lt;/a&gt;&lt;/p&gt;
&lt;p&gt;Another way I am trying with Patch code in onselect:&lt;/p&gt;
&lt;pre&gt;&lt;code&gt;Patch(datasource,default(datasource),{columnname: 12})
&lt;/code&gt;&lt;/pre&gt;
&lt;p&gt;Can you please help out to fix or insert the data into table?&lt;/p&gt;
</t>
  </si>
  <si>
    <t xml:space="preserve">&lt;p&gt;I have three tables where I need to join them. However the join has to be based on date.&lt;/p&gt;
&lt;p&gt;Model A(EffDate) 1-1 (Model B) 1-Many (Model C - Start - End Date)&lt;/p&gt;
&lt;p&gt;The join is that I need to find the model C that matches to the  Start date&amp;lt;= effdate &amp;lt;= End Date&lt;/p&gt;
&lt;p&gt;Can this be written as a query? If I just tie using the relation with prefetch, how can I write the additional criteria of the effective date selection?&lt;/p&gt;
</t>
  </si>
  <si>
    <t xml:space="preserve">&lt;p&gt;At this time it is not possible to filter relations (App Maker will load &lt;em&gt;all&lt;/em&gt; related records if prefetch is enabled). Here is a client script that should help:&lt;/p&gt;
&lt;pre class="lang-javascript prettyprint-override"&gt;&lt;code&gt;var dsA = app.datasources.DatasourceA;
var filtersA = dsA.query.filters;
var recordC = app.datasources.DatasourceC.item;
filtersA.EffDate._greaterThanOrEquals = recordC.StartDate;
filtersA.EffDate._lessThanOrEquals = recordC.EndDate;
dsA.load();
&lt;/code&gt;&lt;/pre&gt;
</t>
  </si>
  <si>
    <t xml:space="preserve">&lt;p&gt;I have been trying to get the ExternalSite to load with the header block.
I have noted when the ExternalSite is used it keeps the site in the app. So it should be possible to load it with the app header block right?&lt;/p&gt;
</t>
  </si>
  <si>
    <t xml:space="preserve">&lt;p&gt;When Agents accepts a chat, they can reply to customers only in English. I want to activate some other languages for this communication&lt;/p&gt;
</t>
  </si>
  <si>
    <t xml:space="preserve">&lt;p&gt;I am using Zoho Creator and have managed to set an integration with Docusign to create envelopes. However I have a problem to update the envelope status to void, using Docusing REST API method.  &lt;/p&gt;
&lt;p&gt;Zoho creator offers 2 possibilities: the posturl method and geturl, as follows
&lt;code&gt;response = postUrl(url, jsonstring, header, false);&lt;/code&gt;&lt;/p&gt;
&lt;p&gt;There is no option for the method "PUT" and have tried using the option "X-HTTP-Method-Override": "PUT" in my header (instead of POST) without success. &lt;/p&gt;
&lt;p&gt;I keep getting the the following error: &lt;/p&gt;
&lt;blockquote&gt;
  &lt;p&gt;" INVALID_REQUEST_PARAMETER\" - "The request contained at least one invalid parameter. Invalid value for 'status' in envelope definition.  Only 'sent' or 'created' (default) are allowed." &lt;/p&gt;
&lt;/blockquote&gt;
&lt;p&gt;Because it's trying to create a new envelope instead of updating.&lt;/p&gt;
&lt;pre&gt;&lt;code&gt;header = map();
headerdetails = map();
headerdetails.put("Username", "xxxxxxx");
headerdetails.put("Password", "xxxxxxxxx");
headerdetails.put("IntegratorKey", "xxxxxxxxxx");
header.put("X-DocuSign-Authentication", headerdetails);
header.put("Content-Type", "application/json");
header.put("Accept", "application/json");
header.put("X-HTTP-Method-Override", "PUT");
url = ("https://demo.docusign.net/restapi/v2/accounts/xxxxx/envelopes/53f88f09-cc98-43a9-99ce-8769c05a3739");
mapvoid = map();
mapvoid.put("status", "voided");
mapvoid.put("voidedReason", "The report is to be amended.");
response = postUrl(url, mapvoid.toString(), header, false);
&lt;/code&gt;&lt;/pre&gt;
&lt;p&gt;Thanks in advance for your advice,&lt;/p&gt;
&lt;p&gt;Claire&lt;/p&gt;
</t>
  </si>
  <si>
    <t xml:space="preserve">&lt;p&gt;REST API does not support &lt;code&gt;X-HTTP-Method-Override&lt;/code&gt;, it seems as a bug in RESTAPI Explorer. I have reported RESTAPI Explorer bug to our Dev team, and might fix in future release. You need to use &lt;code&gt;PUT&lt;/code&gt; to update the status of the envelope.&lt;/p&gt;
</t>
  </si>
  <si>
    <t xml:space="preserve">&lt;p&gt;My goal is I have number of objects im receiving weekly, each one on these object has date, Full_Name, total_hours, and other fields. I wanna sort these object array by names and by total hours of each day. please only in javascript no jquery&lt;/p&gt;
&lt;p&gt;example of the objects&lt;/p&gt;
&lt;pre&gt;&lt;code&gt;var anArray = [{
  'End__c':"22:00",
  'Id':"Q45575",
  'Name':"W-299849",
  'Resource_Full_Name__c':"test One",
  'Start__c':"20:00",
  'date__c':"2018-02-04",
  'description__c':"rwqfrwe",
  'total_hours__c':2
},{
  'End__c':"21:00",
  'Id':"Q45551",
  'Name':"W-299809",
  'Resource_Full_Name__c':"test Two",
  'Start__c':"15:00",
  'date__c':"2018-02-01",
  'description__c':"rwqfrwe",
  'total_hours__c':5
},{
  'End__c':"20:00",
  'Id':"Q45515",
  'Name':"W-299849",
  'Resource_Full_Name__c':"test One",
  'Start__c':"10:00",
  'date__c':"2018-02-04",
  'description__c':"rwqfrwe",
  'total_hours__c':2
 }];
&lt;/code&gt;&lt;/pre&gt;
&lt;p&gt;output should be like this, assuming sunday is 2/4&lt;/p&gt;
&lt;p&gt;Name        Total       Sun      Mon      tue    Wed   fri  sat   &lt;/p&gt;
&lt;p&gt;test One     6           2      4        0     0    0    0    0&lt;/p&gt;
&lt;p&gt;test Two     3           0      3        0     0    0    0    0&lt;/p&gt;
&lt;p&gt;This what I have &lt;/p&gt;
&lt;pre&gt;&lt;code&gt;    var tmp = {}
    results.workBlockList.forEach(function (item) {
      var tempKey = item.Resource_Full_Name__c + item.date__c;
      if (!tmp.hasOwnProperty(tempKey)) {
        tmp[tempKey] = item;
      } else {
        tmp[tempKey].total_hours__c += item.total_hours__c;
      }
    });
&lt;/code&gt;&lt;/pre&gt;
&lt;p&gt;is not working it only sorted with a date and name and not giving me only 2 list sorted by dates&lt;/p&gt;
</t>
  </si>
  <si>
    <t xml:space="preserve">&lt;p&gt;You can use &lt;a href="https://developer.mozilla.org/en-US/docs/Web/JavaScript/Reference/Global_Objects/Array/reduce" rel="nofollow noreferrer"&gt;reduce&lt;/a&gt; function.&lt;/p&gt;
&lt;h1&gt;Look at this code snippet&lt;/h1&gt;
&lt;p&gt;&lt;div class="snippet" data-lang="js" data-hide="false" data-console="true" data-babel="false"&gt;
&lt;div class="snippet-code"&gt;
&lt;pre class="snippet-code-js lang-js prettyprint-override"&gt;&lt;code&gt;var items = [{
End__c:"22:00", Id:"Q45575",
 Name:"W-299849", Resource_Full_Name__c:"test One", Start__c:"20:00", 
 date__c:"2018-02-04", description__c:"rwqfrwe", total_hours__c:2
 },
 {End__c:"13:00", Id:"A155645",
 Name:"W-299849", Resource_Full_Name__c:"test One", Start__c:"9:00", 
 date__c:"2018-02-05", description__c:"rwqfrwe", total_hours__c:4
},
{
 End__c:"19:00", Id:"A155645",
 Name:"W-299849", Resource_Full_Name__c:"test Two", Start__c:"16:00", 
 date__c:"2018-02-05", description__c:"rwqfrwe", total_hours__c:3
 }];
var result = items.reduce((a, c) =&amp;gt; {
  var targetDay = new Date(c.date__c).getDay() === 6 ? 0 :(new Date(c.date__c).getDay() + 1);
  if (a[c.Resource_Full_Name__c]) {
    a[c.Resource_Full_Name__c]['week'][targetDay] += c.total_hours__c;
    a[c.Resource_Full_Name__c]['total'] += c.total_hours__c;
  } else {
    a[c.Resource_Full_Name__c] = { 'total': c.total_hours__c, 'week': new Array(7).fill(0) };
    a[c.Resource_Full_Name__c]['week'][targetDay] = c.total_hours__c;
  }
  return a;
}, {});
result = Object.keys(result).map((k) =&amp;gt; ({'workblock': {...result[k], ...{'resource': k}}}))
console.log(result);&lt;/code&gt;&lt;/pre&gt;
&lt;pre class="snippet-code-css lang-css prettyprint-override"&gt;&lt;code&gt;.as-console-wrapper {
  max-height: 100% !important
}&lt;/code&gt;&lt;/pre&gt;
&lt;/div&gt;
&lt;/div&gt;
&lt;/p&gt;
</t>
  </si>
  <si>
    <t xml:space="preserve">&lt;p&gt;I am trying to send reset password email from my project to user and used zohomail for as the mail server.&lt;/p&gt;
&lt;p&gt;my project is based on yii 2 framework &lt;/p&gt;
&lt;p&gt;But i am getting error as :
connection could not be established with host smtp.zoho.com [Connection refused #111]&lt;/p&gt;
&lt;p&gt;my configuration:&lt;/p&gt;
&lt;pre&gt;&lt;code&gt;'transport' =&amp;gt; [
            'class' =&amp;gt; 'Swift_SmtpTransport',
            'host' =&amp;gt; 'smtp.zoho.com',
            'username' =&amp;gt; 'info@mycompany.com.np',
            'password' =&amp;gt; '**********',
            'port' =&amp;gt; '587',
            'encryption' =&amp;gt; 'tls',
        ]
&lt;/code&gt;&lt;/pre&gt;
</t>
  </si>
  <si>
    <t xml:space="preserve">&lt;p&gt;I am setting up a DTAP environment for Google App Maker. Google App Maker enables working in a singe file very well, however there is one use case that I would like to simplify.&lt;/p&gt;
&lt;p&gt;For each deployment I need to "know" certain things in the back end script. Things like the ip address of the SQL server, or usernames and passwords. This information needs to be retrieved fast and often, given the stateless nature of google.script.run.&lt;/p&gt;
&lt;p&gt;The best solution so far is a settings form, combined with google drive tables and caching. This works, but it is not simple, and things could fail easily. The other approach is hard coded and linked to the deployment url. This is fast and simple, but also means that all the credentials are in the source. &lt;/p&gt;
&lt;p&gt;I am looking for a better solution. Apps Script used to have the script properties. Is there a similar option in App Maker, with a UI to maintain the settings.&lt;/p&gt;
</t>
  </si>
  <si>
    <t xml:space="preserve">&lt;p&gt;There is no built-in UI to manage script properties, but App Maker's runtime &lt;a href="https://developers.google.com/apps-script/reference/properties/" rel="nofollow noreferrer"&gt;(Apps Script) provides API&lt;/a&gt; to perform CRUD operations on it:&lt;/p&gt;
&lt;pre class="lang-javascript prettyprint-override"&gt;&lt;code&gt;PropertiesService.getScriptProperties().setProperty('testKey', 'testValue');
&lt;/code&gt;&lt;/pre&gt;
&lt;p&gt;...and you can &lt;em&gt;'easily'&lt;/em&gt; build the UI on top of this API. In answer for this question are highlighted major steps to achieve this: &lt;a href="https://stackoverflow.com/questions/48287957"&gt;Google App Maker how to create Data Source from Google Contacts&lt;/a&gt;&lt;/p&gt;
&lt;p&gt;Here is a feature request for the first party support. You can up-vote it by giving it a star:
&lt;a href="https://issuetracker.google.com/issues/73584947" rel="nofollow noreferrer"&gt;https://issuetracker.google.com/issues/73584947&lt;/a&gt;&lt;/p&gt;
</t>
  </si>
  <si>
    <t xml:space="preserve">&lt;p&gt;I created a simple Ticket Kiosk using Google App Maker. Everything was working great but now the user thumbnails are not showing up. Essentially, it uses the User Picker widget with a Directory database that pulls everyone in our g suite domain. It's still pulling all of the user data but the URL that it is pulling from the &lt;strong&gt;ThumbnailPhotoUrl&lt;/strong&gt; field no longer comes up with an image. The URL is still exactly the same as it was when it was working so I don't think it's the code, but maybe something changes in G Suite? Has anyone else experienced this issue?&lt;/p&gt;
&lt;p&gt;Thanks,&lt;/p&gt;
&lt;p&gt;Dom&lt;/p&gt;
</t>
  </si>
  <si>
    <t xml:space="preserve">&lt;p&gt;I have created simple PowerApp based on an Excel workbook stored on OneDrive. The workbook contains a table of 1,000 rows and 3 columns. &lt;/p&gt;
&lt;p&gt;The PowerApp works perfectly for me (owner). But when I share it with another teammember and provide view access he gets and error message after the app loads that the data failed. I also shared the workbook on the One Drive with the teammember and he gets the same error message. The app looks great except for the error message and the lack of data.&lt;/p&gt;
&lt;p&gt;What am I missing?&lt;/p&gt;
</t>
  </si>
  <si>
    <t xml:space="preserve">&lt;p&gt;I have an accordion that uses the datasource &lt;code&gt;Competency&lt;/code&gt;, which stores a list of core competencies for their employees and the related metadata (such as a description). Inside the Accordion's detail, I have a panel that uses the &lt;code&gt;Comment&lt;/code&gt; datasource. A user can then enter a comment that will get related to the &lt;code&gt;Competency&lt;/code&gt; datasources with some unrelated logic.&lt;/p&gt;
&lt;p&gt;Right now, I have an empty checkbox (check_box_outline_blank) in the Accordion Row. When a user enters text, I want the checkbox to have a check (i.e. change the value from &lt;code&gt;check_box_outline_blank&lt;/code&gt; to &lt;code&gt;check_box&lt;/code&gt;) The problem is that I'm not able to figure out a way to select the checkbox. &lt;/p&gt;
&lt;p&gt;Selecting with &lt;code&gt;widget.parent.parent.parent.parent.parent.parent.children.DetailAccordionRow.children.CompletionIcon.text = "check_box";&lt;/code&gt; results in the error&lt;/p&gt;
&lt;pre&gt;&lt;code&gt; Cannot read property 'children' of undefined
at CheckinSubmit.RootPanel.FormPanel.AccordionPanel.DetailAccordion.DetailAccordionDetail.AccordionDetialPanel.CommentFormPanel.CreateCommentForm.CreateCommentFormBody.Field.onValueEdit:1:78
&lt;/code&gt;&lt;/pre&gt;
&lt;p&gt;Selecting with &lt;code&gt;app.pages.CheckinSubmit.children.RootPanel.children.FormPanel.children.AccordionPanel.children.DetailAccordion.children.DetailAccordionRow.children.CompletionIcon.text = "check_box";&lt;/code&gt;&lt;/p&gt;
&lt;p&gt;Throws the error:&lt;/p&gt;
&lt;pre&gt;&lt;code&gt;Cannot read property 'children' of undefined
at CheckinSubmit.RootPanel.FormPanel.AccordionPanel.DetailAccordion.DetailAccordionDetail.AccordionDetialPanel.CommentFormPanel.CreateCommentForm.CreateCommentFormBody.Panel3.onValueEdit:1:140
&lt;/code&gt;&lt;/pre&gt;
&lt;p&gt;Both commands were put into the Submit button's onValueEdit trigger.&lt;/p&gt;
&lt;p&gt;I've been using AppMaker's autosugguestions to generate both of these commands. I'm not sure how else to select this item. Here's a screenshot with the UI and outline:
&lt;a href="https://i.stack.imgur.com/hFzzZ.png" rel="nofollow noreferrer"&gt;&lt;img src="https://i.stack.imgur.com/hFzzZ.png" alt="screenshot of project"&gt;&lt;/a&gt;&lt;/p&gt;
</t>
  </si>
  <si>
    <t xml:space="preserve">&lt;p&gt;Did you try to use binding? It seems, that you are adding Comments to the Competency, so maybe this binding for the label's text will work?&lt;/p&gt;
&lt;pre&gt;&lt;code&gt;@datasource.item.Comments.length &amp;gt; 0 ? 'check_box' : 'check_box_outline_blank'
&lt;/code&gt;&lt;/pre&gt;
&lt;blockquote&gt;
  &lt;p&gt;when a user enters text, I want the checkbox to have a check&lt;/p&gt;
&lt;/blockquote&gt;
&lt;p&gt;if you want exactly this behavior, and you have properly configured bindings, then you can bind label's text to something similar to this:&lt;/p&gt;
&lt;pre&gt;&lt;code&gt;@datasource.relations.Comments.modes.create.item.Comment !== null ?
    'check_box' : 'check_box_outline_blank'
&lt;/code&gt;&lt;/pre&gt;
&lt;p&gt;&lt;strong&gt;Note&lt;/strong&gt; that bindings will be reevaluated on focus loss of the Comment input (but there is a workaround for that).&lt;/p&gt;
</t>
  </si>
  <si>
    <t xml:space="preserve">&lt;p&gt;I am able to retrieve data from another form/report, but I am not able to update the value and save back in the other form. &lt;/p&gt;
&lt;p&gt;For the example below, I am trying to get the vacation_days_taken by user and then add new vacation days and update the vacation_days_taken in the employee_form. But, I get an Improper Statement error.&lt;/p&gt;
&lt;p&gt;Can someone please show me how I can update/edit other forms while working with a different one?&lt;/p&gt;
&lt;pre&gt;&lt;code&gt;daysOff = Employee_Form[ID == input.Employee_Name].Vacation_Days_Taken;
if(input.Number_of_Days_Requested + daysOff &amp;lt; 20)
{
     Employee_Form[ID == input.Employee_Name].Vacation_Days_Taken = input.Number_of_Days_Requested + daysOff;
}
&lt;/code&gt;&lt;/pre&gt;
</t>
  </si>
  <si>
    <t xml:space="preserve">&lt;p&gt;I have a G/SQL cloud data I am using with App Maker.&lt;/p&gt;
&lt;p&gt;I have a table with lots of relational data, that I needed to use a calculated datasource for (due to SQL query complexity). This is all great.  I've made a table based page with a datasource of this calculated data. 
It shows me all the data I want to see, including related data - not just the main table data.&lt;/p&gt;
&lt;p&gt;However, I want to make a row clickable so that users can edit the original data record.&lt;/p&gt;
&lt;p&gt;For the life of me, I cannot get the record associated with an edit page.  My edit page is a complete page - not a fragment. I have verified that I can see the key value in my edit page, but cannot get widgets on that page associated with the original table record!&lt;/p&gt;
&lt;p&gt;I've even tried many things.  selectKey(), queries for the ID and even to use a server function to query the key to see if that would set the record so I could reference something like: 
&lt;code&gt;app.datasources.&amp;lt;table&amp;gt;.item.&amp;lt;field&amp;gt;&lt;/code&gt; 
But no go!  All attempts come up with null records or the last record in my query.  &lt;/p&gt;
&lt;p&gt;&lt;strong&gt;More Info:&lt;/strong&gt;
I have the table associated with the edit page as a datasource.  I have tried both references as app.datasources... and widget.datasource... to no avail.
The data I am using is a route table with related tables for customer pickup, dropoff, service type, rates etc.  So the calculated data source is the route record, showing the user customer names etc.  Clicking this record is what I cannot get associated with an edit page with datasource set to the uncalculated route table.&lt;/p&gt;
&lt;p&gt;&lt;strong&gt;Another Attempt:&lt;/strong&gt;
I set up another datasource under my route table as route_id, with Query Builder selected as defined as:&lt;/p&gt;
&lt;pre&gt;&lt;code&gt;id = :route_id
&lt;/code&gt;&lt;/pre&gt;
&lt;p&gt;route_id is defined as bound to a property on the route listing page called RouteID.
Here's a graphic to help clarify:
&lt;a href="https://i.stack.imgur.com/Tn6PZ.png" rel="nofollow noreferrer"&gt;&lt;img src="https://i.stack.imgur.com/Tn6PZ.png" alt="enter image description here"&gt;&lt;/a&gt;&lt;/p&gt;
&lt;p&gt;On the route listing page, when a row is clicked I do the following:&lt;/p&gt;
&lt;pre&gt;&lt;code&gt;var key = widget.children.RouteKey.text;
app.pages.RouteList.properties.RouteID  = parseInt(key);
app.datasources.route_id.load();
app.showPage(app.pages.RouteEdit);
&lt;/code&gt;&lt;/pre&gt;
&lt;p&gt;&lt;em&gt;The id value RouteKey is loaded with each row, as a hidden label - the user doesn't need to see it.&lt;/em&gt;&lt;/p&gt;
&lt;p&gt;All seems logical and fair to me, but &lt;strong&gt;no record data&lt;/strong&gt; shows when the edit page appears?!  Is this an async timing issue?!&lt;/p&gt;
&lt;p&gt;Here's what I see when I click a row &lt;em&gt;[don't confuse the (+) button with an add page.  This IS an edit page. This button simply navigates to an add page]&lt;/em&gt;...
&lt;a href="https://i.stack.imgur.com/21ys8.png" rel="nofollow noreferrer"&gt;&lt;img src="https://i.stack.imgur.com/21ys8.png" alt="enter image description here"&gt;&lt;/a&gt;&lt;/p&gt;
</t>
  </si>
  <si>
    <t xml:space="preserve">&lt;p&gt;We have a page that takes a while to load the first time. The second time it loads fine. We tried the following hack in the startup script:&lt;/p&gt;
&lt;pre&gt;&lt;code&gt; var page = app.currentPage;
 app.showPage(app.pages.bigForm);
 app.showPage(page);
&lt;/code&gt;&lt;/pre&gt;
&lt;p&gt;This hack does work, the page loads fast the first time it is accessed by the user. The screen does not flash between the loads. However, the &lt;code&gt;bigform&lt;/code&gt; does not detach and the first time it is opened it does not execute the on-attach event. This event contains some code I would like to execute.&lt;/p&gt;
&lt;p&gt;My questions:&lt;/p&gt;
&lt;ul&gt;
&lt;li&gt;is there a better way of doing this, basically pre-loading the page?&lt;/li&gt;
&lt;li&gt;is there a way to force a detach of the page?&lt;/li&gt;
&lt;/ul&gt;
</t>
  </si>
  <si>
    <t xml:space="preserve">&lt;p&gt;I am trying to create an inventory app using PowerApps, currently each item falls under a main category, and at least one subcategories.  A small example of this is something like this:&lt;/p&gt;
&lt;pre&gt;&lt;code&gt;Concessions
|    Food
|        Chips
|            Brand 1
|            Brand 2
|            Brand 3
|        Candy
|           Chocolate
|               Brand 1
|               Brand 2
|           Hard
|           Gum
|        Grill
|    Drinks
Travel Goods
|    TravelGoodsSubCat
&lt;/code&gt;&lt;/pre&gt;
&lt;p&gt;This is held in a google sheet (along with the inventory data in another sheet inside the same book) that looks like this:&lt;/p&gt;
&lt;pre&gt;&lt;code&gt;CatID    CatName            ParentCat
1        Concessions        0
2        Travel Goods       0
3        Food               1
4        Chips              3
5        Candy              3
6        TravelGoodsSubCat  2
.... And So on....
&lt;/code&gt;&lt;/pre&gt;
&lt;p&gt;So what I'm envisioning is two galleries, one that is horizontal across the top of the screen that shows only the categories that are a child of category 0.  The second is a vertical gallery that shows every item under the current category.  So if the user selects Concessions in the horizontal gallery, the vertical gallery should populate with all items assigned to categories 1, 3, 4, 5, and so on.&lt;/p&gt;
&lt;p&gt;How do I acheive what is, in my mind, a recursive search looking for all these possible sub categories?&lt;/p&gt;
</t>
  </si>
  <si>
    <t xml:space="preserve">&lt;p&gt;This is achievable, but in order to have performance not slow down significantly you need to first cache the category table in a collection.  This is particularly the case if you use Google Sheets as a data source.&lt;/p&gt;
&lt;p&gt;Then you can create a collection with two columns: CatID and UltimateParentCat, something like this:&lt;/p&gt;
&lt;pre&gt;&lt;code&gt;CatID  UltimateParentCat
1      1
2      2
3      1
4      1
5      1
6      2
&lt;/code&gt;&lt;/pre&gt;
&lt;p&gt;This is where you will use recursion, but coding each step, so you will need to stop at the maximum depth that you expect.&lt;/p&gt;
&lt;p&gt;Therefore you need to set the app's OnStart property or some button's OnSelect property to something like this in order to populate the collections just once.&lt;/p&gt;
&lt;pre&gt;&lt;code&gt;ClearCollect(CachedCategories, GoogleSheetsTable);
ClearCollect(Step_1,
    AddColumns(
        ShowColumns(
            Filter(CachedCategories, ParentCat=0),
            "CatID"
            ),
        "UltimateParentCat", CatID
        )
    );
Clear(Step_2);
ForAll(Step_1,
    Collect(Step_2,
        AddColumns(
            ShowColumns(
                Filter(CachedCategories, ParentCat=Step_1[@CatID]),
                "CatID"
                ),
        "UltimateParentCat", Step_1[@UltimateParentCat])
        ));
Clear(Step_3);
ForAll(Step_2,
    Collect(Step_3,
        AddColumns(
            ShowColumns(
                Filter(CachedCategories, ParentCat=Step_2[@CatID]),
                "CatID"
                ),
        "UltimateParentCat", Step_2[@UltimateParentCat])
        ));
ClearCollect(CatsWithUltimate, Step_1, Step_2, Step_3)
&lt;/code&gt;&lt;/pre&gt;
&lt;p&gt;Once you have done that, then the Items property for horizontal gallery should be&lt;/p&gt;
&lt;pre&gt;&lt;code&gt;Filter(CachedCategories, ParentCat=0)
&lt;/code&gt;&lt;/pre&gt;
&lt;p&gt;Then the Items property for the vertical gallery should be&lt;/p&gt;
&lt;pre&gt;&lt;code&gt;Filter(Products,
    ProductCategory in Filter(CatsWithUltimate,
        UltimateParentCat=GalleryHorizontal.Selected.CatID).CatID)
&lt;/code&gt;&lt;/pre&gt;
&lt;p&gt;Please let me know of any typos in the above so I can fix.&lt;/p&gt;
&lt;p&gt;As a side note, I would suggest migrating to another data source like Azure SQL Database and just producing CatsWithUltimate as a view.&lt;/p&gt;
</t>
  </si>
  <si>
    <t xml:space="preserve">&lt;p&gt;I am working on &lt;code&gt;ZOHO API's&lt;/code&gt;. Using &lt;code&gt;POSTMAN&lt;/code&gt; I am trying to &lt;code&gt;GET&lt;/code&gt; the details of a project. The &lt;code&gt;API&lt;/code&gt; is as follows&lt;/p&gt;
&lt;pre&gt;&lt;code&gt;GET  /portal/[PORTALID]/projects/[PROJECTID]/
Sample Response
Status: 200 Success
Content Type: application/json;charset=utf-8
{
"projects": [{
    "id": 170876000000765009,
    "task_count": {
        "open": 6,
        "closed": 7
    },
    "milestone_count": {
        "open": 2,
        "closed": 1
    },
    "bug_count": {
        "open": 2,
        "closed": 1
    },
    "name": "Website Design Templates",
    "status": "active",
    "created_date": "10-22-2012 02:45 PM",
    "created_date_long": 1350926134092,
    "description": "This project is to discuss different design templates to build a website",
    "owner_name": "Patricia Boyle",
    "owner_id": "2060758",
    "link": {
        "self": {
            "url": "https://projectsapi.zoho.com/restapi/portal/
                    2063927/projects/170876000000765009/"
        },
        "activity": {
            "url": "https://projectsapi.zoho.com/restapi/portal/
                    2063927/projects/170876000000765009/activities/"
        },
        "status": {
            "url": "https://projectsapi.zoho.com/restapi/portal/
                    2063927/projects/170876000000765009/statuses/"
        },
        "milestone": {
            "url": "https://projectsapi.zoho.com/restapi/portal/
                    2063927/projects/170876000000765009/milestones/"
        },
        "tasklist": {
            "url": "https://projectsapi.zoho.com/restapi/portal/
                    2063927/projects/170876000000765009/tasklists/"
        },
        "task": {
            "url": "https://projectsapi.zoho.com/restapi/portal/
                    2063927/projects/170876000000765009/tasks/"
        },
        "bug": {
            "url": "https://projectsapi.zoho.com/restapi/portal/
                    2063927/projects/170876000000765009/bugs/"
        },
        "timesheet": {
            "url": "https://projectsapi.zoho.com/restapi/portal/
                    2063927/projects/170876000000765009/logs/"
        },
        "event": {
            "url": "https://projectsapi.zoho.com/restapi/portal/
                    2063927/projects/170876000000765009/events/"
        },
        "document": {
            "url": "https://projectsapi.zoho.com/restapi/portal/
                    2063927/projects/170876000000765009/documents/"
        },
        "folder": {
            "url": "https://projectsapi.zoho.com/restapi/portal/
                    2063927/projects/170876000000765009/folders/"
        },
        "forum": {
            "url": "https://projectsapi.zoho.com/restapi/portal/
                    2063927/projects/170876000000765009/forums/"
        },
        "user": {
            "url": "https://projectsapi.zoho.com/restapi/portal/
                    2063927/projects/170876000000765009/users/"
        }
    }
}]
}
&lt;/code&gt;&lt;/pre&gt;
&lt;p&gt;The link is &lt;a href="https://www.zoho.com/projects/help/rest-api/projects-api.html#alink2" rel="nofollow noreferrer"&gt;here&lt;/a&gt;&lt;/p&gt;
&lt;p&gt;But when I try to GET the details. It gives me 404 error. Below is my request.&lt;/p&gt;
&lt;pre&gt;&lt;code&gt;https://bugtracker.zoho.com/portal/fasi/projects/7958751212/
Authentication Token: c1d5c4cfd0bfcfd8b10caf0b174hhh
&lt;/code&gt;&lt;/pre&gt;
&lt;p&gt;&lt;a href="https://i.stack.imgur.com/oLZRC.png" rel="nofollow noreferrer"&gt;&lt;img src="https://i.stack.imgur.com/oLZRC.png" alt="enter image description here"&gt;&lt;/a&gt;&lt;/p&gt;
&lt;p&gt;Moreover, in the link, there is nothing given that how to send the request. All there is sample response. &lt;/p&gt;
&lt;p&gt;How can I send a correct request to get the details? &lt;/p&gt;
&lt;p&gt;Any help would be highly appreciated.&lt;/p&gt;
</t>
  </si>
  <si>
    <t xml:space="preserve">&lt;p&gt;In Salesforce Lightning, if I go to Accounts and click 'New', the standard lightning popup displays (see image). You'll notice the header states 'New Account: Indirect Transaction Account'. Is there any way to rename that? I can rename the 'Indirect Transaction Account' text by modifying the Record Type Label, but I cannot get rid of the 'New Account:' text.&lt;/p&gt;
&lt;p&gt;Thanks in advance.&lt;/p&gt;
&lt;p&gt;&lt;a href="https://i.stack.imgur.com/fFHrG.png" rel="nofollow noreferrer"&gt;&lt;img src="https://i.stack.imgur.com/fFHrG.png" alt="enter image description here"&gt;&lt;/a&gt;&lt;/p&gt;
</t>
  </si>
  <si>
    <t xml:space="preserve">&lt;p&gt;In Salesforce Classic or alternative deployments what capabilities does a user have to be able to display the arbitrary list of PickList items as HyperLinks to filtered reports for example?  Is this possible in vanilla Salesforce or is Apex/VisualForce necessary to complete such a capability?&lt;/p&gt;
&lt;p&gt;Once the custom field has been added to an object, how can we display the list that is generated in the detail view as clickable-links?  The editable view shoudl remain as Standard PickList.&lt;/p&gt;
&lt;p&gt;Here is a screenshot displaying the selections within the detail view:&lt;/p&gt;
&lt;p&gt;&lt;img src="https://i.stack.imgur.com/oHnpc.png" alt="screenshot displaying the selections within the detail view"&gt;&lt;/p&gt;
&lt;p&gt;How can this list be displayed as a list of hyperlinks?
Essentially how can one easily iterate through the recorded PickList items and use the values to create a display of HyperLnks of dynamic length dependent upon the number of items "picked".&lt;/p&gt;
</t>
  </si>
  <si>
    <t xml:space="preserve">&lt;p&gt;I want created a mail template using salesforce marketing cloud. 
I have created a mail template in saleforce marketing cloud using blank template layout. 
I have added 10 'free form' as 10 sections. And added html into sections. 
I have also added some css using  tag in first section for styling.
When I test it by sending on test mail. It's work on other mail like :
kapil.bansal@csgroupchd.com, mail open in 'Thunderbird Mail'.
But css not working in g-mail(phptesting46@gmail.com). When I search for it,
I finded the reason for it. gmail not supported style tag in body tag.   &lt;a href="https://www.campaignmonitor.com/css/" rel="nofollow noreferrer"&gt;https://www.campaignmonitor.com/css/&lt;/a&gt;
Now I am trying to added style in head tag. But I could not find any correct way. I am first time using this plateform. Please help me and suggest some solution for this.&lt;/p&gt;
</t>
  </si>
  <si>
    <t xml:space="preserve">&lt;p&gt;I have a question regarding to user picker in app maker. I have a sever script which will use for adding members into a team drive. I want to use the user picker widget to select member, then send to sever script. &lt;/p&gt;
&lt;p&gt;I have followed the examples of Training Hub and Documents Approval, which create a datasources to capture the data. I am not really into that approach. (But if this is the only way, I can compromise) &lt;/p&gt;
&lt;p&gt;Is it possible that user picker can directly input a list of email in UI? 
Thanks! &lt;/p&gt;
</t>
  </si>
  <si>
    <t xml:space="preserve">&lt;p&gt;I have the following code attached to the OnBeforeDelete event in one of my data models in Google App Maker:&lt;/p&gt;
&lt;pre&gt;&lt;code&gt;MailApp.sendEmail({
     to: 'example@email.com',
     cc: record.Resource.Manager.ManagerEmail ,
     subject: 'Deleted Allocation',
  body: 
  'February 2018: ' + record.February18 + '\n' +
  'March 2018: ' + record.March18 + '\n' + 
  'April 2018: ' + record.April18
});
}
&lt;/code&gt;&lt;/pre&gt;
&lt;p&gt;This code, and similar code like it, used to send emails correctly to both my personal Gmail account and an Outlook account. Now, however, they are only being received by my Gmail account. I tested again with a simpler function:&lt;/p&gt;
&lt;pre&gt;&lt;code&gt;function myFunction() {
  MailApp.sendEmail("example@email.com", "test mail", "why isnt this working");
}
&lt;/code&gt;&lt;/pre&gt;
&lt;p&gt;Which confirms that it does not work when I type in the Outlook account instead of the placeholder email.&lt;/p&gt;
&lt;p&gt;Does this only send email to Gmail accounts now (when it sent to Outlook earlier), or is there another explanation?&lt;/p&gt;
</t>
  </si>
  <si>
    <t xml:space="preserve">&lt;p&gt;I want to sort a list in App Maker by month, and I don't know how to it. &lt;/p&gt;
&lt;p&gt;&lt;a href="https://i.stack.imgur.com/0RkmU.png" rel="nofollow noreferrer"&gt;&lt;img src="https://i.stack.imgur.com/0RkmU.png" alt="enter image description here"&gt;&lt;/a&gt;&lt;/p&gt;
&lt;p&gt;I think that was the way, but is not.&lt;/p&gt;
&lt;pre&gt;&lt;code&gt;@datasource.item.MONTH#sort()
&lt;/code&gt;&lt;/pre&gt;
</t>
  </si>
  <si>
    <t xml:space="preserve">&lt;p&gt;I am not sure how many ways there are to achieve this but here are two ways:&lt;/p&gt;
&lt;p&gt;First one: Go the the &lt;strong&gt;model datasource&lt;/strong&gt; and change the &lt;strong&gt;sorting&lt;/strong&gt; option to reflect the month and then choose by ascending or descending. See the example below.
&lt;a href="https://i.stack.imgur.com/R4Csd.png" rel="nofollow noreferrer"&gt;&lt;img src="https://i.stack.imgur.com/R4Csd.png" alt="enter image description here"&gt;&lt;/a&gt;&lt;/p&gt;
&lt;p&gt;Second one: Select the &lt;strong&gt;table widget&lt;/strong&gt; and the go to the &lt;strong&gt;events&lt;/strong&gt; section in the &lt;strong&gt;Property Editor&lt;/strong&gt;. Click on the &lt;strong&gt;onDataLoad&lt;/strong&gt; event and type the following code:&lt;/p&gt;
&lt;pre&gt;&lt;code&gt;widget.datasource.items.sort(
  function(a, b) {
    if (a.Month &amp;gt; b.Month) {
      return 1;
    } else {
      return -1;
    }
  }
);
&lt;/code&gt;&lt;/pre&gt;
&lt;p&gt;See the image below:
&lt;a href="https://i.stack.imgur.com/DW1bo.png" rel="nofollow noreferrer"&gt;&lt;img src="https://i.stack.imgur.com/DW1bo.png" alt="enter image description here"&gt;&lt;/a&gt;&lt;/p&gt;
&lt;p&gt;Whichever way you prefer, is your choice. Hope it helps!&lt;/p&gt;
&lt;p&gt;&lt;strong&gt;Note:&lt;/strong&gt; the second option will sort only records withing single page currently loaded to the client.&lt;/p&gt;
</t>
  </si>
  <si>
    <t xml:space="preserve">&lt;p&gt;In my free developer account, Under the community section when I add a component with basic text box and other fields the component is visible in Community pages after publising the changes (I made the pages as public, so that every one can view with out logging in).&lt;/p&gt;
&lt;p&gt;But when the component has some data like contacts which are being fetched from the Apex controller, I cannot see the same component once the changes are published. Please guide me&lt;/p&gt;
&lt;p&gt;Regards,
Raghu&lt;/p&gt;
</t>
  </si>
  <si>
    <t xml:space="preserve">&lt;p&gt;I have a query that looks for a search term in certain fields of Data Model.&lt;/p&gt;
&lt;pre&gt;&lt;code&gt;eventsQuery.where = 'Name contains :SearchTerm OR ' +
                    'Description contains :SearchTerm OR ' +
                    'ID contains :SearchTerm OR ' +
                    'Owner contains :SearchTerm';
&lt;/code&gt;&lt;/pre&gt;
&lt;p&gt;I want to add the Date field into the search.&lt;/p&gt;
&lt;pre&gt;&lt;code&gt;'Date contains :SearchTerm OR ' +
&lt;/code&gt;&lt;/pre&gt;
&lt;p&gt;What would be the proper way to do so? FYI "Date" is already defined as a date field in the Data Model.&lt;/p&gt;
</t>
  </si>
  <si>
    <t xml:space="preserve">&lt;p&gt;I am working on &lt;code&gt;Zoho API&lt;/code&gt;. Using postman I want to create/issue a bug in the system. For this, I am looking into &lt;a href="https://www.zoho.com/projects/help/rest-api/bugs-api.html#alink3" rel="nofollow noreferrer"&gt;Zoho Bug API&lt;/a&gt;. For creating a bug below are the request parameters list in the link.&lt;/p&gt;
&lt;p&gt;&lt;strong&gt;Create a Bug&lt;/strong&gt;&lt;/p&gt;
&lt;pre&gt;&lt;code&gt;POST  /portal/[PORTALID]/projects/[PROJECTID]/bugs/
&lt;/code&gt;&lt;/pre&gt;
&lt;p&gt;&lt;strong&gt;Creates a bug.&lt;/strong&gt;&lt;/p&gt;
&lt;p&gt;&lt;strong&gt;Request Parameters&lt;/strong&gt;&lt;/p&gt;
&lt;pre&gt;&lt;code&gt;title*  String   Name of the bug.
description String   Description of the bug.
assignee    Long     Assignee for the bug.
flag    String   Bug flag must be Internal or External.
classification_id   Long     Classification ID of the project.
milestone_id    Long     Milestone ID of the project.
due_date    String [MM-DD-YYYY]  Due date of the bug.
module_id   Long     Module ID of the project.
severity_id Long     Severity ID of the project.
reproducible_id Long     Reproducible ID of the project.
affectedmile_id Long     Milestone ID of the project.
bug_followers   Long    Follower ID of the user.
uploaddoc   File     The maximum size to upload a file is 128 MB.
Custom Fields
CHAR1 - CHAR12  String  Any text type of custom fields with string or picklist values.
LONG1 - LONG4   Long    Numeric type of custom field.
DATE1 - DATE4   String [MM -DD-YYYY]    Bug custom field in date format.
&lt;/code&gt;&lt;/pre&gt;
&lt;p&gt;&lt;strong&gt;Sample Response&lt;/strong&gt;&lt;/p&gt;
&lt;p&gt;&lt;strong&gt;Status: 201 Created&lt;/strong&gt;&lt;/p&gt;
&lt;p&gt;&lt;strong&gt;Content Type: application/json;charset=utf-8&lt;/strong&gt;&lt;/p&gt;
&lt;pre&gt;&lt;code&gt;{
"bugs": [{
    "id": 170876000001851001,
    "key": "543",
    "project": {
        "id": 170876000000147021
    },
    "flag": "Internal",
    "title": "UI issue in Status text box",
    "reporter_id": "2060758",
    "reported_person": "Patricia Boyle",
    "created_time": "05-27-2014 08:38 AM",
    "created_time_long": 1401188920000,
    "assignee_name": "Not Assigned",
    "classification": {
        "id": 170876000000133041,
        "type": "Feature(New)"
    },
    "severity": {
        "id": 170876000000065005,
        "type": "Major"
    },
    "status": {
        "id": 170876000001077429,
        "type": "known limitation"
    },
    "closed": false,
    "reproducible": {
        "id": 170876000000133005,
        "type": "Always"
    },
    "module": {
        "id": 170876000000494013,
        "name": "ERP Phase I"
    },
    "link": {
        "self": {
            "url": "https://projectsapi.zoho.com/restapi/portal/2063927/projects/
                    170876000000147021/bugs/170876000001851001/"
        },
        "timesheet": {
            "url": "https://projectsapi.zoho.com/restapi/portal/2063927/projects/
                    170876000000147021/bugs/170876000001851001/logs/"
        }
    }
}]
}
&lt;/code&gt;&lt;/pre&gt;
&lt;p&gt;&lt;strong&gt;What I am doing&lt;/strong&gt;&lt;/p&gt;
&lt;p&gt;&lt;strong&gt;My request param&lt;/strong&gt;&lt;/p&gt;
&lt;pre&gt;&lt;code&gt;https://projectsapi.zoho.com/restapi/portal/[PORTALID]/projects/[PROJECTID]/bugs/
&lt;/code&gt;&lt;/pre&gt;
&lt;p&gt;&lt;strong&gt;Key&lt;/strong&gt;&lt;/p&gt;
&lt;pre&gt;&lt;code&gt;`Authorization:   myKey`
`Content Type: application/json` 
&lt;/code&gt;&lt;/pre&gt;
&lt;p&gt;&lt;strong&gt;In body&lt;/strong&gt;&lt;/p&gt;
&lt;pre&gt;&lt;code&gt;[{
   "title": "My First Bug",
   "description"      :"This is my first bug",
   "assignee" : "engr.usman" ,
   "flag": "internal",
   "classification_id": "1139168000000297069",
   "milestone_id": "",
   "due_date": "02-15-2018",
   "module_id" : "1139168000000019372",
   "severity_id" : "1139168000000007003",
   "reproducible_id" : "1139168000000017069",
   "status_id" :"1139168000000007045",
   "resolution": "",
   "affectedmile_id" : "",
   "customfields": [
            {
                "column_name": "LONG1",
                "label_name": "MSN#",
                "value": "2999000190"
            },
            {
                "column_name": "CHAR1",
                "label_name": "Circle-Division-SubDivision",
                "value": "Hyderabad - Latifabad - Tando Jam"
            },
            {
                "column_name": "CHAR3",
                "label_name": "LCD Indication",
                "value": "S7"
            },
            {
                "column_name": "CHAR2",
                "label_name": "Reference #",
                "value": "28371430034961U"
            }
],
"uploaddoc" : [""]
}]
&lt;/code&gt;&lt;/pre&gt;
&lt;p&gt;&lt;strong&gt;Response&lt;/strong&gt;&lt;/p&gt;
&lt;pre&gt;&lt;code&gt;{
"error": {
    "code": 6831,
    "message": "Input Parameter Missing"
 }
}
&lt;/code&gt;&lt;/pre&gt;
&lt;p&gt;&lt;strong&gt;Update 1&lt;/strong&gt;&lt;/p&gt;
&lt;p&gt;So just for testing it again. I have tried to send only mandatory and by default fields. &lt;/p&gt;
&lt;pre&gt;&lt;code&gt;[{
   "title": "My First Bug",
   "flag": "internal",
   "classification_id": "1139168000000297069",
   "module_id" : "1139168000000019372",
   "severity_id" : "1139168000000007003",
   "customfields": [
            {
                "column_name": "CHAR2",
                "label_name": "Reference #",
                "value": "28371430034961U"
            }
]
}]
&lt;/code&gt;&lt;/pre&gt;
&lt;p&gt;But again I am getting same error &lt;code&gt;Input Parameter Missing&lt;/code&gt; &lt;/p&gt;
&lt;p&gt;I don't know why this error is generating. As there is no method of sending a request in the link. &lt;/p&gt;
&lt;p&gt;Any help would be highly appreciated.&lt;/p&gt;
</t>
  </si>
  <si>
    <t xml:space="preserve">&lt;p&gt;How can I access the data contained in Google drive tables?&lt;/p&gt;
&lt;p&gt;I created some basic apps after reading the tutorials, but I'm unable to to see the sample data I entered.&lt;/p&gt;
</t>
  </si>
  <si>
    <t xml:space="preserve">&lt;p&gt;&lt;strong&gt;Option 1:&lt;/strong&gt; Don't use Drive Tables&lt;/p&gt;
&lt;p&gt;App Maker gives you power to connect to &lt;a href="https://developers.google.com/appmaker/models/cloudsql" rel="nofollow noreferrer"&gt;Cloud SQL instance&lt;/a&gt;, that you can access through &lt;a href="https://cloud.google.com/sql/docs/mysql/quickstart#connect_to_your_instance_using_the_db_client_client_in_the_cloud_shell" rel="nofollow noreferrer"&gt;Cloud Shell&lt;/a&gt; or connect with some tools like &lt;a href="https://www.mysql.com/products/workbench/" rel="nofollow noreferrer"&gt;MySQL Workbench&lt;/a&gt;.&lt;/p&gt;
&lt;p&gt;&lt;strong&gt;Pros&lt;/strong&gt;&lt;/p&gt;
&lt;ul&gt;
&lt;li&gt;Works nice if you have your own Cloud SQL instance&lt;/li&gt;
&lt;/ul&gt;
&lt;p&gt;&lt;strong&gt;Cons&lt;/strong&gt;&lt;/p&gt;
&lt;ul&gt;
&lt;li&gt;This approach falls short in environments with shared Cloud SQL instances&lt;/li&gt;
&lt;li&gt;Cloud SQL is not free&lt;/li&gt;
&lt;/ul&gt;
&lt;p&gt;&lt;strong&gt;Option 2:&lt;/strong&gt; Export data to spreadsheet&lt;/p&gt;
&lt;p&gt;Regardless what data backend you are using you can &lt;a href="https://developers.google.com/appmaker/models/import-export#how_you_can_export_data" rel="nofollow noreferrer"&gt;dump all your data to spreadsheet&lt;/a&gt;.&lt;/p&gt;
&lt;p&gt;&lt;strong&gt;Cons&lt;/strong&gt;&lt;/p&gt;
&lt;ul&gt;
&lt;li&gt;Basically it is one-way data access (read only), unless you want to mess with importing edited data back to your deployemnt...&lt;/li&gt;
&lt;/ul&gt;
&lt;p&gt;&lt;strong&gt;Option 3:&lt;/strong&gt; Drag'n'drop way&lt;/p&gt;
&lt;p&gt;There is an option to keep &lt;em&gt;Debug&lt;/em&gt; page and drop on it tables/forms for models you want to look it.&lt;/p&gt;
&lt;p&gt;&lt;strong&gt;Pros&lt;/strong&gt;&lt;/p&gt;
&lt;ul&gt;
&lt;li&gt;Seamless access to data directly from you development environment (browser).&lt;/li&gt;
&lt;/ul&gt;
&lt;p&gt;&lt;strong&gt;Cons&lt;/strong&gt;&lt;/p&gt;
&lt;ul&gt;
&lt;li&gt;It is hard to maintain such &lt;em&gt;Debug&lt;/em&gt; especially when you are actively working on your database structure.&lt;/li&gt;
&lt;li&gt;Need to think about security and hide the page from your end users.&lt;/li&gt;
&lt;li&gt;Need to keep dedicated datasource(s) for the debug tables/forms, that should have no filters applied (at this time there is no client-side analogue of &lt;code&gt;app.models.MyModel.newQuery()&lt;/code&gt; server-side API).&lt;/li&gt;
&lt;/ul&gt;
&lt;p&gt;&lt;strong&gt;Option 4:&lt;/strong&gt; Drag'n'drop way (advanced edition!)&lt;/p&gt;
&lt;p&gt;The basic idea is to create a page with dynamic table (to view/edit data) and form (to add records). Using this highly dynamic page will eliminate shortage #1 from the option #3:
&lt;a href="https://i.stack.imgur.com/rJPqS.png" rel="nofollow noreferrer"&gt;&lt;img src="https://i.stack.imgur.com/rJPqS.png" alt="Editor -&amp;gt; Model"&gt;&lt;/a&gt;
&lt;a href="https://i.stack.imgur.com/OH0xo.png" rel="nofollow noreferrer"&gt;&lt;img src="https://i.stack.imgur.com/OH0xo.png" alt="Editor -&amp;gt; Layout"&gt;&lt;/a&gt;
&lt;a href="https://i.stack.imgur.com/BmzrV.png" rel="nofollow noreferrer"&gt;&lt;img src="https://i.stack.imgur.com/BmzrV.png" alt="Runtime -&amp;gt; Table"&gt;&lt;/a&gt;
&lt;a href="https://i.stack.imgur.com/1BT3U.png" rel="nofollow noreferrer"&gt;&lt;img src="https://i.stack.imgur.com/1BT3U.png" alt="Runtime -&amp;gt; Form"&gt;&lt;/a&gt;&lt;/p&gt;
&lt;p&gt;This approach has similar pros and cons as previous one plus there are some App Maker limitations that make it hard to implement (but it is doable on some extent).&lt;/p&gt;
</t>
  </si>
  <si>
    <t xml:space="preserve">&lt;p&gt;I've followed &lt;a href="https://www.zoho.com/mail/help/api/post-send-an-email.html" rel="nofollow noreferrer"&gt;this doc&lt;/a&gt; and here is my code:&lt;/p&gt;
&lt;pre&gt;&lt;code&gt;$url = "https://mail.zoho.com/api/accounts/662704xxx/messages";
$param = [  "fromAddress"=&amp;gt; "myemail@mydomain.com",
            "toAddress"=&amp;gt; "somewhere@gmail.com",
            "ccAddress"=&amp;gt; "",
            "bccAddress"=&amp;gt; "",
            "subject"=&amp;gt; "Email - Always and Forever",
            "content"=&amp;gt; "Email can never be dead ..."];
$ch = curl_init();
curl_setopt($ch, CURLOPT_URL, $url);
curl_setopt($ch, CURLOPT_FOLLOWLOCATION, 1);
curl_setopt($ch, CURLOPT_RETURNTRANSFER, 1);
curl_setopt($ch, CURLOPT_TIMEOUT, 30);
curl_setopt($ch, CURLOPT_POST, 1);
curl_setopt($ch, CURLOPT_POSTFIELDS, json_encode($param));
$result = curl_exec($ch);
curl_close($ch);
print_r($result);
die;
&lt;/code&gt;&lt;/pre&gt;
&lt;p&gt;And the response is:&lt;/p&gt;
&lt;pre&gt;&lt;code&gt;{"data":{"errorCode":"INVALID_TICKET","moreInfo":"Invalid ticket"},"status":{"code":400,"description":"Invalid Input"}}
&lt;/code&gt;&lt;/pre&gt;
&lt;p&gt;And the response means: &lt;em&gt;(according to &lt;a href="https://www.zoho.com/mail/help/api/response-codes.html" rel="nofollow noreferrer"&gt;this&lt;/a&gt;)&lt;/em&gt;&lt;/p&gt;
&lt;blockquote&gt;
  &lt;p&gt;BAD REQUEST - The input passed in the Request API is invalid or incorrect. The requestor has to change the input parameters and send the Request again.&lt;/p&gt;
&lt;/blockquote&gt;
&lt;p&gt;Any idea how can I fix it?&lt;/p&gt;
</t>
  </si>
  <si>
    <t xml:space="preserve">&lt;p&gt;In order to send mail with Zoho through its API, you need to first authenticate, as seen on &lt;a href="https://www.zoho.com/mail/help/api/post-send-an-email.html" rel="nofollow noreferrer"&gt;the APIDocs&lt;/a&gt;:&lt;/p&gt;
&lt;blockquote&gt;
  &lt;p&gt;Note: You can use the API &lt;a href="https://www.zoho.com/mail/help/api/get-user-account-details.html" rel="nofollow noreferrer"&gt;here&lt;/a&gt; to retrieve the accountid for the currently authenitcated user.&lt;/p&gt;
&lt;/blockquote&gt;
&lt;p&gt;That said, and refering to your comment, you don't need an SMTP server installed on your server to be able to send mail with PHPMailer:&lt;/p&gt;
&lt;blockquote&gt;
  &lt;p&gt;Integrated SMTP support - send without a local mail server&lt;/p&gt;
&lt;/blockquote&gt;
&lt;p&gt;&lt;a href="https://github.com/PHPMailer/PHPMailer#class-features" rel="nofollow noreferrer"&gt;Source&lt;/a&gt;&lt;/p&gt;
&lt;p&gt;Zoho requires you to use TLS and the 587 port, so you can set up your connection like this:&lt;/p&gt;
&lt;pre&gt;&lt;code&gt;&amp;lt;?php
use PHPMailer\PHPMailer\PHPMailer;
$phpMailer = new PHPMailer(true);
$phpMailer-&amp;gt;isSMTP();
$phpMailer-&amp;gt;Host = "smtp.zoho.com";
$phpMailer-&amp;gt;SMTPAuth = true;
$phpMailer-&amp;gt;Username = "your-user";
$phpMailer-&amp;gt;Password = "your-password";
$phpMailer-&amp;gt;SMTPSecure = "tls";
$phpMailer-&amp;gt;Port = 587;
$phpMailer-&amp;gt;isHTML(true);
$phpMailer-&amp;gt;CharSet = "UTF-8";
$phpMailer-&amp;gt;setFrom("mail-user", "mail-name");
$phpMailer-&amp;gt;addAddress("mail-to");
$phpMailer-&amp;gt;Subject = "subject";
$phpMailer-&amp;gt;Body = "mail-body";
$phpMailer-&amp;gt;send();
&lt;/code&gt;&lt;/pre&gt;
</t>
  </si>
  <si>
    <t xml:space="preserve">&lt;p&gt;Need a SQL Query to have Previous month values against to the monthly values.&lt;/p&gt;
&lt;p&gt;&lt;strong&gt;Constraint&lt;/strong&gt;: DO NOT USE ANY LAG, OVER, PARTITION, Row_number() etc. Use only LEFT, RIGHT or INNER Joins and achieve it. &lt;/p&gt;
&lt;p&gt;I have a table as follows&lt;/p&gt;
&lt;pre&gt;
LoanID1 Jan   2000  
LoanID1 Feb   3000  
LoanID1 March 2500  
LoanID1 April 1000  
LoanID1 May   500   
LoanID2 Jan   750   
LoanID2 FEB   3500  
LoanID2 March 2700  
LoanID2 April 1500  
LoanID2 May   4000  
&lt;/pre&gt;
&lt;p&gt;Basically, These are Monthly values for each LoanID, what i need is i need to have another column with the Previous month values like the following table:&lt;/p&gt;
&lt;pre&gt;&lt;code&gt;LoanID1 Jan   2000  
LoanID1 Feb   3000   2000
LoanID1 March 2500   3000
LoanID1 April 1000   2500
LoanID1 May   500    1000
LoanID2 Jan   750    
LoanID2 FEB   3500   750
LoanID2 March 2700   3500
LoanID2 April 1500   2700
LoanID2 May   4000   1500
&lt;/code&gt;&lt;/pre&gt;
&lt;p&gt;I tried with Joining the same table but could not achieve it. Please guide me and throw me some light how can i make it. &lt;/p&gt;
&lt;p&gt;Update to provide actual details:&lt;/p&gt;
&lt;p&gt;Illustration images: the actual data how it is available and how i need it in the 2nd image&lt;/p&gt;
&lt;p&gt;[This is the actual database with the records looks like&lt;/p&gt;
&lt;p&gt;&lt;img src="https://i.stack.imgur.com/7w6Np.png" alt="This is the actual database with the records looks like"&gt;&lt;/p&gt;
&lt;p&gt;This is what i need with another column(Previous Month Values)&lt;/p&gt;
&lt;p&gt;&lt;img src="https://i.stack.imgur.com/yXy6v.png" alt="This is what i need with another column(Previous Month Values)"&gt;&lt;/p&gt;
&lt;hr&gt;
&lt;p&gt;Appreciate your guidance and thanks in advance. &lt;/p&gt;
</t>
  </si>
  <si>
    <t xml:space="preserve">&lt;p&gt;I created a powerapp from a SharePoint list and want to have a conditional rule as follows: If card value = "Inquiry call" then submit form without continuing through the rest of the form. If not, continue.  I haven't been able to find anything about doing this. I started to create the rule below but I cannot find rules on the action.&lt;/p&gt;
&lt;p&gt;Type of Referral_DataCard2.Update = Inquiry Call - No Referral&lt;/p&gt;
&lt;p&gt;Please advise. Thank you!&lt;/p&gt;
&lt;p&gt;[Form&lt;a href="https://i.stack.imgur.com/4KSpv.png" rel="nofollow noreferrer"&gt;][1]&lt;/a&gt;&lt;/p&gt;
</t>
  </si>
  <si>
    <t xml:space="preserve">&lt;p&gt;I'm trying to use a Dynamics 365 entity within a Data table however this hangs as shown in the screenshots below. &lt;/p&gt;
&lt;p&gt;&lt;a href="https://i.stack.imgur.com/epZ5i.png" rel="nofollow noreferrer"&gt;&lt;img src="https://i.stack.imgur.com/epZ5i.png" alt="Screenshot 1"&gt;&lt;/a&gt;&lt;/p&gt;
&lt;p&gt;&lt;a href="https://i.stack.imgur.com/DG2d8.png" rel="nofollow noreferrer"&gt;&lt;img src="https://i.stack.imgur.com/DG2d8.png" alt="Screenshot 2"&gt;&lt;/a&gt;&lt;/p&gt;
&lt;p&gt;Other entities work fine except this one.&lt;/p&gt;
</t>
  </si>
  <si>
    <t xml:space="preserve">&lt;p&gt;I am working with &lt;code&gt;rest API&lt;/code&gt;. I am using &lt;a href="https://www.zoho.com/projects/help/rest-api/bugs-api.html#alink3" rel="nofollow noreferrer"&gt;zoho API's&lt;/a&gt; for making calls. Working in &lt;code&gt;yii2&lt;/code&gt; I am trying to call a &lt;code&gt;GET&lt;/code&gt; API which gives me some details about my project. &lt;/p&gt;
&lt;pre&gt;&lt;code&gt;   /* Set the Request Url (without Parameters) here */
    $request_url = 'https://projectsapi.zoho.com/restapi/portal/[PORTALID]/projects/[PROJECTID]/bugs/defaultfields/';
    $ch  = curl_init($request_url);
    curl_setopt($ch, CURLOPT_RETURNTRANSFER, true);
    curl_setopt($ch, CURLOPT_TIMEOUT, 0);
    curl_setopt($ch, CURLOPT_HTTPHEADER, array('authtoken' =&amp;gt; 'key')); // here i am using key but in actual i am putting the real key value
    $curl_response = curl_exec($ch);
    $json = json_decode($curl_response);
    var_dump($json);
    exit();
&lt;/code&gt;&lt;/pre&gt;
&lt;p&gt;Accessing it via &lt;code&gt;POSTMAN&lt;/code&gt; when I run this call it gives me &lt;code&gt;NULL&lt;/code&gt; in response. I have also tried out the way mentioned in the PHP Example &lt;a href="https://www.zoho.com/projects/help/rest-api/examples.html" rel="nofollow noreferrer"&gt;here&lt;/a&gt;. But it doesn't work out for me as well. &lt;/p&gt;
&lt;p&gt;I must be missing something that I don't know. &lt;/p&gt;
&lt;p&gt;Any help would be highly appreciated.&lt;/p&gt;
</t>
  </si>
  <si>
    <t xml:space="preserve">&lt;p&gt;Try checking your headers and make sure you're passing through all the required fields for an example authorization, content type etc.&lt;/p&gt;
</t>
  </si>
  <si>
    <t xml:space="preserve">&lt;p&gt;I have an issue with modifying a label text by calling a function (client script) that call a function (server side) with a return value.&lt;/p&gt;
&lt;p&gt;A console.info(return value) show the correct value but the label text is empty.
Even if a make a return like this ==&gt; return "Test", it doesn't work.&lt;/p&gt;
&lt;p&gt;Here is my functions created for debug purposes :&lt;/p&gt;
&lt;p&gt;&lt;strong&gt;ClientScript :&lt;/strong&gt;&lt;/p&gt;
&lt;pre&gt;&lt;code&gt;function onSuccess(value) {
  console.info("debug : " + value); // &amp;lt;== this works !
}
function TestFunction(value) {
  // Call server side functions
  google.script.run.withSuccessHandler(onSuccess).test("any value");
}
&lt;/code&gt;&lt;/pre&gt;
&lt;p&gt;&lt;strong&gt;ServerScript :&lt;/strong&gt;&lt;/p&gt;
&lt;pre&gt;&lt;code&gt;function test(arg) {
    return "This a return value";
}
&lt;/code&gt;&lt;/pre&gt;
&lt;p&gt;&lt;strong&gt;Binding in label text :&lt;/strong&gt;&lt;/p&gt;
&lt;pre&gt;&lt;code&gt;TestFunction("test")
&lt;/code&gt;&lt;/pre&gt;
&lt;p&gt;Do you have any idea? What am I doing wrong?&lt;/p&gt;
&lt;p&gt;Edit : as ask by Chris, here is the link to the export app zip : &lt;a href="https://drive.google.com/file/d/1LEcEYtv0guC_ELicE9vFrY8AygJeVqWP/view?usp=sharing" rel="nofollow noreferrer"&gt;https://drive.google.com/file/d/1LEcEYtv0guC_ELicE9vFrY8AygJeVqWP/view?usp=sharing&lt;/a&gt;&lt;/p&gt;
</t>
  </si>
  <si>
    <t xml:space="preserve">&lt;p&gt;The problem is you are trying to get the value directly from the server script. As how you see, the console log is working because you are passing the value to the client on the &lt;strong&gt;onSuccess&lt;/strong&gt; function.&lt;/p&gt;
&lt;p&gt;What you need to do is pass the widget to the &lt;strong&gt;TestFunction&lt;/strong&gt; and the &lt;strong&gt;onSuccess&lt;/strong&gt; function should go inside the test function. Take into consideration the example below:&lt;/p&gt;
&lt;p&gt;&lt;strong&gt;ClientScript:&lt;/strong&gt;&lt;/p&gt;
&lt;pre&gt;&lt;code&gt;function TestFunction(widget, value) {
  function onSuccess(value) {
    console.info("debug : " + value);
    widget.text = value;
  }
  // Call server side functions
  google.script.run.withSuccessHandler(onSuccess).test(value);
}
&lt;/code&gt;&lt;/pre&gt;
&lt;p&gt;&lt;strong&gt;ServerScript:&lt;/strong&gt;&lt;/p&gt;
&lt;pre&gt;&lt;code&gt;function test(arg) {
    return arg;
}
&lt;/code&gt;&lt;/pre&gt;
&lt;p&gt;&lt;strong&gt;Binding in label text:&lt;/strong&gt;&lt;/p&gt;
&lt;pre&gt;&lt;code&gt;TestFunction(@widget, "This is what I want")
&lt;/code&gt;&lt;/pre&gt;
&lt;p&gt;I hope this helps!&lt;/p&gt;
</t>
  </si>
  <si>
    <t xml:space="preserve">&lt;p&gt;I would like to create a single form that I can bind to a datasource in create mode and in "normal mode". The use case is that I can have an existing item in the datasource that I would like to edit, or I would like to create a new one.&lt;/p&gt;
&lt;p&gt;I can't find a way to dynamically switch the datasource mode before opening the form. It seems that 2 forms are required to accomplish this. &lt;/p&gt;
&lt;p&gt;Any suggestions on how to accomplish this?&lt;/p&gt;
</t>
  </si>
  <si>
    <t xml:space="preserve">&lt;p&gt;I am working on Zoho Projects API. I have got an API key when sending an HTTP post. While sending the post request I am getting an error.&lt;/p&gt;
&lt;p&gt;&lt;strong&gt;API CALL CODE&lt;/strong&gt;&lt;/p&gt;
&lt;pre&gt;&lt;code&gt;$request_url ='https://projectsapi.zoho.com/restapi/portal/[PORTALID]/projects/'.$proj_id.'/bugs/?';
$ch = curl_init();
curl_setopt($ch, CURLOPT_RETURNTRANSFER, TRUE);
$request_parameters = array(
'authtoken' =&amp;gt; 'token',
'title' =&amp;gt;'Meter No '.$msn.'_'.$issue_name,
'assignee'=&amp;gt;$assigne_name,
'flag'=&amp;gt;'Internal',
'classification_id'=&amp;gt; $class_id,
'module_id'=&amp;gt;$module_id,
'severity_id'=&amp;gt;$sevr_id,
'CHAR2'=&amp;gt;$ref_no,
'LONG1'=&amp;gt;$msn,
 );
 curl_setopt($ch, CURLOPT_POST, TRUE);
 curl_setopt($ch, CURLOPT_POSTFIELDS, http_build_query($request_parameters));
 /* Here you can set the Response Content Type */
 curl_setopt($ch, CURLOPT_HTTPHEADER, array('Accept: application/json'));
 /* Let's give the Request Url to Curl */
 curl_setopt($ch, CURLOPT_URL, $request_url);
 /*
 Yes we want to get the Response Header
 (it will be mixed with the response body but we'll separate that after)
 */
 curl_setopt($ch, CURLOPT_HEADER, TRUE);
 /* Allows Curl to connect to an API server through HTTPS */
curl_setopt($ch, CURLOPT_SSL_VERIFYPEER, false);
/* Let's get the Response ! */
$response = curl_exec($ch);
/* We need to get Curl infos for the http_code */
$response_info = curl_getinfo($ch);
/* Don't forget to close Curl */
curl_close($ch);
/* Here we get the Response Body */
$response_body = substr($response, $response_info['header_size']);
// Response HTTP Status Code
echo "Response HTTP Status Code : ";
echo $response_info['http_code'];
echo "\n";
// Response Body
echo "Response Body : ";
echo $response_body;
&lt;/code&gt;&lt;/pre&gt;
&lt;p&gt;The response I am getting is &lt;/p&gt;
&lt;pre&gt;&lt;code&gt;Response HTTP Status Code : 400
Response Body : {"error":{"code":6500,"message":"General Error"}}
&lt;/code&gt;&lt;/pre&gt;
&lt;p&gt;A solution is mentioned &lt;a href="https://help.zoho.com/portal/community/topic/zoho-project-api-general-error-6500" rel="nofollow noreferrer"&gt;here&lt;/a&gt;. But it's not helping me anymore.&lt;/p&gt;
&lt;p&gt;Zoho its self is providing a &lt;a href="https://www.zoho.com/projects/help/rest-api/examples.html" rel="nofollow noreferrer"&gt;PHP Example&lt;/a&gt; that I am using.&lt;/p&gt;
&lt;p&gt;&lt;strong&gt;Update 1&lt;/strong&gt;&lt;/p&gt;
&lt;p&gt;Ok, I added &lt;code&gt;$request_url .= '?' . http_build_query($request_parameters);&lt;/code&gt; after &lt;code&gt;curl_setopt($ch, CURLOPT_POSTFIELDS, http_build_query($request_parameters));&lt;/code&gt;
and then again checked the response. The URL is below &lt;/p&gt;
&lt;pre&gt;&lt;code&gt;https://projectsapi.zoho.com/restapi/portal/[PORTALID]/projects/[PROJECTID]/bugs/?authtoken=key&amp;amp;title=Meter+No+002999000368_Site+Comm+Issue&amp;amp;assignee=Laar+Circle&amp;amp;flag=Internal&amp;amp;classification_id=1139168000000297069&amp;amp;module_id=1139168000000019372&amp;amp;severity_id=1139168000000007003&amp;amp;CHAR1=farhan_javaid&amp;amp;CHAR2=20372210038297U&amp;amp;LONG1=002999000368
&lt;/code&gt;&lt;/pre&gt;
&lt;p&gt;There is &lt;code&gt;+&lt;/code&gt; Sign in between the spaces which is causing a problem. There should be empty spaces in between the words. Like &lt;code&gt;Meter+No+002999000368_Site+Comm+Issue&lt;/code&gt; should be &lt;code&gt;Meter No 002999000368_Site Comm Issue&lt;/code&gt;.&lt;/p&gt;
&lt;p&gt;How to get rid of this error. Any help would be highly appreciated.&lt;/p&gt;
</t>
  </si>
  <si>
    <t xml:space="preserve">&lt;p&gt;If the above code is what you exactly used then you might have to change the &lt;code&gt;[PORTALID]&lt;/code&gt; in the &lt;code&gt;$request_url&lt;/code&gt; to the actual portal id that you have assigned, &lt;/p&gt;
&lt;pre&gt;&lt;code&gt;$request_url ='https://projectsapi.zoho.com/restapi/portal/[PORTALID]/projects/'.$proj_id.'/bugs/?';
&lt;/code&gt;&lt;/pre&gt;
&lt;p&gt;see &lt;a href="https://www.zoho.com/projects/help/rest-api/portals-api.html" rel="nofollow noreferrer"&gt;&lt;strong&gt;&lt;code&gt;here&lt;/code&gt;&lt;/strong&gt;&lt;/a&gt; how to get the &lt;code&gt;portal_id&lt;/code&gt;.&lt;/p&gt;
&lt;p&gt;&lt;strong&gt;EDIT&lt;/strong&gt;&lt;/p&gt;
&lt;p&gt;As you are having the problem due to the encoding of the spaces into &lt;code&gt;+&lt;/code&gt; which is due to the encoding used by &lt;a href="http://php.net/manual/en/function.http-build-query.php" rel="nofollow noreferrer"&gt;&lt;strong&gt;&lt;code&gt;http_build_query()&lt;/code&gt;&lt;/strong&gt;&lt;/a&gt;, you can use &lt;code&gt;urlencode()&lt;/code&gt; for the title inside the &lt;code&gt;$request_parameters&lt;/code&gt; so that it uses &lt;code&gt;%20&lt;/code&gt; instead of &lt;code&gt;+&lt;/code&gt; although the rules say that &lt;/p&gt;
&lt;p&gt;&lt;strong&gt;&lt;code&gt;You should have %20 before the ? and + after.&lt;/code&gt;&lt;/strong&gt;&lt;/p&gt;
&lt;p&gt;otherwise, you might have to remove the spaces from the &lt;code&gt;'title' =&amp;gt;urlencode('Meter No '.$msn.'_'.$issue_name),&lt;/code&gt;  if the API does not allow you anyhow&lt;/p&gt;
&lt;pre&gt;&lt;code&gt;$request_parameters = array(
'authtoken' =&amp;gt; 'token',
'title' =&amp;gt;urlencode('Meter No '.$msn.'_'.$issue_name),
'assignee'=&amp;gt;$assigne_name,
'flag'=&amp;gt;'Internal',
'classification_id'=&amp;gt; $class_id,
'module_id'=&amp;gt;$module_id,
'severity_id'=&amp;gt;$sevr_id,
'CHAR2'=&amp;gt;$ref_no,
'LONG1'=&amp;gt;$msn,
 );
&lt;/code&gt;&lt;/pre&gt;
</t>
  </si>
  <si>
    <t xml:space="preserve">&lt;p&gt;I am not able to fetch a max value from a number field in AppMaker. The field is filled with unique integers from 1 and up. In SQL I would have asked like this:&lt;/p&gt;
&lt;pre class="lang-sql prettyprint-override"&gt;&lt;code&gt;SET @tKey = (SELECT MAX(ID) FROM GiftCard);
&lt;/code&gt;&lt;/pre&gt;
&lt;p&gt;In AppMaker I have done the following (with a bit help from other contributors in this forum) until now, and it returns tKey = "NaN":&lt;/p&gt;
&lt;pre class="lang-javascript prettyprint-override"&gt;&lt;code&gt;var tKey = google.script.run.MaxID();
function MaxID() {
  var ID_START_FROM = 11000;
  var lock = LockService.getScriptLock();
  lock.waitLock(3000);
  var query = app.models.GiftCard.newQuery();
  query.sorting.ID._descending();
  query.limit = 1;
  var records = query.run();
  var next_id = records.length &amp;gt; 0 ? records[0].ID : ID_START_FROM;
  lock.releaseLock();
  return next_id;
}
&lt;/code&gt;&lt;/pre&gt;
&lt;p&gt;There is also a maxValue() function in AppMaker. However, it seems not to work in that way I use it. If maxvalue() is better to use, please show :-)&lt;/p&gt;
</t>
  </si>
  <si>
    <t xml:space="preserve">&lt;p&gt;I am learning a bit about​ ​App Maker, and I have seen the​ ​&lt;code&gt;Application Settings -&amp;gt; Security&lt;/code&gt;, which can be registered and assigned Roles to users. &lt;/p&gt;
&lt;p&gt;How to do this with script when registering a new user in my app?&lt;/p&gt;
&lt;p&gt;​​&lt;a href="https://i.stack.imgur.com/Ry9Vx.png" rel="nofollow noreferrer"&gt;&lt;img src="https://i.stack.imgur.com/Ry9Vx.png" alt="Fields"&gt;&lt;/a&gt;&lt;/p&gt;
</t>
  </si>
  <si>
    <t xml:space="preserve">&lt;p&gt;App Maker doesn't provide a way add/remove roles or add/remove users(group) to/from role in runtime. Out of the box you can manage user permissions in deployment settings (design time):
&lt;a href="https://developers.google.com/appmaker/security/secure-your-app#secure_deployments" rel="nofollow noreferrer"&gt;https://developers.google.com/appmaker/security/secure-your-app#secure_deployments&lt;/a&gt;&lt;/p&gt;
&lt;p&gt;However, you can associate App Maker Roles with User Groups and add remove members using Admin SDK &lt;a href="https://developers.google.com/appmaker/settings#advanced_google_services" rel="nofollow noreferrer"&gt;advanced service&lt;/a&gt;:&lt;/p&gt;
&lt;p&gt;&lt;a href="https://developers.google.com/apps-script/advanced/admin-sdk-directory#add_group_member" rel="nofollow noreferrer"&gt;https://developers.google.com/apps-script/advanced/admin-sdk-directory#add_group_member&lt;/a&gt;&lt;/p&gt;
&lt;pre class="lang-javascript prettyprint-override"&gt;&lt;code&gt;// Server script
function addGroupMember_() {
  var userEmail = 'liz@example.com';
  var groupEmail = 'bookclub@example.com';
  var member = {
    email: userEmail,
    role: 'MEMBER'
  };
  member = AdminDirectory.Members.insert(member, groupEmail);
}
&lt;/code&gt;&lt;/pre&gt;
&lt;p&gt;Be aware, that to run this code you'll need to &lt;a href="https://developers.google.com/appmaker/security/secure-your-app#run_an_app_as_the_user_or_developer" rel="nofollow noreferrer"&gt;run your app on developer's behalf&lt;/a&gt; (what has its pros and cons...).&lt;/p&gt;
</t>
  </si>
  <si>
    <t xml:space="preserve">&lt;p&gt;After the Alert how do I retrieve the files that were uploaded and send them to the Apex class?&lt;/p&gt;
&lt;p&gt;Also on the APEX class what is the input parameter type we use for receiving the file sent?&lt;/p&gt;
&lt;p&gt;Component Code&lt;/p&gt;
&lt;pre&gt;&lt;code&gt;&amp;lt;lightning:fileUpload label="Upload Multiple files" 
                               multiple="false" 
                              accept=".pdf, .png, .jpg"
                              recordId="{!v.recordId}"
                              aura:id="multipleUpload"
                             onuploadfinished="{!c.handleUploadFinished}" /&amp;gt;
&lt;/code&gt;&lt;/pre&gt;
&lt;p&gt;JScontroller&lt;/p&gt;
&lt;pre&gt;&lt;code&gt;({
    handleUploadFinished: function (component, event, helper) {
    // Get the list of uploaded files
    var uploadedFiles = event.getParam("files");
        alert("Files uploaded length  : " + uploadedFiles.length);
      }    
})
&lt;/code&gt;&lt;/pre&gt;
</t>
  </si>
  <si>
    <t xml:space="preserve">&lt;p&gt;This is how to save data to zoho crm api using laravel, the process of this is the data will be check before uploading to crm to avoid duplicate data on zoho crm.
public function importToZoho(){&lt;/p&gt;
&lt;pre&gt;&lt;code&gt;         $publicUser = User::withRole('User')-&amp;gt;get();
         $count = 1;
         $auth="YOUR TOKEN ID";
         //Insert Records to CRM     
         $xml =   '&amp;lt;?xml version="1.0" encoding="UTF-8"?&amp;gt;';
         $xml .=  '&amp;lt;Leads&amp;gt;'; 
         foreach($publicUser as $user){
                if(SohoUploaded::where('user_id', $user-&amp;gt;id)-&amp;gt;exists()){
                    echo "File Exists";
                }else{
                $uploadedZoho = new SohoUploaded();
                $uploadedZoho-&amp;gt;user_id = $user-&amp;gt;id;
                $uploadedZoho-&amp;gt;email = $user-&amp;gt;email;
                $uploadedZoho-&amp;gt;first_name = $user-&amp;gt;first_name;
                $uploadedZoho-&amp;gt;last_name = $user-&amp;gt;last_name;
                $uploadedZoho-&amp;gt;save();
               $xml .= '&amp;lt;row no="'.$count++.'"&amp;gt;';
                $xml .= '&amp;lt;FL val="Lead Owner"&amp;gt;Sales Shift&amp;lt;/FL&amp;gt;';
                $xml .= '&amp;lt;FL val="Company"&amp;gt;'.$user-&amp;gt;company.'&amp;lt;/FL&amp;gt;';
                $xml .= '&amp;lt;FL val="First Name"&amp;gt;'. $user-&amp;gt;first_name.'&amp;lt;/FL&amp;gt;';
                $xml .= '&amp;lt;FL val="Last Name"&amp;gt;'. $user-&amp;gt;last_name.'&amp;lt;/FL&amp;gt;';
                $xml .= '&amp;lt;FL val="Email"&amp;gt;'. $user-&amp;gt;email.'&amp;lt;/FL&amp;gt;';
                $xml .= '&amp;lt;FL val="Phone"&amp;gt;'. $user-&amp;gt;phone.'&amp;lt;/FL&amp;gt;';
                $xml .= '&amp;lt;/row&amp;gt;';
     }
             }      
            $xml .= '&amp;lt;/Leads&amp;gt;';                       
            $url ="https://crm.zoho.com/crm/private/xml/Leads/insertRecords?duplicateCheck=1&amp;amp;";
            $query="authtoken=".$auth."&amp;amp;scope=crmapi&amp;amp;xmlData=".$xml;
            $ch = curl_init();
            /* set url to send post request */
            curl_setopt($ch, CURLOPT_URL, $url);
            /* allow redirects */
            curl_setopt($ch, CURLOPT_FOLLOWLOCATION, 1);
            /* return a response into a variable */
            curl_setopt($ch, CURLOPT_RETURNTRANSFER, 1);
            /* times out after 30s */
            curl_setopt($ch, CURLOPT_TIMEOUT, 30);
            /* set POST method */
            curl_setopt($ch, CURLOPT_POST, 1);
            /* add POST fields parameters */
            curl_setopt($ch, CURLOPT_POSTFIELDS, $query);// Set the request as a POST FIELD for curl.
            //Execute cUrl session
            $response = curl_exec($ch);
            curl_close($ch);
         return redirect()-&amp;gt;to('/public-user')-&amp;gt;withSuccess('New leads uploaded to Zoho CRM');
}   
&lt;/code&gt;&lt;/pre&gt;
&lt;p&gt;Let me know if you have some question regarding this post, im happy to help.&lt;/p&gt;
</t>
  </si>
  <si>
    <t xml:space="preserve">&lt;p&gt;I'm receiving this error only while trying to open my application on mobile app. Other than that its working good on SharePoint and where i created it. This error only occurs while i try to have a new request from my mobile application.&lt;/p&gt;
&lt;p&gt;&lt;strong&gt;"Office365Users.Manager failed: The method 'Manager' has an invalid value for parameter 'userId'"  error only on Standalone Power App.&lt;/strong&gt;&lt;/p&gt;
</t>
  </si>
  <si>
    <t xml:space="preserve">&lt;p&gt;I have an R script that pulls data down from QuickBase in a .csv format using RCurl. Currently, when using the write.table function I just direct it to a local folder. I am wanting to write directly to an FTP Site that I believe is using SSL. I have a username and password and can connect using clients such as cyberduck after choosing the type of connection "FTP - SSL (Explict AUTH Over TLS)". &lt;/p&gt;
&lt;p&gt;I have tried just using the ftpUpload function but it refuses to let me to make the connection.&lt;/p&gt;
&lt;p&gt;Any help or advice on where to look next is appreciated. &lt;/p&gt;
</t>
  </si>
  <si>
    <t xml:space="preserve">&lt;p&gt;Integration: Active Collab - Zoho Projects&lt;br&gt;
I'm trying to create a new Time entry under a task in Zoho Projects, using the API.&lt;/p&gt;
&lt;p&gt;I've already synced up tasks and projects. But I'm having a hard time creating a time entry.
I've tried with php and with postman. On both ends I get the same error:   &lt;/p&gt;
&lt;pre&gt;&lt;code&gt;Response HTTP Status Code : 400
{"error":{"code":6500,"message":"General Error"}}
&lt;/code&gt;&lt;/pre&gt;
&lt;p&gt;Here's my request:&lt;/p&gt;
&lt;pre&gt;&lt;code&gt;$request_parameters = array(
                'authtoken'   =&amp;gt; 'APITOKEN',
                'date'        =&amp;gt; '02-20-2018',
                'bill_status' =&amp;gt; 'Billable',
                'hours'       =&amp;gt; '02:22'
);
&lt;/code&gt;&lt;/pre&gt;
&lt;p&gt;These are being passed as URL parameters.&lt;/p&gt;
&lt;p&gt;If I change any of the parameters the error code changes.&lt;br&gt;
I'm using the example provided in the Zoho Project &lt;a href="https://www.zoho.com/projects/help/rest-api/log-time.html#alink2" rel="nofollow noreferrer"&gt;documentation page&lt;/a&gt;:
Not sure what's up.&lt;/p&gt;
&lt;p&gt;Here's the request URL:&lt;/p&gt;
&lt;pre&gt;&lt;code&gt;https://projectsapi.zoho.com/restapi/portal/hidden_portal_id/projects/1167980000000355033/tasks/1167980000000355033/logs/?authtoken=hidden_api_token&amp;amp;date=02-20-2018&amp;amp;bill_status=Billable&amp;amp;hours=02%3A22
&lt;/code&gt;&lt;/pre&gt;
&lt;p&gt;&lt;a href="https://stackoverflow.com/questions/48881818/how-to-solve-zoho-project-api-general-error-6500"&gt;I've found a similar thread but could not figure it out based on that&lt;/a&gt;&lt;/p&gt;
&lt;p&gt;Thanks.
Here's the full code:&lt;/p&gt;
&lt;pre&gt;&lt;code&gt;/* Set the Request Url (without Parameters) here */
$request_url = 'https://projectsapi.zoho.com/restapi/portal/hidden_portal_id/projects/'.$endpoint;
$ch = curl_init();
curl_setopt($ch, CURLOPT_RETURNTRANSFER, TRUE);
$request_parameters = array(
        'authtoken'   =&amp;gt; 'hidden_api_key',
        'date'        =&amp;gt; '02-20-2018',
        'bill_status' =&amp;gt; 'Billable',
        'hours'       =&amp;gt; '02:22'
    );
curl_setopt($ch, CURLOPT_POST, TRUE);
curl_setopt($ch, CURLOPT_POSTFIELDS, http_build_query($request_parameters));
//I've added this line because I've found a similar error 6500 thread see the link above
$request_url .=  '?'. http_build_query($request_parameters);
/* Here you can set the Response Content Type */
curl_setopt($ch, CURLOPT_HTTPHEADER, array('Accept: application/json'));
/* Let's give the Request Url to Curl */
curl_setopt($ch, CURLOPT_URL, $request_url);
/* Allows Curl to connect to an API server through HTTPS */
curl_setopt($ch, CURLOPT_SSL_VERIFYPEER, false);
curl_setopt($ch, CURLOPT_HEADER, TRUE);
d($request_parameters,$request_url);
/* Let's get the Response ! */
$response = curl_exec($ch);
$response_info = curl_getinfo($ch);
/* Don't forget to close Curl */
curl_close($ch);
&lt;/code&gt;&lt;/pre&gt;
</t>
  </si>
  <si>
    <t xml:space="preserve">&lt;p&gt;I have an issue related to the data filtering. I have a Google Drive table to store data, and I want to show one field of this data source in a dropdown to make a filter by this field (Country).&lt;/p&gt;
&lt;p&gt;&lt;a href="https://i.stack.imgur.com/623ga.png" rel="nofollow noreferrer"&gt;&lt;img src="https://i.stack.imgur.com/623ga.png" alt="Field"&gt;&lt;/a&gt;&lt;/p&gt;
&lt;p&gt;&lt;a href="https://i.stack.imgur.com/TEcJo.png" rel="nofollow noreferrer"&gt;&lt;img src="https://i.stack.imgur.com/TEcJo.png" alt="Dropdown filter"&gt;&lt;/a&gt;&lt;/p&gt;
&lt;p&gt;The problem is that this dropdown filter it's only showing the countries that appears on the current page of the list. For example, if in the first page appears one country (Thailand) on the dropdown I'll only see Thailand. &lt;/p&gt;
&lt;p&gt;&lt;a href="https://i.stack.imgur.com/WlBtA.png" rel="nofollow noreferrer"&gt;&lt;img src="https://i.stack.imgur.com/WlBtA.png" alt="example"&gt;&lt;/a&gt;&lt;/p&gt;
&lt;p&gt;If we move to the second page of the list we have another two countries (Spain and Portugal) and then the dropdown will only show Spain and Portugal. 
What I really want is a dropdown which shows all the countries, no matter if they aren't on the current page, but I don't know how to fix it. ​&lt;/p&gt;
&lt;p&gt;​This the the configuration of the Country Selector:&lt;/p&gt;
&lt;p&gt;&lt;a href="https://i.stack.imgur.com/W8F2h.png" rel="nofollow noreferrer"&gt;&lt;img src="https://i.stack.imgur.com/W8F2h.png" alt="example4"&gt;&lt;/a&gt;&lt;/p&gt;
&lt;p&gt;In the help, it's said we should use &lt;code&gt;@datasource.model.fields.COUNTRY.possibleValues&lt;/code&gt;,
but if I use this paramater as Options, nothing is displayed in the selector.&lt;/p&gt;
&lt;p&gt;&lt;a href="https://i.stack.imgur.com/mfpin.png" rel="nofollow noreferrer"&gt;&lt;img src="https://i.stack.imgur.com/mfpin.png" alt="Appmaker Help"&gt;&lt;/a&gt;&lt;/p&gt;
&lt;p&gt;I have spend a lot of hours trying to fix this issue and I don't find the solution, and I would like to check with you if it's an issue or I'm doing something wrong...&lt;/p&gt;
&lt;p&gt;Could you help me?&lt;/p&gt;
</t>
  </si>
  <si>
    <t xml:space="preserve">&lt;p&gt;You are using the same datasource for your dropdown and table and by &lt;code&gt;#distinct()#sort()&lt;/code&gt; you are filtering items that are already loaded to browser (opposed to the whole dataset stored in database).&lt;/p&gt;
&lt;p&gt;You need to have a separate datasource for your dropdown. There are at least three techniques to do this:&lt;/p&gt;
&lt;p&gt;&lt;strong&gt;Possible values&lt;/strong&gt;&lt;/p&gt;
&lt;p&gt;You can predefine &lt;a href="https://developers.google.com/appmaker/models/fields#use_default_values" rel="noreferrer"&gt;allowed values&lt;/a&gt; for your &lt;code&gt;Country&lt;/code&gt; field and use them to populate drop down options both in create form and table filtering &lt;code&gt;@datasource.model.fields.Country.possibleValues&lt;/code&gt; as you mentioned in question:
&lt;a href="https://i.stack.imgur.com/k0fOb.png" rel="noreferrer"&gt;&lt;img src="https://i.stack.imgur.com/k0fOb.png" alt="Possible values"&gt;&lt;/a&gt;&lt;/p&gt;
&lt;p&gt;&lt;strong&gt;Create model for countries&lt;/strong&gt;&lt;/p&gt;
&lt;p&gt;By introducing dedicated &lt;a href="https://developers.google.com/appmaker/models/relations" rel="noreferrer"&gt;related model&lt;/a&gt; for countries you can get the following benefits:&lt;/p&gt;
&lt;ul&gt;
&lt;li&gt;normalized data (you will not store the same country multiple times)&lt;/li&gt;
&lt;li&gt;you'll be able to keep your countries list clean (with current approach there is possibility to have the same country with different spellings like 'US', 'USA', 'United State', etc)&lt;/li&gt;
&lt;li&gt;app users when they create new records will be able to choose the country they need from dropdown (opposed to error prone typing it every time for all new records).&lt;/li&gt;
&lt;li&gt;your dropdown bindings will be as simple as these:&lt;/li&gt;
&lt;/ul&gt;
&lt;pre class="lang-javascript prettyprint-override"&gt;&lt;code&gt;// for names
@datasources.Countries.items..Names
// for options
@datasources.Countries.items.._key
// for value
@datasource.query.filters.Country._key._equals
&lt;/code&gt;&lt;/pre&gt;
&lt;p&gt;&lt;strong&gt;Create Calculated Model&lt;/strong&gt;&lt;/p&gt;
&lt;p&gt;With &lt;a href="https://developers.google.com/appmaker/models/calculated" rel="noreferrer"&gt;Calculated Model&lt;/a&gt; you'll be able to squeeze unique country values from your table. You server query script can look similar to this:&lt;/p&gt;
&lt;pre class="lang-javascript prettyprint-override"&gt;&lt;code&gt;function getUniqueCountries_() {
  var consumptions = app.models.Consumption.newQuery().run();
  var countries = [];
  consumptions.reduce(function (allCountries, consumption) {
    if (!allCountries[consumption.Country]) {
      var country = app.models.CountryCalc.newRecord();
      country.Name = consumption.Country;
      countries.push(country);
      allCountries[consumption.Country] = true;
    }
  }, {});
  return countries;
}
&lt;/code&gt;&lt;/pre&gt;
&lt;p&gt;However with growth of your Consumption table it can give you significant performance overhead. In this case I would rather look into direction of &lt;a href="https://developers.google.com/appmaker/models/cloudsql" rel="noreferrer"&gt;Cloud SQL&lt;/a&gt; and &lt;a href="https://developers.google.com/appmaker/models/cloudsql#sql_calculated_model" rel="noreferrer"&gt;Calculated SQL model&lt;/a&gt;.&lt;/p&gt;
&lt;p&gt;&lt;strong&gt;Note:&lt;/strong&gt;&lt;/p&gt;
&lt;p&gt;I gave a pretty broad answer that also covers similar situations when number of field options can be unlimited (opposed to limited countries number).&lt;/p&gt;
</t>
  </si>
  <si>
    <t xml:space="preserve">&lt;p&gt;Clause to follow is, I have provision to use LEFT or RIGHT OR INNER JOIN and GROUP_CONTACT only. &lt;/p&gt;
&lt;p&gt;I have two tables as follows: &lt;/p&gt;
&lt;p&gt;Collections table:&lt;/p&gt;
&lt;pre&gt;&lt;code&gt;LoanID  Transacction-Date   Amount
12345   05/02/17             500
12345   06/02/17             1000
&lt;/code&gt;&lt;/pre&gt;
&lt;p&gt;OverdueClollection Table:&lt;/p&gt;
&lt;pre&gt;&lt;code&gt;LoanID  Transaction-Date  Amount
12345   07/02/17          250
12345   09/02/17          900
&lt;/code&gt;&lt;/pre&gt;
&lt;p&gt;If I join them with the following query suppose,&lt;/p&gt;
&lt;pre&gt;&lt;code&gt;SELECT
     c.LoanID,
     date(c.TransactionDate),
     date(d.TransactionDate),
     c.Amount,
     d.Amount FROM Collections c LEFT JOIN Overduecollection d ON c.LoanID  = d.LoanID
&lt;/code&gt;&lt;/pre&gt;
&lt;p&gt;I am getting the following results &lt;/p&gt;
&lt;pre&gt;&lt;code&gt;c.LoanID c.TransactionDate  d.TransactionDate   c.Amount   d.Amount
12345     05 Feb, 2018     09 Feb, 2018         500.0      900.0
12345     05 Feb, 2018     07 Feb, 2018         500.0      250.0
12345     06 Jan, 2018     09 Feb, 2018         1000.0     900.0
12345     06 Jan, 2018     07 Feb, 2018         1000.0     250.0
&lt;/code&gt;&lt;/pre&gt;
&lt;p&gt;But I need the results as follows:&lt;/p&gt;
&lt;pre&gt;&lt;code&gt;c.LoanID c.TransactionDate) d.TransactionDate   c.Amount    d.Amount
12345    05 Feb, 2018                            500.0  
12345                       09 Feb, 2018                    250.0
12345    06 Jan, 2018                           1000.0  
12345                       07 Feb, 2018                    900.0
&lt;/code&gt;&lt;/pre&gt;
&lt;p&gt;is it possible by considering the above clause? if so what is the way it needs to be done? or other best way to implement this?&lt;/p&gt;
</t>
  </si>
  <si>
    <t xml:space="preserve">&lt;p&gt;My probleme is the postgre connector on powerApps doesnt allow to connect to an online server . Its mandatory to select a gateway and to create a gateway , but you have to do it in local (see the screenshot)  ? &lt;/p&gt;
&lt;p&gt;I create a gateway on the &lt;code&gt;azure portal&lt;/code&gt; and it doesnt appaer on the select option in powerapps. The only gateway who appear are the one on my local computer.
How can I create a connction between powerApps to my Azure PostGre database ?&lt;/p&gt;
&lt;p&gt;I have try to use the SQL dataBase connector which allow us to use a cloud server but that doesnt work easer because it said the server doesnt exist or isn't found .&lt;/p&gt;
&lt;p&gt;The screenshot of Postgres connector in PowerApps&lt;/p&gt;
&lt;p&gt;&lt;a href="https://i.stack.imgur.com/dOohc.png" rel="nofollow noreferrer"&gt;&lt;img src="https://i.stack.imgur.com/dOohc.png" alt="enter image description here"&gt;&lt;/a&gt;&lt;/p&gt;
</t>
  </si>
  <si>
    <t xml:space="preserve">&lt;p&gt;(reposting answer from MSDN Forums)&lt;/p&gt;
&lt;p&gt;That is correct -- you need a Gateway to use the PostgreSQL connector today in PowerApps.  The reason we need a Gateway is because we need the user to install the PostgreSQL client for the connector to work.  We need some work to update our documentation to explain this requirement better.  PostgreSQL client: &lt;a href="https://github.com/npgsql/Npgsql/releases" rel="nofollow noreferrer"&gt;https://github.com/npgsql/Npgsql/releases&lt;/a&gt; &lt;/p&gt;
&lt;p&gt;To understand more on PowerApps Gateway requirements, you can see this article here: &lt;a href="https://docs.microsoft.com/en-us/powerapps/gateway-management" rel="nofollow noreferrer"&gt;https://docs.microsoft.com/en-us/powerapps/gateway-management&lt;/a&gt;&lt;/p&gt;
&lt;p&gt;This article explains the on-premise Gateway in detail: &lt;a href="https://docs.microsoft.com/en-us/powerapps/gateway-reference" rel="nofollow noreferrer"&gt;https://docs.microsoft.com/en-us/powerapps/gateway-reference&lt;/a&gt;&lt;/p&gt;
&lt;p&gt;Also, for any PowerApps specific question, please feel free to leverage PowerApps community here: &lt;a href="https://powerusers.microsoft.com/t5/PowerApps-Community/ct-p/PowerApps1" rel="nofollow noreferrer"&gt;https://powerusers.microsoft.com/t5/PowerApps-Community/ct-p/PowerApps1&lt;/a&gt;&lt;/p&gt;
</t>
  </si>
  <si>
    <t xml:space="preserve">&lt;p&gt;Is it possible to have the favicon from Resources show on mobile devices when you save the app URL on the Welcome screen? All that's shown is the "&lt;em&gt;G&lt;/em&gt;" from "&lt;em&gt;Google&lt;/em&gt;":&lt;/p&gt;
&lt;p&gt;&lt;img src="https://i.stack.imgur.com/VwzPq.jpg" alt=""&gt;&lt;/p&gt;
&lt;p&gt;It is fine though on the computer version of Google Chrome:&lt;/p&gt;
&lt;p&gt;&lt;img src="https://i.stack.imgur.com/Scj3e.jpg" alt=""&gt;&lt;/p&gt;
&lt;p&gt;I've tried the PNG and ICO file type and didn't work. &lt;/p&gt;
&lt;p&gt;I use the Resources tab of the Google App Maker to insert the image:&lt;/p&gt;
&lt;p&gt;&lt;img src="https://i.stack.imgur.com/puapm.jpg" alt=""&gt;&lt;/p&gt;
</t>
  </si>
  <si>
    <t xml:space="preserve">&lt;p&gt;Is there a rereference example for salesforce and Amazon SNS Integration ?&lt;/p&gt;
</t>
  </si>
  <si>
    <t xml:space="preserve">&lt;p&gt;I have three tables as follows: &lt;/p&gt;
&lt;p&gt;LoanMaster Table            &lt;/p&gt;
&lt;pre&gt;&lt;code&gt;LoanID  BranchName  DisbursementDate  DisbursementAmount
12345   H1          01-01-18          25000
12346   A1          05-01-18          20000
12347   M1          06-02-18          16000
&lt;/code&gt;&lt;/pre&gt;
&lt;p&gt;Collection Table    &lt;/p&gt;
&lt;pre&gt;&lt;code&gt;LoanID  TransactionDate Amount
12345   05-02-18        500
12346   06-02-18        600
&lt;/code&gt;&lt;/pre&gt;
&lt;p&gt;OverdueCollection Table&lt;/p&gt;
&lt;pre&gt;&lt;code&gt;LoanID  TransactionDate Amount
12345   05-02-18    200
12346   07-02-18    300
&lt;/code&gt;&lt;/pre&gt;
&lt;p&gt;Required Output     &lt;/p&gt;
&lt;pre&gt;&lt;code&gt;LoanID  BranchName  TransactionDate Collection Amount   Overdue Amount  
12345   H1          05-02-18        500                 200 
12346   A1          06-02-18        600                 NULL    
12346   A1          07-02-18        NULL                300 
12347   M1          NULL            NULL                NULL    
&lt;/code&gt;&lt;/pre&gt;
&lt;p&gt;i have applied the following two queries to get the two tables join&lt;/p&gt;
&lt;p&gt;"QRY_Test2": &lt;/p&gt;
&lt;pre&gt;&lt;code&gt;SELECT   c.LoanID LoanID, date(c.TransactionDate) TransDate, (c.Amount) Amt,
         d.Amount = NULL FROM  Collection c 
UNION
SELECT  d.LoanID LoanID, date(d.TransactionDate) TransDate, c.Amount = NULL,
         (d.Amount) as Amt FROM  Overdue Amount d 
&lt;/code&gt;&lt;/pre&gt;
&lt;p&gt;and then group by to get the unique results, Named finalTable:&lt;/p&gt;
&lt;pre&gt;&lt;code&gt;SELECT LoanID, TransDate, sum("Amount"), sum("Amt") FROM  "QRY_Test2"
GROUP BY LoanID, TransDate 
&lt;/code&gt;&lt;/pre&gt;
&lt;p&gt;then i get the following result: &lt;/p&gt;
&lt;pre&gt;&lt;code&gt;LoanID  TransactionDate Collection Amount   Overdue Amount  
12345   05-02-18        500                 200 
12346   06-02-18        600                 NULL    
12346   07-02-18        NULL                300 
&lt;/code&gt;&lt;/pre&gt;
&lt;p&gt;Then if i apply the left join with LoanMaster, I get no results: &lt;/p&gt;
&lt;pre&gt;&lt;code&gt;Select LoanID, BranchName, TransactionDate, CollectionAmount, OverdueAmount from LoanMaster lm LEFT JOIN on FinalTable f lm.LoanID = f.loanid
&lt;/code&gt;&lt;/pre&gt;
&lt;p&gt;Just wanted to understand what is the issue and i need the above mentioned required output. &lt;/p&gt;
</t>
  </si>
  <si>
    <t xml:space="preserve">&lt;p&gt;The challenge here is in generating a table which contains the collection and overdue amounts, for a given day and loan, in a single record.  We can take a union of the &lt;code&gt;Collection&lt;/code&gt; and &lt;code&gt;OverdueCollection&lt;/code&gt; tables, and then pivot by loan and date.  Then, just left join the loan master table to this subquery.&lt;/p&gt;
&lt;pre&gt;&lt;code&gt;SELECT
    lm.LoanID,
    lm.BranchName,
    t.TransactionDate,
    t.CollectionAmount,
    t.OverdueAmount
FROM LoanMaster lm
LEFT JOIN
(
    SELECT LoanID, TransactionDate,
        MAX(CASE WHEN type = 1 THEN Amount END) AS CollectionAmount,
        MAX(CASE WHEN type = 2 THEN Amount END) AS OverdueAmount
    FROM
    (
        SELECT LoanID, TransactionDate, Amount, 1 AS type
        FROM Collection
        UNION ALL
        SELECT LoanID, TransactionDate, Amount, 2
        FROM OverdueCollection
    ) t
    GROUP BY
        LoanID, TransactionDate
) t
    ON lm.LoanID = t.LoanID;
&lt;/code&gt;&lt;/pre&gt;
</t>
  </si>
  <si>
    <t xml:space="preserve">&lt;p&gt;I have a simple panel that includes a form and a table.  All data but one column in the table are entered.  The values in the non-entry column are calculated.  How do I get the table to refresh itself when after I run a server side script to calculate a new value to show updated table?&lt;/p&gt;
</t>
  </si>
  <si>
    <t xml:space="preserve">&lt;p&gt;I am trying to do Zoho CRM integration with my chatbot written in python. But I have to enter the values to the xml fields manually, and am not able to set them to variables. Here is the code xml data code, please check it out. &lt;/p&gt;
&lt;p&gt;I want to automate insertion of records, hence the assigning of variables to xml data which was taken as input from the user. 
Code: &lt;/p&gt;
&lt;pre&gt;&lt;code&gt;authtoken = '################'
params = {'authtoken': authtoken, 'scope': 'crmapi', 'newFormat': '1', 'xmlData': '&amp;lt;Contacts&amp;gt;'
    '&amp;lt;row no="1"&amp;gt;'
    '&amp;lt;FL val="First Name"&amp;gt;name&amp;lt;/FL&amp;gt;'
    '&amp;lt;FL val="Last Name"&amp;gt;ww&amp;lt;/FL&amp;gt;'
    '&amp;lt;FL val="Email"&amp;gt;test@test.com&amp;lt;/FL&amp;gt;'
    '&amp;lt;FL val="Department"&amp;gt;CG&amp;lt;/FL&amp;gt;'
    '&amp;lt;FL val="Phone"&amp;gt;999999999&amp;lt;/FL&amp;gt;'
    '&amp;lt;FL val="Fax"&amp;gt;99999999&amp;lt;/FL&amp;gt;'
    '&amp;lt;FL val="Mobile"&amp;gt;999825488&amp;lt;/FL&amp;gt;'
    '&amp;lt;FL val="Assistant"&amp;gt;John&amp;lt;/FL&amp;gt;'
    '&amp;lt;/row&amp;gt;'
    '&amp;lt;/Contacts&amp;gt;'
final_URL = "https://crm.zoho.com/crm/private/xml/Contacts/insertRecords"
data = urllib.parse.urlencode(params).encode("utf-8")
request = urllib.request.Request(final_URL, data)
response = urllib.request.urlopen(request)
xml_response = response.read()
print(xml_response)
&lt;/code&gt;&lt;/pre&gt;
</t>
  </si>
  <si>
    <t xml:space="preserve">&lt;p&gt;Below is the code for the custom button. The objective is to store different gender and rating for different button:&lt;/p&gt;
&lt;pre&gt;&lt;code&gt;var gender='Ladies';
var rating='Good';
setRating(gender, rating);
&lt;/code&gt;&lt;/pre&gt;
&lt;p&gt;The method implementation for setRating(gender, rating) is wrote on the client script as follow. The objective is to tell browser javascript to activate sendRating(gender, rating) function.&lt;/p&gt;
&lt;pre&gt;&lt;code&gt;function setRating(gender, rating){
  google.script.run
   .withFailureHandler(function(error) {
      // An error occurred, so display an error message.
      status.text = error.message;
    })
  .withSuccessHandler(function(result) {
     // Report that the email was sent.
     status.text = 'Thank you for the feedback';
   })
 .sendRating(gender, rating);
}
&lt;/code&gt;&lt;/pre&gt;
&lt;p&gt;Below is the sendRating(gender, rating) implementation wrote on the server script. The objective is to tell AppMaker javascript to activate .saveRecords API to save the gender and rating records to the datasource called ToiletRating. The datasource contain field such as 'Gender' and 'Rating'.&lt;/p&gt;
&lt;pre&gt;&lt;code&gt;function sendRating(gender, rating){
  var db = app.models.ToiletaRating.newRecord();
  person.Gender = gender;
  person.Rating = rating;
  app.saveRecord([db]);
}
&lt;/code&gt;&lt;/pre&gt;
&lt;p&gt;Can you help me why I get this error saying that newRecord method is undefined while I have declare it in the Server script line no. 3 .&lt;/p&gt;
&lt;pre&gt;&lt;code&gt;E
Wed Feb 28 09:47:42 GMT+800 2018
TypeError: Cannot call method "newRecord" of undefined. at sendRating (NewScript:3)
&lt;/code&gt;&lt;/pre&gt;
</t>
  </si>
  <si>
    <t xml:space="preserve">&lt;p&gt;It seems that you have a typo in your script (Toileta vs Toilet):&lt;/p&gt;
&lt;pre class="lang-javascript prettyprint-override"&gt;&lt;code&gt;// your version with typo
var db = app.models.ToiletaRating.newRecord();
// version without typo
var db = app.models.ToiletRating.newRecord();
&lt;/code&gt;&lt;/pre&gt;
&lt;p&gt;But your script will fail even if you fix the typo. You need to use the variable you defined to make things work:&lt;/p&gt;
&lt;pre class="lang-javascript prettyprint-override"&gt;&lt;code&gt;function sendRating(gender, rating) {
  // define variable
  var newRecord = app.models.ToiletRating.newRecord();
  // use variable
  newRecord.Gender = gender;
  newRecord.Rating = rating;
  // Note that in original script you have one more typo: 
  // app.saveRecord vs app.saveRecords
  app.saveRecords([newRecord]);
}
&lt;/code&gt;&lt;/pre&gt;
&lt;p&gt;Also keep in mind, that you can improve this script further:&lt;/p&gt;
&lt;ul&gt;
&lt;li&gt;Associate ratings with users to prevent adding multiple ratings from the same people&lt;/li&gt;
&lt;li&gt;Add permission checks to prevent users adding ratings on behalf of other users&lt;/li&gt;
&lt;li&gt;...&lt;/li&gt;
&lt;/ul&gt;
&lt;p&gt;Take a look at &lt;a href="https://developers.google.com/appmaker/templates/vendor-ratings/" rel="nofollow noreferrer"&gt;Vendor Ratings&lt;/a&gt; and &lt;a href="https://developers.google.com/appmaker/templates/qa-forum/" rel="nofollow noreferrer"&gt;Q&amp;amp;A Forum&lt;/a&gt; templates, they have very similar functionality&lt;/p&gt;
</t>
  </si>
  <si>
    <t xml:space="preserve">&lt;p&gt;I have deployed my app from app maker and when I have my client access the app through the URL I get once I publish it, the client cannot use the app for its intended purpose. &lt;/p&gt;
&lt;p&gt;The app is suppose to take calendar events from their Google calendar when given a specified date, and create folders and documents in the clients google Drive. But when the client uses the UI, nothing happens. I'm not sure if its a permission issue but I have tried giving admin access to clients so they can access/edit any data in the app so I am not sure why the client app does not do anything.&lt;/p&gt;
</t>
  </si>
  <si>
    <t xml:space="preserve">&lt;p&gt;Does anyone know how we can &lt;strong&gt;generate report&lt;/strong&gt; from data in &lt;strong&gt;datasource&lt;/strong&gt; in Google AppMaker &lt;strong&gt;automatically&lt;/strong&gt; (&lt;em&gt;e.g generate report at 12a.m.&lt;/em&gt;) instead of manually click export data in deployments every time user need the report. &lt;/p&gt;
&lt;p&gt;I have seen something similar on &lt;a href="https://stackoverflow.com/q/43642384/9426876"&gt;Exporting data out of Google AppMaker&lt;/a&gt; but also no one tried to answer that.&lt;/p&gt;
&lt;p&gt;Really appreciate if there is anyone who know how to solve this :)&lt;/p&gt;
</t>
  </si>
  <si>
    <t xml:space="preserve">&lt;p&gt;This can be achieved by using &lt;a href="https://developers.google.com/apps-script/guides/triggers/installable" rel="nofollow noreferrer"&gt;Installable Triggers&lt;/a&gt;.&lt;/p&gt;
&lt;p&gt;Say for example, you have a model with students data that has three fields; name(string), age(number) and grade(number). On the server script you can write something like this:&lt;/p&gt;
&lt;pre&gt;&lt;code&gt;//define function to do the data export
function dataExport() {
  //create sheet to populate data
  var fileName = "Students List " + new Date(); //define file name
  var newExport = SpreadsheetApp.create(fileName); // create new spreadsheet
  var header = ["Name", "Age", "Grade"]; //define header
  newExport.appendRow(header); // append header to spreadsheet
  //get all students records
  var ds = app.models.students.newQuery();
  var allStudents = ds.run();
  for(var i=0; i&amp;lt; allStudents.length; i++) {
    //get each student data
    var student = allStudents[i];
    var studentName = student.name;
    var studentAge = student.age;
    var studentGrade = student.grade;
    var newRow = [studentName, studentAge, studentGrade]; //save studen data in a row
    newExport.appendRow(newRow); //append student data row to spreadsheet
  }
  console.log("Finished Exporting Student Data");
}
//invoke function to set up the auto export
function exportData(){
  //check if there is an existing trigger for this process
  var existingTrigger = PropertiesService.getScriptProperties().getProperty("autoExportTrigger");
  //if the trigger already exists, inform user about it
  if(existingTrigger) {
    return "Auto export is already set"; 
  } else { // if the trigger does not exists, continue to set the trigger to auto export data
    //runs the script every day at 1am on the time zone specified
    var newTrigger = ScriptApp.newTrigger('dataExport')
    .timeBased()
    .atHour(1)
    .everyDays(1)
    .inTimezone("America/Chicago")
    .create();
    var triggerId = newTrigger.getUniqueId(); 
    if(triggerId) {
      PropertiesService.getScriptProperties().setProperty("autoExportTrigger", triggerId);
      return "Auto export has been set successfully!";
    } else {
      return "Failed to set auto export. Try again please"; 
    }
  }
}
&lt;/code&gt;&lt;/pre&gt;
&lt;p&gt;Then, to delete/stop the auto export, in case you need to, you can write the following on the server script too:&lt;/p&gt;
&lt;pre&gt;&lt;code&gt;function deleteTrigger() {
  //get the current auto export trigger id
  var triggerId = PropertiesService.getScriptProperties().getProperty("autoExportTrigger");
  //get all triggers
  var allTriggers = ScriptApp.getProjectTriggers();
  //loop over all triggers.
  for (var i = 0; i &amp;lt; allTriggers.length; i++) {
    // If the current trigger is the correct one, delete it.
    if (allTriggers[i].getUniqueId() === triggerId) {
      ScriptApp.deleteTrigger(allTriggers[i]);
      break;
      //else delete all the triggers found  
    } else {
      ScriptApp.deleteTrigger(allTriggers[i]);
    }
  }
  PropertiesService.getScriptProperties().deleteProperty("autoExportTrigger");
  return "Auto export has been cancelled";
}
&lt;/code&gt;&lt;/pre&gt;
&lt;ul&gt;
&lt;li&gt;You can check the demo app &lt;a href="https://drive.google.com/open?id=17o7JCtzgDqOW8ujTDeKspHrhLVRAQG7L" rel="nofollow noreferrer"&gt;right here&lt;/a&gt;. &lt;/li&gt;
&lt;li&gt;The reference to the script properties service &lt;a href="https://developers.google.com/apps-script/reference/properties/properties-service#getScriptProperties()" rel="nofollow noreferrer"&gt;is here&lt;/a&gt;. &lt;/li&gt;
&lt;li&gt;The reference to the Time Zones list &lt;a href="https://en.wikipedia.org/wiki/List_of_tz_database_time_zones" rel="nofollow noreferrer"&gt;is here&lt;/a&gt;.&lt;/li&gt;
&lt;/ul&gt;
&lt;p&gt;I hope this helps!&lt;/p&gt;
</t>
  </si>
  <si>
    <t xml:space="preserve">&lt;p&gt;I have a table as follows, in which there is a 'ODType' column, This column states that a transaction is Due (D) or Collection-ed (C) amount. From this i need to find out overdue start date and overdue amount for each loan. &lt;/p&gt;
&lt;pre&gt;&lt;code&gt;LoanID  OverDueDate TotalAmount ODType
12345   01/10/17    1000        D
12345   01/11/17    500         C
12345   03/12/17    1000        D 
12346   01/10/17    1500        D
12346   01/11/17    500         C
12346   03/12/17    1000        C
12346   01/01/18    2000        D
12346   01/02/18    1000        C
&lt;/code&gt;&lt;/pre&gt;
&lt;p&gt;Examples Scenarios: &lt;/p&gt;
&lt;ul&gt;
&lt;li&gt;if we take LoanID 12345, The Overdue start date is: 01/10/2017 and
overdue Amount is: 1500 &lt;/li&gt;
&lt;li&gt;if we take LoanID 12346, The Overdue start date is:
01/01/2018 and overdue Amount is: 1000&lt;/li&gt;
&lt;/ul&gt;
&lt;p&gt;I am able to get the overdue amounts for each loanId, but not sure how to get the Overdue start date. i did it with the following query: &lt;/p&gt;
&lt;pre&gt;&lt;code&gt;SELECT t.LoanID, (t."DemandAmount" -t."CollectionAmount") Overdue 
FROM (SELECT
         LoanID,
         MAX(CASE
                 WHEN ODType  = 'D' THEN ("TotalAmount")
             END) AS DemandAmount,
         MAX(CASE
                 WHEN (ODType  = 'C') THEN ("TotalAmount")
             END) AS CollectionAmount
FROM  TXN_OverdueCollection GROUP BY  LoanID ) t 
&lt;/code&gt;&lt;/pre&gt;
&lt;p&gt;How to find out the overdue start date, what is the additional criteria i need to add to get it apart from the overdue amount. Or do i need to change the query completely to get both Overdue start date and overdue amounts.&lt;/p&gt;
&lt;p&gt;&lt;strong&gt;UPDATE:&lt;/strong&gt; 
&lt;em&gt;Overdue Amount and Overdue start date calculation information as follows:&lt;/em&gt; &lt;/p&gt;
&lt;ul&gt;
&lt;li&gt;&lt;p&gt;The Overdue amount comes by SUM Of Dues(D) minus SUM Of Collections (C). &lt;/p&gt;&lt;/li&gt;
&lt;li&gt;&lt;p&gt;Suppose if we take the LoanID 12345, Sum of D (Dues) is 2000 and the
C (Collection) is 500 only so 2000 - 500 = 1500 is the due and since
it does not fulfill the 01/10/2017 full payment, the overdue start
date is 01/10/2017 only.&lt;/p&gt;&lt;/li&gt;
&lt;li&gt;Suppose if we take the LoanID 12346, Sum of D(Dues) is 3500 and the C
(Collection) is 2500, So the overdue amount is 3500 - 2500 = 1000 and
overdue start date is 01/01/18, as it did not fulfill that dates due
yet.&lt;/li&gt;
&lt;/ul&gt;
&lt;p&gt;&lt;strong&gt;Note&lt;/strong&gt;:
This needs to be achived with simple JOIN OR LEFT OR RIGHT or Inner JOIN queries. Does not work with Partition, LAG, OVER and row_Number keywords which means these built in functions are not available to write the query.&lt;/p&gt;
&lt;p&gt;Appreciate any help.&lt;/p&gt;
</t>
  </si>
  <si>
    <t xml:space="preserve">&lt;p&gt;I am playing around with the lightning implementation from &lt;a href="https://github.com/ElementsProject/lightning" rel="nofollow noreferrer"&gt;https://github.com/ElementsProject/lightning&lt;/a&gt; and after the following steps the cli-client cannot list funds which I deposited at the generated address from the internal wallet&lt;/p&gt;
&lt;ol&gt;
&lt;li&gt;I installed bitcoind-0.16 and fully synced the mainnet-blockchain&lt;/li&gt;
&lt;li&gt;I installed c-lightning and synced with the local full node&lt;/li&gt;
&lt;li&gt;I generated a new address with &lt;code&gt;./lightning-cli newaddr&lt;/code&gt;&lt;/li&gt;
&lt;li&gt;I funded this address from my Electrum wallet (not from the local node wallet) and saw the incoming transaction with &lt;code&gt;./lightning-cli listfunds&lt;/code&gt;&lt;/li&gt;
&lt;li&gt;Then I accidentally deleted the file &lt;code&gt;.lightning/lightningd.sqlite3&lt;/code&gt;&lt;/li&gt;
&lt;li&gt;After restart the lightningd recreated the file but now &lt;code&gt;./lightning-cli listfunds&lt;/code&gt; is showing empty results but the funds have to be there because the funding transaction is visible in the blockchain.&lt;/li&gt;
&lt;/ol&gt;
&lt;p&gt;I investigated &lt;code&gt;./lightning-cli dev-listaddrs&lt;/code&gt; which shows all addresses of the internal wallet and there is my funding address. So I think I need to re-sync the lightningd with the bitcoin blockchain, but a &lt;code&gt;./lightning-cli dev-rescan-outputs&lt;/code&gt; had no success.&lt;/p&gt;
&lt;p&gt;What can I do to be able to see and spend the funds again? Or, how can I get the seed/private key of the internal (lightning) wallet?&lt;/p&gt;
</t>
  </si>
  <si>
    <t xml:space="preserve">&lt;p&gt;A perfect answer was given from a c-lightning member here: &lt;a href="https://github.com/ElementsProject/lightning/issues/1170" rel="nofollow noreferrer"&gt;https://github.com/ElementsProject/lightning/issues/1170&lt;/a&gt;&lt;/p&gt;
&lt;p&gt;In case the link dies:&lt;/p&gt;
&lt;blockquote&gt;
  &lt;p&gt;Well, the short answer is do not delete the db, that will end up losing funds, just like deleting the wallet.dat would in bitcoind.&lt;/p&gt;
  &lt;p&gt;The long answer is, use newaddr to regenerate all addresses you had (it's ok to call it a few times too many). Then stop lightningd, open lightningd.sqlite3 and tell it to scan from an earlier block:&lt;/p&gt;
  &lt;p&gt;sqlite3 $HOME/.lightning/lightningd.sqlite3 "UPDATE vars SET val= 500000 WHERE name='last_processed_block';"&lt;/p&gt;
  &lt;p&gt;Then restart lightningd and it should start scanning the blocks from height 500'000 (which will take quite some time).&lt;/p&gt;
  &lt;p&gt;Notice that this only works as long as you don't have channels open, since in that case you're no longer the sole owner of the funds. So never delete the DB!&lt;/p&gt;
&lt;/blockquote&gt;
</t>
  </si>
  <si>
    <t xml:space="preserve">&lt;p&gt;I am currently working on setting up an input form in Google App Maker.&lt;/p&gt;
&lt;p&gt;Some of the textboxes require an input and therefore the labels are tagged with an asterisk (*) when drag them to the page, e.g. "Birthday *".&lt;/p&gt;
&lt;p&gt;But when I drag the textboxes into a panel in order to rearrange them, the asterisk keeps disappearing. How can make the asterisk appear again?&lt;/p&gt;
</t>
  </si>
  <si>
    <t xml:space="preserve">&lt;p&gt;&lt;strong&gt;Why it happens?&lt;/strong&gt;&lt;/p&gt;
&lt;p&gt;Once you drop a form on a page App Maker will add the following CSS classes to form's widgets:&lt;/p&gt;
&lt;ul&gt;
&lt;li&gt;&lt;code&gt;app-FormBody&lt;/code&gt; for the inner form panel&lt;/li&gt;
&lt;li&gt;&lt;code&gt;required&lt;/code&gt; for all input widgets with input required&lt;/li&gt;
&lt;/ul&gt;
&lt;p&gt;Also somewhere in App Maker's internals the following CSS rules are defined:&lt;/p&gt;
&lt;pre&gt;&lt;code&gt;/* Show asterisk only for direct children of 'app-FormBody' panel
   marked with 'required' class */
...
.app-FormBody &amp;gt; .app-TextBox.required &amp;gt; .app-TextBox-Label:after,
... {
  content: " *";
}
&lt;/code&gt;&lt;/pre&gt;
&lt;p&gt;So, when you drop panel inside form body and drag your input inside that inner panel App Maker CSS rules stop working (the widgets are not direct children of &lt;code&gt;app-FormBody&lt;/code&gt; anymore).&lt;/p&gt;
&lt;p&gt;&lt;strong&gt;How to fix it?&lt;/strong&gt;&lt;/p&gt;
&lt;ul&gt;
&lt;li&gt;you can try to override default App Maker styles&lt;/li&gt;
&lt;/ul&gt;
&lt;pre&gt;&lt;code&gt;/* Note: there is no '&amp;gt;' selector */
.app-FormBody .app-TextBox.required &amp;gt; .app-TextBox-Label:after {
  content: " *";
}
&lt;/code&gt;&lt;/pre&gt;
&lt;p&gt;I'm not sure what side effects it can potentially cause...&lt;/p&gt;
&lt;ul&gt;
&lt;li&gt;&lt;p&gt;You can explicitly add asterisk in binding&lt;/p&gt;
&lt;p&gt;&lt;code&gt;@models.MyModel.fields.FieldName.displayName + ' *'&lt;/code&gt;&lt;/p&gt;&lt;/li&gt;
&lt;/ul&gt;
&lt;p&gt;Please, also keep in mind that App Maker will not automatically add those hidden styles to the widgets you'll add after form is generated.&lt;/p&gt;
</t>
  </si>
  <si>
    <t xml:space="preserve">&lt;p&gt;I have created one design tokens with the name like "myDefaultBorderBottom" under defaultTokens. Later I realized I am not going to use that. How to delete or modify that tokens in default tokens. suggestions please.&lt;/p&gt;
&lt;p&gt;Because when I delete or modify I am unable to save the css file. Getting a error like this...&lt;/p&gt;
&lt;p&gt;Failed to save Component2.css: The token 'myDefaultBorderBottom' was not found on the TOKENS markup://c:defaultTokens&lt;/p&gt;
</t>
  </si>
  <si>
    <t xml:space="preserve">&lt;p&gt;I have a data model with a field for each month of the year, extending for a few years. I also have a table that displays the data in this model.&lt;/p&gt;
&lt;p&gt;I am interested in updating the fields/columns displayed in the table widget based on the current date. I only need the table to display current and the upcoming 12 months not previous ones. For example, it if it March 6, 2018, I would want to have columns in the table for each month between March 2018 and February 2019. On April 1, however, the table should update to drop the March 2018 column and add the March 2019 column. &lt;/p&gt;
&lt;p&gt;Is this possible or easy to do in App Maker? If so, what are some tips or relevant resources to look for in the documentation?&lt;/p&gt;
</t>
  </si>
  <si>
    <t xml:space="preserve">&lt;p&gt;What is the best way to get &lt;strong&gt;timestamp&lt;/strong&gt; to save it on &lt;strong&gt;appmaker datasource&lt;/strong&gt;? I have tried following method:&lt;/p&gt;
&lt;pre&gt;&lt;code&gt;var timestamp = new Date();
var timestamp = getTimeStamp();
&lt;/code&gt;&lt;/pre&gt;
&lt;p&gt;But still got error .. please help :)&lt;/p&gt;
</t>
  </si>
  <si>
    <t xml:space="preserve">&lt;p&gt;I would like to integrate a document merge into a workflow which I created in Google App Maker. Whenever an input is submitted in a form, the answers should be merged into a Google Docs template, if the template contains a placeholder that matches the name of the field. For example, if the field name is last_name, the placeholder would be {{last_name}}.&lt;/p&gt;
&lt;p&gt;The document merge should go through each field of every item, so that I don't have to program the field names into the script. In a Google Spreadsheet this would be resolved by using a loop like&lt;/p&gt;
&lt;pre&gt;&lt;code&gt;function documentMerge() {
  var ss = SpreadsheetApp.getActiveSpreadsheet.getActiveSheet;
  var lastClmn = ss.getDataRange.getLastColumn();
  var lastRow = ss.getDataRange.getLastRow();
  for (var i=0, lastClmn, i++) {
    for (var j=1, lastRow, j++) {  
      // if '{{' + (ss.getRange(0, i).getValue()) + '}}' is found in document
      // ... replace placeholder in document with contents from column i, row j ...
  }
&lt;/code&gt;&lt;/pre&gt;
&lt;p&gt;Is there something similar possible in Google App Maker?&lt;/p&gt;
</t>
  </si>
  <si>
    <t xml:space="preserve">&lt;p&gt;Put the following in your onAfterCreate event of your model:&lt;/p&gt;
&lt;pre class="lang-javascript prettyprint-override"&gt;&lt;code&gt;var templateId = 'your template ID';
var filename = 'Document for Customer ' + record.ClientName + new Date();
var copyFile = DriveApp.getFileById(templateId).makeCopy(filename);
var copyDoc = DocumentApp.openById(copyFile.getId());
var copyBody = copyDoc.getBody();
var fields = app.metadata.models.Clients.fields;
for (var i in fields) {
  var text = '&amp;lt;&amp;lt;' + fields[i].name + '&amp;gt;&amp;gt;';
  var data = record[fields[i].name];
  copyBody.replaceText(text, data);
}
copyDoc.saveAndClose();
&lt;/code&gt;&lt;/pre&gt;
&lt;p&gt;That should do it for you. See the pictures as to the template and created document.
&lt;a href="https://i.stack.imgur.com/vn6i9.png" rel="nofollow noreferrer"&gt;&lt;img src="https://i.stack.imgur.com/vn6i9.png" alt="Application Form"&gt;&lt;/a&gt;&lt;/p&gt;
&lt;p&gt;&lt;a href="https://i.stack.imgur.com/X9EHt.png" rel="nofollow noreferrer"&gt;&lt;img src="https://i.stack.imgur.com/X9EHt.png" alt="Document Template"&gt;&lt;/a&gt;&lt;/p&gt;
&lt;p&gt;&lt;a href="https://i.stack.imgur.com/Nl6O2.png" rel="nofollow noreferrer"&gt;&lt;img src="https://i.stack.imgur.com/Nl6O2.png" alt="Filled Template"&gt;&lt;/a&gt;&lt;/p&gt;
</t>
  </si>
  <si>
    <t xml:space="preserve">&lt;p&gt;Is there a way we can play &lt;strong&gt;audio&lt;/strong&gt; sound or &lt;strong&gt;Gif&lt;/strong&gt; image on Google AppMaker? I have tried the following to play &lt;strong&gt;.sound&lt;/strong&gt; that I kept as HTML containing the .mp3 file src I copied from the Resources.&lt;/p&gt;
&lt;pre&gt;&lt;code&gt;var page = app.pages.RateToilet;
var x = page.descendants.sound;
function playAudio() {
      x.play();
} 
&lt;/code&gt;&lt;/pre&gt;
&lt;p&gt;I got the following error&lt;/p&gt;
&lt;pre&gt;&lt;code&gt;x.play is not a function
at playAudio (client:24:7)
at RateToilet.Image7.onClick:5:3
&lt;/code&gt;&lt;/pre&gt;
&lt;p&gt;Please advise .. Thanks :)&lt;/p&gt;
</t>
  </si>
  <si>
    <t xml:space="preserve">&lt;p&gt;Example: I want to find NATO accounts that say NATO ___ so I can't use equals, but things like "Donato's" are appearing as well.&lt;/p&gt;
</t>
  </si>
  <si>
    <t xml:space="preserve">&lt;p&gt;I have exported data from Google App Maker(2) into spreadsheet. The problem is, I have to do pivot table manually in the exported sheet in order to get the table such as in no(3). Image(1) show the field that I have in the datasource. &lt;/p&gt;
&lt;p&gt;&lt;strong&gt;(1) Screenshot of what I have in my datasource&lt;/strong&gt;
&lt;img src="https://i.stack.imgur.com/xJ5eP.png" alt="(1) Screenshot of what I have in my datasource"&gt;&lt;/p&gt;
&lt;p&gt;&lt;strong&gt;(2) Data exported from AppMaker into Spreadsheet&lt;/strong&gt;
&lt;img src="https://i.stack.imgur.com/Vad34.png" alt="(2) Data exported from AppMaker into Spreadsheet"&gt;&lt;/p&gt;
&lt;p&gt;&lt;strong&gt;(3) Expected pivot table to be exported&lt;/strong&gt;
&lt;img src="https://i.stack.imgur.com/d3EpZ.png" alt="(3) Expected pivot table to be exported"&gt;&lt;/p&gt;
&lt;p&gt;Can anyone teach me how to query data from the existing datasource to produce another table such as in no(3) in Google App Maker directly, so that I just export that data directly to sheet and no need to do pivot manually after the data has been exported .. or is there anyway better than that anyone else know how to do it?&lt;/p&gt;
</t>
  </si>
  <si>
    <t xml:space="preserve">&lt;p&gt;How is it possible to filter a relational datasource of a widget?&lt;/p&gt;
&lt;p&gt;I want to filter a relational datasource of a widget by a static and/or diynamic parametres?&lt;/p&gt;
&lt;p&gt;&lt;a href="https://i.stack.imgur.com/ZyGFt.jpg" rel="nofollow noreferrer"&gt;&lt;img src="https://i.stack.imgur.com/ZyGFt.jpg" alt="Datasources"&gt;&lt;/a&gt;&lt;/p&gt;
</t>
  </si>
  <si>
    <t xml:space="preserve">&lt;p&gt;After I create an app with App Maker, can I let someone copy that file and install it on a different Google Enterprise Account (i.e., a different domain).  The question assumes the Domain Administrator would want this and approve it.&lt;/p&gt;
</t>
  </si>
  <si>
    <t xml:space="preserve">&lt;p&gt;Definitely, you can easily export app as zip file on one domain and import it on other one. Just go to &lt;code&gt;Menu -&amp;gt; Export (.zip)&lt;/code&gt;:&lt;/p&gt;
&lt;p&gt;&lt;a href="https://i.stack.imgur.com/jVNT4.png" rel="nofollow noreferrer"&gt;&lt;img src="https://i.stack.imgur.com/jVNT4.png" alt="Menu"&gt;&lt;/a&gt;&lt;/p&gt;
&lt;p&gt;The story about data associated with app deployments is little bit different. You can read more about this topic in official App Maker documentation:&lt;/p&gt;
&lt;p&gt;&lt;a href="https://developers.google.com/appmaker/models/import-export" rel="nofollow noreferrer"&gt;https://developers.google.com/appmaker/models/import-export&lt;/a&gt;&lt;/p&gt;
</t>
  </si>
  <si>
    <t xml:space="preserve">&lt;p&gt;I have created a relatively complex PowerApp where I ran into an issue related to extracting data from a Collection.
The collection is populated by a simple ClearCollect(cachedKPI, '[dbo].[KPI]').
The KPI table has two columns KPIId (unique values and primary key) and KPIName. The first is a int column and the other nvarchar(200).&lt;/p&gt;
&lt;p&gt;&lt;strong&gt;When displaying the two columns in a Data Table in PowerApp I noticed that out of a total of 188 rows only 150 was displayed. If I took the dbo.KPI table as the source of the Data Table all 188 columns were displayed as expected.&lt;/strong&gt;&lt;/p&gt;
&lt;p&gt;I created a new PowerApp without any other context and ran into the same issue.&lt;/p&gt;
&lt;p&gt;When I looked closer at the data I saw that row number 151 to 160 had the same KPIName but different KPIId which in itself this is not an issue.
The KPIName of these rows were 'Retention &gt; 90% (no loss of key staff)'.&lt;/p&gt;
&lt;p&gt;After having performed various tests I tried to alter the KPIName. I found that if I renamed the KPIName of row 151 to 'a' I could suddenly also see row 151 (but still not 152 to 160) in the collection Data Table, which let me to believe the error might be due to special characters.&lt;/p&gt;
&lt;p&gt;&lt;strong&gt;After a lot of testing I found something interesting. If I removed/replaced the 'y' in 'Retention &gt; 90% (no loss of key staff)' everything was working as expected!&lt;/strong&gt;&lt;/p&gt;
&lt;p&gt;So having renamed the 9 rows called 'Retention &gt; 90% (no loss of key staff)' to 'Retention &gt; 90% (no loss of kek staff)' my PowerApp was suddenly working again.&lt;/p&gt;
&lt;p&gt;I am not sure what the actual problem is. Using 'y' in itself does not seem to provide a problem, so it must be some combination of characters. &lt;/p&gt;
&lt;p&gt;Has anyone experienced something similar and might be able to provide a solution?&lt;/p&gt;
</t>
  </si>
  <si>
    <t xml:space="preserve">&lt;p&gt;I have two objects lists which they have different fields in them.I want to check if two fields dont have same value in them in javascript.
 my example is  list one&lt;/p&gt;
&lt;pre&gt;&lt;code&gt;0:Client_Issue_Reference__c:null
  End__c:"2018-03-06T23:00:00.000Z"
  Id:"a0Q2F000000oRyBUAU"
  Resource_Full_Name__c:"test user"
  Start__c:"2018-03-06T15:00:00.000Z"
&lt;/code&gt;&lt;/pre&gt;
&lt;p&gt;and my second list is &lt;/p&gt;
&lt;pre&gt;&lt;code&gt;0:Id:"0050W000006r0xnQAA"
  IsActive:true
  Name:"test user"
&lt;/code&gt;&lt;/pre&gt;
&lt;p&gt;I wanna see if Resource_Full_Name__c != Name 
currently I have &lt;/p&gt;
&lt;pre&gt;&lt;code&gt;for (var i = 0; i &amp;lt; listOne.length; i++) {
  for (var j = 0; j &amp;lt; listTwo.length; j++) {
     if (listOne[i].Name != listTwo[j].Resource_Full_Name__c) {
          buildingObjectAllUser = {}
          sobjectType: "testObject";
          buildingObjectAllUser.Id = listOne[i].Id;
          buildingObjectAllUser.Start__c = "2018-03-06T23:00:00.000Z";
          buildingObjectAllUser.End__c = "2018-03-06T23:00:00.000Z";
          buildingObjectAllUser.Name = "No Hours";
          buildingObjectAllUser.Resource_Full_Name__c = listOne[i].Name;
          listThree.push(buildingObjectAllUser);
        }
      }
    }
&lt;/code&gt;&lt;/pre&gt;
&lt;p&gt;the problem with this one is taking to much time, its really slow&lt;/p&gt;
</t>
  </si>
  <si>
    <t xml:space="preserve">&lt;p&gt;Given: A Salesforce user is viewing an account page.&lt;/p&gt;
&lt;p&gt;Desired Output: All Emails of Contacts related to the Account currently viewed as a List object.&lt;/p&gt;
&lt;p&gt;My code:&lt;/p&gt;
&lt;pre&gt;&lt;code&gt;SELECT Email FROM Contact WHERE Id IN (SELECT ContactId FROM AccountContactRelation WHERE AccountId = ApexPages.CurrentPage.getParameters().get('id'))
&lt;/code&gt;&lt;/pre&gt;
&lt;p&gt;This does not retrieve any results. When using a fixed number instead of &lt;code&gt;ApexPages.CurrentPage.getParameters().get('id')&lt;/code&gt;, the Emails are correctly returned.&lt;/p&gt;
&lt;p&gt;I'm sort of new to Apex. Could anyone point out what I am doing wrong?&lt;/p&gt;
</t>
  </si>
  <si>
    <t xml:space="preserve">&lt;p&gt;To achieve the desired output you need to use SOQL variable injection.&lt;/p&gt;
&lt;p&gt;You can do this by creating a variable first and then referencing the variable inside the SOQL using &lt;code&gt;:&lt;/code&gt; and the variable name:&lt;/p&gt;
&lt;pre&gt;&lt;code&gt;String theAccountId = ApexPages.CurrentPage.getParameters().get('id');
List&amp;lt;Contact&amp;gt; theContacts = [SELECT Email FROM Contact WHERE Id IN (SELECT ContactId FROM AccountContactRelation WHERE AccountId = :theAccountId)];
&lt;/code&gt;&lt;/pre&gt;
</t>
  </si>
  <si>
    <t xml:space="preserve">&lt;p&gt;I am designing a page in which informs a manager whether an applicant requires a work permit. For this I have created a data table called "Countries" that contains a string field "countries" and a boolean "EU_member". If the country is a member of the European Union the boolean is true and vice-versa.&lt;/p&gt;
&lt;p&gt;I have set up a dropdown field in the page from which the manager can select the country. I now want to bind a label to the boolean field, so that it shows whether the country is part of the European Union or not. Right now, it is only bound to the country field.&lt;/p&gt;
&lt;pre&gt;&lt;code&gt;@datasources.Countries.query.filters.country._equals=Dropdown1.value;
&lt;/code&gt;&lt;/pre&gt;
&lt;p&gt;My second idea was to include a server script that is triggered by the onValueEdit method of the dropdown field&lt;/p&gt;
&lt;pre&gt;&lt;code&gt;function checkWorkPermit(widgetValue) {
  var query = app.models.Countries.newQuery();
  query.filters.country._equals = widgetValue;
  var records = query.run();
  return records[0].EU_Member;
}
&lt;/code&gt;&lt;/pre&gt;
&lt;p&gt;but the console returns&lt;/p&gt;
&lt;p&gt;checkWorkPermit is not defined at ....Panel8.Dropdown1.onValueEdit:1:1&lt;/p&gt;
</t>
  </si>
  <si>
    <t xml:space="preserve">&lt;p&gt;Considering, that the dropdown's &lt;code&gt;options&lt;/code&gt; property is bound to smth like this:&lt;/p&gt;
&lt;pre class="lang-javascript prettyprint-override"&gt;&lt;code&gt;@datasources.Countries.items
&lt;/code&gt;&lt;/pre&gt;
&lt;p&gt;binding for the label could look similar to this:&lt;/p&gt;
&lt;pre class="lang-javascript prettyprint-override"&gt;&lt;code&gt;@pages.MyPage.descendants.CountriesDropDown.value.EU_member ?
    'Work permit is required' :
    'Work permit is NOT required'
&lt;/code&gt;&lt;/pre&gt;
</t>
  </si>
  <si>
    <t xml:space="preserve">&lt;p&gt;Below code, I have incorporated into Google App script and Deployed as a web app and it works perfectly fine how can I use this code n App maker &lt;/p&gt;
&lt;p&gt;&lt;div class="snippet" data-lang="js" data-hide="false" data-console="true" data-babel="false"&gt;
&lt;div class="snippet-code"&gt;
&lt;pre class="snippet-code-html lang-html prettyprint-override"&gt;&lt;code&gt;&amp;lt;!DOCTYPE html&amp;gt;
&amp;lt;html&amp;gt;
  &amp;lt;head&amp;gt;
    &amp;lt;base target="_top"&amp;gt;
  &amp;lt;/head&amp;gt;
  &amp;lt;body&amp;gt;
    &amp;lt;div id="browser"&amp;gt;&amp;lt;/div&amp;gt;
    &amp;lt;div id="os"&amp;gt;&amp;lt;/div&amp;gt;
    &amp;lt;script src="https://rawgit.com/faisalman/ua-parser-js/master/dist/ua-parser.min.js"&amp;gt;&amp;lt;/script&amp;gt;
    &amp;lt;script&amp;gt;
      var parser = new UAParser();
      parser.setUA("&amp;lt;?= HtmlService.getUserAgent(); ?&amp;gt;");
      var result = parser.getResult();
      document.getElementById("browser").textContent = result.browser.name + " v" + result.browser.major;
      document.getElementById("os").textContent = result.os.name + " v" + result.os.version;
    &amp;lt;/script&amp;gt;
  &amp;lt;/body&amp;gt;
&amp;lt;/html&amp;gt;&lt;/code&gt;&lt;/pre&gt;
&lt;/div&gt;
&lt;/div&gt;
&lt;/p&gt;
</t>
  </si>
  <si>
    <t xml:space="preserve">&lt;p&gt;In order to achieve the use of this library, please do the following:&lt;/p&gt;
&lt;p&gt;Step 1 - Add the library to the &lt;strong&gt;app settings&lt;/strong&gt; as shown below:
&lt;a href="https://i.stack.imgur.com/tD5Xm.gif" rel="nofollow noreferrer"&gt;&lt;img src="https://i.stack.imgur.com/tD5Xm.gif" alt="enter image description here"&gt;&lt;/a&gt;
&lt;br&gt;&lt;br&gt;&lt;/p&gt;
&lt;p&gt;Step 2 - Add an &lt;strong&gt;HTML widget&lt;/strong&gt; to a page, as shown below:
&lt;a href="https://i.stack.imgur.com/Le2YD.gif" rel="nofollow noreferrer"&gt;&lt;img src="https://i.stack.imgur.com/Le2YD.gif" alt="enter image description here"&gt;&lt;/a&gt;
&lt;br&gt;&lt;br&gt;&lt;/p&gt;
&lt;p&gt;Step 3 - Please check the &lt;strong&gt;allowUnsafeHtml&lt;/strong&gt; checkbox of the HTML widget as shown below:
&lt;a href="https://i.stack.imgur.com/MPbzd.png" rel="nofollow noreferrer"&gt;&lt;img src="https://i.stack.imgur.com/MPbzd.png" alt="enter image description here"&gt;&lt;/a&gt;
&lt;br&gt;&lt;br&gt;&lt;/p&gt;
&lt;p&gt;Step 4 - Add the following markup to the &lt;strong&gt;HTML widget html value&lt;/strong&gt;:&lt;/p&gt;
&lt;pre&gt;&lt;code&gt;&amp;lt;div id="browser"&amp;gt;&amp;lt;/div&amp;gt;
&amp;lt;div id="os"&amp;gt;&amp;lt;/div&amp;gt;
&lt;/code&gt;&lt;/pre&gt;
&lt;p&gt;&lt;a href="https://i.stack.imgur.com/fxTYm.png" rel="nofollow noreferrer"&gt;&lt;img src="https://i.stack.imgur.com/fxTYm.png" alt="enter image description here"&gt;&lt;/a&gt;
&lt;br&gt;&lt;br&gt;&lt;/p&gt;
&lt;p&gt;Step 5 - Add the following code to the &lt;strong&gt;onAttach&lt;/strong&gt; event of the HTML widget:&lt;/p&gt;
&lt;pre&gt;&lt;code&gt;var parser = new UAParser();
var result = parser.getResult();
document.getElementById("browser").textContent = result.browser.name + " v" + result.browser.major;
document.getElementById("os").textContent = result.os.name + " v" + result.os.version;
&lt;/code&gt;&lt;/pre&gt;
&lt;p&gt;&lt;a href="https://i.stack.imgur.com/2ypXh.png" rel="nofollow noreferrer"&gt;&lt;img src="https://i.stack.imgur.com/2ypXh.png" alt="enter image description here"&gt;&lt;/a&gt;
&lt;br&gt;&lt;br&gt;&lt;/p&gt;
&lt;p&gt;Now, go ahead and preview your app. &lt;br&gt;
You should see something similar as below.&lt;br&gt;
&lt;a href="https://i.stack.imgur.com/b7peQ.png" rel="nofollow noreferrer"&gt;&lt;img src="https://i.stack.imgur.com/b7peQ.png" alt="enter image description here"&gt;&lt;/a&gt;
&lt;br&gt;&lt;br&gt;&lt;/p&gt;
&lt;p&gt;I hope this helps!&lt;br&gt;
Reference: &lt;a href="https://github.com/faisalman/ua-parser-js" rel="nofollow noreferrer"&gt;https://github.com/faisalman/ua-parser-js&lt;/a&gt;&lt;br&gt;&lt;/p&gt;
</t>
  </si>
  <si>
    <t xml:space="preserve">&lt;p&gt;I have an app that I would like to be able to take columns from a google spreadsheet and make a list on a table in my app. Also I would like to be able to remove items from this table.&lt;/p&gt;
&lt;p&gt;As of now I am using the AMU library function &lt;code&gt;AMU.deleteAll&lt;/code&gt;, all it does is&lt;/p&gt;
&lt;pre&gt;&lt;code&gt;AMU.deleteAll = function(widget){
  var records = widget.datasource.items;
  records.forEach(function(record){
   record._delete();
  });  
};
&lt;/code&gt;&lt;/pre&gt;
&lt;p&gt;So what happens is that when I have a completely new and blank table my app can update from my spreadsheet when I use &lt;code&gt;AMU.import.fromSpreadsheet&lt;/code&gt; (check here for full library goo.gl/RkeqZw) it will take all the items from my spreadsheet and place them properly in my table, after that I can use the delete function to remove all items on my table. Here is where things get all screwy, when I try to use the import function again the list gets populated with empty entries and if I try to use the delete function I get an error: &lt;/p&gt;
&lt;blockquote&gt;
  &lt;p&gt;"Drive Table internal error. Record not found. Caused by: Execution Failed. More information: Object not found at path: camo0A_084fQ. (HTTP status code: 404) Error: Drive Table internal error. Record not found. at deleteAllData (ServerScript:232)"&lt;/p&gt;
&lt;/blockquote&gt;
&lt;p&gt;I am not sure why this is happening, to me it seems like the data is being saved and the delete function only removes the value, and not the actual entry. &lt;/p&gt;
</t>
  </si>
  <si>
    <t xml:space="preserve">&lt;p&gt;If you want to delete all items from your model you can make single server call (the code you quoted above does sever call for each individual item loaded on client):&lt;/p&gt;
&lt;pre class="lang-javascript prettyprint-override"&gt;&lt;code&gt;// server script to delete all records from model
function deleteAllRecordsFromModel() {
  var allRecords = app.models.MyModel.newQuery().run();
  app.deleteRecords(allRecords);
}
// client script to call server function
google.script.run
  .withSuccessHandler(function() {
     // TODO: Handle success (optional)
  })
  .withFailureHandler(function() {
     // TODO: Handle error (optional)
  })
  .deleteAllRecordsFromModel();
&lt;/code&gt;&lt;/pre&gt;
</t>
  </si>
  <si>
    <t xml:space="preserve">&lt;p&gt;I have created HTML widgets  (Calculator) to calculate per hour manpower effort, On Submit how can I save this data in Drive data table. &lt;/p&gt;
&lt;p&gt;Using this data wants to genrate the workflow email. &lt;/p&gt;
&lt;p&gt;&lt;div class="snippet" data-lang="js" data-hide="false" data-console="true" data-babel="false"&gt;
&lt;div class="snippet-code"&gt;
&lt;pre class="snippet-code-html lang-html prettyprint-override"&gt;&lt;code&gt;  &amp;lt;div class="gap10"&amp;gt;&amp;lt;/div&amp;gt;
&amp;lt;div class="container"&amp;gt;             
  &amp;lt;table class="table table-bordered data" &amp;gt;
    &amp;lt;thead&amp;gt;
    &amp;lt;tr&amp;gt;
    &amp;lt;th colspan="4"&amp;gt;&amp;lt;h3  style="text-align: left;margin-top:0px; margin-bottom:0px;"&amp;gt;Technology Design Services&amp;lt;/h3&amp;gt;&amp;lt;/th&amp;gt;
    &amp;lt;/tr&amp;gt;
      &amp;lt;tr class="one"&amp;gt;
        &amp;lt;th&amp;gt;Service Area&amp;lt;/th&amp;gt;
        &amp;lt;th&amp;gt;Per Hour Rate&amp;lt;/th&amp;gt;
        &amp;lt;th&amp;gt;Number Of Hours&amp;lt;/th&amp;gt;
        &amp;lt;th&amp;gt;Total Rate&amp;lt;/th&amp;gt;
      &amp;lt;/tr&amp;gt;
    &amp;lt;/thead&amp;gt;
    &amp;lt;tbody&amp;gt;
      &amp;lt;tr&amp;gt;
        &amp;lt;td&amp;gt;Contact Centre Expert&amp;lt;/td&amp;gt;
        &amp;lt;td&amp;gt;&amp;lt;div class="form-group num"&amp;gt;
&amp;lt;input  name="" type="number" placeholder="" class="form-control input-md"id="PerHourRate1"type="text" value="2325" readonly&amp;gt;
&amp;lt;/div&amp;gt;&amp;lt;/td&amp;gt;
        &amp;lt;td&amp;gt;&amp;lt;div class="form-group num"&amp;gt;
&amp;lt;input  name="" type="text" placeholder="" class="form-control input-md"value="0" id="rTpe1"&amp;gt;
&amp;lt;/div&amp;gt;&amp;lt;/td&amp;gt;
&amp;lt;td&amp;gt;&amp;lt;div class="form-group num"&amp;gt;
&amp;lt;input  name="" type="text" placeholder="" class="form-control input-md"value="0" id="rFor1"readonly&amp;gt;
&amp;lt;/div&amp;gt;&amp;lt;/td&amp;gt;
      &amp;lt;/tr&amp;gt;
      &amp;lt;tr&amp;gt;
        &amp;lt;td&amp;gt;Solution Design&amp;lt;/td&amp;gt;
        &amp;lt;td&amp;gt;&amp;lt;div class="form-group num"&amp;gt;
&amp;lt;input  name="" type="number" placeholder="" class="form-control input-md"id="PerHourRate2"type="text" value="2762" readonly&amp;gt;
&amp;lt;/div&amp;gt;&amp;lt;/td&amp;gt;
        &amp;lt;td&amp;gt;&amp;lt;div class="form-group num"&amp;gt;
&amp;lt;input  name="" type="text" placeholder="" class="form-control input-md"value="0"id="rTpe2"&amp;gt;
&amp;lt;/div&amp;gt;&amp;lt;/td&amp;gt;
&amp;lt;td&amp;gt;&amp;lt;div class="form-group num"&amp;gt;
&amp;lt;input  name="" type="text" placeholder="" class="form-control input-md"value="0" id="rFor2"readonly&amp;gt;
&amp;lt;/div&amp;gt;&amp;lt;/td&amp;gt;
      &amp;lt;/tr&amp;gt;&lt;/code&gt;&lt;/pre&gt;
&lt;/div&gt;
&lt;/div&gt;
&lt;/p&gt;
&lt;p&gt;&lt;a href="https://i.stack.imgur.com/PSf2b.png" rel="nofollow noreferrer"&gt;&lt;img src="https://i.stack.imgur.com/PSf2b.png" alt="HTML Form"&gt;&lt;/a&gt;&lt;/p&gt;
</t>
  </si>
  <si>
    <t xml:space="preserve">&lt;p&gt;We have a web application that users log into and consume our products. From this application, we'd like to have a form that users can submit to create cases in our Salesforce instance. I'm looking for a REST API endpoint that I can POST the new case information to, which will then create a new case record in Salesforce. I'm a little confused on the right way to approach this based on the Salesforce docs (Apex, Lightning Platform, Force.com, etc.). Has anyone implemented this or can share the right approach?&lt;/p&gt;
</t>
  </si>
  <si>
    <t xml:space="preserve">&lt;pre&gt;&lt;code&gt;trigger ShipToAddress on Opportunity(before insert) {
  map&amp;lt;id,account&amp;gt; accounts = new map&amp;lt;id,account&amp;gt;();
  for(opportunity o:trigger.new) {
    accounts.put(o.accountid,null);
  }
  accounts.remove(null);
  accounts.putAll([select id,name,BillingStreet, BillingCity, BillingState, BillingPostalCode from account where id in :accounts.keyset()]);
  for(opportunity o:trigger.new) {
    if(accounts.containskey(o.accountid)) {
      o.Ship_To_Address__c = accounts.get(o.accountid).BillingStreet + ', ' + accounts.get(o.accountid).BillingCity + ', ' + accounts.get(o.accountid).BillingState + ', ' + accounts.get(o.accountid).BillingPostalCode;
    }
  }
}
&lt;/code&gt;&lt;/pre&gt;
&lt;p&gt;The above is the trigger i have created in my Sandbox envorment and then moved over to my production environment. I am new to Salesforce, so i am new to creating Apex Triggers or classes to test my Apex Trigger. I am not sure where i need to go within my production environment to create a class, so i can raise my code coverage to 75%. I am also not sure how to create the class or what code i need to write to create the class, so i can then run it and get my code coverage to 75%. Please help me in showing me where i need to go within my Salesforce to create this code and what code i need to test this trigger. &lt;/p&gt;
&lt;p&gt;I tested the trigger without having to validate in the Sandbox and it worked just fine.&lt;/p&gt;
&lt;p&gt;I was able to deploy this code into my Prod and i run the class, but it is not validating my trigger. what am i doing wrong? &lt;/p&gt;
&lt;pre&gt;&lt;code&gt;@isTest
public class ShipToAddress {
    public static void TestOne(){
        Account acc = new Account( Name='Test' )  ;
        Insert acc;
        ID acctID = acc.ID;
        //insert opp
        Opportunity opp = new Opportunity( Name='Test', AccountID = acctID, CloseDate = Date.newInstance(2016, 12, 9), StageName = 'Submitted' );
        Insert opp;
    }
}
&lt;/code&gt;&lt;/pre&gt;
</t>
  </si>
  <si>
    <t xml:space="preserve">&lt;p&gt;I'm trying to add a simple Drive Table model to a clean project, but as soon as I do that and launch a preview, I start getting this error in the log at launch and the app is essentially dead in the water.&lt;/p&gt;
&lt;p&gt;I've tried to figure out what this error actually implies and what I'm supposed to do about it, but so far I've only managed to fail spectacularly.&lt;/p&gt;
&lt;p&gt;I'm also getting some warning about &lt;code&gt;appmaker.dataservice.brix.RealtimeCaller&lt;/code&gt; which doesn't look like anything to me, but might be related to the problem.&lt;/p&gt;
&lt;p&gt;Here is the full error log (TestDB is the name of the model in this case):&lt;/p&gt;
&lt;pre&gt;&lt;code&gt;(W) appmaker.dataservice.brix.RealtimeCaller: Realtime connection: HTTP status code is not available.
(W) appmaker.dataservice.brix.RealtimeCaller: Realtime connection: HTTP status code is not available.
(E) Drive Table internal error. Please try again. Caused by: The developer of this script needs to provide additional authorizations before it can run. (HTTP status code: unknown) Error: Drive Table internal error. Please try again.
(E) Executing query for datasource TestDB: (Error) : Drive Table internal error. Please try again.
(E) Executing query for datasource TestDB failed.
&lt;/code&gt;&lt;/pre&gt;
&lt;p&gt;These are the steps I took to generate this error:&lt;/p&gt;
&lt;ol&gt;
&lt;li&gt;New Project -&gt; Blank Application&lt;/li&gt;
&lt;li&gt;Create Model -&gt; Google Drive Table (name: TestDB)&lt;/li&gt;
&lt;li&gt;NewPage -&gt; datasource -&gt; TestDB&lt;/li&gt;
&lt;li&gt;Preview&lt;/li&gt;
&lt;li&gt;Select my G Suite account&lt;/li&gt;
&lt;li&gt;Allow app to view and manage the files in my Google Drive&lt;/li&gt;
&lt;li&gt;Click "Review permissions" when prompted&lt;/li&gt;
&lt;li&gt;Select my G Suite account&lt;/li&gt;
&lt;li&gt;App launches and triggers errors.&lt;/li&gt;
&lt;/ol&gt;
&lt;p&gt;Among other things, I've tried reloading, building a new preview, deploying, creating a new project and changing the access permissions to the model.&lt;/p&gt;
&lt;p&gt;What am I doing wrong here?&lt;/p&gt;
</t>
  </si>
  <si>
    <t xml:space="preserve">&lt;p&gt;Is it possible to send an email via Google Apps Script's MailApp class that would send the email from an existing (non Gmail) mailbox?&lt;/p&gt;
&lt;p&gt;Currently, when I trigger an email from the code below, the email actually comes from a random Google server that is spoofing as the user triggering the email. I would like the email to be sent directly by a mailbox within my organization, if at all possible. &lt;/p&gt;
&lt;pre&gt;&lt;code&gt;MailApp.sendEmail({
     to: 'example@yahoo.com',
     name: 'Jane Doe',
     replyTo: 'example@google.com',
     subject: 'Test',
     body: 'Testing'
});
&lt;/code&gt;&lt;/pre&gt;
</t>
  </si>
  <si>
    <t xml:space="preserve">&lt;p&gt;I wanted to push data into Zoho CRM but their Data Format Is XML I am Able to pass one record but how to pass multiple records Actually they have API for multiple records but we can send a fixed number of records but I want to push a varying number of records.&lt;/p&gt;
&lt;pre&gt;&lt;code&gt;        $xml_dat = '&amp;lt;Leads&amp;gt;';
$xml_dat .= '&amp;lt;row no="1"&amp;gt;';
$xml_dat .= '&amp;lt;FL val="First Name"&amp;gt;'.$result123456[0].'&amp;lt;/FL&amp;gt;';
$xml_dat .= '&amp;lt;FL val="Last Name"&amp;gt;'.$lastname.'&amp;lt;/FL&amp;gt;';
$xml_dat .= '&amp;lt;FL val="Title"&amp;gt;'.$designation1.'&amp;lt;/FL&amp;gt;';
$xml_dat .= '&amp;lt;FL val="Company"&amp;gt;'.$company1.'&amp;lt;/FL&amp;gt;';
$xml_dat .= '&amp;lt;FL val="Mobile"&amp;gt;'.$mobile1.'&amp;lt;/FL&amp;gt;';
$xml_dat .= '&amp;lt;FL val="Phone"&amp;gt;'.$phoesplit[0].'&amp;lt;/FL&amp;gt;';
$xml_dat .= '&amp;lt;FL val="Other Phone"&amp;gt;'.$phoesplit[1].'&amp;lt;/FL&amp;gt;';
$xml_dat .= '&amp;lt;FL val="Email"&amp;gt;'.$email1.'&amp;lt;/FL&amp;gt;';
$xml_dat .= '&amp;lt;FL val="Website"&amp;gt;'.$website1.'&amp;lt;/FL&amp;gt;';
$xml_dat .= '&amp;lt;FL val="Street"&amp;gt;'.$street.'&amp;lt;/FL&amp;gt;';
$xml_dat .= '&amp;lt;FL val="City"&amp;gt;'.$city.'&amp;lt;/FL&amp;gt;';
$xml_dat .= '&amp;lt;FL val="State"&amp;gt;'.$state.'&amp;lt;/FL&amp;gt;';
$xml_dat .= '&amp;lt;FL val="Country"&amp;gt;'.$country.'&amp;lt;/FL&amp;gt;';
$xml_dat .= '&amp;lt;FL val="Zip Code"&amp;gt;'.$postal.'&amp;lt;/FL&amp;gt;';
$xml_dat .= '&amp;lt;FL val="Description"&amp;gt;'.$notes1.'&amp;lt;/FL&amp;gt;';
$xml_dat .= '&amp;lt;/row&amp;gt;';
$xml_dat .= '&amp;lt;/Leads&amp;gt;';
&lt;/code&gt;&lt;/pre&gt;
</t>
  </si>
  <si>
    <t xml:space="preserve">&lt;p&gt;Is there someone who can tell me how you loop over the contacts in the template "Vendor ratings" please ?&lt;/p&gt;
&lt;p&gt;I give you a screenshot of the page. To reproduce, go to the "Contacts" page, add a new contact and see two contacts...&lt;/p&gt;
&lt;p&gt;I want to do the same behavior for my application and I don't know how to loop...&lt;/p&gt;
&lt;p&gt;When I create a single card with a label binding @datasource.item.name for example, I only have 1 card displayed although in my datasource I have two results...&lt;/p&gt;
&lt;p&gt;Thanks a lot for your help.&lt;/p&gt;
&lt;p&gt;&lt;a href="https://i.stack.imgur.com/xaG0P.png" rel="nofollow noreferrer"&gt;&lt;img src="https://i.stack.imgur.com/xaG0P.png" alt="Screenshot contacts"&gt;&lt;/a&gt;&lt;/p&gt;
</t>
  </si>
  <si>
    <t xml:space="preserve">&lt;p&gt;You are looking for widgets that can render repetitive data: &lt;a href="https://developers.google.com/appmaker/ui/layout-widgets#list" rel="nofollow noreferrer"&gt;List&lt;/a&gt;, &lt;a href="https://developers.google.com/appmaker/ui/layout-widgets#accordion" rel="nofollow noreferrer"&gt;Accordion&lt;/a&gt;, &lt;a href="https://developers.google.com/appmaker/ui/layout-widgets#grid" rel="nofollow noreferrer"&gt;Grid&lt;/a&gt;. You can build prototype row/cell inside such widget, bind it to array of items (datasource) and App Maker's runtime will take care about the rest for you:
&lt;a href="https://i.stack.imgur.com/tk4GV.png" rel="nofollow noreferrer"&gt;&lt;img src="https://i.stack.imgur.com/tk4GV.png" alt="enter image description here"&gt;&lt;/a&gt;&lt;/p&gt;
</t>
  </si>
  <si>
    <t xml:space="preserve">&lt;p&gt;Using PHP, how do I convert this string:&lt;/p&gt;
&lt;pre&gt;&lt;code&gt;$str = "Lorem ipsum dolor sit amet 00541000004UDewAAG consectetur adipiscing elit 00541000003WKoEAAW  eiusmod tempor incididunt 00541000003WKmiAA";
&lt;/code&gt;&lt;/pre&gt;
&lt;p&gt;Into an array like this: &lt;/p&gt;
&lt;pre&gt;&lt;code&gt;$messageSegments = [
 ["type" =&amp;gt; "Text", "text" =&amp;gt; "Lorem ipsum dolor sit amet "], 
 ["type" =&amp;gt; "Mention", "id" =&amp;gt; "00541000004UDewAAG"], 
 ["type" =&amp;gt; "Text", "text" =&amp;gt; "consectetur adipiscing elit"], 
 ["type" =&amp;gt; "Mention", "id" =&amp;gt; "00541000003WKoEAAW"], 
 ["type" =&amp;gt; "Text", "text" =&amp;gt; "eiusmod tempor incididunt"], 
 ["type" =&amp;gt; "Mention", "id" =&amp;gt; "00541000003WKmiAA"], 
];
&lt;/code&gt;&lt;/pre&gt;
&lt;p&gt;The type "Mention" always has this format: "00541000003WKoEAAW" which is a &lt;a href="https://salesforce.stackexchange.com/questions/1653/what-are-salesforce-ids-composed-of"&gt;Salesforce ID&lt;/a&gt; while everything else is regular text..&lt;/p&gt;
&lt;p&gt;Any help is appreciated.&lt;/p&gt;
</t>
  </si>
  <si>
    <t xml:space="preserve">&lt;p&gt;I had to use preg_split() + combining two arrays. This solves the issue of text getting chopped off - if the ID is in the beginning of the string, etc. &lt;/p&gt;
&lt;pre&gt;&lt;code&gt;    $ids = [];
    $words = [];
    $final = [];
    $pattern = '/005[a-zA-Z|0-9]{15}/'; 
    $exploded = explode(' ', $text); 
    //get all the mention ids from new text
    foreach ($exploded as $index =&amp;gt; $word) {
        if(preg_match($pattern, $exploded[$index])){
            //replace period or comma
            $id = str_replace(',','',str_replace('.','',$exploded[$index])); 
            array_push($ids,$id);
        }
    } 
    //get words array
    $words = preg_split($pattern, $text,-1, PREG_SPLIT_NO_EMPTY); 
    //find which is first: id or words
    $isIdFirst = preg_match('/^005/', $text); //if str starts with 005
    if($isIdFirst){
        for($x=0; $x &amp;lt; count($ids); $x++) {  
           array_push($final, ['type'=&amp;gt;'Mention','id'=&amp;gt;$ids[$x]]);
           if(isset($words[$x])){
                array_push($final, ['type'=&amp;gt;'Text', 'text'=&amp;gt;$words[$x]]);
           }
        }
    }else{
        for($x=0; $x &amp;lt; count($words); $x++) {  
            array_push($final, ['type'=&amp;gt;'Text', 'text'=&amp;gt;$words[$x]]);
            if(isset($ids[$x])){
                array_push($final, ['type'=&amp;gt;'Mention','id'=&amp;gt;$ids[$x]]);
            }
         }
    }  
    var_dump($final);
&lt;/code&gt;&lt;/pre&gt;
</t>
  </si>
  <si>
    <t xml:space="preserve">&lt;p&gt;I'm building an app with PowerApps and I have a combo box with several options that can only be picked once. Is there a way to delete/unable/mark an option after it has been chosen?&lt;/p&gt;
</t>
  </si>
  <si>
    <t xml:space="preserve">&lt;p&gt;I'm trying to add a jQuery data table in Salesforce lightning component. Here is the code. It is not loading at all. What am I doing wrong?&lt;/p&gt;
&lt;pre&gt;&lt;code&gt;&amp;lt;ltng:require scripts="{!join(',','//cdn.datatables.net/1.10.4/css/jquery.dataTables.css'
                        ,'//code.jquery.com/jquery-1.12.4.js'
                        ,'//cdn.datatables.net/1.10.16/js/jquery.dataTables.min.js'
                        ,'//cdn.datatables.net/buttons/1.5.1/js/dataTables.buttons.min.js'
                        ,'//cdn.datatables.net/buttons/1.5.1/js/buttons.flash.min.js'
                        ,'//cdnjs.cloudflare.com/ajax/libs/jszip/3.1.3/jszip.min.js'
                        ,'//cdnjs.cloudflare.com/ajax/libs/pdfmake/0.1.32/pdfmake.min.js'
                        ,'//cdnjs.cloudflare.com/ajax/libs/pdfmake/0.1.32/vfs_fonts.js'
                        ,'//cdn.datatables.net/buttons/1.5.1/js/buttons.html5.min.js'
                        ,'//cdn.datatables.net/buttons/1.5.1/js/buttons.print.min.js')}"
            afterScriptsLoaded="{!c.afterscriptsLoaded}"/&amp;gt;
&amp;lt;table id="showContacts" class="slds-table slds-table--bordered slds-table--cell-buffer"&amp;gt;
          &amp;lt;thead&amp;gt;
            &amp;lt;tr class="slds-text-title--caps"&amp;gt;
                &amp;lt;th class="slds-is-sortable slds-text-title--caps"&amp;gt;
                  &amp;lt;span class="slds-truncate" title="EID"&amp;gt;EID&amp;lt;/span&amp;gt;  
               &amp;lt;/th&amp;gt;
               &amp;lt;th class="slds-is-sortable slds-text-title--caps"&amp;gt;
                  &amp;lt;span class="slds-truncate" title="Name"&amp;gt;Name&amp;lt;/span&amp;gt;
               &amp;lt;/th&amp;gt;
          &amp;lt;/tr&amp;gt;
  &amp;lt;/thead&amp;gt;
  &amp;lt;tbody&amp;gt;
      &amp;lt;tr&amp;gt;
         &amp;lt;td scope="row"&amp;gt;
             &amp;lt;div class="text-wrap"&amp;gt;10887738&amp;lt;/div&amp;gt;
         &amp;lt;/td&amp;gt;
         &amp;lt;td&amp;gt;
            &amp;lt;div class="slds-truncate  text-wrap" title="Adam Will"&amp;gt;&amp;lt;a href="javascript:void(0);"&amp;gt;Adam, Will&amp;lt;/a&amp;gt;&amp;lt;/div&amp;gt;
         &amp;lt;/td&amp;gt;
    &amp;lt;/tr&amp;gt;
&amp;lt;/tbody&amp;gt;
&amp;lt;/table&amp;gt;
({
afterscriptsLoaded : function(component,event,helper){
    j$('[id$="showStudents"]').DataTable({
            "scrollY": "260px",
            "scrollCollapse": true,
            "paging": true,
            "searching": true,
            "ordering": true,
            "info": true,
            "dom": 'Bfrtip',
            "buttons": [
                        'copy',
                        {extend: 'csv',title: 'Criteria export'},
                        {extend: 'excel',title: 'Criteria export'},
                        {extend: 'pdf',title: 'Criteria export'},
                        'print'
            ]
        } );
},
})
&lt;/code&gt;&lt;/pre&gt;
&lt;p&gt;My question is about how to show this table on lightning component in Salesforce? Whenever I load the page I see a blank page.&lt;/p&gt;
&lt;p&gt;Note: I am showing a sample table.&lt;/p&gt;
</t>
  </si>
  <si>
    <t xml:space="preserve">&lt;p&gt;I am doing a simple cascading dropdowns in sharepoint customizing the forms using powerapps. I am restricting the values in second dropdown using the formula given below.
Distinct(Filter(CategoryandSubCategory,Title = CategoryComboBox.Selected.Value),SubCategory)
When i publish this i am able to edit existing items but not able to create new records in the list. 
Please help. I know there are other solutions but i wan't powerapps to work because most of the users are already accustomed to this approach.&lt;/p&gt;
</t>
  </si>
  <si>
    <t xml:space="preserve">&lt;p&gt;On 16th March (Friday), we and our client (SPH Singapore) noticed that we couldn't access to &lt;a href="https://appmaker.google.com/" rel="nofollow noreferrer"&gt;https://appmaker.google.com/&lt;/a&gt; from Chrome browser and it's impacted our works for a few hours. Please see the error as below:&lt;/p&gt;
&lt;p&gt;"error: 404 not found (The requested URL / was not found on this server.)"&lt;/p&gt;
&lt;p&gt;We have reported the issue to Google Cloud Support team, however they are not able to provide the outage report and what's the root cause for the issue since they are not involved in App Maker. They have suggested to contact your team here and post a question so that you can answer the questions.&lt;/p&gt;
&lt;p&gt;We do appreciate if you can provide the outage report and the root cause for this issue.&lt;/p&gt;
&lt;p&gt;Regards,
Ikhmal&lt;/p&gt;
</t>
  </si>
  <si>
    <t xml:space="preserve">&lt;p&gt;&lt;a href="https://i.stack.imgur.com/w0rGt.png" rel="nofollow noreferrer"&gt;&lt;img src="https://i.stack.imgur.com/w0rGt.png" alt="enter image description here"&gt;&lt;/a&gt;&lt;/p&gt;
&lt;p&gt;I'm trying to filter out rows on a particular column being blank. It doesn't seem to be delegable. I'm using sharepoint list as a datasource.&lt;/p&gt;
</t>
  </si>
  <si>
    <t xml:space="preserve">&lt;p&gt;It may be worth to try this:&lt;/p&gt;
&lt;p&gt;&lt;code&gt;Time_Out=Blank()&lt;/code&gt;&lt;/p&gt;
&lt;p&gt;I have found in some cases that this may be delegated whereas IsBlank() is not.&lt;/p&gt;
&lt;p&gt;This is not documented anywhere, PowerApps documentation has a long way to go.&lt;/p&gt;
</t>
  </si>
  <si>
    <t xml:space="preserve">&lt;p&gt;Pass value to the attributes of a lightning component from the visual force page.&lt;/p&gt;
</t>
  </si>
  <si>
    <t xml:space="preserve">&lt;p&gt;This is a follow-up question to the answer &lt;a href="https://stackoverflow.com/questions/47820165/how-to-include-a-relation-of-a-relation-in-an-appmaker-table-field"&gt;here&lt;/a&gt;. In App Maker, if one has Model called Contacts, with a relational field called Owner (which refers to another Contact record within the Contact Model), how many levels deep can be accessed by a widget?&lt;/p&gt;
&lt;p&gt;Could you have @datasource.item.Contact.Owner.Owner.Owner.Owner etc, to be able to show the contact and its owners many levels up?&lt;/p&gt;
</t>
  </si>
  <si>
    <t xml:space="preserve">&lt;p&gt;I need to identify a Customer who is NON-Starter of the Loan Schedule, Which means he did not pay the first EMI Schedule. and i need to know who are all paid 10 EMI Schedules and not Paid customers.&lt;/p&gt;
&lt;p&gt;Note: This needs to be achieved with simple query statements. I can't use the PARTITION, OVER, LAG kind of Keywords. I can use UNION, JOIN, LEFT JOIN and INNER JOIN.&lt;/p&gt;
&lt;p&gt;For the First one, Non Starter Customer, I wrote a query like this but i suspect i am missing some records:&lt;/p&gt;
&lt;pre&gt;&lt;code&gt;    SELECT  a.LoanID, 
            if(Case when a.SchedulePaymentDate  = b.TransactionDate AND a.DemandAmount - b.Collectionamount  = 0 then a.InstallmentNo end, 0, 1) as NonStarter 
   FROM  Schedule a 
     JOIN Collection b ON a.LoanID = b.LoanID AND   a.InstallmentNo  = 1
&lt;/code&gt;&lt;/pre&gt;
&lt;p&gt;I am not sure if this is efficient or not, but what i am doing is, Checking the 1st Schedule date and collection date matching and Subtracting the Collection Amount from the Demand which should be zero then i am saying a flag 0 which Loan Starter otherwise the flag is 1 so he is a Non Starter of the loan. &lt;/p&gt;
&lt;p&gt;For the 2nd One, HOw do we identify whether we have collected 10 EMI/Schedules? 
I am able to write the query for getting the summary value till 10 EMIs and the Date of the 10th EMI but i am not getting how to JOIN or apply a condition that these 10 EMI demand has been collected? I need to know both of the lOans with 10 Emis collected or not. EMI schedule will 18 to 24 Months usually. &lt;/p&gt;
&lt;p&gt;Please give me the better approach not to miss any Loan whether a Loan Starter and non starter. &lt;/p&gt;
&lt;p&gt;Table schemas given below: &lt;/p&gt;
&lt;pre&gt;&lt;code&gt;Schedule: LoanID, PaymentDate, DemandAmount, InstallmentNo
Collection: LoanID, TransactionDate, CollectionAmount
&lt;/code&gt;&lt;/pre&gt;
&lt;p&gt;Thanks in advance. &lt;/p&gt;
</t>
  </si>
  <si>
    <t xml:space="preserve">&lt;p&gt;I am using the Service Desk template in Microsoft PowerApps.&lt;/p&gt;
&lt;p&gt;However, I would like to modify the Dashboard with a date picker (called “DatePicker2”)&lt;/p&gt;
&lt;p&gt;For “All tickets” there is this Onselect formula;
&lt;strong&gt;If(ThisItem.TicketTypes="All tickets";UpdateContext({type:"All"});&lt;/strong&gt;&lt;/p&gt;
&lt;p&gt;I would like to show all tickets, but based on the value in DatePicker2 (correlates to the CreatedDate in the “Tickets”- table.  &lt;/p&gt;
&lt;p&gt;Any ideas on how to modify the Onselect formula?&lt;/p&gt;
&lt;p&gt;Best regards Ola &lt;/p&gt;
</t>
  </si>
  <si>
    <t xml:space="preserve">&lt;p&gt;I modified the OnSelect formula as following and worked:&lt;/p&gt;
&lt;p&gt;&lt;strong&gt;If(ThisItem.TicketTypes="All tickets",UpdateContext({datetype:Text(DatePicker2.SelectedDate),type:"All"});&lt;/strong&gt;&lt;/p&gt;
&lt;p&gt;You will also need to update the formula for the Items in TicketsGallery to:&lt;/p&gt;
&lt;p&gt;&lt;strong&gt;If(type="All",Filter(Tickets,datetype in DateCreated)&lt;/strong&gt;&lt;/p&gt;
</t>
  </si>
  <si>
    <t xml:space="preserve">&lt;p&gt;I have created a page with a table widget which contains icon buttons that are connected to an edit page and a review page.
&lt;img src="https://i.stack.imgur.com/0w5DW.png" alt="the widget"&gt;
I would prevent App Maker from displaying the buttons permanently. The buttons should only be shown for a selected record. Is there a way to do this in CSS or do I have to add a hide/unhide script to the onclick-event of the record? I would also like to know how I can format the date in the record as dd/mm/yyyy.&lt;/p&gt;
</t>
  </si>
  <si>
    <t xml:space="preserve">&lt;p&gt;You need to add the following built-in App Maker CSS class to the button:
&lt;code&gt;visibleOnAncestorHover&lt;/code&gt;. You can reverse-engineer how the delete button is implemented:&lt;/p&gt;
&lt;p&gt;&lt;a href="https://i.stack.imgur.com/TPt5r.png" rel="nofollow noreferrer"&gt;&lt;img src="https://i.stack.imgur.com/TPt5r.png" alt="CSS style"&gt;&lt;/a&gt;&lt;/p&gt;
</t>
  </si>
  <si>
    <t xml:space="preserve">&lt;p&gt;I'm really a beginner with Appmaker.
How can I get events from a specific calendar instead of the default calendar?&lt;/p&gt;
&lt;p&gt;I've try several thing but I need little help.&lt;/p&gt;
&lt;p&gt;I've try to call CalendarApp.getCalendarsByName(""); instead of CalendarApp.getDefaultCalendar()&lt;/p&gt;
&lt;p&gt;But I'm stuck&lt;/p&gt;
&lt;p&gt;Any hints?&lt;/p&gt;
&lt;pre&gt;&lt;code&gt; /**
 * Gets Calendar events.
 * @param {Query} query - data query with parameters.
 * @return {Array&amp;lt;Event&amp;gt;} events from Calendar.
 */
function getEvents_(query) {
  var startDate = query.parameters.StartDate;
  startDate.setHours(0, 0, 0, 0);
  var endDate = query.parameters.EndDate;
  endDate.setDate(endDate.getDate() + 1);
  endDate.setHours(0, 0, 0, 0);
  if (startDate.getTime() &amp;gt; endDate.getTime()) {
    return [];
  }
  var results = [];
  var events = CalendarApp.getDefaultCalendar().getEvents(startDate,endDate);
  events.forEach(function(item) {
var event = app.models.Events.newRecord();
event.StartDate = item.getStartTime();
event.EndDate = item.getEndTime();
event.Title = item.getTitle();
event.Color = item.getColor();
results.push(event);
  });
return results;
}
&lt;/code&gt;&lt;/pre&gt;
</t>
  </si>
  <si>
    <t xml:space="preserve">&lt;p&gt;I'm following &lt;a href="https://docs.microsoft.com/en-us/powerapps/maker/canvas-apps/functions/function-dateadd-datediff" rel="nofollow noreferrer"&gt;this article&lt;/a&gt; on dates below, it gives this formula to convert to UTC,&lt;/p&gt;
&lt;p&gt;&lt;a href="https://i.stack.imgur.com/EKW5N.png" rel="nofollow noreferrer"&gt;&lt;img src="https://i.stack.imgur.com/EKW5N.png" alt="enter image description here"&gt;&lt;/a&gt;&lt;/p&gt;
&lt;p&gt;I'm using this to update data in a sharepoint list,&lt;/p&gt;
&lt;p&gt;This is the code that is bound to the OnSuccess(submit) of the FormControl.&lt;/p&gt;
&lt;p&gt;&lt;a href="https://i.stack.imgur.com/QBM8X.png" rel="nofollow noreferrer"&gt;&lt;img src="https://i.stack.imgur.com/QBM8X.png" alt="enter image description here"&gt;&lt;/a&gt;&lt;/p&gt;
&lt;p&gt;Result,&lt;/p&gt;
&lt;p&gt;it's now 5:30pm. But sharepoint gives me 6:30 pm the previous day. Am I missing something? &lt;/p&gt;
&lt;p&gt;Debugging notes,&lt;/p&gt;
&lt;ul&gt;
&lt;li&gt;Now() - gives me correct localtime in powerapps&lt;/li&gt;
&lt;li&gt;TimeZoneOffset() = -480&lt;/li&gt;
&lt;li&gt;Running on mobile, gives the same result.&lt;/li&gt;
&lt;li&gt;Not converting to UTC before updating sharepoint gives 11:54pm today. When it's actually 2:54pm.&lt;/li&gt;
&lt;/ul&gt;
</t>
  </si>
  <si>
    <t xml:space="preserve">&lt;p&gt;I have created a tabs widget that contains a table widget on the first tab. Whenever a record in the table widget is selected, the focus should switch from the first tab to the second tab as this contains more detailed data regarding the record. How can I implement such a script? Is there something like &lt;/p&gt;
&lt;pre&gt;&lt;code&gt;app.currentpage.tabs.selectedtab = ... 
&lt;/code&gt;&lt;/pre&gt;
</t>
  </si>
  <si>
    <t xml:space="preserve">&lt;p&gt;To select second tab you can use this code snippet:&lt;/p&gt;
&lt;pre class="lang-javascript prettyprint-override"&gt;&lt;code&gt;// Setting selected tab index to 1 since indices are zero-based.
app.currentPage.descendants.MyTabsWidgetName.selectedTab = 1;
&lt;/code&gt;&lt;/pre&gt;
&lt;p&gt;This code can be placed in &lt;code&gt;onClick&lt;/code&gt; event handler of the table's row.&lt;/p&gt;
</t>
  </si>
  <si>
    <t xml:space="preserve">&lt;p&gt;How to save textbox value in the database
&lt;a href="https://i.stack.imgur.com/pK0OC.png" rel="nofollow noreferrer"&gt;&lt;img src="https://i.stack.imgur.com/pK0OC.png" alt="How to save textbox value in the database"&gt;&lt;/a&gt; 
(Textbox  value populated based on other textbox input value)&lt;/p&gt;
</t>
  </si>
  <si>
    <t xml:space="preserve">&lt;p&gt;Solutions proposed in comments to the question seem to be reasonable, but I would offer one more if you don't mind. If &lt;code&gt;TotalRate&lt;/code&gt; field's value is somehow important/vulnerable then I would never store it in database to avoid possible malicious manipulations from app users. In case there is some good reason/requirement to store calculated value in database I would go with calculation on the server side and handle it in &lt;code&gt;onBeforeCreate&lt;/code&gt; and &lt;code&gt;onBeforeSave&lt;/code&gt; &lt;a href="https://developers.google.com/appmaker/models/events" rel="nofollow noreferrer"&gt;model events&lt;/a&gt;:&lt;/p&gt;
&lt;pre class="lang-javascript prettyprint-override"&gt;&lt;code&gt;// onBeforeCreate/onBeforeSave event handlers
record.TotalRate = record.PerHourRate * record.HoursNumber;
&lt;/code&gt;&lt;/pre&gt;
</t>
  </si>
  <si>
    <t xml:space="preserve">&lt;p&gt;I'm trying to understand if it is possible to create a folder in Users or Team Drive and add files to that folder (with drive picker).&lt;/p&gt;
&lt;p&gt;Any of you have already executed this?&lt;/p&gt;
&lt;p&gt;My use case:&lt;/p&gt;
&lt;p&gt;Create a Driver with a driver license number
when adding this item to DB: create a fodler in user/Team drive with license number
next screen is to user upload files to that folder.&lt;/p&gt;
&lt;p&gt;Is this possible?&lt;/p&gt;
&lt;p&gt;Tried to use this: &lt;a href="https://developers.google.com/apps-script/reference/drive/drive-app#addFolder(Folder)" rel="nofollow noreferrer"&gt;https://developers.google.com/apps-script/reference/drive/drive-app#addFolder(Folder)&lt;/a&gt;&lt;/p&gt;
&lt;p&gt;But not even can add this script to my application&lt;/p&gt;
&lt;p&gt;regards&lt;/p&gt;
</t>
  </si>
  <si>
    <t xml:space="preserve">&lt;p&gt;DrivePicker widget provides you various events via which you need to handle this use case. I would suggest you to use &lt;code&gt;onDocumentSelect&lt;/code&gt; event in which you can call your method. In the method you can make a server method call. In the server method use &lt;code&gt;DriveApp&lt;/code&gt; API to create folder, files etc. Hope this helps.&lt;/p&gt;
</t>
  </si>
  <si>
    <t xml:space="preserve">&lt;p&gt;I'm trying to get a DropDown list in my PowerApps app to connect its Items to a specific group of users, with help of  Azure.
In other words: populate the DropDown with a list of names, e.g. the members of the Economics group I have created elsewhere.
Apparently, following the link: &lt;a href="https://powerusers.microsoft.com/t5/General-Discussion/Import-a-List-of-users-from-Azure-AD-Group/td-p/54160" rel="nofollow noreferrer"&gt;https://powerusers.microsoft.com/t5/General-Discussion/Import-a-List-of-users-from-Azure-AD-Group/td-p/54160&lt;/a&gt; ,
in PowerApps this is not working as-is:&lt;/p&gt;
&lt;pre&gt;&lt;code&gt;Items = AzureAD.GetGroupMembers("xxxxxxxx-xxxxx-xxxx-xxxx-xxxxxxxxxxxx").value
&lt;/code&gt;&lt;/pre&gt;
&lt;p&gt;(Error: "Calling an unknown or not supported function").
I suspect I have to go to the Azure portal and enable something in Azure AD to get it to work, but I feel a bit intimidated before the sheer amount of settings and options
available here. Could anybody please give some guidance?&lt;/p&gt;
&lt;p&gt;EDIT: I must not necessarily have Azure doing this (someway it feels like calling the fire department to fill a glass of water for me). If I could do it some other way, feel free to tell me!  &lt;/p&gt;
</t>
  </si>
  <si>
    <t xml:space="preserve">&lt;p&gt;Before the AzureAD.GetGroupMembers will be recognised in your app, you have to:&lt;/p&gt;
&lt;ol&gt;
&lt;li&gt;&lt;a href="https://docs.microsoft.com/en-us/powerapps/maker/canvas-apps/add-manage-connections" rel="nofollow noreferrer"&gt;Add Azure AD to your connections in the PowerApps portal&lt;/a&gt;&lt;/li&gt;
&lt;li&gt;&lt;a href="https://docs.microsoft.com/en-us/powerapps/maker/canvas-apps/add-data-connection" rel="nofollow noreferrer"&gt;Add the Azure AD connection to your app&lt;/a&gt;&lt;/li&gt;
&lt;/ol&gt;
</t>
  </si>
  <si>
    <t xml:space="preserve">&lt;p&gt;I am creating lightning component dynamically. On callback, I am facing a strange error which should not come. &lt;/p&gt;
&lt;pre&gt;&lt;code&gt; $A.createComponent(
            "c:TestComponent",
            {
                parameter1 : "hey"
            },
            function(newComponent, status){
                    var con = component.find('container');
                    if (component.isValid() &amp;amp;&amp;amp; con.isValid() &amp;amp;&amp;amp; status === 'SUCCESS') {
                        var body = con.get("v.body");
                        body.push(newComponent);
                        con.set("v.body", body);
                    }                
            });
&lt;/code&gt;&lt;/pre&gt;
&lt;p&gt;and .cmp file I have &lt;/p&gt;
&lt;pre&gt;&lt;code&gt;&amp;lt;div aura:id="container" class="slds-align-top"&amp;gt; 
&amp;lt;/div&amp;gt;
&lt;/code&gt;&lt;/pre&gt;
&lt;p&gt;and I am getting error in if condition. &lt;/p&gt;
&lt;pre&gt;&lt;code&gt;con.isValid is not a function
&lt;/code&gt;&lt;/pre&gt;
&lt;p&gt;Since container itself is not valid, I am not able to read the body of container where I want to include newly created component? 
What is wrong?&lt;/p&gt;
</t>
  </si>
  <si>
    <t xml:space="preserve">&lt;p&gt;I have a list box (called «Month») in my form called Dashboard.
However, I’m struggling to automatically update the values(Gallery) in the form when I change the month in the list box. &lt;/p&gt;
&lt;p&gt;As of now, I need to click on the “Filtergallery” before the values change.
Does anyone have an “On change - update all” formula that would solve this?&lt;/p&gt;
&lt;p&gt;Best regards
Ola &lt;/p&gt;
</t>
  </si>
  <si>
    <t xml:space="preserve">&lt;p&gt;PowerApps does not normally need actions to update items.
You should set the Items property of your gallery to something like&lt;/p&gt;
&lt;pre&gt;&lt;code&gt;Filter(MyTable, MyMonthColumn=Month.Selected.Value)
&lt;/code&gt;&lt;/pre&gt;
&lt;p&gt;The items displayed in the gallery should change automatically when the selected month is changed.&lt;/p&gt;
</t>
  </si>
  <si>
    <t xml:space="preserve">&lt;p&gt;How to do some date validation here so that when user enter &lt;strong&gt;end date&lt;/strong&gt; less than &lt;strong&gt;start date&lt;/strong&gt; it will prompt error to user? Is there any built in function made by AppMaker? Thanks for sharing!&lt;/p&gt;
&lt;p&gt;&lt;a href="https://i.stack.imgur.com/GdQ6p.png" rel="nofollow noreferrer"&gt;&lt;img src="https://i.stack.imgur.com/GdQ6p.png" alt="enter image description here"&gt;&lt;/a&gt;&lt;/p&gt;
</t>
  </si>
  <si>
    <t xml:space="preserve">&lt;p&gt;I am trying to generate a report of all access permissions currently various users have in Team Drive. Is there any API in Appscript to Fetch this data? &lt;/p&gt;
</t>
  </si>
  <si>
    <t xml:space="preserve">&lt;p&gt;There doesn't seem to be any method for getting Drive permissions sorted by username, so you will need to implement this business logic yourself. According to the documentation, sending a GET request to the API endpoint below will get you the list of permissions for the Team Drive (use Team Drive ID instead of file id):&lt;/p&gt;
&lt;blockquote&gt;
  &lt;p&gt;&lt;a href="https://www.googleapis.com/drive/v3/files/fileId/permissions" rel="nofollow noreferrer"&gt;https://www.googleapis.com/drive/v3/files/fileId/permissions&lt;/a&gt;&lt;/p&gt;
&lt;/blockquote&gt;
&lt;p&gt;I don't have any Team Drives set up - the example below is based on getting permissions for a single file using Drive REST API. Before the code can be executed, you must prove your identity by including API key in URL parameters and passing OAuth token in the headers of your 'GET'request. 
The API key can be obtained from Google Cloud console. Enable the Drive API and click the key icon in the left menu to set up credentials. Choose "API key" from the drop-down and copy the value. &lt;/p&gt;
&lt;p&gt;Your script must pass the token that includes all required authorization scopes to the API endpoint. OAuth scopes are set explicitly in the manifest file. In Script Editor, select "View - Show manifest file" and add relevant scopes.  Scopes used in my manifest file are for accessing Drive Files and calling external services via UrlFetchApp:&lt;/p&gt;
&lt;pre&gt;&lt;code&gt; "oauthScopes": [
  "https://www.googleapis.com/auth/drive",
  "https://www.googleapis.com/auth/script.external_request"]
&lt;/code&gt;&lt;/pre&gt;
&lt;p&gt;Finally, get the list of permissions for the file:&lt;/p&gt;
&lt;pre&gt;&lt;code&gt;  var fileId = "FILE_ID";
    var apiKey = "API_KEY";
    var apiUrl = "https://www.googleapis.com/drive/v3/files/fileId/permissions";
    var token = ScriptApp.getOAuthToken();
    var header = {"Authorization":"Bearer " + token};
    var options = {
    "method":"GET",
    "headers": header,
    "muteHttpExceptions": true
    };
    var res = UrlFetchApp.fetch(apiUrl.replace("fileId", fileId) + "?key=" + apiKey, options)
                         .getContentText();
        var permissions = JSON.parse(res);
        Logger.log(permissions);
&lt;/code&gt;&lt;/pre&gt;
</t>
  </si>
  <si>
    <t xml:space="preserve">&lt;p&gt;I have built a review app based on Google's "people viewer" template that allows managers to create and edit reviews for their direct reports. &lt;/p&gt;
&lt;ul&gt;
&lt;li&gt;The app contains the directory model as well as three roles: Admins, HR, EndUsers. &lt;/li&gt;
&lt;li&gt;The app contains a user settings model that allows to create and store user settings similar to the "people skills" template.&lt;/li&gt;
&lt;li&gt;The app contains a review model that will contain the reviews for every employee. As one employee can have several reviews, this will be a one-to-many relation, either linked to directory model or user settings model.&lt;/li&gt;
&lt;/ul&gt;
&lt;p&gt;The reviews should be readable by managers chain of manager. For this I have created a server script, assuming that the EmployeeEmail will be additionally stored in the review. But maybe there is a better alternative?&lt;/p&gt;
&lt;pre&gt;&lt;code&gt;function getDirectReportsChainForUser_(query) {
  var userQuery = app.models.Directory.newQuery();
  userQuery.filters.PrimaryEmail._equals = query.parameters.PrimaryEmail;
  userQuery.prefetch.DirectReports._add();
  userQuery.prefetch.DirectReports.DirectReports._add();
  var users = userQuery.run();
  if (users.length === 0) {
   return [];
  }
  var user = users[0];
  var directs = user.DirectReports;
  var records = [];
  for (var i = 0; i &amp;lt;= directs.length; i++) {
    records.push(directs[i].PrimaryEmail);
  }
  // The following lines are based on the asumption that the EmployeeEmail 
  // will be stored in the review in case that there is no better alternative. 
  //The question that then remains is how to recursively add the DirectReports 
  //of the DirectReports to the array???
  var reviewQuery = app.models.Reviews.newQuery();
  reviewQuery.filters.EmployeeEmail._in = records; 
 return reviewQuery.run();
}
&lt;/code&gt;&lt;/pre&gt;
&lt;p&gt;The manager should be able to define whether one or more of his deputies can read the reviews for his unit, too. My idea was to solve this issue through a many-to-many relation between the directory and review model, but I am not sure how to implement it?&lt;/p&gt;
&lt;p&gt;Furthermore, once a manager or his deputy departures, it should be possible for the Admin to dissolve the connection and to reconnect the reviews to a successor. Therefore I was thinking about integrating a multiselect in the admin page. Would this be feasible?&lt;/p&gt;
</t>
  </si>
  <si>
    <t xml:space="preserve">&lt;p&gt;Here I see at least two distinct questions:&lt;/p&gt;
&lt;blockquote&gt;
  &lt;p&gt;is there better way to associate directory model's record and ordinary data model than just adding primary email field to the data model&lt;/p&gt;
&lt;/blockquote&gt;
&lt;p&gt;Nope, at this time it is not possible to establish relations between data (SQL/Drive Tables) and directory models.&lt;/p&gt;
&lt;blockquote&gt;
  &lt;p&gt;how to recursively get all direct reports for a user&lt;/p&gt;
&lt;/blockquote&gt;
&lt;p&gt;App Maker's Directory Model is a wrapper on top of &lt;a href="https://developers.google.com/admin-sdk/directory/" rel="nofollow noreferrer"&gt;G Suit Admin SDK's Directory API&lt;/a&gt; that exposes just a small subset of its powerful features. When you add Directory Model App Maker automatically plugs in correspondent Apps Script advance service:&lt;/p&gt;
&lt;p&gt;&lt;a href="https://i.stack.imgur.com/dgzMv.png" rel="nofollow noreferrer"&gt;&lt;img src="https://i.stack.imgur.com/dgzMv.png" alt="Directory model and Directory API"&gt;&lt;/a&gt;&lt;/p&gt;
&lt;p&gt;Since we already have configured Directory API we can unleash its full power and easily fetch all manger's subordinates with a single call (or multiple if you have a need to support paging). In order to do that we will use &lt;a href="https://developers.google.com/admin-sdk/directory/v1/reference/users/list" rel="nofollow noreferrer"&gt;Users.List&lt;/a&gt; API method with &lt;code&gt;managerId&lt;/code&gt; query parameter (the only one that allows us to query all subordinates down the tree). Here are reference for the minimal set of search query parameters quoted from the full &lt;a href="https://developers.google.com/admin-sdk/directory/v1/guides/search-users" rel="nofollow noreferrer"&gt;search documentation&lt;/a&gt; (without those parameters query would not work or wouldn't work in a way we need):&lt;/p&gt;
&lt;ul&gt;
&lt;li&gt;&lt;strong&gt;managerId&lt;/strong&gt;: The ID of a user's manager either directly or up the management chain.&lt;/li&gt;
&lt;li&gt;&lt;strong&gt;domain&lt;/strong&gt;: The domain name. Use this field to get fields from only one domain. To return all domains for a customer account, use the &lt;code&gt;customer&lt;/code&gt; query parameter instead. Either the &lt;code&gt;customer&lt;/code&gt; or the &lt;code&gt;domain&lt;/code&gt; parameter &lt;strong&gt;must be provided&lt;/strong&gt;.&lt;/li&gt;
&lt;li&gt;&lt;strong&gt;viewType&lt;/strong&gt;: Whether to fetch the administrator-only or domain-wide public view of the user. For more information, see &lt;a href="https://developers.google.com/admin-sdk/directory/v1/guides/manage-users#retrieve_users_non_admin" rel="nofollow noreferrer"&gt;Retrieve a user as a non-administrator&lt;/a&gt; (&lt;code&gt;admin_view&lt;/code&gt; is default value so we need to override it with &lt;code&gt;domain_view&lt;/code&gt;). &lt;/li&gt;
&lt;li&gt;&lt;strong&gt;query&lt;/strong&gt;: Query string for searching user fields. For more information on constructing user queries, see &lt;a href="https://developers.google.com/admin-sdk/directory/v1/guides/search-users" rel="nofollow noreferrer"&gt;Search for Users&lt;/a&gt;.&lt;/li&gt;
&lt;/ul&gt;
&lt;pre class="lang-javascript prettyprint-override"&gt;&lt;code&gt;/**
 * Fetches all reviews associated with all subordinate employees (both direct
 * and indirect reports).
 */
function getAllReportsEmails(managerId) {
  var emails = [];
  var result = AdminDirectory.Users.list({
    domain: 'ENTER HERE YOUR DOMAIN (exapmle.com)',
    query: 'managerId=' + managerId,
    viewType: 'domain_public',
    maxResults: 100
  });
  if (result.users) {
    emails = result.users.map(function (user) {
      return user.primaryEmail;
    });
  }
  return emails;
}
/**
 * Fetches all reviews associated with all subordinate employees (both direct
 * and indirect reports).
 */
function getAllReportsReviewsForManager_(query) {
  var userQuery = app.models.Directory.newQuery();
  // For better security I would recommend to use
  // Session.getActiveUser().getEmail() instead of parameter
  // passed from the client.
  userQuery.filters.PrimaryEmail._equals = Session.getActiveUser().getEmail();
  var users = userQuery.run();
  if (users.length === 0) {
   return [];
  }
  var manager = users[0];
  var managerId = manager._key;
  var allReportsEmails = getAllReportsEmails(managerId);
  var reviewQuery = app.models.Reviews.newQuery();
  reviewQuery.filters.EmployeeEmail._in = allReportsEmails; 
  return reviewQuery.run();
}
&lt;/code&gt;&lt;/pre&gt;
</t>
  </si>
  <si>
    <t xml:space="preserve">&lt;p&gt;Is there a simpler way to do tool tip text when ever I hover thru the following &lt;strong&gt;button&lt;/strong&gt; in Google App Maker?&lt;/p&gt;
&lt;p&gt;&lt;a href="https://i.stack.imgur.com/yOtxV.png" rel="nofollow noreferrer"&gt;&lt;img src="https://i.stack.imgur.com/yOtxV.png" alt="button"&gt;&lt;/a&gt;&lt;/p&gt;
</t>
  </si>
  <si>
    <t xml:space="preserve">&lt;p&gt;Go to the &lt;strong&gt;Other&lt;/strong&gt; section of the &lt;strong&gt;Property Editor&lt;/strong&gt;. The title field should give you what you need.&lt;/p&gt;
&lt;p&gt;&lt;img src="https://i.stack.imgur.com/BUK2D.png" alt="1]"&gt;&lt;/p&gt;
</t>
  </si>
  <si>
    <t xml:space="preserve">&lt;p&gt;I have 9 Business Units in Marketing Cloud and I have 1 user that is integrated with Sales Cloud. Now initially I had 2 BUs in MC and those 2 BUs were integrated with SC during Connector set up. Now, that I have more BUs in MC and I want to include those in SC as well, I logged in to SC -&gt; Marketing Cloud -&gt; Configure Marketing cloud Connector -&gt; Manage Business Units&lt;/p&gt;
&lt;p&gt;I am getting this error on SC: &lt;em&gt;Sorry, something went wrong.We weren't able to retrieve your business units. Check to make sure you have permission to access these business units and try again. Need more help? Turn on logging and open a support case in the Help and Training portal.&lt;/em&gt; And to clarify here itself, no permissions were changed. The permissions I had earlier when I integrated those 2 BUs, same set of permissions I possess now, too.&lt;/p&gt;
&lt;p&gt;Since the new BUs are not integrated with SC, I am unable to trigger journeys in MC on creation /updation of objects.&lt;/p&gt;
&lt;p&gt;Any suggestions on this?&lt;/p&gt;
</t>
  </si>
  <si>
    <t xml:space="preserve">&lt;p&gt;I've been building a sort of people search app in powerapps using the org browser template made by MS and it works nicely but I'm keep having on issue that I wasn't able to find a solution for anywhere on the net.&lt;/p&gt;
&lt;p&gt;As part of the search I'm fetching user photo from azure AD through the Office365Users connector but when there isn't any photo and the call returns NULL there is an error displayed to the user.&lt;/p&gt;
&lt;p&gt;I tested a bit and seems to be a thing anytime I call something using this connector that returns null. I get that there is warning in the designer when null is returned but why is it showing to users and how to get rid of it.&lt;/p&gt;
&lt;p&gt;I tried to put validation in place checking if there is an image and if not to display a placeholder but the check it self is what triggers the error.&lt;/p&gt;
&lt;pre&gt;&lt;code&gt;Office365Users.UserPhoto(EmployeeId)
&lt;/code&gt;&lt;/pre&gt;
&lt;p&gt;This is the call I'm doing and here are samples of the error:&lt;/p&gt;
&lt;p&gt;&lt;a href="https://i.stack.imgur.com/ZNR2N.png" rel="nofollow noreferrer"&gt;Win10 Chrome&lt;/a&gt;&lt;/p&gt;
&lt;p&gt;&lt;a href="https://i.stack.imgur.com/NQgyT.png" rel="nofollow noreferrer"&gt;iOs powerapps app&lt;/a&gt;&lt;/p&gt;
</t>
  </si>
  <si>
    <t xml:space="preserve">&lt;p&gt;I would to make the field descriptions and label texts in my pages multi-lingual. Originally they are in English and I could let the user translate them through Google Translate. In order to avoid translation errors I would like to implement a translation data model that contains&lt;/p&gt;
&lt;ul&gt;
&lt;li&gt;FieldDisplayName / LabelText&lt;/li&gt;
&lt;li&gt;FieldDisplayName_DE&lt;/li&gt;
&lt;li&gt;FieldDisplayName_FR&lt;/li&gt;
&lt;li&gt;FieldDisplayName_IT&lt;/li&gt;
&lt;li&gt;etc.&lt;/li&gt;
&lt;/ul&gt;
&lt;p&gt;All the pages contain a page header fragment that contains a menu button, searchbox etc. like in the &lt;strong&gt;Starter App&lt;/strong&gt; template. I am planning on integrating a dropdown widget in the page header that allows to choose between the languages (DE,EN,FR,IT,...). Is it possible to bind the display name to the user's selection? How would I have to implement that?&lt;/p&gt;
</t>
  </si>
  <si>
    <t xml:space="preserve">&lt;p&gt;The easiest way (to implement/use/maintain) that would provide highest possible translation quality will be introducing Translation data model with the following structure:&lt;/p&gt;
&lt;pre&gt;&lt;code&gt;+----+--------+------------+------------+------------+-----+
| Id | Locale | FirstName  | LastName   | Age        | ... |
+----+--------+------------+------------+------------+-----+
| 1  | EN     | First name | Last name  | Age        | ... |
+----+--------+------------+------------+------------+-----+
| 2  | RU     | Имя        | Фамилия    | Возраст    | ... |
+----+--------+------------+------------+------------+-----+
| 3  | DE     | Voornaam   | Achternaam | Leeftijd   | ... |
+----+--------+------------+------------+------------+-----+
| 4  | ...    | ...        | ....       | ...        | ... |
+----+--------+------------+------------+------------+-----+
&lt;/code&gt;&lt;/pre&gt;
&lt;p&gt;In this model every column represents unique label within your app and every row represents labels's translations for supported languages. This model can be easily used in label bindings:&lt;/p&gt;
&lt;pre class="lang-javascript prettyprint-override"&gt;&lt;code&gt;@datasources.UserTranslations.item.FieldNameToTranslate
&lt;/code&gt;&lt;/pre&gt;
&lt;p&gt;Maintaining these translation will be easy as well, just drag and drop editable table on UI.&lt;/p&gt;
&lt;p&gt;Here is a &lt;a href="https://developers.google.com/appmaker/models/datasources#query_script" rel="nofollow noreferrer"&gt;query script&lt;/a&gt; for the UserTranslations datasource:&lt;/p&gt;
&lt;pre class="lang-javascript prettyprint-override"&gt;&lt;code&gt;// Assuming that you already have robust user settings implementation.
var userSettings = getUserSettings_();
var query = app.models.Translation.newQuery();
query.filters.Locale._equals = userSettings.Locale;
return query.run();
&lt;/code&gt;&lt;/pre&gt;
&lt;p&gt;Radically &lt;strong&gt;different implementation&lt;/strong&gt; will be &lt;/p&gt;
&lt;ol&gt;
&lt;li&gt;Introducing &lt;a href="https://developers.google.com/appmaker/models/calculated" rel="nofollow noreferrer"&gt;Calculated Model&lt;/a&gt; with the same set of fields as in the previous approach&lt;/li&gt;
&lt;li&gt;Using &lt;a href="https://developers.google.com/appmaker/scripting/api/server#ModelMetadata" rel="nofollow noreferrer"&gt;Model Metadata API&lt;/a&gt; to extract display names from the model's fields&lt;/li&gt;
&lt;li&gt;Translate fields using &lt;a href="https://developers.google.com/apps-script/reference/language/" rel="nofollow noreferrer"&gt;Translate API&lt;/a&gt;&lt;/li&gt;
&lt;li&gt;Populate calculated model record with translated values&lt;/li&gt;
&lt;/ol&gt;
&lt;p&gt;Here is super high level server &lt;strong&gt;&lt;em&gt;pseudo script&lt;/em&gt;&lt;/strong&gt; for that flow:&lt;/p&gt;
&lt;pre class="lang-javascript prettyprint-override"&gt;&lt;code&gt;var userLocale = getUserLocaleFromUserSettings();
var fieldsDisplayNames = getFieldsDisplayNames(app.models.Translation);
var translations = translate(fieldsDisplayNames, 'en', userLocale);
var record = app.models.Translation.newRecord();
mapRecordFieldsToTranslations(record, translations);
return [record];
&lt;/code&gt;&lt;/pre&gt;
</t>
  </si>
  <si>
    <t xml:space="preserve">&lt;p&gt;I want a little guidance, because I haven't found the explanation I need yet.&lt;/p&gt;
&lt;p&gt;I'm developing a website on Google App Maker, and I want to use on Google Map Widget a Draggable Marker.&lt;/p&gt;
&lt;p&gt;All the info I have found, is like for an external website including HTML and JavaScript libraries. The error is shown when I type:&lt;/p&gt;
&lt;pre&gt;&lt;code&gt;var marker = new google.maps.Marker({
  position: latlon,
  map: map,
  draggable: true,
  title:"Drag me!"
});
&lt;/code&gt;&lt;/pre&gt;
&lt;blockquote&gt;
  &lt;p&gt;"Uncaught TypeError: google.maps.Marker is not a constructor
  at var marker = new google.maps.Marker ({ (NewScript1: 143) ".&lt;/p&gt;
&lt;/blockquote&gt;
&lt;p&gt;I have tried in client side script, and in server side script.&lt;/p&gt;
&lt;p&gt;Question, if I want to use a marker I need to add libraries to appmaker?&lt;/p&gt;
</t>
  </si>
  <si>
    <t xml:space="preserve">&lt;p&gt;Most likely you are getting the error because you are executing your client script before Maps API is loaded. To be 100% sure that it is loaded you need to execute your code in &lt;code&gt;onAttach&lt;/code&gt; event of the Google Map Widget (maybe &lt;code&gt;onDataLoad&lt;/code&gt; one will work as well).&lt;/p&gt;
&lt;p&gt;If you want to make the &lt;code&gt;Marker&lt;/code&gt; that App Maker adds to the map by default draggable you can use this snippet:&lt;/p&gt;
&lt;pre class="lang-javascript prettyprint-override"&gt;&lt;code&gt;// Google Map widget's onAttach event handler
var marker = widget.getAddressMarkerJs();
marker.setDraggable(true);
&lt;/code&gt;&lt;/pre&gt;
&lt;p&gt;In case you want to add all-new marker(s) you can use this snippet:&lt;/p&gt;
&lt;pre class="lang-javascript prettyprint-override"&gt;&lt;code&gt;// Google Map widget's onAttach event handler
var map = widget.getMapJs();
var marker = new google.maps.Marker({
  position: { lat: 0, lng: 0 },
  map: map,
  draggable: true,
  title:"Drag me!"
});
&lt;/code&gt;&lt;/pre&gt;
&lt;p&gt;&lt;strong&gt;Bonus&lt;/strong&gt; snippet to remove default marker from the map&lt;/p&gt;
&lt;pre class="lang-javascript prettyprint-override"&gt;&lt;code&gt;// Google Map widget's onAttach event handler
var marker = widget.getAddressMarkerJs();
marker.setMap(null);
&lt;/code&gt;&lt;/pre&gt;
</t>
  </si>
  <si>
    <t xml:space="preserve">&lt;p&gt;I have a model with two fields, &lt;code&gt;Name&lt;/code&gt; and &lt;code&gt;Token&lt;/code&gt;. In my app, the user will select a record from a Dropdown populated with the &lt;code&gt;Name&lt;/code&gt; field of all records. When this happens, I need to assign the record's corresponding &lt;code&gt;Token&lt;/code&gt; value to a variable in a server script, but am not sure how to accomplish this.&lt;/p&gt;
</t>
  </si>
  <si>
    <t xml:space="preserve">&lt;p&gt;In Zoho Creator, I've got two form that needs to be linked together.&lt;/p&gt;
&lt;hr&gt;
&lt;p&gt;&lt;strong&gt;Form A:&lt;/strong&gt; Is a reward counter, where certain questions are awarded certain points, and is stored per entry, in a column called "Points_Earned".&lt;/p&gt;
&lt;p&gt;&lt;strong&gt;Form B:&lt;/strong&gt; Is an identity database, contain basic details of persons, such as name, surname, membership in DB, and so forth.&lt;/p&gt;
&lt;p&gt;The PK between the two forms is a Person Identity, in the format &lt;code&gt;"UID - Lastname, Firstname"&lt;/code&gt; (These fields appear in &lt;em&gt;Form B&lt;/em&gt; as separate columns, but in &lt;em&gt;Form A&lt;/em&gt;, displays as one concatenated string in a dropdown box, field name &lt;code&gt;Reward_Member&lt;/code&gt;).&lt;/p&gt;
&lt;hr&gt;
&lt;p&gt;&lt;strong&gt;Objective:&lt;/strong&gt;&lt;/p&gt;
&lt;p&gt;Form B has a column called &lt;code&gt;Total_Points&lt;/code&gt;, which needs to display a sum of all &lt;code&gt;Points_Earned&lt;/code&gt; for the specific UID. &lt;/p&gt;
&lt;p&gt;The SQL expression is similar to: &lt;code&gt;select SUM(Points_Earned) from Form_A where Reward_Member = Form_B.UID + " - " + Form_B.Lastname + ", " + Form_B.Firstname;&lt;/code&gt;&lt;/p&gt;
&lt;hr&gt;
&lt;p&gt;&lt;strong&gt;Problem:&lt;/strong&gt;&lt;/p&gt;
&lt;p&gt;I'm unsure how to execute the aforementioned logic in Deluge. &lt;strong&gt;I have tried the Aggregate method, but it doesn't seem to count the sum of the records&lt;/strong&gt;, and the Knowledge Base articles aren't of much help either. &lt;strong&gt;The result remains blank.&lt;/strong&gt;&lt;/p&gt;
&lt;p&gt;This is the script I have used to try to display the Sum (placed in EDIT&gt;&gt;ON_LOAD):&lt;/p&gt;
&lt;pre&gt;&lt;code&gt;//Variables
curpts = 0;
emp_lookup_val = input.Employee_ID + " - " + input.First_Name + ", " + input.Last_Name;
//Perform the sum aggregation function
curpts = Add_Loyalty_Entry[Reward_Member == input.Employee_ID].sum(Points_Earned);
//Set the Text Field Total_Points with the calc result
input.Total_Points = curpts;
&lt;/code&gt;&lt;/pre&gt;
&lt;hr&gt;
&lt;p&gt;&lt;strong&gt;Example Data:&lt;/strong&gt;&lt;/p&gt;
&lt;p&gt;&lt;strong&gt;Form A:&lt;/strong&gt;&lt;/p&gt;
&lt;pre&gt;&lt;code&gt;+---------------+---------------+
| Reward_Member | Points_Earned |
+---------------+---------------+
| 1 - Doe, John |       3       |
| 1 - Doe, John |       2       |
| 4 - Crow, Bob |       1       |
+---------------+---------------+
&lt;/code&gt;&lt;/pre&gt;
&lt;p&gt;&lt;strong&gt;Form B:&lt;/strong&gt;&lt;/p&gt;
&lt;pre&gt;&lt;code&gt;+-----+-----------+----------+
| UID | Firstname | Lastname |
+-----+-----------+----------+
|  1  |   John    |   Doe    |
|  4  |   Bob     |   Crow   |
+-----+-----------+----------+
&lt;/code&gt;&lt;/pre&gt;
&lt;hr&gt;
&lt;p&gt;&lt;strong&gt;DEBUG INFO&lt;/strong&gt;&lt;/p&gt;
&lt;p&gt;I used the following expression to see what the data stored in &lt;code&gt;Reward_Member&lt;/code&gt; looked like, and got the result showed after the expression:&lt;/p&gt;
&lt;p&gt;Expression: &lt;code&gt;alert input.Reward_Member.toString() + " earned " + input.Points_Earned + " Point(s).";&lt;/code&gt;
Result: &lt;code&gt;3485853000000015046 earned 1 Point(s).&lt;/code&gt; ... Looks like BigInt&lt;/p&gt;
</t>
  </si>
  <si>
    <t xml:space="preserve">&lt;p&gt;We are working on sandbox org which has an installed managed package.&lt;/p&gt;
&lt;p&gt;This managed package has a custom object. I had to add a button on the Lightning record detail page of the object. As this was the managed package object I was not having the edit access to the lightning page, hence I cloned the existing one and while editing the cloned one I dropped a custom lightning component from the App Builder. &lt;/p&gt;
&lt;p&gt;When deploying the changes from Sandbox to Production. I created an outbound changeset and added the new page from the Lightning Page section. 
This changeset on deploying to production fails with the message.
"Invalid Component [Related_List_View]: missing required property[SObjecttype]"&lt;/p&gt;
&lt;p&gt;Can anyone help me here? &lt;/p&gt;
</t>
  </si>
  <si>
    <t xml:space="preserve">&lt;p&gt;It looks like a known issue from Salesforce.
Check this &lt;a href="https://success.salesforce.com/issues_view?id=a1p3A000000mCJgQAM&amp;amp;title=invalid-component-force-relatedlistsinglecontainer-error-when-deploying-a-change-set-containing-a-case-lightning-page-with-an-email-related-list" rel="nofollow noreferrer"&gt;https://success.salesforce.com/issues_view?id=a1p3A000000mCJgQAM&amp;amp;title=invalid-component-force-relatedlistsinglecontainer-error-when-deploying-a-change-set-containing-a-case-lightning-page-with-an-email-related-list&lt;/a&gt;
If your issue is related to this known issue, then you have to wait or do any other workaround.
If your issue is not related to this, check the component and deploy along with its dependency.&lt;/p&gt;
</t>
  </si>
  <si>
    <t xml:space="preserve">&lt;p&gt;I want to do some research into a legitimate way to get data into Salesforce. It needs to be able to read data from a spreadsheet and then determine what action to take record by record. A given input record might result in an account, a contact, and an opportunity based on business rules. It also needs to be able to do lookups for any duplicates first and then determine what action to take record by record. It needs to be repeatable. We have data that they want to import from external systems monthly. &lt;/p&gt;
&lt;p&gt;Is there a recommended tool for importing row data into several objects such as Account, Contact and Opportunity?  One that can be used with SSIS wouldn't hurt&lt;/p&gt;
</t>
  </si>
  <si>
    <t xml:space="preserve">&lt;p&gt;Appmaker has builtins for Line and Bar charts, but not for Scatter charts.&lt;/p&gt;
&lt;p&gt;It appears that I can access &lt;a href="https://developers.google.com/apps-script/reference/charts/charts#newScatterChart()" rel="nofollow noreferrer"&gt;Charts.newScatterChart()&lt;/a&gt; from within AppMaker scripts (it shows up in the autocomplete when I try to use it in a script). However, I don't see how to display those charts in the UI.&lt;/p&gt;
&lt;p&gt;How do I use the Charts API to create a scatter chart and display it in my AppMaker UI?&lt;/p&gt;
</t>
  </si>
  <si>
    <t xml:space="preserve">&lt;p&gt;Unfortunately, App Maker will not help you a lot with charts that it doesn't support out of the box. So, we will need to go through excited journey.&lt;/p&gt;
&lt;ol&gt;
&lt;li&gt;First things first we need to figure out concurrency. We need to have chart script on the client before we receive data to render to avoid numerous reperetive checks and inline initializations. In order to do that we need to add visualization library of choice as external JavaScript resource and handle its load. In this answer I'll use &lt;a href="https://developers.google.com/chart/interactive/docs/gallery/scatterchart#creating-material-scatter-charts" rel="nofollow noreferrer"&gt;Google's Material Scatter Chart&lt;/a&gt; for reference. Here is a link to its loader library &lt;code&gt;https://www.gstatic.com/charts/loader.js&lt;/code&gt;&lt;/li&gt;
&lt;/ol&gt;
&lt;pre class="lang-javascript prettyprint-override"&gt;&lt;code&gt;// onAppStart event handler
loader.suspendLoad();
google.charts
      .load('current', { 'packages': ['scatter'] })
      .then(function(){
         loader.resumeLoad();
      });
&lt;/code&gt;&lt;/pre&gt;
&lt;p&gt;The result of the first step will look like this
&lt;a href="https://i.stack.imgur.com/blK8R.png" rel="nofollow noreferrer"&gt;&lt;img src="https://i.stack.imgur.com/blK8R.png" alt="Initialize chart"&gt;&lt;/a&gt;&lt;/p&gt;
&lt;ol start="2"&gt;
&lt;li&gt;Prepare your data model. It can be either &lt;a href="https://developers.google.com/appmaker/models/calculated" rel="nofollow noreferrer"&gt;Calculated&lt;/a&gt; or &lt;a href="https://developers.google.com/appmaker/models/cloudsql" rel="nofollow noreferrer"&gt;real one&lt;/a&gt;. The model should contain at least to numeric fields (one for x-axis and one for y-axis).&lt;/li&gt;
&lt;li&gt;Add container for the chart in can be HTML or Panel widget.&lt;/li&gt;
&lt;li&gt;Bind your widget container to the model's datasource&lt;/li&gt;
&lt;li&gt;Map datasource's items to chart's &lt;a href="https://developers.google.com/chart/interactive/docs/reference#DataTable" rel="nofollow noreferrer"&gt;DataTable&lt;/a&gt;&lt;/li&gt;
&lt;/ol&gt;
&lt;pre class="lang-javascript prettyprint-override"&gt;&lt;code&gt;// chart container's onDataLoad event handler
var data = new google.visualization.DataTable();
data.addColumn('number', 'X');
data.addColumn('number', 'Y1');
data.addColumn('number', 'Y2');
var rows = [];
widget.datasource.items.forEach(function(item) {
  rows.push([item.X, item.Y1, item.Y2]);
});
data.addRows(rows);
var chart = new google.charts.Scatter(widget.getElement());
// If you are using built-in App Maker charts you can
// encounter this issue https://stackoverflow.com/questions/35636075
chart.draw(data);
&lt;/code&gt;&lt;/pre&gt;
</t>
  </si>
  <si>
    <t xml:space="preserve">&lt;p&gt;I feel like I'm missing something here, looking at the documentation on roles for App Maker this shouldn't be an issue.
&lt;a href="https://i.stack.imgur.com/Eq2Sm.png" rel="nofollow noreferrer"&gt;Add members to roles&lt;/a&gt;&lt;/p&gt;
&lt;p&gt;However after testing this with a couple of different groups one created through GCDS (Active Directory group sync) and the other manually created through the G Suite admin panel and populated with two users neither the first or second groups members can access the deployed app. Are there any additional options that need to be checked on the group or in App Maker?&lt;/p&gt;
&lt;p&gt;As an example:
&lt;a href="https://i.stack.imgur.com/HgDjt.png" rel="nofollow noreferrer"&gt;Group added to app and role&lt;/a&gt; &gt; &lt;a href="https://i.stack.imgur.com/AGtmR.png" rel="nofollow noreferrer"&gt;User added to group&lt;/a&gt; &gt; &lt;a href="https://i.stack.imgur.com/BVv0l.png" rel="nofollow noreferrer"&gt;Error received&lt;/a&gt;&lt;/p&gt;
&lt;p&gt;I have also tried allowing access for everyone in the domain and restricted creating records to the 'Accounting_Rep' role with the accounting@mydomain.com group assigned to the role the record isn't created and I receive a permissions error in stackdriver logging. It seems like App Maker isn't seeing it as a group.  &lt;/p&gt;
</t>
  </si>
  <si>
    <t xml:space="preserve">&lt;p&gt;Most likely in &lt;code&gt;Application access&lt;/code&gt; section you selected &lt;code&gt;Only allow access to specific users&lt;/code&gt; option. In this case you need to explicitly add all users/groups you want App Maker to let in into the input box under the radio button group:
&lt;a href="https://i.stack.imgur.com/tXYoV.png" rel="nofollow noreferrer"&gt;&lt;img src="https://i.stack.imgur.com/tXYoV.png" alt="Access settings"&gt;&lt;/a&gt;&lt;/p&gt;
</t>
  </si>
  <si>
    <t xml:space="preserve">&lt;p&gt;Based on the project tracker I have integrated a changelog into my app that relates my UserSettings model to a UserHistory model. The latter contains the fields FieldName, CreatedBy, CreatedDate, OldValue, NewValue.&lt;/p&gt;
&lt;p&gt;The relation between both models works fine. Whenever a record is modified, I can see the changes in a changelog table. I now want add an "undo"-button to the table that allows the admin to undo a change he clicks on. I have therefore created a method that is handled by the widget that holds the changelog record:&lt;/p&gt;
&lt;pre&gt;&lt;code&gt;function undoChangesToUserRecord(changelog) {
  if (!isAdmin()) {
    return;
  }
  var fieldName = changelog.datasource.item.FieldName;
  var record = changelog.datasource.item.UserSettings;
  record[fieldName] = changelog.datasource.item.OldValue;
}
&lt;/code&gt;&lt;/pre&gt;
&lt;p&gt;In theory method goes the connection between UserHistory and UserSettings up to the field and rewrites its value. But when I click on the button, I get a "Failed due to circular reference" error. What am I doing wrong?&lt;/p&gt;
</t>
  </si>
  <si>
    <t xml:space="preserve">&lt;p&gt;I have a changed the appearance of a checkbox from "Regular" to "Switch" in Google App Maker. I would now like to change the appearance of the knob when the it is pushed from blue to green. How can I do that? The following CSS style is not working:&lt;/p&gt;
&lt;pre&gt;&lt;code&gt;.app-Checkbox-Input:checked, {
  background-color: green;
}
&lt;/code&gt;&lt;/pre&gt;
&lt;p&gt;I would also like to put the label on the left side of the checkbox, if possible.&lt;/p&gt;
</t>
  </si>
  <si>
    <t xml:space="preserve">&lt;p&gt;To customize the switch we need to customize the knob itself and the oval area behind it (&lt;strong&gt;2 things&lt;/strong&gt;), and once we override styles for checked state we also need to redefine styles for its unchecked state (&lt;strong&gt;2 states&lt;/strong&gt;). What gives us &lt;strong&gt;2x2=4&lt;/strong&gt; custom styles. We also have multiple ways how to implement styles: override them individually for every widget, customize built-it AM style, implement all-new style from scratch or extend AM built in style using CSS class. I will not cover all these options in this answer this time, but let's start at least with something:&lt;/p&gt;
&lt;p&gt;Styles for &lt;strong&gt;individual widget&lt;/strong&gt;:&lt;/p&gt;
&lt;pre&gt;&lt;code&gt;/* Styles for Checkbox widget on the page NewPage with name
   GreenSwitch */
/* Recolor knob's checked state */
.app-NewPage-GreenSwitch-Label::after {
  background-color: green;
}
/* Recolor knob's unckecked state */
.app-NewPage-GreenSwitch&amp;gt;.app-NewPage-GreenSwitch-Input:checked+.app-NewPage-GreenSwitch-Label::after {
  background-color: red;
}
/* Recolor back oval checked state */
.app-NewPage-GreenSwitch-Input {
  background-color: rgba(0, 128, 0, 0.4);
}
/* Recolor back oval unchecked state */
.app-NewPage-GreenSwitch-Input:checked {
  background-color: rgba(128, 0, 0, 0.4);
}
&lt;/code&gt;&lt;/pre&gt;
&lt;p&gt;Recolor &lt;strong&gt;all checkboxes&lt;/strong&gt; with Switch style variant&lt;/p&gt;
&lt;pre&gt;&lt;code&gt;.app-Checkbox--Switch&amp;gt;.app-Checkbox-Label::after {
  background-color: green;
}
.app-Checkbox--Switch&amp;gt;.app-Checkbox-Input:checked+.app-Checkbox-Label::after {
  background-color: red;
}
.app-Checkbox--Switch&amp;gt;.app-Checkbox-Input {
  background-color: rgba(0, 128, 0, 0.4);
}
.app-Checkbox--Switch&amp;gt;.app-Checkbox-Input:checked {
  background-color: rgba(128, 0, 0, 0.4);
}
&lt;/code&gt;&lt;/pre&gt;
&lt;p&gt;&lt;strong&gt;Result&lt;/strong&gt;&lt;/p&gt;
&lt;p&gt;&lt;a href="https://i.stack.imgur.com/9G8Gy.png" rel="nofollow noreferrer"&gt;&lt;img src="https://i.stack.imgur.com/9G8Gy.png" alt="Recolored switch"&gt;&lt;/a&gt;&lt;/p&gt;
</t>
  </si>
  <si>
    <t xml:space="preserve">&lt;p&gt;I have a Firebase database and I'd like to connect it with an OutSystems platform. &lt;/p&gt;
&lt;p&gt;I have tried following the &lt;a href="https://success.outsystems.com/Documentation/10/Extensibility_and_Integration/Connect_to_an_External_Database" rel="nofollow noreferrer"&gt;documentation&lt;/a&gt;, however, Firebase is a NoSQL database from what I know. So which option do I choose for DBMS? &lt;/p&gt;
&lt;p&gt;Thank you for the help.&lt;/p&gt;
</t>
  </si>
  <si>
    <t xml:space="preserve">&lt;p&gt;I am calling sample google book URL from the lightning component, For that i have written APEX controller to make http request . But it is throwing 404 error for the Google Book API. Here is my APEX controller please check ,&lt;/p&gt;
&lt;pre&gt;&lt;code&gt;public  class WebservicesController {
     public static String responseFormat='application/json';
     public static String bodyContentType='application/json';
@AuraEnabled
public static Response makeRequest(String url,  String method, String bodyContent) {
    System.debug('Making request httpResponse ' ); 
    HttpRequest request = buildRequest(url, method,bodyContent);
    HttpResponse httpRes = sendRequest(request);
    Response restRes = buildResponse(httpRes);
    return restRes;
}
private static HttpRequest buildRequest(String url, String method, String bodyContent) {
    HttpRequest request = new HttpRequest();
    System.debug('Making request httpResponse '+ url ); 
    request.setEndpoint(url);
    request.setMethod(method);
    request.setHeader('Content-Security-Policy', '*'); 
    if (bodyContent != null) {
        request.setBody(bodyContent);
        request.setHeader('Content-Type', bodyContentType); 
    }
    request.setHeader('ACCEPT', responseFormat);
    return request;
}
private static HttpResponse sendRequest(HttpRequest request) {    
    return new Http().send(request);
}
private static Response buildResponse(HttpResponse httpRes) {
    Response restRes = new Response();
    restRes.status = httpRes.getStatus();
    restRes.statusCode = httpRes.getStatusCode();
    restRes.body = httpRes.getBody();
            System.debug(' Status code is  ' + restRes.statusCode  ); 
    System.debug(' httpResponse ' + httpRes.getBody() ); 
    return restRes;
}
public class Response {
    @AuraEnabled
    public String status { get; set; }
    @AuraEnabled
    public Integer statusCode { get; set; }
    @AuraEnabled
    public String body { get; set; }
}
&lt;/code&gt;&lt;/pre&gt;
&lt;p&gt;}&lt;/p&gt;
&lt;p&gt;and also my helper js controller where i am calling this apex controller is method is below ..&lt;/p&gt;
&lt;pre&gt;&lt;code&gt; createCustomer: function(component, customer) {
    var action = component.get("c.makeRequest");        
    action.setParams({
        url: "https://www.googleapis.com/books/v1/volumes/NFPqCQAAQBAJ",
        method: "GET",
        bodyContent: "",
    });
    action.setCallback(this, function(a) {
        action.setCallback(this, function(response){
            var state = response.getState();
            if (state === "SUCCESS") {
                var customers = component.get("v.data");
                customers.push(response.getReturnValue());
                component.set("v.data", customers);
            }
             var action = component.get("c.saveCustomer");
                action.setParams({
                    "customer": customer
        });
        });
        $A.enqueueAction(action);
    });
    $A.enqueueAction(action);
},
&lt;/code&gt;&lt;/pre&gt;
&lt;p&gt;And i also given this google api url in Remote settings and also added as CSP trusted site in my domain.&lt;/p&gt;
</t>
  </si>
  <si>
    <t xml:space="preserve">&lt;p&gt;I've added a form to a PowerApp by clicking "Insert" &gt; 
"Form" &gt; "Edit" and I would like to add "Hover border color" so when the user hovers, they see a border. However, when I click the button to do so, it just shows me this in the formula bar:&lt;/p&gt;
&lt;p&gt;&lt;a href="https://i.stack.imgur.com/pgr1w.png" rel="nofollow noreferrer"&gt;&lt;img src="https://i.stack.imgur.com/pgr1w.png" alt="enter image description here"&gt;&lt;/a&gt;&lt;/p&gt;
&lt;p&gt;What am I supposed to do with this? (read: "how am I supposed to modify this to change the border color?") I looked for some documentation online, but can't find anything about syntax or the actual language that is used here. I'm not looking to spend x number of hours going through a walkthrough just to change a border color so I'm hoping someone already knows how to do this.&lt;/p&gt;
</t>
  </si>
  <si>
    <t xml:space="preserve">&lt;blockquote&gt;
  &lt;p&gt;how am I supposed to modify this to change the border color?&lt;/p&gt;
&lt;/blockquote&gt;
&lt;p&gt;Properties of controls in PowerApps can have either constant values, or expressions that reference other properties. For example, your control's hover border color is referencing the border color (I'm assuming of the same control), so if you look at the &lt;code&gt;BorderColor&lt;/code&gt; property you'll find some expression that defines the color.&lt;/p&gt;
&lt;p&gt;For the specific case of colors, the "constant" values you can use are either from the &lt;a href="https://docs.microsoft.com/en-us/powerapps/maker/canvas-apps/functions/function-colors" rel="nofollow noreferrer"&gt;Color enumeration, or a color name from CSS, or a custom color using the RGBA function&lt;/a&gt;.&lt;/p&gt;
&lt;p&gt;For example, if you want to set your hover border color to blue, you can use &lt;code&gt;Color.Blue&lt;/code&gt; or &lt;code&gt;RGBA(255, 0, 0, 1)&lt;/code&gt;.&lt;/p&gt;
</t>
  </si>
  <si>
    <t xml:space="preserve">&lt;p&gt;I built a form in Powerapps that I want to workflow and placed it in SharePoint 2013.  When trying to add email addresses of employees, I get an error and it wont pull in outlook email address.  i type in the email addresses manually, and it wont accept them.&lt;/p&gt;
&lt;p&gt;Also, I'm unable to save my progress because of the erros.  The errors have to be resolved in order to save.&lt;/p&gt;
&lt;p&gt;The errors are simply fields (email address field) that is highlighted in red.  But it doesn't explain why it is an error / why field is highlighted in red.  only that you have to fix it somehow&lt;/p&gt;
</t>
  </si>
  <si>
    <t xml:space="preserve">&lt;p&gt;I'm having difficulty accessing data in a collection, via PowerApps.&lt;/p&gt;
&lt;p&gt;I create the collection with this:&lt;/p&gt;
&lt;pre&gt;&lt;code&gt;Collect(coll15,mt.GetAnswers("3b....da","application/json",{question:"eco"}))
&lt;/code&gt;&lt;/pre&gt;
&lt;p&gt;Using Developer Tools -&gt; Network tab -&gt; Response body - the following JSON data is returned:&lt;/p&gt;
&lt;pre&gt;&lt;code&gt;{
"answers": [
{
  "answer": "This is the answer",
  "questions": [
    "Private vehicle eco renewal"
  ],
  "score": 82.901087775826454
}
]
}
&lt;/code&gt;&lt;/pre&gt;
&lt;p&gt;The collection is created.&lt;/p&gt;
&lt;p&gt;I then add a gallery control to my page - however the only options I have to bind to the labels are: ThisItem.Value&lt;/p&gt;
&lt;p&gt;If I try to enter ThisItem.Value.answer I get the error: Invalid use of '.'&lt;/p&gt;
&lt;p&gt;If I enter ThisItem.answers.answer I get the error: Invalid name&lt;/p&gt;
&lt;p&gt;This is the swagger file:&lt;/p&gt;
&lt;pre&gt;&lt;code&gt;{
"swagger": "2.0",
"info": {
  "version": "1.0.0",
  "title": "mt",
  "description": "mt"
},
"host": "westus.api.cognitive.microsoft.com:443",
"basePath": "/",
"schemes": [
  "https"
],
"consumes": [],
"produces": [
  "application/json"
],
"paths": {
  "/qnamaker/v2.0/knowledgebases/eeeee.....eeeee/generateAnswer": {
     "post": {
        "summary": "GetAnswers",
        "description": "Get answers from qna",
        "operationId": "GetAnswers",
        "parameters": [
           {
              "name": "body",
              "in": "body",
              "schema": {
                 "type": "object",
                 "properties": {
                    "question": {
                       "type": "string",
                       "description": "question",
                       "x-ms-summary": "question",
                       "title": "question",
                       "x-ms-visibility": ""
                    }
                 },
                 "default": {
                    "question": "hi"
                 },
                 "required": [
                    "question"
                 ]
              },
              "required": true
           }
        ],
        "responses": {
           "default": {
              "description": "default",
              "schema": {
                 "type": "string"
              }
           }
        }
     }
  }
},
"definitions": {},
"parameters": {},
"responses": {},
"securityDefinitions": {
  "api_key": {
     "type": "apiKey",
     "in": "header",
     "name": "Ocp-Apim-Subscription-Key"
  }
},
"security": [
  {
     "oauth2_auth": [
        "Offline-Access"
     ]
  }
],
"tags": []
}
&lt;/code&gt;&lt;/pre&gt;
&lt;p&gt;Is there any way for me to access the answer text within the collection?&lt;/p&gt;
&lt;p&gt;Thanks for any help,&lt;/p&gt;
&lt;p&gt;Mark&lt;/p&gt;
</t>
  </si>
  <si>
    <t xml:space="preserve">&lt;p&gt;The problem is that the response type for the operation in the connector definition is string:&lt;/p&gt;
&lt;pre&gt;&lt;code&gt;    "responses": {
       "default": {
          "description": "default",
          "schema": {
             "type": "string"
          }
       }
    }
&lt;/code&gt;&lt;/pre&gt;
&lt;p&gt;But your response is an object instead. If you update your custom connector to use a typed object instead, you should be able to access the response from the operation. Something along the lines of the schema below:&lt;/p&gt;
&lt;pre&gt;&lt;code&gt;    "responses": {
      "default": {
        "description": "default",
        "schema": {
          "type": "object",
          "properties": {
            "answers": {
              "type": "array",
              "items": {
                "type": "object",
                "properties": {
                  "answer": {
                    "type": "string"
                  },
                  "questions": {
                    "type": "array",
                    "items": {
                      "type": "string"
                    }
                  },
                  "score": {
                    "type": "number",
                    "format": "float"
                  }
                }
              }
            }
          }
        }
      }
    },
&lt;/code&gt;&lt;/pre&gt;
&lt;p&gt;Notice that in the portal (web.powerapps.com), if you go to your custom connector definition, and select "Edit", you can go to the operation, and select the response you want to edit:&lt;/p&gt;
&lt;p&gt;&lt;a href="https://i.stack.imgur.com/qCHDE.png" rel="nofollow noreferrer"&gt;&lt;img src="https://i.stack.imgur.com/qCHDE.png" alt="Select response"&gt;&lt;/a&gt;&lt;/p&gt;
&lt;p&gt;And then use the "Import from sample" option&lt;/p&gt;
&lt;p&gt;&lt;a href="https://i.stack.imgur.com/q9yYk.png" rel="nofollow noreferrer"&gt;&lt;img src="https://i.stack.imgur.com/q9yYk.png" alt="Import from sample"&gt;&lt;/a&gt;&lt;/p&gt;
&lt;p&gt;With that, if you enter an example of a response from the API, it will create the schema for you (which is similar to the one I have above).&lt;/p&gt;
</t>
  </si>
  <si>
    <t xml:space="preserve">&lt;p&gt;I am creating a workflow in Appmaker for Team Drive where I have 3 folders under team drive:&lt;br&gt;
TO BE APPROVED&lt;br&gt;
APPROVED&lt;br&gt;
REJECTED&lt;/p&gt;
&lt;p&gt;I am sending a document from TO BE APPROVED folder for approval, if user approves it then this document should move to APPROVED folder. Same logic for REJECTED.&lt;/p&gt;
&lt;p&gt;Now my question is how can I move a document between Team Drive folders. &lt;code&gt;DriveApp.getFolderById(folderId).addFile()&lt;/code&gt; is not working as I can not have more than one parent in Team Drive.  &lt;code&gt;DriveApp.getFolderById(folderId).createFile()&lt;/code&gt; is working but it is creating a whole new file with new ID which is not fulfilling my purpose of approval workflow as this is a whole new file.&lt;/p&gt;
&lt;p&gt;Is there any way to move file or copy/replace any operations which will not change my file's ID? I tried for REST APIs as well but couldn't found any.&lt;/p&gt;
</t>
  </si>
  <si>
    <t xml:space="preserve">&lt;p&gt;Okay looks like I found an answer, via REST API I can update file's parents. I've made that call and it's working.&lt;/p&gt;
&lt;p&gt;Here's the sample.&lt;/p&gt;
&lt;pre&gt;&lt;code&gt;var apiUrl = "https://www.googleapis.com/drive/v3/files/fileId?addParents=newFolderId&amp;amp;removeParents=oldFolderId&amp;amp;supportsTeamDrives=true";
var token = ScriptApp.getOAuthToken();
var header = {"Authorization":"Bearer " + token};
var options = {
"method":"PATCH",
"headers": header
};
var res = UrlFetchApp.fetch(apiUrl, options);
&lt;/code&gt;&lt;/pre&gt;
&lt;p&gt;&lt;strong&gt;UPDATE&lt;/strong&gt;
Using Advance Services API we can achieve the same, here's the answer I've received from &lt;strong&gt;Aliaksei Ivaneichyk&lt;/strong&gt;&lt;/p&gt;
&lt;pre&gt;&lt;code&gt;function moveFileToFolder(fileId, newFolderId) {  
  var file = Drive.Files.get(fileId, {supportsTeamDrives: true});
  Drive.Files.patch(file, fileId, {
    removeParents: file.parents.map(function(f) { return f.id; }),
    addParents: [newFolderId],
    supportsTeamDrives: true
  });
}
&lt;/code&gt;&lt;/pre&gt;
&lt;p&gt;Here you need to Enable Drive SDK advance services if you are using Appscript. In case of Appmaker Add Drive SDK as Service in Settings Option.&lt;/p&gt;
</t>
  </si>
  <si>
    <t xml:space="preserve">&lt;p&gt;This isn't a question, but I wanted to share the solution since I wasn't able to find much about it googling.&lt;/p&gt;
&lt;p&gt;I am creating a tool for my company using PowerApps.  I needed to store a set of data along with 2 pictures for each entry.  The data and pictures were stored in pdf files, I parsed the data out, and encoded the pictures into a base64 string (Field: VarChar MAX),  using PowerShell and uploaded it into a SQL (2005) server onsite. I connected my onsite SQL server to PowerApps through the Gateway program provided by PowerApps.  &lt;/p&gt;
&lt;p&gt;My problem was displaying the stored pictures in the application, without using any different data connectors or extreme coding.
Using the IMAGE object,  &lt;strong&gt;Image.image = "data:image;application/octet-stream;base64,"&amp;amp;PassingID.PictureOpen&lt;/strong&gt;&lt;br&gt;
where  PassingID.PictureOpen = the Base64 string. &lt;/p&gt;
</t>
  </si>
  <si>
    <t xml:space="preserve">&lt;p&gt;I have two datebox that capture a start date &amp;amp; end date. I tried do following binding to get the date range between the two date but it return a negative value&lt;/p&gt;
&lt;p&gt;&lt;code&gt;@widget.root.children.DateBox1.value - @widget.root.children.DateBox2.value&lt;/code&gt;&lt;/p&gt;
&lt;p&gt;following is my form example&lt;/p&gt;
&lt;p&gt;&lt;a href="https://i.stack.imgur.com/zvelJ.png" rel="nofollow noreferrer"&gt;&lt;img src="https://i.stack.imgur.com/zvelJ.png" alt="enter image description here"&gt;&lt;/a&gt;&lt;/p&gt;
</t>
  </si>
  <si>
    <t xml:space="preserve">&lt;pre class="lang-javacript prettyprint-override"&gt;&lt;code&gt;// Binding (option 1 - no datasource)
getValidity(@widget.root.children.StartDate.value, @widget.root.children.EndDate.value);
// Binding (option 2 - with datasource)
getValidity(@datasource.item.StartDate, @datasource.item.EndDate);
// Client script
function getValidity(start, end) {
  if (start &amp;amp;&amp;amp; end) {
    var milliseconds = end - start;
   // days: 1000ms * 60s * 60m * 24h
   return milliseconds / (1000 * 60 * 60 * 24);
   // years: 1000ms * 60s * 60m * 24h * 365d
   // return milliseconds / (1000 * 60 * 60 * 24 * 365);
  }
  return 'n/a';
}
&lt;/code&gt;&lt;/pre&gt;
</t>
  </si>
  <si>
    <t xml:space="preserve">&lt;p&gt;Is it possible in PowerApps to get at the latest record, from a SharePoint list, having a certain condition?
In my case I know how to get the number, using something like this:&lt;/p&gt;
&lt;pre&gt;&lt;code&gt;CountIf(Applications, Status = "Pending")
&lt;/code&gt;&lt;/pre&gt;
&lt;p&gt;But, I would also like to get the most recent one of them. Well I suppose that would imply two conditions where the second is a Date column, but is it possible to sort it and then pick the first? Grateful for any guidance...&lt;/p&gt;
</t>
  </si>
  <si>
    <t xml:space="preserve">&lt;p&gt;Yes, you can use an expression that &lt;a href="https://docs.microsoft.com/powerapps/maker/canvas-apps/functions/function-sort" rel="nofollow noreferrer"&gt;sorts&lt;/a&gt; the &lt;a href="https://docs.microsoft.com/powerapps/maker/canvas-apps/functions/function-filter-lookup" rel="nofollow noreferrer"&gt;filtered&lt;/a&gt; data source by the date in descending order, and take the &lt;a href="https://docs.microsoft.com/powerapps/maker/canvas-apps/functions/function-first-last" rel="nofollow noreferrer"&gt;first&lt;/a&gt; element, like in the expression below:&lt;/p&gt;
&lt;pre&gt;&lt;code&gt;First(
    SortByColumns(
        Filter(Applications, Status = "Pending"),
        "DateColumn",
        Descending))
&lt;/code&gt;&lt;/pre&gt;
</t>
  </si>
  <si>
    <t xml:space="preserve">&lt;p&gt;I have table made of divs and I have a header and body, inside the body im doing iteration of the component. it works fine but I want to make the header not to scroll down when I scroll I tried many different options and they ruined my misplaced the table cells some options I have tried are &lt;/p&gt;
&lt;p&gt;&lt;a href="https://stackoverflow.com/questions/47679641/make-div-and-table-header-fixed-on-scroll"&gt;Make div and table header fixed on scroll
&lt;/a&gt;&lt;/p&gt;
&lt;p&gt;&lt;a href="https://stackoverflow.com/questions/19559197/how-to-make-scrollable-table-with-fixed-headers-using-css"&gt;How to add a scrollbar to an HTML5 table?
&lt;/a&gt;&lt;/p&gt;
&lt;p&gt;here is my table&lt;/p&gt;
&lt;pre&gt;&lt;code&gt;&amp;lt;div class="divTable"&amp;gt;
&amp;lt;div class="divTableHeading"&amp;gt;
    &amp;lt;div class="divTableRow"&amp;gt;
        &amp;lt;div class="divTableHead"&amp;gt;Email&amp;lt;/div&amp;gt;
        &amp;lt;div class="divTableHead"&amp;gt;Date&amp;lt;/div&amp;gt;
        &amp;lt;div class="divTableHead"&amp;gt;Id&amp;lt;/div&amp;gt;
    &amp;lt;/div&amp;gt;
&amp;lt;/div&amp;gt;
&amp;lt;div class="divTableBody"&amp;gt;
    &amp;lt;div class="divTableRow"&amp;gt;
     &amp;lt;aura:iteration items="{!v.workList}" var="work" indexVar="index"&amp;gt;
     &amp;lt;div  class="divTableRow"&amp;gt;
         &amp;lt;c:AdminHours userEmail="{!v.userEmail}" changedDate="{!v.changedDate}" a recordId="{!v.recordId}" /&amp;gt;
      &amp;lt;/div&amp;gt;
    &amp;lt;/aura:iteration&amp;gt;
   &amp;lt;/div&amp;gt;
 &amp;lt;/div&amp;gt;
 &amp;lt;/div&amp;gt;
&lt;/code&gt;&lt;/pre&gt;
&lt;p&gt;This is my css&lt;/p&gt;
&lt;pre&gt;&lt;code&gt;.THIS .divTable{
  display: table;
  width: 100%;
 }
.THIS .divTableRow {
display: table-row;
}
.THIS .divTableHeading {
display: table-header-group;
}
.THIS .divTableCell,.THIS .divTableHead {
  border: 1px solid #dddddd;
  display: table-cell;
  padding: 3px 10px;
}
.THIS .divTableHeading {
  display: table-header-group;
  font-weight: bold;
  background-color: #f3f2f2;
}
.THIS .divTableBody {
  display: table-row-group;
}
&lt;/code&gt;&lt;/pre&gt;
</t>
  </si>
  <si>
    <t xml:space="preserve">&lt;p&gt;I have multiple pages in my applications, one of them is to add a driver information.&lt;/p&gt;
&lt;p&gt;When i go to add driver information page and fill some of the fields like "driver licence" text box, then i do not add this to DB and click "go back" button (that discard the changes and come back to home page) when i enter again to this page the fields that i have previously filled in with data do not clear and refresh (its supposed to all fields be clear and empty)&lt;/p&gt;
&lt;p&gt;Does anyone have a solution for that?&lt;/p&gt;
&lt;p&gt;code for "go back button:&lt;/p&gt;
&lt;pre class="lang-javascript prettyprint-override"&gt;&lt;code&gt;app.datasources.driver.clearChanges(function() {
    console.log("cleared changes");
});
returnToDriver();
&lt;/code&gt;&lt;/pre&gt;
&lt;p&gt;returnToDriver() code is:&lt;/p&gt;
&lt;pre class="lang-javascript prettyprint-override"&gt;&lt;code&gt;app.datasources.DRIVERS_LIST.query.clearFilters();
app.datasources.DRIVERS_LIST.load();
app.showPage(app.pages.Driver);
&lt;/code&gt;&lt;/pre&gt;
&lt;p&gt;Already tried:&lt;/p&gt;
&lt;pre class="lang-javascript prettyprint-override"&gt;&lt;code&gt;widget.root.descendants.TextBox1.value = "";
widget.root.descendants.TextBox1.value  = null;
&lt;/code&gt;&lt;/pre&gt;
&lt;p&gt;but do not work for me.&lt;/p&gt;
&lt;p&gt;Regards&lt;/p&gt;
</t>
  </si>
  <si>
    <t xml:space="preserve">&lt;p&gt;Potentially there are can be multiple ways to leave the page:&lt;/p&gt;
&lt;ul&gt;
&lt;li&gt;browser navigation including navigation hotkeys&lt;/li&gt;
&lt;li&gt;links on the page that can navigate to other pages&lt;/li&gt;
&lt;li&gt;in-app navigation buttons/hotkeys&lt;/li&gt;
&lt;li&gt;etc...&lt;/li&gt;
&lt;/ul&gt;
&lt;p&gt;The best way to handle all possible navigation scenarios is using &lt;code&gt;onDetach&lt;/code&gt; page event&lt;/p&gt;
&lt;pre class="lang-javascript prettyprint-override"&gt;&lt;code&gt;// Implicit way
// page onDetach event handler, assuming that page
// is bound to appropriate datasource:
// @datasources.&amp;lt;MyDatasource&amp;gt;.modes.create
widget.datasource.clearChanges();
// Explicit way
// Explicitly clearing changes for create datasources in
// page onDetach event handler
app.datasources.&amp;lt;MyDatasource1&amp;gt;.modes.create.clearChanges();
app.datasources.&amp;lt;MyDatasource2&amp;gt;.modes.create.clearChanges();
...
&lt;/code&gt;&lt;/pre&gt;
&lt;p&gt;Once you add this code to the &lt;code&gt;onDetach&lt;/code&gt; page's event handler you can remove all other &lt;code&gt;clearChanges&lt;/code&gt; occurrences from the page.&lt;/p&gt;
</t>
  </si>
  <si>
    <t xml:space="preserve">&lt;p&gt;what changed in appmaker?&lt;/p&gt;
&lt;p&gt;Some time ago i could do:&lt;/p&gt;
&lt;blockquote&gt;
  &lt;p&gt;Select a table from the list on the next page and click Import to
  create your model. You can import any table that's not a join table.&lt;/p&gt;
&lt;/blockquote&gt;
&lt;p&gt;based on information: &lt;a href="https://developers.google.com/appmaker/models/cloudsql#connect_your_app_to_an_existing_custom_google_cloud_sql_database" rel="nofollow noreferrer"&gt;https://developers.google.com/appmaker/models/cloudsql#connect_your_app_to_an_existing_custom_google_cloud_sql_database&lt;/a&gt; - on Connect your app to an existing custom Google Cloud SQL database&lt;/p&gt;
&lt;p&gt;Now this option is not available, only is available:
Create a new table is a SQL database managed by App Maker.&lt;/p&gt;
&lt;p&gt;This is not the option i want, i have already all my tables in DB.&lt;/p&gt;
&lt;p&gt;The only option i see here is use Calculated SQL or delete all tables from DB and create from the app.&lt;/p&gt;
&lt;p&gt;There is any workaround for this and do what i have done until now: using the import option?&lt;/p&gt;
&lt;p&gt;Regards&lt;/p&gt;
</t>
  </si>
  <si>
    <t xml:space="preserve">&lt;h2&gt;&lt;a href="https://developers.google.com/appmaker/release-notes" rel="nofollow noreferrer"&gt;https://developers.google.com/appmaker/release-notes&lt;/a&gt;&lt;/h2&gt;
&lt;p&gt;"With today's release, you no longer can create new Drive Table data models. Your apps can continue to use existing Drive Tables. However, we recommend you upgrade those models to Cloud SQL as soon as possible."&lt;/p&gt;
</t>
  </si>
  <si>
    <t xml:space="preserve">&lt;p&gt;I'm doing a Hello World data app using Power Apps. It's simply displaying and editing a list I am connecting to an Azure SQL Server. I have a a table with column called UserImage, which is a Image data type. When I go into edit mode I can add an image and I can see something getting added to the binary column. I've tried converting the image to text (thinking a url or something textual might be going in) but it's funny encoded characters. I was wondering if anyone had any ideas. The images don't display in list or view mode. &lt;/p&gt;
</t>
  </si>
  <si>
    <t xml:space="preserve">&lt;p&gt;I'm working on the peopleViewer template, and I'd like to know how to modify the search option to look for people by post as well as by name.&lt;/p&gt;
&lt;p&gt;I've tried adding:&lt;br&gt;
&lt;code&gt;userInfoDs.query.filters.PrimaryOrganizationTitle = title;&lt;/code&gt;in the loadAllData() function, but &lt;/p&gt;
&lt;p&gt;1- The auto-completion doesn't show PrimaryOrganizationTitle in the filters&lt;br&gt;
2- I dont think &lt;code&gt;var title = userInfoDs.query.parameters.PrimaryOrganizationTitle;&lt;/code&gt; will work to create the variable.&lt;/p&gt;
&lt;p&gt;Edit: Alternatively, I'd like to know if it's possible to manually add a filter to be used in &lt;code&gt;userInfoDs.query.filters&lt;/code&gt;.&lt;/p&gt;
</t>
  </si>
  <si>
    <t xml:space="preserve">&lt;p&gt;The datasource &lt;code&gt;userInfoDs&lt;/code&gt; you are referring is used to load data about found/selected/current user (&lt;code&gt;People&lt;/code&gt; page). &lt;code&gt;SearchResults&lt;/code&gt; page uses &lt;code&gt;SearchResults&lt;/code&gt; datasource. Search box in the page header is bound to &lt;a href="https://developers.google.com/appmaker/models/datasources#keywords" rel="nofollow noreferrer"&gt;keywords&lt;/a&gt;. Directory Model's &lt;code&gt;keywords&lt;/code&gt; would look for search term occurrences in First/Last Names and Primary Email. Directory Model doesn't support filtering by &lt;code&gt;PrimaryOrganizationTitle&lt;/code&gt;: &lt;a href="https://developers.google.com/appmaker/models/directory#user_fields_and_query_operators" rel="nofollow noreferrer"&gt;https://developers.google.com/appmaker/models/directory#user_fields_and_query_operators&lt;/a&gt;&lt;/p&gt;
&lt;p&gt;So, if you desperately want to search people by fields that are not supported by Directory Model out of the box, you have no other way but using &lt;a href="https://developers.google.com/apps-script/advanced/admin-sdk-directory" rel="nofollow noreferrer"&gt;Admin Directory SDK&lt;/a&gt;. Here is approximate taste of your server side search script.&lt;/p&gt;
&lt;pre class="lang-javascript prettyprint-override"&gt;&lt;code&gt;/**
 * Searches for people.
 */
function search(term) {
  var result = AdminDirectory.Users.list({
    domain: 'ENTER HERE YOUR DOMAIN (exapmle.com)',
    // Build your query basing on this doc
    // https://developers.google.com/admin-sdk/directory/v1/guides/search-users
    query: getQuery(term),
    viewType: 'domain_public',
    maxResults: 10
  });
  return mapToAppMakerRecords(result);
}
&lt;/code&gt;&lt;/pre&gt;
&lt;p&gt;Here &lt;code&gt;getQuery&lt;/code&gt; function should build query similar to &lt;code&gt;email:Bob or name:Bob or orgTitle:Bob&lt;/code&gt;, and &lt;code&gt;mapToAppMakerRecords&lt;/code&gt; should transform search results to the form that App Maker's UI can digest (&lt;a href="https://developers.google.com/appmaker/models/calculated" rel="nofollow noreferrer"&gt;Calculated Model&lt;/a&gt; or a follow up query to &lt;a href="https://developers.google.com/appmaker/models/directory" rel="nofollow noreferrer"&gt;Directory Model&lt;/a&gt;). With this approach all work related to results sorting and paging will fall on your shoulders as well.&lt;/p&gt;
</t>
  </si>
  <si>
    <t xml:space="preserve">&lt;p&gt;Is there a function in app script or app maker to get the organizer of a google calendar event? Currently my program is sorting jobs by creator, but the creator is not always the organizer so I was wondering if there is a field for organizer, or way to access that variable?&lt;/p&gt;
</t>
  </si>
  <si>
    <t xml:space="preserve">&lt;p&gt;I am having a requirement where we have to create SharePoint lists and run / create &lt;strong&gt;PowerApps&lt;/strong&gt; from SharePoint lists and finally deploy them using &lt;strong&gt;Intune&lt;/strong&gt;.
I got clarity till running and configuring PowerApps but how can I deploy PowerApps for iOS using Intune? Please help me out.&lt;/p&gt;
</t>
  </si>
  <si>
    <t xml:space="preserve">&lt;p&gt;not sure if I understand your question right, but basically I would assume you just have to deploy the IOS standard MS Powerapp app with Intune from the apple store. Once done have the users use their O365 login to access the powerapp app on their IOS devices,so they can use their assigned powerapps. &lt;/p&gt;
&lt;p&gt;You have to assign/deploy the needed Powerapps in the Powerapps designer interface to the O365 users upfront). &lt;/p&gt;
&lt;p&gt;I believe the link below explains the procedure how to deploy a apple store app that is free of charge (like Powerapps is)...hope that helps?&lt;/p&gt;
&lt;p&gt;&lt;a href="https://docs.microsoft.com/en-us/intune/store-apps-ios" rel="nofollow noreferrer"&gt;https://docs.microsoft.com/en-us/intune/store-apps-ios&lt;/a&gt;&lt;/p&gt;
</t>
  </si>
  <si>
    <t xml:space="preserve">&lt;p&gt;Cloud SQL is locked, it tells me to contact Admin to unlock.&lt;/p&gt;
&lt;p&gt;&lt;a href="https://i.stack.imgur.com/piJHY.png" rel="nofollow noreferrer"&gt;&lt;img src="https://i.stack.imgur.com/piJHY.png" alt="Cloud SQL is locked, it tells me to contact Admin to unlock"&gt;&lt;/a&gt;&lt;/p&gt;
&lt;p&gt;I've created Cloud SQL instance with service account "appmaker-maestro@appspot.gserviceaccount.com" on IAM &amp;amp; ADMIN. But App Maker doesn't see it. Added some tables by dbForge - it didn't helped.&lt;/p&gt;
&lt;p&gt;I already created connection before in another app, some month ago and it worked. But now it doesn't see SQL.&lt;/p&gt;
</t>
  </si>
  <si>
    <t xml:space="preserve">&lt;p&gt;I want to access a database from Zoho Creator using their REST API (&lt;a href="https://www.zoho.com/creator/help/api/rest-api/rest-api-add-records.html" rel="nofollow noreferrer"&gt;https://www.zoho.com/creator/help/api/rest-api/rest-api-add-records.html&lt;/a&gt;) I read that I cannot do that from the client side (because CORS isnt implemented or something along those lines) and that I would have to do it from a server. &lt;/p&gt;
&lt;p&gt;So I setup a local server using django and I ran a script from the terminal that should add a record to my zoho database, but it doesnt work...&lt;/p&gt;
&lt;p&gt;I'm not sure if the script is wrong or if the way I use the server is wrong. &lt;/p&gt;
&lt;p&gt;The server is ran by django, I made a simple server with the command "django-admin startproject mysite" and ran the server with "python manage.py runserver".&lt;/p&gt;
&lt;p&gt;The name of the app is "synonyms-database", the form is "Main_Form" and the only field there is is called "name". So with that info I followed the API instructions and this is my script:&lt;/p&gt;
&lt;pre&gt;&lt;code&gt;import requests
payload = {'authtoken': myAPIToken, 'scope': 'creatorapi', 'name': 'test'}
response = requests.request('POST', 
'https://creator.zoho.com/api/erik341/json/synonyms- 
database/form/Main_Form/record/add/', json=payload)
print(response.headers)
print(response.text)
print(response.url)
&lt;/code&gt;&lt;/pre&gt;
&lt;p&gt;And I get this response: &lt;/p&gt;
&lt;pre&gt;&lt;code&gt;&amp;lt;body&amp;gt;
    &amp;lt;div&amp;gt;
        An error has occurred. It has been reported to Zoho Creator 
        support. We will look into this issue .&amp;lt;br&amp;gt; Sorry for the 
        inconvenience caused.
        &amp;lt;p&amp;gt;&amp;lt;p&amp;gt;
        Go to &amp;lt;a href='%2F'&amp;gt;Home&amp;lt;/a&amp;gt;
    &amp;lt;/div&amp;gt;
&amp;lt;/body&amp;gt;
&lt;/code&gt;&lt;/pre&gt;
&lt;p&gt;If instead of json=payload I use data=payload the response changes to: &lt;/p&gt;
&lt;pre&gt;&lt;code&gt;{"code":2945,"message":"INVALID_TICKET"}
&lt;/code&gt;&lt;/pre&gt;
</t>
  </si>
  <si>
    <t xml:space="preserve">&lt;p&gt;The API expects form-encoded data so you should use &lt;code&gt;data=payload&lt;/code&gt; instead of &lt;code&gt;json=payload&lt;/code&gt;. The &lt;code&gt;json&lt;/code&gt; in the URL is the format for the response format, not the request.&lt;/p&gt;
&lt;p&gt;You might be able to solve the &lt;code&gt;INVALID_TICKET&lt;/code&gt; error by regenerating the token. There's a comment on &lt;a href="https://help.zoho.com/portal/community/topic/getting-invalid-ticket-id-error" rel="nofollow noreferrer"&gt;this post&lt;/a&gt; which solved the error by changing the URL from &lt;code&gt;.eu&lt;/code&gt; to &lt;code&gt;.com&lt;/code&gt;. Make sure that you generate the auth token on a URL that matches your request URL.&lt;/p&gt;
</t>
  </si>
  <si>
    <t xml:space="preserve">&lt;p&gt;I understand that Google Drive Table had been removed and AppMaker is using Cloud SQL nowadays. Then how can we access the template for eg this &lt;a href="https://developers.google.com/appmaker/templates/project-tracker/" rel="nofollow noreferrer"&gt;one&lt;/a&gt;? I have access to Cloud SQL but the account is not mine but belongs to the organization. &lt;/p&gt;
&lt;p&gt;&lt;a href="https://i.stack.imgur.com/BGjAy.png" rel="nofollow noreferrer"&gt;&lt;img src="https://i.stack.imgur.com/BGjAy.png" alt="screenshot error"&gt;&lt;/a&gt;&lt;/p&gt;
&lt;p&gt;How to configure the SQL connection to the Cloud SQL in the script while I can't access the template? Need help, Thanks!&lt;/p&gt;
</t>
  </si>
  <si>
    <t xml:space="preserve">&lt;p&gt;I am trying to Create A chatter feed using Chatter API(As I need mention user in the post) from A platform event trigger. 
But I am getting an error:- "Insufficient Privileges: The Connect API is not enabled for this user type." in Debug Logs&lt;/p&gt;
&lt;p&gt;and the user that's shown on debug log is Automated Process and not the Authenticated user creating a post request. &lt;/p&gt;
&lt;p&gt;So my question is Do I need to Authenticate to Chatter API inside the trigger? If yes How I can do that.  &lt;/p&gt;
&lt;p&gt;Or am I missing any chatter Configuration? &lt;/p&gt;
&lt;p&gt;Trigger Code &lt;/p&gt;
&lt;pre&gt;&lt;code&gt;trigger SampleEventsTrigger on Sample_Events__e (after insert) {
System.debug('Event Log');
for (Sample_Events__e event : Trigger.New) {
    System.debug('Event: ' + event);
    //postFeedForSmartwinnr.PostFeedMethod(event.CreatedById, event.userId__c, event.Notification_message__c); // Call function to Create Chatter
    ConnectApi.FeedItemInput feedItemInput = new ConnectApi.FeedItemInput();
    ConnectApi.MentionSegmentInput mentionSegmentInput = new ConnectApi.MentionSegmentInput();
    ConnectApi.MessageBodyInput messageBodyInput = new ConnectApi.MessageBodyInput();
    ConnectApi.TextSegmentInput textSegmentInput = new ConnectApi.TextSegmentInput();
    System.debug('feedItemInput: ' );
    System.debug(feedItemInput);
    messageBodyInput.messageSegments = new List&amp;lt;ConnectApi.MessageSegmentInput&amp;gt;();
    mentionSegmentInput.id = event.userId__c;
    messageBodyInput.messageSegments.add(mentionSegmentInput);
    textSegmentInput.text = event.Notification_message__c;
    messageBodyInput.messageSegments.add(textSegmentInput);
    System.debug(feedItemInput);
    feedItemInput.body = messageBodyInput;
    feedItemInput.feedElementType = ConnectApi.FeedElementType.FeedItem;
    //feedItemInput.subjectId = '0F9RR0000004CPw';
    System.debug(feedItemInput);
    ConnectApi.FeedElement feedElement = ConnectApi.ChatterFeeds.postFeedElement( Network.getNetworkId(), feedItemInput); // Error is on this line 
    System.debug('feedElement');
    System.debug(feedElement);
    }
}
&lt;/code&gt;&lt;/pre&gt;
&lt;p&gt;Thanks in Advance...  &lt;/p&gt;
</t>
  </si>
  <si>
    <t xml:space="preserve">&lt;p&gt;As per my knowledge, the user present at that point is Automated Process who is able to post feed using class but, don't have access to chatter REST API&lt;/p&gt;
</t>
  </si>
  <si>
    <t xml:space="preserve">&lt;p&gt;We used a PowerApps application daily on many different devices since Dec 17 without any issues and now after getting an update of Powerapps on April 7th on IOS/Android the app fails to work.&lt;/p&gt;
&lt;p&gt;The app takes photos, adds some attributes and sends it off to SharePoint/Flow. This is done by using a customer connector.&lt;/p&gt;
&lt;p&gt;Now starting April 7, when you trigger the upload to the connector, the following error message shows&lt;/p&gt;
&lt;blockquote&gt;
  &lt;p&gt;Contract Failure: Construction of a PABinary should always result in a valid instance.&lt;/p&gt;
&lt;/blockquote&gt;
&lt;p&gt;If we test the connector manually it works fine, so does the app when used in the browser on a Windows machine. So the error must be in the app itself.&lt;/p&gt;
&lt;p&gt;Any ideas how to debug this or what could be causing this? Devices with the "old" Powerapp version still work fine. Help from Microsoft is appreciated ;-)&lt;/p&gt;
</t>
  </si>
  <si>
    <t xml:space="preserve">&lt;p&gt;From the screenshot of my form:&lt;/p&gt;
&lt;p&gt;&lt;a href="https://i.stack.imgur.com/o9R36.png" rel="nofollow noreferrer"&gt;&lt;img src="https://i.stack.imgur.com/o9R36.png" alt="enter image description here"&gt;&lt;/a&gt;&lt;/p&gt;
&lt;ol&gt;
&lt;li&gt;How to do the binding to Contract Type from dropdown list option or if user key in input in the label next to it if the option is not listed in the drop-down?&lt;/li&gt;
&lt;li&gt;How to do binding for the checkbox option?&lt;/li&gt;
&lt;/ol&gt;
</t>
  </si>
  <si>
    <t xml:space="preserve">&lt;p&gt;For &lt;code&gt;Dropdown-Input&lt;/code&gt; combo I would go with two model fields: &lt;code&gt;ContractType&lt;/code&gt; and &lt;code&gt;CustomContractType&lt;/code&gt;. For the &lt;code&gt;ContractType&lt;/code&gt; I would specify &lt;code&gt;possibleValues&lt;/code&gt; (Type One, Type Two, Type Three, ..., Other) in advanced field settings and bind them to &lt;code&gt;Dropdown&lt;/code&gt;'s options:&lt;/p&gt;
&lt;pre&gt;&lt;code&gt;@models.ModelName.fields.ContractType.possibleValues
&lt;/code&gt;&lt;/pre&gt;
&lt;p&gt;and bind value to &lt;code&gt;ContractType&lt;/code&gt; field:&lt;/p&gt;
&lt;pre&gt;&lt;code&gt;@datasource.item.ContractType
&lt;/code&gt;&lt;/pre&gt;
&lt;p&gt;Then I would bind &lt;code&gt;visible&lt;/code&gt; or &lt;code&gt;enabled&lt;/code&gt; &lt;code&gt;Input&lt;/code&gt;'s property to&lt;/p&gt;
&lt;pre&gt;&lt;code&gt;@datasource.item.ContractType === 'Other'
&lt;/code&gt;&lt;/pre&gt;
&lt;p&gt;and bind value to &lt;code&gt;CustomContractType&lt;/code&gt; field:&lt;/p&gt;
&lt;pre&gt;&lt;code&gt;@datasource.item.CustomContractType
&lt;/code&gt;&lt;/pre&gt;
&lt;p&gt;and enforce this logic in &lt;code&gt;onBeforeCreate&lt;/code&gt; and &lt;code&gt;onBeforeSave&lt;/code&gt; model events:&lt;/p&gt;
&lt;pre class="lang-js prettyprint-override"&gt;&lt;code&gt;if (record.ContractType !== 'Other' &amp;amp;&amp;amp; record.CustomContractType !== null) {
  record.CustomContractType = null; // or throw exception...
}
if (record.ContractType === 'Other' &amp;amp;&amp;amp; record.CustomContractType === null) {
  throw new Error('CustomContractType is required');
}
&lt;/code&gt;&lt;/pre&gt;
&lt;hr&gt;
&lt;p&gt;&lt;strong&gt;Renewal notice(notices?)&lt;/strong&gt;&lt;/p&gt;
&lt;p&gt;In case you need to select only one renewal notice, I would recommend to use &lt;code&gt;Radio Group&lt;/code&gt; widget. Otherwise you can keep using multiple checkboxes and introduce multiple model fields for each checkbox &lt;strong&gt;OR&lt;/strong&gt; use &lt;code&gt;Multiselect&lt;/code&gt; select widget and try to mate it with string model's field in combination with &lt;a href="https://developers.google.com/appmaker/scripting/api/transformers#split" rel="nofollow noreferrer"&gt;split&lt;/a&gt; binding transformer (you can find sample in &lt;a href="https://developers.google.com/appmaker/templates/document-approval/" rel="nofollow noreferrer"&gt;Document Approval&lt;/a&gt; template, Admin/Settings page).&lt;/p&gt;
</t>
  </si>
  <si>
    <t xml:space="preserve">&lt;p&gt;There is a weird scenario I'm facing while I try to bind the markup UI tags with lighting aura:attribute as type sObject (fields).
I'm trying to bind data to sobject's fields for different lightning:input tags,
For one sObject attribute the binding works perfect, but in the same way for another sObject the data is not getting bound.
For Ex:&lt;/p&gt;
&lt;pre&gt;&lt;code&gt;&amp;lt;aura:attribute name="student" type="JN_Student__c" access="global" default="{'sobjectType' : 'JN_Student__c'}" /&amp;gt;
&amp;lt;lightning:input aura:id="requiredVal" name="lastName" label="Legal Last Name"value="{!v.student.JN_Last_Name__c}" maxlength="20" required="true"/&amp;gt;
&lt;/code&gt;&lt;/pre&gt;
&lt;p&gt;this works perfectly and the data persists as I show/hide this section.
WHEREAS for,&lt;/p&gt;
&lt;pre&gt;&lt;code&gt;&amp;lt;aura:attribute name="insuranceInstance" type="JN_Insurance__c" access="global" default="{'sobjectType' : 'JN_Insurance__c'}" /&amp;gt;
&amp;lt;lightning:input aura:id="requiredVal" name="lastName" label="Legal Last Name" value="{!v.insuranceInstance.Name}" maxlength="20" required="true"/&amp;gt;
&lt;/code&gt;&lt;/pre&gt;
&lt;p&gt;the 'v.insuranceInstance.Name' doesn't persists its value.&lt;/p&gt;
&lt;p&gt;Please reply if anyone knows/encounted the same.&lt;/p&gt;
</t>
  </si>
  <si>
    <t xml:space="preserve">&lt;p&gt;I am new to salesforce development. I am trying to create a visualforce page which helps to insert a new record into the custom object. Custom object has master-detail relationship with account. I am having issue when assiging a default value to the Account. The account already exists in the accounts table. Here is the Apex class I am trying. &lt;/p&gt;
&lt;p&gt;&lt;div class="snippet" data-lang="js" data-hide="false" data-console="true" data-babel="false"&gt;
&lt;div class="snippet-code"&gt;
&lt;pre class="snippet-code-html lang-html prettyprint-override"&gt;&lt;code&gt;public class RelatedAccount{
    public Account parent {get; set;}
public RelatedAccount(ApexPages.StandardController controller){
Transaction__c child = (Transaction__c)controller.getRecord();
     if (child.Account__c != null) { parent = [Select ID,Name FROM Account  WHERE Account.Name = :'1Company Inc.,' LIMIT 1];
 child.Account__c = parent; 
}
}}&lt;/code&gt;&lt;/pre&gt;
&lt;/div&gt;
&lt;/div&gt;
&lt;/p&gt;
&lt;p&gt;I am getting the error : &lt;strong&gt;&lt;em&gt;"Illegal assignment from Account to Id"&lt;/em&gt;&lt;/strong&gt;&lt;/p&gt;
&lt;p&gt;Thanks In advance. &lt;/p&gt;
</t>
  </si>
  <si>
    <t xml:space="preserve">&lt;p&gt;First time asking a question here. As well as being pretty new to PowerApps as well.
I am trying to use two text input boxes for the user to define the min &amp;amp; max of their number range. basically i want the code to return all results that fall in the user defined range.
User inputs are:
&lt;code&gt;SearchText.Text&lt;/code&gt;
&lt;code&gt;MinSearch.Text&lt;/code&gt; and
&lt;code&gt;MaxSearch.Text&lt;/code&gt;
&lt;code&gt;PDFData&lt;/code&gt; is the table, and
&lt;code&gt;RMANumber&lt;/code&gt; is the column that i want the Min &amp;amp; Max to search and return all within the user defined range. as of now, all i can get this to return are exact results, which just won't work for my situation. In my way of thinking, i want to add &lt;code&gt;WHERE&lt;/code&gt; after the &lt;code&gt;RAWidth&lt;/code&gt; and give greater or lesser arguments, but this isn't working for me. My full code is below, and any help is appreciated.&lt;/p&gt;
&lt;p&gt;&lt;code&gt;If(SearchText.Text="" &amp;amp;&amp;amp; MinSearch.Text="" &amp;amp;&amp;amp; MaxSearch.Text="", PDFData, Filter(PDFData,SearchText.Text in PDFAuthor|| SearchText.Text in PDFName|| SearchText.Text in RMANumber|| MinSearch.Text in RAWidth))&lt;/code&gt;&lt;/p&gt;
</t>
  </si>
  <si>
    <t xml:space="preserve">&lt;p&gt;Using appmaker &amp;amp; Google Cloud SQL - &lt;/p&gt;
&lt;p&gt;I am trying to build a page that spits out whether information on various insurance policies meets minimum dollar requirements. I wasn't sure how to change the display text based on the result of a comparison, so I created two labels, one that says "Valid" and one that says "Does not meet minimum amounts", and am setting the visibility based on a binding expression.  Basically, when I compare valueX with valueY, if 
 X &gt;= Y, then it displays the valid label, and if X &amp;lt; Y, it displays the other label. This appears to work just fine.  &lt;/p&gt;
&lt;p&gt;The data for the left variable is in the inherited datasource.  The data for the right-side of the equation is in a separate datasource, based on a certain primary key.  My problem is that I don't know how to specify what primary key to use in the binding expression, if that makes any sense.  So for example, I am trying to compare the field AutoPolicyAmountLineOne from the inherited datasource (We'll call it ExampleA) with the field "ContractMinimumLineOne" from the datasource InsuranceTypes.  InsuranceTypes has different insurances, #id 1 thru 4, (Auto is #2) - so I think I want to compare AutoPolicyAmountLineOne with InsuranceType.ContractMinimumLineOne where id should be set to 2. But I don't know how to use the id in the binding expression?  What I have -&lt;/p&gt;
&lt;p&gt;For the "Invalid Label" - Set the visible binding to &lt;/p&gt;
&lt;p&gt;=@datasource.item.AutoPolicyAmountLineOne &amp;lt; @models.InsuranceTypes.datasource.InsuranceTypes.item.ContractMinimumLineOne&lt;/p&gt;
&lt;p&gt;But this only compares AutoPolicyAmountLineOne with the ContractMinimumLineOne for the &lt;strong&gt;first&lt;/strong&gt; insurance type in InsuranceType.  How do I specify which insurance id I want to use, so that I can access insurance types 2, 3, and 4?&lt;/p&gt;
&lt;p&gt;(I am still new at appmaker, feel free to ELI5!!) &lt;/p&gt;
&lt;p&gt;Thank you!   &lt;/p&gt;
</t>
  </si>
  <si>
    <t xml:space="preserve">&lt;p&gt;I have function called &lt;code&gt;alertnotice(to, message, body)&lt;/code&gt; that will be executed on a user &lt;code&gt;onClick()&lt;/code&gt; event. The function will execute &lt;code&gt;sendEmail(to, message, body)&lt;/code&gt; to send the email base on a calculated trigger as in variable &lt;code&gt;triggerDay&lt;/code&gt; such as below:&lt;/p&gt;
&lt;pre&gt;&lt;code&gt;function alertnotice(to, subject, body, dueDate, notifyBeforeDay) {//start of this class
  function sendEmail(to, subject, body){
    try {
      MailApp.sendEmail({
        to: to,
        subject: subject,
        htmlBody: body
      });
    } catch(e) {
      console.error(JSON.stringify(e));
    }
  }
  //check if there is an existing trigger for this process
  var existingTrigger = PropertiesService.getScriptProperties().getProperty("sendEmailTrigger");
  //set the renewal notice day
  var triggerDay = (dueDate - notifyBeforeDay) / (1000*60*60*24);
  //if the trigger already exists, inform user about it
  if(existingTrigger) {
    return "Alert notice had been sent"; 
  } else { // if the trigger does not exists, continue to set the trigger to send alert notice
    //runs the script every day at 1am on the time zone specified
    var newTrigger = ScriptApp.newTrigger('sendEmail')
    .timeBased()
    .atTime(triggerDay)
    .create();
    var triggerId = newTrigger.getUniqueId(); 
    if(triggerId) {
      PropertiesService.getScriptProperties().setProperty("autoExportTrigger", triggerId);
      return "Alert notice send successfully!";
    } else {
      return "Failed to send alert notice. Try again please"; 
    }
 }
}//end of this class
&lt;/code&gt;&lt;/pre&gt;
&lt;p&gt;So for example, if the dueDate is &lt;strong&gt;30/07/2018&lt;/strong&gt; and the &lt;code&gt;notifyBeforeDay = 30&lt;/code&gt;, the function should send the email 30 days before the due date. I tried to achieve that but not so sure whether my algorithm will work. Can anyone give advice on this?&lt;/p&gt;
</t>
  </si>
  <si>
    <t xml:space="preserve">&lt;p&gt;This implementation looks fragile to me. I would rather go with single trigger to avoid any possible duplicated emails and ensure at least one. Smth like this:&lt;/p&gt;
&lt;pre class="lang-javascript prettyprint-override"&gt;&lt;code&gt;// I am server script, trigger me on schedule (for instance nightly)
function sendAlerts() {
  var query = app.models.Customers.newQuery();
  // query only for non-notified customers with upcoming due date
  query.filters.NorificationAttempts._lessThan = ATTEMPTS_THRESHOLD;
  query.filters.Notified._equals = false;
  query.filters.DueDate._lessThan = &amp;lt;dueDate&amp;gt;;
  var customers = query.run();
  customers.forEach(function(customer) {
    var success = sendNotification(customer);
    if (success) {
      customer.Notified = true;
    } else {
      customer.NorificationAttempts++;
    }
    // performance trade off in favor of consistency
    app.saveRecords([customer]);
  });
}
&lt;/code&gt;&lt;/pre&gt;
&lt;p&gt;Trigger for such script can be installed by app's admin, you can find similar implementation in &lt;a href="https://developers.google.com/appmaker/templates/people-skills/" rel="nofollow noreferrer"&gt;People Skills&lt;/a&gt; template.&lt;/p&gt;
</t>
  </si>
  <si>
    <t xml:space="preserve">&lt;p&gt;I have a MANY-to-MANY relation between two models. But I cannot figure out how to create a form or table to add records to a many to many relation. I am using Google Drive Tables. &lt;/p&gt;
&lt;p&gt;I tried to see if the relation is well set, I exported the data and manually populated the keys in the sheet created for the many to many relation. I checked  using dropdowns to filter data and it works well. &lt;/p&gt;
&lt;p&gt;This is probably basic but I just can't find out how to do it. Please help.&lt;/p&gt;
&lt;p&gt;Mauricio&lt;/p&gt;
</t>
  </si>
  <si>
    <t xml:space="preserve">&lt;p&gt;With many-to-many relation on the object/api level App Maker gives an array of related records. Let's say we have 'Questions' and 'Tags' models with many-to-many relation. We can create association from any end of the relation:&lt;/p&gt;
&lt;pre class="lang-javascript prettyprint-override"&gt;&lt;code&gt;// create association from question side
question.Tags.push(tag);
// create association from tag side
tag.Questions.push(question);
&lt;/code&gt;&lt;/pre&gt;
&lt;p&gt;&lt;a href="https://developers.google.com/appmaker/scripting/api/widgets#MultiSelect" rel="nofollow noreferrer"&gt;Multiselect Widget&lt;/a&gt; will do this work for. Let's say we need to add some tags for a questions and we need to bind multiselect to all tags we have in our DB then binding will look similar to this&lt;/p&gt;
&lt;pre class="lang-javascript prettyprint-override"&gt;&lt;code&gt;// binding for Multiselect's names (.. - two dots mean projection)
@datasources.Tags.items..Name
// binding for Multiselect's options
@datasources.Tags.items
// binding for Multiselect's values
// assuming that parent widget is bound to datasource with question
// and `@datasource.item` is question
@datasource.item.Tags
&lt;/code&gt;&lt;/pre&gt;
&lt;p&gt;with &lt;a href="https://developers.google.com/appmaker/scripting/api/widgets#SuggestBox" rel="nofollow noreferrer"&gt;Suggest Box&lt;/a&gt; and &lt;a href="https://developers.google.com/appmaker/scripting/api/widgets#Dropdown" rel="nofollow noreferrer"&gt;Dropdown&lt;/a&gt; widgets binding will be similar to multiselect's one but you'll need to do some scripting:&lt;/p&gt;
&lt;pre class="lang-javascript prettyprint-override"&gt;&lt;code&gt;// onValueEdit event handler
// assuming that parent widget is bound to datasource with question
widget.datasource.item.Tags.push(newValue);
&lt;/code&gt;&lt;/pre&gt;
</t>
  </si>
  <si>
    <t xml:space="preserve">&lt;p&gt;Since AppMaker has removed Drive Table, we have to use Cloud SQL instead. We managed to setup AppMaker with Cloud SQL and it seems to work just fine. However, I realized that I can’t preview the app, as I am getting this error:&lt;/p&gt;
&lt;p&gt;&lt;a href="https://i.stack.imgur.com/oKU06.png" rel="nofollow noreferrer"&gt;&lt;img src="https://i.stack.imgur.com/oKU06.png" alt="enter image description here"&gt;&lt;/a&gt;&lt;/p&gt;
&lt;p&gt;Any suggestions on why is this happening?&lt;/p&gt;
</t>
  </si>
  <si>
    <t xml:space="preserve">&lt;p&gt;Is it possible to allow the user to dynamically show or hide columns in the Table widget? Or would that require creating a custom table? If a custom table, what would the basic steps for that be? &lt;/p&gt;
&lt;p&gt;Any assistance is much appreciated. Thank you.&lt;/p&gt;
</t>
  </si>
  <si>
    <t xml:space="preserve">&lt;p&gt;I have a use case where I need to display User's Team Drive names in a drop down, I have done a code to fetch team drive's names for a user but I am not able to load these values in Drop down dynamically.&lt;/p&gt;
&lt;p&gt;In Drop down widget "options" tag I am making a function call, which calls server for fetching these data and server returns the values. But the same data is not being reflected.&lt;/p&gt;
&lt;p&gt;Here's my snippet,&lt;/p&gt;
&lt;pre class="lang-javascript prettyprint-override"&gt;&lt;code&gt;function fetchValues() {
  google.script.run
    .withFailureHandler(function(error) {
      app.closeDialog();  
      setNotificationText(error);
      app.popups.Snackbar.visible = true;
    })
    .withSuccessHandler(function(result) {
      // This result has the list of team drive names.
      return result;
    })
    .fetchValues();  
}
&lt;/code&gt;&lt;/pre&gt;
&lt;p&gt;&lt;a href="https://i.stack.imgur.com/212TZ.jpg" rel="nofollow noreferrer"&gt;&lt;img src="https://i.stack.imgur.com/212TZ.jpg" alt="enter image description here"&gt;&lt;/a&gt;&lt;/p&gt;
</t>
  </si>
  <si>
    <t xml:space="preserve">&lt;p&gt;Your client script function &lt;code&gt;fetchValues&lt;/code&gt; returns &lt;code&gt;undefined&lt;/code&gt;, you can test it using dev tools console:&lt;/p&gt;
&lt;pre class="lang-javascript prettyprint-override"&gt;&lt;code&gt;console.log(fetchValues());
&lt;/code&gt;&lt;/pre&gt;
&lt;p&gt;It happens due to async nature of communication between client (browser) and server (you can learn more &lt;a href="https://developer.mozilla.org/en-US/docs/Web/Guide/AJAX/Getting_Started" rel="nofollow noreferrer"&gt;here&lt;/a&gt; and &lt;a href="https://www.w3schools.com/xml/ajax_intro.asp" rel="nofollow noreferrer"&gt;here&lt;/a&gt;). The easiest and most straight-forward way to fix your current code will be changing your binding to this:&lt;/p&gt;
&lt;pre class="lang-javascript prettyprint-override"&gt;&lt;code&gt;fetchValues(@widget);
&lt;/code&gt;&lt;/pre&gt;
&lt;p&gt;and change your function to this&lt;/p&gt;
&lt;pre class="lang-javascript prettyprint-override"&gt;&lt;code&gt;function fetchValues(dropdown) {
  google.script.run
    .withFailureHandler(function(error) {
      ...
    })
    .withSuccessHandler(function(result) {
      dropdown.options = result;
    })
    .fetchValues();  
}
&lt;/code&gt;&lt;/pre&gt;
&lt;p&gt;But in general it doesn't seem to be a right way to populate dropdown's &lt;code&gt;options&lt;/code&gt; and &lt;code&gt;names&lt;/code&gt; in App Maker. I would consider reworking this part using &lt;a href="https://developers.google.com/appmaker/models/calculated" rel="nofollow noreferrer"&gt;Calculated Model&lt;/a&gt; or &lt;a href="https://developers.google.com/appmaker/ui/binding#custom_properties" rel="nofollow noreferrer"&gt;Custom Properties&lt;/a&gt;&lt;/p&gt;
</t>
  </si>
  <si>
    <t xml:space="preserve">&lt;p&gt;i use the &lt;code&gt;Version: 2.6.0&lt;/code&gt; chart js. I have set the &lt;code&gt;pointStyle&lt;/code&gt; with an image:&lt;/p&gt;
&lt;pre&gt;&lt;code&gt;var icon = new Image();
'icon.src = 'https://assets0.uvcdn.com/pkg/shared/favicons/password-d904f06a67a7b29d489489d3a35f548b.png';
&lt;/code&gt;&lt;/pre&gt;
&lt;p&gt;and into dataset object set &lt;code&gt;pointStyle: icon&lt;/code&gt;.&lt;/p&gt;
&lt;p&gt;This is not work in lightning with &lt;code&gt;lockerService&lt;/code&gt; enable. Exist an workaround?&lt;/p&gt;
&lt;p&gt;Thanks&lt;/p&gt;
</t>
  </si>
  <si>
    <t xml:space="preserve">&lt;p&gt;I'm working on transforming an app from google sheet to appmaker , and I needed to add the arraylib library , the only thing that app maker doesn't recognize the ID of the library ,"1r9wNWbta3ebuYL4ENAdIp4UYKmyNiWf1AqsXYzfXduRHhTZEeTxS9MhZ", then I decided to creat my own script for the library , the thing is I couldn't find a script for the late version where they added the 'filterByValue' function , so any one can help please ? 
thank you in advance &lt;/p&gt;
</t>
  </si>
  <si>
    <t xml:space="preserve">&lt;p&gt;I was able to open latest libraries sources by opening link in the following format:&lt;/p&gt;
&lt;p&gt;&lt;code&gt;https://script.google.com/a/&amp;lt;HereGoesYourDomain(example.com)&amp;gt;/d/1r9wNWbta3ebuYL4ENAdIp4UYKmyNiWf1AqsXYzfXduRHhTZEeTxS9MhZ/edit&lt;/code&gt;&lt;/p&gt;
&lt;p&gt;When I click this dummy link: &lt;a href="https://script.google.com/a/example.com/d/1r9wNWbta3ebuYL4ENAdIp4UYKmyNiWf1AqsXYzfXduRHhTZEeTxS9MhZ/edit" rel="nofollow noreferrer"&gt;https://script.google.com/a/example.com/d/1r9wNWbta3ebuYL4ENAdIp4UYKmyNiWf1AqsXYzfXduRHhTZEeTxS9MhZ/edit&lt;/a&gt; Apps Script redirects me to the library's sources and adjusts the URL.&lt;/p&gt;
</t>
  </si>
  <si>
    <t xml:space="preserve">&lt;p&gt;I'd like to access the Revision ID for my appmaker app so I can display it inside the app somewhere. This is the ID in Settings &gt; Revisions. &lt;/p&gt;
&lt;p&gt;How can I programatically access Revision ID?&lt;/p&gt;
</t>
  </si>
  <si>
    <t xml:space="preserve">&lt;p&gt;I have an ejected React app that is based on Create-React-App, and I am trying to install the @salesforce/design-system-react package to use the Salesforce lightning components in it. But to use this package is not as easy (seems that I need some extra configuration for Barbel and Webpeck). I don't have much experience on config Barbel and Webpeck and need some help to get me started. &lt;/p&gt;
&lt;p&gt;Can someone please let me know how can I get that .BABELRC and the Webpack v1 files described from this site: &lt;a href="https://react.lightningdesignsystem.com/getting-started/" rel="nofollow noreferrer"&gt;https://react.lightningdesignsystem.com/getting-started/&lt;/a&gt; ?&lt;/p&gt;
&lt;p&gt;Many thanks,&lt;/p&gt;
</t>
  </si>
  <si>
    <t xml:space="preserve">&lt;p&gt;How to do binding for the checkbox? together with the user input if they choose other here? can anyone help?&lt;/p&gt;
&lt;p&gt;&lt;a href="https://i.stack.imgur.com/KoGTm.png" rel="nofollow noreferrer"&gt;&lt;img src="https://i.stack.imgur.com/KoGTm.png" alt="enter image description here"&gt;&lt;/a&gt;&lt;/p&gt;
</t>
  </si>
  <si>
    <t xml:space="preserve">&lt;p&gt;The simplest implementation will be with &lt;a href="https://developers.google.com/appmaker/ui/input-widgets#multi-select" rel="nofollow noreferrer"&gt;Multiselect Widget&lt;/a&gt;. However, it will look slightly different:&lt;/p&gt;
&lt;p&gt;&lt;strong&gt;Model&lt;/strong&gt;&lt;/p&gt;
&lt;p&gt;&lt;a href="https://i.stack.imgur.com/imOGA.png" rel="nofollow noreferrer"&gt;&lt;img src="https://i.stack.imgur.com/imOGA.png" alt="Model"&gt;&lt;/a&gt;&lt;/p&gt;
&lt;p&gt;&lt;strong&gt;Designer&lt;/strong&gt;&lt;/p&gt;
&lt;p&gt;Note, &lt;a href="https://developers.google.com/appmaker/scripting/api/transformers#strToArray" rel="nofollow noreferrer"&gt;strToArray&lt;/a&gt; transformer is used in the &lt;code&gt;values&lt;/code&gt; binding&lt;/p&gt;
&lt;p&gt;&lt;a href="https://i.stack.imgur.com/aJAlm.png" rel="nofollow noreferrer"&gt;&lt;img src="https://i.stack.imgur.com/aJAlm.png" alt="Designer"&gt;&lt;/a&gt;&lt;/p&gt;
&lt;p&gt;&lt;strong&gt;Runtime&lt;/strong&gt;&lt;/p&gt;
&lt;p&gt;&lt;a href="https://i.stack.imgur.com/YZvkS.png" rel="nofollow noreferrer"&gt;&lt;img src="https://i.stack.imgur.com/YZvkS.png" alt="Runtime"&gt;&lt;/a&gt;&lt;/p&gt;
&lt;p&gt;For sure, you can go fancy customizing look and feel of the Multiselect with CSS or playing with input's visibility basing on selected values and so on...&lt;/p&gt;
</t>
  </si>
  <si>
    <t xml:space="preserve">&lt;p&gt;As I would like to create documents by merging the entries in a list into a Google Docs template. I have therefore integrated the DocumentMerge method from my previous &lt;a href="https://stackoverflow.com/questions/49146043/document-merge-with-google-app-maker"&gt;question&lt;/a&gt; into a printButton in a list widget.&lt;/p&gt;
&lt;p&gt;&lt;a href="https://i.stack.imgur.com/GkOGX.png" rel="nofollow noreferrer"&gt;&lt;img src="https://i.stack.imgur.com/GkOGX.png" alt="enter image description here"&gt;&lt;/a&gt;&lt;/p&gt;
&lt;p&gt;Clicking on the printButton should produce a document that merges the contents of the current row into the document template. But when I click on the printButton the method fails due to a circular reference. How can I fix that? The print method goes like this ...&lt;/p&gt;
&lt;pre class="lang-javascript prettyprint-override"&gt;&lt;code&gt; function printReview(widget) { 
  var review = app.models.Review.getRecord(widget.datasource.item._key);
  var templateId = 'templateId';
  var filename = 'Review for ...' + new Date();
  var copyFile = DriveApp.getFileById(templateId).makeCopy(filename);
  var copyDoc = DocumentApp.openById(copyFile.getId());
  var copyBody = copyDoc.getBody();
  var fields = app.metadata.models.Review.fields;
  for (var i in fields) {
    var text = '$$' + fields[i].name + '$$';
    var data = review[fields[i].name];
    copyBody.replaceText(text, data);
  }
  copyDoc.saveAndClose();
}
&lt;/code&gt;&lt;/pre&gt;
</t>
  </si>
  <si>
    <t xml:space="preserve">&lt;p&gt;As &lt;a href="https://stackoverflow.com/users/5983596/morfinismo"&gt;Morfinismo&lt;/a&gt; noticed you are getting the error because you are trying to pass complex object from client to server and serializer fails to handle it. In order to fix that you need to adjust your code:&lt;/p&gt;
&lt;pre class="lang-javacript prettyprint-override"&gt;&lt;code&gt;// onClick button's event handler (client script)
function onPrintClick(button) {
  var reviewKey = button.datasource.item._key;
  google.script.run
    .withSuccessHandler(function() { /* TODO */ })
    .withFailureHandler(function() { /* TODO */ })
    .printReview(reviewKey);
}
// server script
function printReview(reviewKey) {
  var review = app.models.Review.getRecord(reviewKey);
  ...
}
&lt;/code&gt;&lt;/pre&gt;
</t>
  </si>
  <si>
    <t xml:space="preserve">&lt;p&gt;Need some help with PowerApps - I am trying to filter the gallery where the Person column (ROMEmail) equals the logged in user.&lt;/p&gt;
&lt;p&gt;This code is working, but the blue circle of death comes up - whilst in test at the moment, i dont have over 500 records, but will do within a month of trialling this&lt;/p&gt;
&lt;p&gt;Any ideas on how to workaround this? Using a collection or variable perhaps? I haven't really used these yet so a detailed resolution would be greatly appreciated.&lt;/p&gt;
&lt;pre&gt;&lt;code&gt;SortByColumns(Filter('Reviews', StartsWith(LocationName, TextSearchBox1.Text),ROMEmail.Email = User().Email), "Modified", If(SortDescending1, Descending, Ascending))
&lt;/code&gt;&lt;/pre&gt;
</t>
  </si>
  <si>
    <t xml:space="preserve">&lt;p&gt;Please refer to my image, "Google Drive Table" option no longer available today (suddenly) ... But i checked back my existing appmaker app, i am still able to create additional google drive table but not new app &lt;/p&gt;
&lt;p&gt;&lt;strong&gt;Missing 'Google Drive Table'&lt;/strong&gt;&lt;/p&gt;
&lt;p&gt;&lt;img src="https://i.stack.imgur.com/u7yFC.png" alt="Missing &amp;#39;Google Drive Table"&gt;&lt;/p&gt;
</t>
  </si>
  <si>
    <t xml:space="preserve">&lt;p&gt;I have a DropDown that shows a list of indicators. I want it to display as options values from two fields &lt;em&gt;IndicatorCode&lt;/em&gt; and &lt;em&gt;IndicatorName&lt;/em&gt;, ideally it should also have a ": " or any other character in between. As bindings for the DropDown I have:&lt;/p&gt;
&lt;p&gt;&lt;em&gt;Options&lt;/em&gt;: &lt;strong&gt;@datasource.items&lt;/strong&gt;, &lt;/p&gt;
&lt;p&gt;&lt;em&gt;Value&lt;/em&gt;: &lt;strong&gt;@datasource.item&lt;/strong&gt; &lt;/p&gt;
&lt;p&gt;&lt;em&gt;Names&lt;/em&gt;: I tried the following but it does not work well &lt;strong&gt;@datasources.MyDatasource.items..IndicatorCode+':'+@datasources.MyDatasource.items..IndicatorName&lt;/strong&gt;&lt;/p&gt;
</t>
  </si>
  <si>
    <t xml:space="preserve">&lt;p&gt;Let's say you have &lt;code&gt;Person&lt;/code&gt; model/datasource and you need to show in the &lt;code&gt;Dropdown&lt;/code&gt; user's &lt;code&gt;Display Name&lt;/code&gt; (&lt;code&gt;First Name + Last Name&lt;/code&gt;). In this case binding for the &lt;code&gt;names&lt;/code&gt; Dropdown's property will look like this:&lt;/p&gt;
&lt;pre class="lang-javascript prettyprint-override"&gt;&lt;code&gt;getPeopleDisplayNames(@datasources.People.items)
&lt;/code&gt;&lt;/pre&gt;
&lt;p&gt;and here is client script for the &lt;code&gt;getPeopleDisplayNames&lt;/code&gt; function&lt;/p&gt;
&lt;pre class="lang-javascript prettyprint-override"&gt;&lt;code&gt;function getPeopleDisplayNames(personList) {
  if (personList) {
    return personList.map(function (person) {
      return person.FirstName + ' ' + person.LastName;
    });
  }
  return personList;
}
&lt;/code&gt;&lt;/pre&gt;
&lt;p&gt;Here are couple related topics from Google Groups:
&lt;a href="https://groups.google.com/forum/#!topic/appmaker-users/0zGl85fEU4Y/discussion" rel="nofollow noreferrer"&gt;https://groups.google.com/forum/#!topic/appmaker-users/0zGl85fEU4Y/discussion&lt;/a&gt;
&lt;a href="https://groups.google.com/forum/#!topic/appmaker-users/Pg6cyZBIOMk/discussion" rel="nofollow noreferrer"&gt;https://groups.google.com/forum/#!topic/appmaker-users/Pg6cyZBIOMk/discussion&lt;/a&gt;&lt;/p&gt;
</t>
  </si>
  <si>
    <t xml:space="preserve">&lt;p&gt;I have a created a page that contains a list of reviews. If the user clicks on a name, he will be directed to a page where he can edit the review details if needed. &lt;/p&gt;
&lt;p&gt;&lt;a href="https://i.stack.imgur.com/6rXdV.png" rel="nofollow noreferrer"&gt;&lt;img src="https://i.stack.imgur.com/6rXdV.png" alt="enter image description here"&gt;&lt;/a&gt;&lt;/p&gt;
&lt;p&gt;In order to achieve this I have adapted the methods from the travel approval template.&lt;/p&gt;
&lt;p&gt;The names in the list are link widgets that contain the onClick event which I simply adapted from the template to get a quick result. The client script is integrated in the onAttach event of the page.&lt;/p&gt;
&lt;pre&gt;&lt;code&gt;//button method    
if (event.ctrlKey === false &amp;amp;&amp;amp; event.metaKey === false) {
      event.preventDefault();
      app.showPage(app.pages.ReviewDetails);
      replaceUrlForEditRequest(widget.datasource.item._key);
    }
//client script
function startLoadingEditRequestPage() {
  google.script.url.getLocation(function(location) {
    var requestId = location.parameter.requestId;
    var requestDs = app.datasources.Reviews;
    if (requestDs.creating) {
      return;
    }
    if (!requestId) {
      app.showPage(app.pages.Dashboard);
      return;
    }
    if (requestDs.loaded &amp;amp;&amp;amp; requestDs.query.filters._key._equals === requestId) {
      return;
    }
    requestDs.unload();
    requestDs.query.filters._key._equals = requestId;
    requestDs.load();
  });
}
&lt;/code&gt;&lt;/pre&gt;
&lt;p&gt;The handover to the edit page works perfectly. The user will see the review details of the person he has clicked on (ex: Mary Poppins) and not the one who has the active index in the list. If the user clicks on a link "personal information" in the review details page he will be directed to another edit page where he can see other information of the person. For this I have simply amended the method from the template by adding another target page to the history. &lt;/p&gt;
&lt;pre&gt;&lt;code&gt;function replaceUrlForEditRequest(requestId) {
  var params = {
    requestId: requestId
  };
  google.script.history.replace(null, params, app.pages.EditReview.name);
  google.script.history.replace(null, params, app.pages.EditReviewDetails.name);
}
&lt;/code&gt;&lt;/pre&gt;
&lt;p&gt;But when I duplicate the button method in the link on the review details page, it is not working. I always see the first name in my list and not the one that I had clicked on. How can I fix that?&lt;/p&gt;
</t>
  </si>
  <si>
    <t xml:space="preserve">&lt;p&gt;The issue has been resolved. Although both pages were on the same model, they were not on the same datasource. After setting them to the same datasource, everything works fine.&lt;/p&gt;
</t>
  </si>
  <si>
    <t xml:space="preserve">&lt;p&gt;I'm using the Leave Request template and I'm trying to remove the &lt;em&gt;'About'&lt;/em&gt; and &lt;em&gt;'My Leave Balance'&lt;/em&gt; menu items from the left menu, however I'm not too sure how to do it since the items are a part of a collection.
 &lt;/p&gt;
&lt;p&gt;I tried the &lt;em&gt;Remove ThisItem&lt;/em&gt; option which kind of worked, but when I load the app up again it just seems to populate the menu again with all the original items.&lt;/p&gt;
&lt;p&gt;I've also tried setting the following in On start too, but that also didn't work:&lt;/p&gt;
&lt;pre&gt;&lt;code&gt;ClearCollect( LeftMenuCollect, Table( { value:"My Leave Requests", }    , { value:"My Leave Balance", } , { value:"Company Holidays", } ) );
&lt;/code&gt;&lt;/pre&gt;
&lt;p&gt; 
What is the proper way to remove items from collections such as this?&lt;/p&gt;
&lt;p&gt;My other attempt around this was to create an excel table with my own menu items listed and use that as the datasource for the gallery instead. &lt;/p&gt;
&lt;p&gt;This works, and I think I'd actually prefer it this way as it's easier for me to update, however it breaks the styling of the menu. I tried fixing this by modifying the colour code from it's original code:&lt;/p&gt;
&lt;pre&gt;&lt;code&gt;If(LeftMenuSelect = ThisItem.Value, RGBA(47,41,43,1), RGBA(12,132,255,1))
&lt;/code&gt;&lt;/pre&gt;
&lt;p&gt;To this code, where &lt;em&gt;'LeftMenuList'&lt;/em&gt; is the name of the excel table:&lt;/p&gt;
&lt;pre&gt;&lt;code&gt;If(LeftMenuList = ThisItem.Title, RGBA(47,41,43,1), RGBA(12,132,255,1))
&lt;/code&gt;&lt;/pre&gt;
&lt;p&gt;What am I doing wrong in regards to referring to the table/datasource?&lt;/p&gt;
</t>
  </si>
  <si>
    <t xml:space="preserve">&lt;p&gt;I'm currently attempting to embed Zoho's ASAP function into our company website, while testing the script I've ran into nothing but problems (notably because my knowledge of JavaScript is quite poor) &lt;/p&gt;
&lt;p&gt;Here's the code snippit of the script, this script is within the header tag:&lt;/p&gt;
&lt;pre&gt;&lt;code&gt;&amp;lt;script type="text/javascript" &amp;gt;
 window.ZohoHCAsap=window.ZohoHCAsap||function(a,b){ZohoHCAsap[a]=b;};
 (function(){
  var d=document;
  var s=d.createElement("script");
  s.type="text/javascript";
  s.defer=true;
  s.src="https://desk.zoho.com/portal/api/web/inapp/168138000006546086?orgId=XXX_XXX_XXX_XXX";
  d.getElementsByTagName("head")[0].appendChild(s);
 })();
&amp;lt;/script&amp;gt;
&lt;/code&gt;&lt;/pre&gt;
&lt;p&gt;Of course orgId is redacted for privacy reasons.&lt;/p&gt;
&lt;p&gt;I've created an iframe in the body to call the script when the page loads with:&lt;/p&gt;
&lt;pre&gt;&lt;code&gt;&amp;lt;iframe id="zsAsapFrame" width="1000" height="1000" name="zsAsapFrame" scrolling="yes" allowtransparency="false" frameborder="0" border="0" src="https://desk.zoho.com/portal/api/web/inapp/168138000006546086?orgId=XXX_XXX_XXX"&amp;gt;&amp;lt;/iframe&amp;gt;
&lt;/code&gt;&lt;/pre&gt;
&lt;p&gt;As far as my untrained eye can see, this shouldn't produce an issue, however it does. This is the result of me opening the file in a browser:&lt;/p&gt;
&lt;p&gt;&lt;a href="https://i.stack.imgur.com/u0PdP.png" rel="nofollow noreferrer"&gt;This is the output on the website I get, private information redacted&lt;/a&gt;&lt;/p&gt;
&lt;p&gt;What I'm trying to figure out here is where I'm making this mistake and what it is that's stopping me from getting this script working.&lt;/p&gt;
&lt;hr&gt;
&lt;p&gt;&lt;strong&gt;Update:&lt;/strong&gt; I have since realised that my fault was a simple fix and this could provide useful for future users when ASAP gets a full release.&lt;/p&gt;
&lt;p&gt;What I was attempting to do was test this script within a locally hosted HTML file, however due to the nature of the script being linked to a website, it won't function correctly unless integrated into a page on your own website. My advice is create a non indexed page to use for testing. The iframe is not needed as the script function given just calls to an external script that fills in the blanks itself.&lt;/p&gt;
&lt;p&gt;In no longer need assistance in getting this script running, however the post may be useful to a future developer who runs into the same issue during testing of this feature.&lt;/p&gt;
</t>
  </si>
  <si>
    <t xml:space="preserve">&lt;p&gt;I have integrated a 'Header' pagefragment that contains a searchbox into my review app. The searchbox allows me to search for employees in the Directory model, but I would also like to search in the reviews.&lt;/p&gt;
&lt;p&gt;The query builder in the Review model goes like this&lt;/p&gt;
&lt;pre&gt;&lt;code&gt;  FamilyName contains? :SearchText or
  GivenName contains? :SearchText or
  EmployeeEmail contains? :SearchText or
  CostCenter contains? :SearchText or
  Location contains? :SearchText  
&lt;/code&gt;&lt;/pre&gt;
&lt;p&gt;When I am on the Review dashboard, I would like the datasource of the searchbox switch from the Directory model to the Review model. I have therefore created the following binding:&lt;/p&gt;
&lt;pre&gt;&lt;code&gt;(@currentPage == @pages.Dashboard) ? 
@datasources.Reviews.query.parameters.SearchText : 
@datasource.query.keywords
&lt;/code&gt;&lt;/pre&gt;
&lt;p&gt;But when I access the page in the preview the console returns an 'invalid binding' message. How can I fix that?&lt;/p&gt;
</t>
  </si>
  <si>
    <t xml:space="preserve">&lt;p&gt;Trying to preform a date range query on a datasource example:  &lt;/p&gt;
&lt;pre&gt;&lt;code&gt;query.where = 'TransactionDate BETWEEN: StartDate AND EndDate';
&lt;/code&gt;&lt;/pre&gt;
&lt;p&gt;This is what I get: &lt;/p&gt;
&lt;blockquote&gt;
  &lt;p&gt;Unexpected input at ': StartDate AND EndDate'.&lt;br&gt;
  Error: Unexpected input at ': StartDate AND EndDate'. at datasources.&lt;/p&gt;
&lt;/blockquote&gt;
&lt;p&gt;I was assuming this would work similarly to a MySQL query:  &lt;/p&gt;
&lt;pre&gt;&lt;code&gt;WHERE TransactionDate BETWEEN "2012-03-15" AND "2012-03-31";
&lt;/code&gt;&lt;/pre&gt;
</t>
  </si>
  <si>
    <t xml:space="preserve">&lt;p&gt;In order to use real SQL query you need to go with &lt;a href="https://developers.google.com/appmaker/models/cloudsql#sql_calculated_model" rel="nofollow noreferrer"&gt;Calculated SQL model&lt;/a&gt;. With &lt;code&gt;query.where = ...&lt;/code&gt; you are setting App Maker's &lt;a href="https://developers.google.com/appmaker/models/datasources#query_builder" rel="nofollow noreferrer"&gt;Query Builder&lt;/a&gt; expression that supports limited set of operations. I think your Query Builder expression will look similar to this:&lt;/p&gt;
&lt;p&gt;&lt;code&gt;TransactionDate &amp;gt;= :StartDate AND TransactionDate &amp;lt;= :EndDate&lt;/code&gt;&lt;/p&gt;
</t>
  </si>
  <si>
    <t xml:space="preserve">&lt;p&gt;I set up GCP for App Maker and create instance and make a connection but there's an ERROR: Cannot create admin user in the default Google Cloud SQL instance. How to address this issue? TIA&lt;/p&gt;
</t>
  </si>
  <si>
    <t xml:space="preserve">&lt;p&gt;I have created one app in Appmaker, I want to download certain reports from the Drive tables in Appmaker. For this currently I am creating SpreadSheet using Drive APIs. I want to add download feature as well which allows users to Download Spreadsheet in their local machine.&lt;/p&gt;
&lt;p&gt;I have done research on Appscript which allows users to Download files using ContentService, however I do not have any HTMl page from where I can invoke this method. Are there any alternatives for this?&lt;/p&gt;
</t>
  </si>
  <si>
    <t xml:space="preserve">&lt;p&gt;It seems that you can get download URL using &lt;a href="https://developers.google.com/apps-script/reference/drive/" rel="nofollow noreferrer"&gt;DriveApp Apps Script&lt;/a&gt; service&lt;/p&gt;
&lt;pre class="lang-javascript prettyprint-override"&gt;&lt;code&gt;// Server script
var downloadUrl = DriveApp.getFileById(FileIdGoesHere).getDownloadUrl();
&lt;/code&gt;&lt;/pre&gt;
</t>
  </si>
  <si>
    <t xml:space="preserve">&lt;p&gt;I am trying to populate a drop down list in PowerApps based on a DatePicker field, however, the drop down is not showing all the values existing in the list in SharePoint. &lt;/p&gt;
&lt;p&gt;List Name: Fitter List
DateTime field in Fitter List: AppointmentDate
DatePicker component in PowerApps set as ShortDate: DatePicker1
Field to display in drop down: Title&lt;/p&gt;
&lt;p&gt;First query tried:&lt;/p&gt;
&lt;p&gt;Distinct(Filter('Fitter List', (AppointmentDate = DatePicker1.SelectedDate)),Title)&lt;/p&gt;
&lt;p&gt;Error returned:&lt;/p&gt;
&lt;p&gt;&lt;a href="https://i.stack.imgur.com/Nfhy1.png" rel="nofollow noreferrer"&gt;&lt;img src="https://i.stack.imgur.com/Nfhy1.png" alt="Error"&gt;&lt;/a&gt;&lt;/p&gt;
&lt;p&gt;Then tried to convert both the field being queried and the Date picker field to text and compare. This returns some selections in the Date Picker but not all.&lt;/p&gt;
&lt;pre&gt;&lt;code&gt;Distinct(Filter('Fitter List', (Text(AppointmentDate,DateTimeFormat.ShortDate) = Text(DatePicker1.SelectedDate))),Title)
&lt;/code&gt;&lt;/pre&gt;
&lt;p&gt;I then created another Calculated field AppointmentDateText based on AppointmentDate, as shown below:&lt;/p&gt;
&lt;pre&gt;&lt;code&gt;=TEXT(AppointmentDate,"m/d/yyyy")
&lt;/code&gt;&lt;/pre&gt;
&lt;p&gt;and changed the query to:&lt;/p&gt;
&lt;pre&gt;&lt;code&gt;Distinct(Filter('Fitter List', (AppointmentDateText = Text(DatePicker1.SelectedDate))),Title)
&lt;/code&gt;&lt;/pre&gt;
&lt;p&gt;Similarly, it worked for some of the selections but not all. The idea behind "m/d/yyyy" as Date Format is due the same format being displayed in the DatePicker component. &lt;/p&gt;
&lt;p&gt;These are only a few of the queries tried, it is not working and nothing is making sense. any help would be greatly appreciated&lt;/p&gt;
</t>
  </si>
  <si>
    <t xml:space="preserve">&lt;p&gt;I have a Page with a Table for which its datasource is a relation and needs to be sorted based on fields from another model:&lt;/p&gt;
&lt;p&gt;&lt;strong&gt;Page&lt;/strong&gt;&lt;br&gt;
&amp;nbsp;&amp;nbsp;&amp;nbsp;&amp;nbsp;&amp;nbsp;Datasource = &lt;em&gt;Indicators&lt;/em&gt;&lt;br&gt;
&lt;strong&gt;Table&lt;/strong&gt;&lt;br&gt;
&amp;nbsp;&amp;nbsp;&amp;nbsp;&amp;nbsp;&amp;nbsp;Datasource = &lt;em&gt;Indicators&lt;/em&gt; [one] : &lt;em&gt;MetadataText&lt;/em&gt; [many] (relation)  &lt;/p&gt;
&lt;p&gt;The &lt;strong&gt;Table&lt;/strong&gt; needs to be sorted based on a field from another &lt;em&gt;Model&lt;/em&gt; called &lt;strong&gt;&lt;em&gt;MetadataField&lt;/em&gt;&lt;/strong&gt;, which has a one to many relation with &lt;strong&gt;&lt;em&gt;MetadataText&lt;/em&gt;&lt;/strong&gt;. &lt;/p&gt;
&lt;p&gt;I have the datasource of &lt;strong&gt;&lt;em&gt;MetadataField&lt;/em&gt;&lt;/strong&gt; sorted. But the content in the &lt;strong&gt;Table&lt;/strong&gt; appears in random order. When I first access the application, the &lt;strong&gt;Table&lt;/strong&gt; is sorted by the order that the records were loaded. After view some records, the sorting of the records changes and keeps changing.   &lt;/p&gt;
&lt;p&gt;I am using Google Drive tables.&lt;/p&gt;
</t>
  </si>
  <si>
    <t xml:space="preserve">&lt;p&gt;You can easily sort related records by one of the fields that belong to the related record itself, but &lt;em&gt;only once&lt;/em&gt; (you'll received those records sorted from server).&lt;/p&gt;
&lt;p&gt;&lt;a href="https://i.stack.imgur.com/Mb6Dm.png" rel="nofollow noreferrer"&gt;&lt;img src="https://i.stack.imgur.com/Mb6Dm.png" alt="select relation sorting"&gt;&lt;/a&gt;&lt;/p&gt;
&lt;p&gt;But it seems, that you want to sort related records by their related record. App Maker will not be your friend in this case... but javascript will be! Since App Maker loads &lt;strong&gt;&lt;em&gt;all&lt;/em&gt;&lt;/strong&gt; related records you can safely &lt;a href="https://developer.mozilla.org/en-US/docs/Web/JavaScript/Reference/Global_Objects/Array/sort" rel="nofollow noreferrer"&gt;sort them on client using javascript&lt;/a&gt;:&lt;/p&gt;
&lt;pre class="lang-javascript prettyprint-override"&gt;&lt;code&gt;indicatorsDatasource.load(function() {
  indicatorsDatasource.items.forEach(function(indicator) {
    indicator.MetadataTexts.sort(function(a, b) {
       return /* here goes your sorting logic */;
    });
  });
});
&lt;/code&gt;&lt;/pre&gt;
&lt;p&gt;It will work in O(n * m * log(m)) in case you have n Indicators on the page and every indicator has m associated MetadataTexts. If you want to let users to sort related records by clicking table's header, you'll need to implement that logic on your own. So... all this hassle leads us to alternative solution! What if we decouple related records and introduce separated datasource for them? Having that you'll be able to use full power of App Maker's tables (sorting/paging) with almost no effort. You can take a look at implementation sample in &lt;a href="https://developers.google.com/appmaker/templates/project-tracker/" rel="nofollow noreferrer"&gt;Project Tracker&lt;/a&gt; template ViewProject page.&lt;/p&gt;
</t>
  </si>
  <si>
    <t xml:space="preserve">&lt;p&gt;I am facing below error every time when I try to connect Navision 2016 with PowerApps.&lt;/p&gt;
&lt;p&gt;Error:&lt;/p&gt;
&lt;p&gt;&lt;a href="https://i.stack.imgur.com/JOp25.png" rel="nofollow noreferrer"&gt;https://i.stack.imgur.com/JOp25.png&lt;/a&gt;&lt;/p&gt;
</t>
  </si>
  <si>
    <t xml:space="preserve">&lt;p&gt;I have two domains, one is production and the other one is test. I have set up GCP on the production domain and that is where the SQL databases reside. I have two instances, one is used for prod and the other is for testing. I am trying to connect the test domain to a custom cloud sql database that resides on the production domain, inside the testing instance, but I am getting the following error:&lt;/p&gt;
&lt;p&gt;&lt;a href="https://i.stack.imgur.com/lBkzg.png" rel="nofollow noreferrer"&gt;&lt;img src="https://i.stack.imgur.com/lBkzg.png" alt="enter image description here"&gt;&lt;/a&gt;&lt;/p&gt;
&lt;p&gt;Now, before you might assume that it is a permission error; IT IS NOT, or at least that's what I believe. This was working fine until last week. I have doubled checked that the permissions are correct and here is the screenshot of the permission inside IAM &amp;amp; Admin:&lt;/p&gt;
&lt;p&gt;&lt;a href="https://i.stack.imgur.com/aROfq.png" rel="nofollow noreferrer"&gt;&lt;img src="https://i.stack.imgur.com/aROfq.png" alt="enter image description here"&gt;&lt;/a&gt;&lt;/p&gt;
&lt;p&gt;I have checked and followed &lt;a href="https://docs.google.com/document/d/17-jTVh3LUVSwKJSssgcMbR8MMwZIWqN2nzzbAFGo1L0/edit#heading=h.puk8541061lx" rel="nofollow noreferrer"&gt;&lt;strong&gt;the documentation&lt;/strong&gt;&lt;/a&gt; that James from AppMaker university shared but that is not what it's happening now. It's just NOT working. &lt;/p&gt;
&lt;p&gt;Now, I suspect this is a bug or a recent change but I see no communication whatsoever regarding this behavior. I see no sense in creating another GCP account and another billing account in the test domain, when I already have a GCP account with an instance that I want to use. Would it be possible to continue doing this or the appmaker team decided to remove this ability?&lt;/p&gt;
</t>
  </si>
  <si>
    <t xml:space="preserve">&lt;p&gt;App Maker application developer (a person which creates or updates the deployment in particular) should have "Cloud SQL Client" permission on the Cloud Project with Cloud SQL DB.&lt;/p&gt;
</t>
  </si>
  <si>
    <t xml:space="preserve">&lt;p&gt;I have a React Project and encountered this exception:&lt;/p&gt;
&lt;pre&gt;&lt;code&gt;client id not not event
&lt;/code&gt;&lt;/pre&gt;
&lt;p&gt;Raw:&lt;/p&gt;
&lt;pre&gt;&lt;code&gt;null: client id not not event
  at ? (/teams/5ace3d23fd5dc3053dd04709:0:0)
&lt;/code&gt;&lt;/pre&gt;
&lt;p&gt;I am using the zoho salesiq (chat widget) and the exception is triggered just after an xhr call to zoho:&lt;/p&gt;
&lt;pre&gt;&lt;code&gt;GET https://salesiq.zoho.com/getembeddetails.ls?widgetcode=...
&lt;/code&gt;&lt;/pre&gt;
&lt;p&gt;User agent Info:&lt;/p&gt;
&lt;pre&gt;&lt;code&gt;OS:Mac OS X     
Version: 10.13
Browser: Firefox 
Version: 59.0
&lt;/code&gt;&lt;/pre&gt;
&lt;p&gt;Does someone have any idea of what may be the problem?&lt;/p&gt;
</t>
  </si>
  <si>
    <t xml:space="preserve">&lt;p&gt;I wrote this question up at RubyZoho's forum, but it's languishing there, and it's such a simple question it deserves a wider audience.&lt;/p&gt;
&lt;p&gt;I have used RubyZoho to upload a new Lead record to the Zoho CRM API, and now I want to upload a Task with its "related to" field set to that Lead.&lt;/p&gt;
&lt;p&gt;Configuring RubyZoho:&lt;/p&gt;
&lt;pre&gt;&lt;code&gt;RubyZoho.configure do |config|
  config.api_key = Setting.plugin_redmine_tigase['zoho_authorization_token']
  config.crm_modules = [
      'Leads',
      'Tasks'
  ]
  config.ignore_fields_with_bad_names = true
  config.cache_fields = true
end
&lt;/code&gt;&lt;/pre&gt;
&lt;p&gt;Creating the lead:&lt;/p&gt;
&lt;pre&gt;&lt;code&gt;  lead = RubyZoho::Crm::Lead.new
  lead.first_name = splut.first
  lead.last_name = splut.last
  lead.full_name = params[:name]
  lead.company = params[:company]
  lead.email = params[:mail]
  lead.description = description
  lead.save
&lt;/code&gt;&lt;/pre&gt;
&lt;p&gt;Creating the Task:&lt;/p&gt;
&lt;pre&gt;&lt;code&gt;  found = RubyZoho::Crm::Lead.find_by_email(params[:mail])
  lead = found.first
  task = RubyZoho::Crm::Task.new
  task.related_to = lead.id
  task.subject = params[:subject]
  task.description = description
  task.save
&lt;/code&gt;&lt;/pre&gt;
&lt;p&gt;I tried &lt;code&gt;task.related_to = lead.leadid&lt;/code&gt;, and got a Task record with a blank "related to" in the Zoho website. And when I try &lt;code&gt;task.related_to = 'Lead'; task.relatedtoid = lead.leadid&lt;/code&gt;, I get a &lt;code&gt;undefined method relatedtoid=&lt;/code&gt;, naturally because the variable has no setter.&lt;/p&gt;
&lt;p&gt;So what am I missing? how do I do this simple thing?&lt;/p&gt;
</t>
  </si>
  <si>
    <t xml:space="preserve">&lt;p&gt;When using the below SQL, I get the error "Incorrect syntax near 'WITH'."&lt;/p&gt;
&lt;pre&gt;&lt;code&gt;SQL statement with key and autogenerate id:
CREATE TABLE [dbo].[Stopwords](
 [Id] [int] IDENTITY(1,1) NOT NULL,
 [Stopword] [nvarchar](150) NULL,
 [Timestamp] [nvarchar](17) NULL,
 [Created by] [nvarchar](150) NULL,
 CONSTRAINT [PK_StopwordsId] PRIMARY KEY CLUSTERED 
(
 [Id] ASC
)WITH (PAD_INDEX = OFF, STATISTICS_NORECOMPUTE = OFF, IGNORE_DUP_KEY = OFF, ALLOW_ROW_LOCKS = ON, ALLOW_PAGE_LOCKS = ON, FILLFACTOR = 90) ON [PRIMARY]
) ON [PRIMARY]
GO
&lt;/code&gt;&lt;/pre&gt;
&lt;p&gt;I need an autogenerating id so that I can write to the table using PowerApps.  Without the constraints, PowerApps will not recognize the autogenerating ID and allow me to use the table.  I think once I get the constraint in place, I will be able to get PowerApps connected properly.  I am following instructions from this video &lt;a href="https://youtu.be/193b7T_p35M?t=9m56s" rel="nofollow noreferrer"&gt;https://youtu.be/193b7T_p35M?t=9m56s&lt;/a&gt; and at 10 min she discusses the importance of the autogenerating key.  &lt;/p&gt;
</t>
  </si>
  <si>
    <t xml:space="preserve">&lt;p&gt;I was working on text analysis and wanted to classify text as 'Positive', 'Negative' or 'Neutral'. Salesforce Einstein's Community Model has been succesfull in acheiving the task. However the main problem I am facing is : 
Currently to analyse each text, I need to make a separate request. However since I have 1000s of recoreds I cannot make such required number of requests to Salesforce Einstein. Is there a workaround for this problem. 
This is my function call, which takes a parameter textStatus - A single text statement.&lt;/p&gt;
&lt;pre&gt;&lt;code&gt;apiCall(SENTIMENT, textStatus, 'CommunitySentiment');
&lt;/code&gt;&lt;/pre&gt;
&lt;p&gt;I want to pass all text records as a list or in anyother way that ensures the whole task being performed in a single request. &lt;/p&gt;
</t>
  </si>
  <si>
    <t xml:space="preserve">&lt;p&gt;Hi all App Maker Gurus,&lt;/p&gt;
&lt;p&gt;I am able to create Model (e.g. Department) in App Maker &gt; Cloud SQL. And i know how to create basic Model, Department with Fields Code, Name, EffectiveDate&lt;/p&gt;
&lt;p&gt;e.g.
Code/Name/EffectiveDate
IT / Information Technology / 1 Jan 2018
IT / Information Tech &amp;amp; Sec / 1 May 2018&lt;/p&gt;
&lt;p&gt;i am trying to mention, effectively 1 May 2018, IT department is called 'Information Tech &amp;amp; Sec'. How can i perform that as My "Code" is now Primary Key and it doesn't accept another row due to duplicate key? The unique key supposed to be combination of Code + EffectiveDate.&lt;/p&gt;
&lt;p&gt;How can i configure in Google App Maker?&lt;/p&gt;
&lt;p&gt;Thanks for the guide.&lt;/p&gt;
</t>
  </si>
  <si>
    <t xml:space="preserve">&lt;p&gt;I want to assign automatically an unique ID to each record in Appmaker, but I don't really know how can I do it. &lt;/p&gt;
&lt;p&gt;&lt;a href="https://i.stack.imgur.com/dOtvw.png" rel="nofollow noreferrer"&gt;&lt;img src="https://i.stack.imgur.com/dOtvw.png" alt="enter image description here"&gt;&lt;/a&gt;&lt;/p&gt;
&lt;p&gt;&lt;a href="https://i.stack.imgur.com/oYZu3.png" rel="nofollow noreferrer"&gt;&lt;img src="https://i.stack.imgur.com/oYZu3.png" alt="enter image description here"&gt;&lt;/a&gt;&lt;/p&gt;
&lt;p&gt;I thought that the "Auto increment" option would solve it, but not.  &lt;/p&gt;
&lt;p&gt;Any ideas? Thanks.&lt;/p&gt;
</t>
  </si>
  <si>
    <t xml:space="preserve">&lt;p&gt;I hope this helps! (Click the image to enlarge it)&lt;/p&gt;
&lt;p&gt;&lt;a href="https://i.stack.imgur.com/HWgiG.gif" rel="nofollow noreferrer"&gt;&lt;img src="https://i.stack.imgur.com/HWgiG.gif" alt="enter image description here"&gt;&lt;/a&gt;&lt;/p&gt;
</t>
  </si>
  <si>
    <t xml:space="preserve">&lt;p&gt;I'm developing a web application in Outsystems. But I didn't see anywhere the option of getting it's compiled source code to deploy on my other server.&lt;/p&gt;
&lt;p&gt;Is there any way to do so if not then how can we achieve it?&lt;/p&gt;
&lt;p&gt;Same for the mobile app, can we get APK from outsystems IDE?&lt;/p&gt;
</t>
  </si>
  <si>
    <t xml:space="preserve">&lt;p&gt;So first of all to answer your questions, you can't get the source code (C#, ASP.NET, HTML and etc.) that you've made in Outsystems. However the "code" that you've made are stored as certain Outsystems file types and can be found in the service center. &lt;/p&gt;
&lt;p&gt;.OAP Outsystems application (bundle of modules &amp;amp; extensions)&lt;/p&gt;
&lt;p&gt;.OML Outsystems module/eSpace&lt;/p&gt;
&lt;p&gt;.XIF Extensions (This is c# or java code what you've made yourself)&lt;/p&gt;
&lt;p&gt;.OSP Solution (Bundle of modules/espaces and extensions)&lt;/p&gt;
&lt;p&gt;In Outsystems you have two options of deploying, via Lifetime or via the service center. How Lifetime works you can find with this link: &lt;a href="https://www.outsystems.com/videos/lifetime-application-deployment/" rel="nofollow noreferrer"&gt;https://www.outsystems.com/videos/lifetime-application-deployment/&lt;/a&gt;. Summarized Lifetime provides you a user friendly overview to deploy to another environments and checks if there are broken references between modules/eSpaces.&lt;/p&gt;
&lt;p&gt;If you want to deploy via the servicecenter, go to the tab "Factory". In the menu below the tabs you will see "applications", "eSpaces" &amp;amp; etc. If you click on one you can publish applications, modules, etc. &lt;/p&gt;
&lt;p&gt;What also important is, when you want to publish a application, module, extension or solution to another Outsystems infrastructure (with a different activation code). You need to use the IPP portal of Outsystems since your code is licensed for your own infrastructure. More information about this you will find here: &lt;a href="https://success.outsystems.com/Support/Enterprise_Customers/Licensing/Intellectual_Property_Protection_(IPP)" rel="nofollow noreferrer"&gt;https://success.outsystems.com/Support/Enterprise_Customers/Licensing/Intellectual_Property_Protection_(IPP)&lt;/a&gt;  &lt;/p&gt;
</t>
  </si>
  <si>
    <t xml:space="preserve">&lt;p&gt;I created an App with the GSuite administrator account. But now when I go back I am my work user(rob) and have no access to the App I created.&lt;/p&gt;
&lt;p&gt;If I then go to Google and switch accounts there is no issue for all other Google apps(drive, gmail etc) but Appmaker still shows me as rob.&lt;/p&gt;
&lt;p&gt;How can I convince App Maker to work like all other Google apps and let me select the logged in user?&lt;/p&gt;
</t>
  </si>
  <si>
    <t xml:space="preserve">&lt;p&gt;Most likely it happens because at this time App Maker doesn't provide users with account chooser widget like most other Google products. Here are some things to try to bypass this limitation:&lt;/p&gt;
&lt;ul&gt;
&lt;li&gt;&lt;p&gt;use different chrome instances for better accounts separation (&lt;a href="https://support.google.com/chrome/answer/2364824" rel="nofollow noreferrer"&gt;https://support.google.com/chrome/answer/2364824&lt;/a&gt;) - I would highly recommend this approach. I have about 10 different accounts and this feature saves me tons of time and gives peace of mind&lt;/p&gt;&lt;/li&gt;
&lt;li&gt;&lt;p&gt;use incognito window&lt;/p&gt;&lt;/li&gt;
&lt;li&gt;log out from other accounts (in theory, when you open AM it will ask you to choose an account and re-login)&lt;/li&gt;
&lt;/ul&gt;
</t>
  </si>
  <si>
    <t xml:space="preserve">&lt;p&gt;This seems basic but I can't seem to figure out how to manually set the current item to work with from the datasource?&lt;/p&gt;
&lt;p&gt;To illustrate: I have a table and I notice that when I select a row to edit a field, the item of that row becomes the current item, so if I have a link on that row to Navigate to a page, the row of the item selected will be the datasource.item for the navigated page.&lt;/p&gt;
&lt;p&gt;However, I also notice that if I just hover over a row, without selecting to edit a field, if then I click on a link to Navigate to a page, it loads the data of whatever row was previously selected/edited. Therefore I'm wondering how to make it so that just on a mouse:over (or click on the shortcut without a prior click on another field in the row) the datasource.item will update to the the row the mouse has gone over instead of requiring to edit a field on the row first. I hope that makes sense.&lt;/p&gt;
&lt;p&gt;Assistance is much appreciated. Thank you!&lt;/p&gt;
</t>
  </si>
  <si>
    <t xml:space="preserve">&lt;p&gt;I would like to know how the best way and how to ensure multiple users using an App Maker app see the same data when using the App simultaneously.&lt;/p&gt;
&lt;p&gt;For example, if two users are on a ContactEdit page, for example, and they are editing the same Contact item details. If the datasource is set to autosave (i.e. not manual save mode), is the expected behavior that if one user updates Contact Name (input/edit field for the Contact item's name), that the other users viewing the same ContactEdit page for that item will also have its Contact Name field updated with the new value?&lt;/p&gt;
&lt;p&gt;Or is it perhaps only bindings that might "push" changes to another user? For example, if there is a label widget at the top displaying the Full Name of the contact, which is bound to the Contact Name field, will that update for all users or just the current user?&lt;/p&gt;
&lt;p&gt;In my testing (in preview mode), it seems that the data only updates once I refresh the page manually (not sure if this is a preview mode limitation or not). It seems that unless the datasource is reloaded (and even when I added a Datasource Reload onAttach of the page it wasn't always consistently updating and I would need to navigate away first and then back), changes are not "pushed" to other users, is that correct? Is there a way to push changes to all users immediately?&lt;/p&gt;
&lt;p&gt;Thanks for your time and consideration!&lt;/p&gt;
</t>
  </si>
  <si>
    <t xml:space="preserve">&lt;p&gt;My requirement is to build lightning datatable dynamically.
I can able to dynamically create and view lightning data table. But as soon as I am adding &lt;code&gt;"onrowselection":component.getReference("c.getSelectedRecord")&lt;/code&gt; line, datatable is &lt;code&gt;not rendering&lt;/code&gt;. So adding this line is causing the issue, but I need to hookup &lt;code&gt;onrowselection&lt;/code&gt; event.&lt;/p&gt;
&lt;p&gt;What is the proper way to add &lt;code&gt;onrowselection&lt;/code&gt; event &lt;code&gt;dynamically&lt;/code&gt; to my dynamically created datatable?&lt;/p&gt;
&lt;p&gt;&lt;strong&gt;Error Reproduce:&lt;/strong&gt; I have prepared demo code below.&lt;/p&gt;
&lt;p&gt;&lt;strong&gt;Component: demoDynamicDataTable.cmp&lt;/strong&gt;&lt;/p&gt;
&lt;pre&gt;&lt;code&gt;&amp;lt;aura:component controller="demoDynamicDataTableController"&amp;gt;
    &amp;lt;aura:attribute name="returnList" type="Contact[]" access="public"/&amp;gt;
    &amp;lt;aura:attribute name="returnColumns" type="List" access="public"/&amp;gt;
    &amp;lt;aura:handler name="init" value="{!this}" action="{!c.doInit}" /&amp;gt;
    &amp;lt;lightning:button label="Create Data Table" onclick="{!c.createDT}" variant="brand"/&amp;gt;
    &amp;lt;div aura:id="newDtPlaceholder"&amp;gt;
        {!v.body}
    &amp;lt;/div&amp;gt;
&amp;lt;/aura:component&amp;gt;
&lt;/code&gt;&lt;/pre&gt;
&lt;p&gt;&lt;strong&gt;JS Controller: demoDynamicDataTableController.js&lt;/strong&gt;&lt;/p&gt;
&lt;pre&gt;&lt;code&gt;({
    doInit : function(component,event,helper) {
        console.log("doinit");
        //Column data for the table
        var columns = [
            {
                label:'Customer Name',
                fieldName:'Name',
                type:'text'
            },
            {
                label:'Phone#',
                fieldName:'Phone',
                type:'text'
            }
        ];
        //pass the column information
        component.set("v.returnColumns",columns);
        //recriving data from server
        helper.fetchData(component);
    },
    createDT : function(component, event, helper) {
        //Creating dynamic Lightning datatable
        var targetCmp=component.find("newDtPlaceholder");
        targetCmp.set("v.body",[]); //destroying existing one
        $A.createComponent(
            "lightning:datatable",
            {
                "data":component.get("v.returnList"),
                "columns":component.get("v.returnColumns"),
                "keyField":"Id",
                "maxRowSelection":"1",
                "onrowselection":component.getReference("c.getSelectedRecord") //adding this line is causing the issue. But I need to hookup onrowselection event
            },
            function(tbl,state,message)
            {
                console.log(state +" - " +message);
                var body=targetCmp.get("v.body");
                body.push(tbl);
                targetCmp.set("v.body",body);
            }
        );
    },
    getSelectedRecord: function(component, event, helper){ 
        var selectedRows = event.getParam('selectedRows');
        console.log(JSON.stringify(selectedRows[0]));
    }
})
&lt;/code&gt;&lt;/pre&gt;
&lt;p&gt;&lt;strong&gt;Helper: demoDynamicDataTableHelper.js&lt;/strong&gt;&lt;/p&gt;
&lt;pre&gt;&lt;code&gt;({
    fetchData : function(cmp) {
        var action = cmp.get("c.getContact");
        action.setCallback(this,function(resp){
            var state = resp.getState();
            if(state === 'SUCCESS'){
                var records = resp.getReturnValue();
                //console.log(JSON.stringify(records));
                //pass the records to be displayed
                cmp.set("v.returnList",records);
            }
        });
        $A.enqueueAction(action);   
    }
})
&lt;/code&gt;&lt;/pre&gt;
&lt;p&gt;&lt;strong&gt;Apex Controller: demoDynamicDataTableController.apxc&lt;/strong&gt;&lt;/p&gt;
&lt;pre&gt;&lt;code&gt;public class demoDynamicDataTableController {
    @AuraEnabled
    public static List&amp;lt;Contact&amp;gt; getContact(){
        return [Select Id,Name,Phone from Contact];
    }
}
&lt;/code&gt;&lt;/pre&gt;
&lt;p&gt;&lt;strong&gt;App: demoDynamicDataTableApp.app&lt;/strong&gt;&lt;/p&gt;
&lt;pre&gt;&lt;code&gt;&amp;lt;aura:application extends="force:slds"&amp;gt;
    &amp;lt;c:demoDynamicDataTable/&amp;gt;
&amp;lt;/aura:application&amp;gt;
&lt;/code&gt;&lt;/pre&gt;
</t>
  </si>
  <si>
    <t xml:space="preserve">&lt;p&gt;In the following snippets, &lt;a href="https://www.w3schools.com/xml/xpath_intro.asp" rel="nofollow noreferrer"&gt;XPath&lt;/a&gt; for the drop down element in last column of accounts table is similar in &lt;a href="https://i.stack.imgur.com/w6iox.jpg" rel="nofollow noreferrer"&gt;Subtab&lt;/a&gt; and &lt;a href="https://i.stack.imgur.com/A44Oc.jpg" rel="nofollow noreferrer"&gt;Main page&lt;/a&gt;.&lt;/p&gt;
&lt;p&gt;I am using the XPath expression&lt;/p&gt;
&lt;pre&gt;&lt;code&gt;//table/tbody/tr[2]/td[10]/span/div/a[2][@role="button"]
&lt;/code&gt;&lt;/pre&gt;
&lt;p&gt;to click on drop down element. But unable to do so as it happens to appear in the previous page too. &lt;/p&gt;
&lt;p&gt;Please help me in identifying unique irrespective of tabs.&lt;/p&gt;
</t>
  </si>
  <si>
    <t xml:space="preserve">&lt;p&gt;I am doing a Mendix training right now. And I have been bugged by a question in the knowledge check for Error Handling part. The question is below &lt;/p&gt;
&lt;blockquote&gt;
  &lt;p&gt;What happens if the same microflows are used, but the error handling on the main microflow is Custom with Rollback and the error handling on the sub-microflow is Custom without Rollback?&lt;/p&gt;
&lt;/blockquote&gt;
&lt;p&gt;And the correct answer is:&lt;/p&gt;
&lt;blockquote&gt;
  &lt;p&gt;The Order, OrderLine, and Log objects are rolled back while the Customer object is committed to the database&lt;/p&gt;
&lt;/blockquote&gt;
&lt;p&gt;The Microflow on questions is :&lt;/p&gt;
&lt;p&gt;&lt;a href="https://i.stack.imgur.com/vjyP3.png" rel="nofollow noreferrer"&gt;&lt;img src="https://i.stack.imgur.com/vjyP3.png" alt="enter image description here"&gt;&lt;/a&gt;&lt;/p&gt;
&lt;p&gt;My understanding is:&lt;/p&gt;
&lt;p&gt;When the error in the mainmicroflow happens the Create Order should be rolledback but the Change in Customer should be committed since the main microflow uses &lt;code&gt;Custom with Rollback&lt;/code&gt; and in the sub microflow both Orderline and the Log should be committed since the submicroflow uses &lt;code&gt;Custom without Rollback&lt;/code&gt;.&lt;/p&gt;
&lt;p&gt;Question:&lt;/p&gt;
&lt;p&gt;Why is the correct answer &lt;code&gt;The Order, OrderLine, and Log objects are rolled back while the Customer object is committed to the database&lt;/code&gt;&lt;/p&gt;
&lt;p&gt;Below is Image as proof:&lt;/p&gt;
&lt;p&gt;&lt;a href="https://i.stack.imgur.com/hacSf.png" rel="nofollow noreferrer"&gt;&lt;img src="https://i.stack.imgur.com/hacSf.png" alt="enter image description here"&gt;&lt;/a&gt;&lt;/p&gt;
</t>
  </si>
  <si>
    <t xml:space="preserve">&lt;p&gt;Note I used to work for Mendix on their microflow engine (among others) 3 years ago but many things have changed. It seems you're using a concept  that is new to me which is the error event (where you exit your submicroflow) which according to the documentation at &lt;a href="https://docs.mendix.com/refguide/error-event" rel="nofollow noreferrer"&gt;https://docs.mendix.com/refguide/error-event&lt;/a&gt; rethrows the error caught earlier. &lt;/p&gt;
&lt;p&gt;I'm guessing that's why this is happening and would expect the order/orderline/log to be committed if you would exit that submicroflow with a normal end event after handling the error.&lt;/p&gt;
</t>
  </si>
  <si>
    <t xml:space="preserve">&lt;p&gt;I am creating one App in appmaker in which I want to have some code on onHover() event (On Label), I can only see 4 events available &lt;/p&gt;
&lt;ol&gt;
&lt;li&gt;onAttach&lt;/li&gt;
&lt;li&gt;onDetach&lt;/li&gt;
&lt;li&gt;onDataLoad&lt;/li&gt;
&lt;li&gt;onClick&lt;/li&gt;
&lt;/ol&gt;
&lt;p&gt;How can I call my methods on onHover event?&lt;/p&gt;
</t>
  </si>
  <si>
    <t xml:space="preserve">&lt;p&gt;App Maker doesn't provide &lt;code&gt;onHover&lt;/code&gt; event handler out of the box, however you can add event listener for &lt;a href="https://developer.mozilla.org/en-US/docs/Web/Events/mouseenter" rel="nofollow noreferrer"&gt;mouseenter&lt;/a&gt; or &lt;a href="https://developer.mozilla.org/en-US/docs/Web/Events/mouseover" rel="nofollow noreferrer"&gt;mouseover&lt;/a&gt; event on your own:&lt;/p&gt;
&lt;pre class="lang-javascript prettyprint-override"&gt;&lt;code&gt;// client script
function doMagic(event) {
  // do the magic here
}
// onAttach widget's event
widget.getElement().addEventListener('mouseenter', doMagic);
// onDetach widget's event
widget.getElement().removeEventListener('mouseenter', doMagic);
&lt;/code&gt;&lt;/pre&gt;
</t>
  </si>
  <si>
    <t xml:space="preserve">&lt;p&gt;Is there any configuration option available in Appmaker to Store Today's date as Default in a column record in Appmaker data source?&lt;/p&gt;
&lt;p&gt;The current configuration directly provided an option to select date only, no option to write a script which can return me Today's date.
&lt;a href="https://i.stack.imgur.com/rUpWH.jpg" rel="nofollow noreferrer"&gt;&lt;img src="https://i.stack.imgur.com/rUpWH.jpg" alt="Current option for choosing date"&gt;&lt;/a&gt;&lt;/p&gt;
</t>
  </si>
  <si>
    <t xml:space="preserve">&lt;p&gt;Unfortunately, App Maker doesn't provide such setting at this time, but there are at least two ways how you can do it:&lt;/p&gt;
&lt;ol&gt;
&lt;li&gt;If you you are using &lt;a href="https://developers.google.com/appmaker/models/cloudsql" rel="nofollow noreferrer"&gt;Custom Cloud SQL&lt;/a&gt; instance you can make your table look like &lt;a href="https://stackoverflow.com/questions/168736/how-do-you-set-a-default-value-for-a-mysql-datetime-column/10603198#10603198"&gt;this&lt;/a&gt;:&lt;/li&gt;
&lt;/ol&gt;
&lt;pre class="lang-sql prettyprint-override"&gt;&lt;code&gt;CREATE TABLE foo (
    `creation_time`     DATETIME DEFAULT CURRENT_TIMESTAMP,
    `modification_time` DATETIME ON UPDATE CURRENT_TIMESTAMP
)
&lt;/code&gt;&lt;/pre&gt;
&lt;ol start="2"&gt;
&lt;li&gt;In case you don't have direct access to the database you can add the following code in &lt;code&gt;onBeforeCreate&lt;/code&gt; &lt;a href="https://developers.google.com/appmaker/models/events" rel="nofollow noreferrer"&gt;model event&lt;/a&gt;&lt;/li&gt;
&lt;/ol&gt;
&lt;pre class="lang-javascript prettyprint-override"&gt;&lt;code&gt;record.CreatedOn = new Date();
&lt;/code&gt;&lt;/pre&gt;
</t>
  </si>
  <si>
    <t xml:space="preserve">&lt;p&gt;How can I generate the status values(count) in Dashboard (refer the image)&lt;/p&gt;
&lt;p&gt;My status option is " WIP, "Open", Closed" and "Total", 
&lt;a href="https://i.stack.imgur.com/9d3eB.png" rel="nofollow noreferrer"&gt;&lt;img src="https://i.stack.imgur.com/9d3eB.png" alt="enter image description here"&gt;&lt;/a&gt;&lt;/p&gt;
&lt;p&gt;I have tried generating the values using @datasources.Requset.query.filters.Status._equals but not succeed &lt;/p&gt;
</t>
  </si>
  <si>
    <t xml:space="preserve">&lt;p&gt;I think you will need to create a &lt;a href="https://developers.google.com/appmaker/models/calculated" rel="nofollow noreferrer"&gt;Calculated Model&lt;/a&gt; first, in which you need to write your logic to count each status value, then you can display these values directly in this graph.&lt;/p&gt;
&lt;p&gt;Here's my code to generate a pie chart on similar approach.&lt;/p&gt;
&lt;pre class="lang-javascript prettyprint-override"&gt;&lt;code&gt;// server script
var calculatedModelRecords = [];
var recordsByStatus = {};
var allRecord = app.models.DataSource.newQuery().run();
var pendingrecord = app.models.NewCalculatedDatasource.newRecord();
pendingrecord.count = 0;
for (var i = 0; i &amp;lt; allRecord.length; i++) {
     var record = allRecord[i];
     if(record.Status == 'Pending') {
       // follow same approach for rest of the status count
       pendingrecord.count++;
     }
}
calculatedModelRecords.push(record);
return calculatedModelRecords;
&lt;/code&gt;&lt;/pre&gt;
</t>
  </si>
  <si>
    <t xml:space="preserve">&lt;p&gt;We already have 2 Appmaker Apps &lt;strong&gt;LIVE&lt;/strong&gt; in our domain, As Drive table are deprecated now we want to migrate from Drive table to Cloud SQL, now in doing so I have following queries,&lt;/p&gt;
&lt;ol&gt;
&lt;li&gt;Do we need to follow any further steps to do data migration from Drive table data to Cloud SQL Data? Or it will happen automatically?&lt;/li&gt;
&lt;li&gt;Do we need to make any code changes in our existing App? Or the same code will work with Cloud SQL as data source?&lt;/li&gt;
&lt;/ol&gt;
&lt;p&gt;I have gone through release document note &lt;a href="https://developers.google.com/appmaker/release-notes" rel="nofollow noreferrer"&gt;here&lt;/a&gt;, but it does not mention answers to above question.&lt;/p&gt;
</t>
  </si>
  <si>
    <t xml:space="preserve">&lt;p&gt;I had no chance to play with it a lot, but I'll share my understanding of the topic.&lt;/p&gt;
&lt;ol&gt;
&lt;li&gt;&lt;p&gt;Before proceeding with the migration I would highly recommend to &lt;a href="https://developers.google.com/appmaker/models/import-export" rel="nofollow noreferrer"&gt;make backups&lt;/a&gt; of all important deployments.&lt;/p&gt;&lt;/li&gt;
&lt;li&gt;&lt;p&gt;&lt;code&gt;App Settings -&amp;gt; Upgrade to Google Cloud SQL&lt;/code&gt; will upgrade your models and your personal Preview deployment, but it will not affect Preview deployments of other app developers. App Maker will try to adjust SQL specific fields settings basing on data in your Preview database (for example strings' lengths).&lt;/p&gt;&lt;/li&gt;
&lt;li&gt;&lt;p&gt;Particular deployment's data will be migrated on the first publish after the migration. On this step App Maker will analyze deployment's data and try to make fields adjustments (for instance increase strings lengths).&lt;/p&gt;&lt;/li&gt;
&lt;/ol&gt;
&lt;p&gt;I hope to see more detailed official docs on this topic soon...&lt;/p&gt;
</t>
  </si>
  <si>
    <t xml:space="preserve">&lt;p&gt;Based my previous question regarding a &lt;a href="https://stackoverflow.com/questions/49146043/document-merge-with-google-app-maker"&gt;document merge&lt;/a&gt; I have created template. The template is stored in a shared folder or a team drive that is not directly accessible to the user. Whenever a user initiates a document merge, I would like the resulting PDF to be stored in the team drive and a copy to be emailed to the user. This way administrators don't need to create a copy for themselves as it is already stored in the team drive.&lt;/p&gt;
&lt;p&gt;As I don't have Cloud SQL, I cannot access the App Maker PDF example that was released last month. But maybe someone can explain to me how I can find a solution for my requirements without Cloud SQL?&lt;/p&gt;
</t>
  </si>
  <si>
    <t xml:space="preserve">&lt;p&gt;Here is a link to the sample mentioned in the question for people who have Cloud SQL configured: &lt;a href="https://developers.google.com/appmaker/samples/email-pdf/" rel="nofollow noreferrer"&gt;Email PDF Sample&lt;/a&gt;. Just in case here are key code lines from the sample assuming that you already know &lt;a href="https://developers.google.com/appmaker/samples/email/" rel="nofollow noreferrer"&gt;how to send email&lt;/a&gt; (this one should work without Cloud SQL) and &lt;a href="https://stackoverflow.com/questions/49146043"&gt;build a Doc from a record(s)&lt;/a&gt;:&lt;/p&gt;
&lt;pre class="lang-javascript prettyprint-override"&gt;&lt;code&gt;var tmpDoc = createDocFromRecord(record);
var blob = tmpDoc.getAs(MimeType.PDF);
var pdfFile = DriveApp.createFile(blob);
pdfFile.setName(FILE_NAME);
// sendEmail_(to, subject, body)
sendEmail_(Session.getActiveUser().getEmail(), FILE_NAME, pdfFile.getUrl());
&lt;/code&gt;&lt;/pre&gt;
</t>
  </si>
  <si>
    <t xml:space="preserve">&lt;p&gt;I am trying to create portal user by using:&lt;br&gt;
&lt;code&gt;Site.createPortalUser(u, account.Id,'Sep@2012',true);&lt;/code&gt; method.&lt;br&gt;
But i am  getting the type exception:&lt;/p&gt;
&lt;blockquote&gt;
  &lt;p&gt;"System.TypeException: You are already logged in".  &lt;/p&gt;
&lt;/blockquote&gt;
&lt;p&gt;I am testing with system admin profile. 
Could any one please suggest what to do to resolve the issue.&lt;/p&gt;
</t>
  </si>
  <si>
    <t xml:space="preserve">&lt;p&gt;I Want to access variable from doinit to saveexpenses method. I am trying to access temp variable in saveExpense. The console is throwing undefined&lt;/p&gt;
&lt;pre&gt;&lt;code&gt; ({
 doInit: function(component, event, helper) {
    helper.getMatrix(component, event);
    helper.getRolesConverted(component, event);
    var temp=0;
},
saveExpenses: function(component, event, helper) {
     helper.saveExpenses(component, event);
     console.log('temp value ',temp);
},
});
&lt;/code&gt;&lt;/pre&gt;
</t>
  </si>
  <si>
    <t xml:space="preserve">&lt;p&gt;Is someone aware of an equivalent function in PowerApps that will, just like the Excel Eval() function, take an input string value, execute commands specified within it, and produce a result? For example, if I have I have two variables, varOne already set to the value 1 and a variable x set to 8, and then I fed this Eval() function the following string:&lt;/p&gt;
&lt;pre&gt;&lt;code&gt;"x + " &amp;amp; varOne &amp;amp; " = " &amp;amp; x + varOne
&lt;/code&gt;&lt;/pre&gt;
&lt;p&gt;...it would produce:&lt;/p&gt;
&lt;pre&gt;&lt;code&gt;"x + 1 = 9"
&lt;/code&gt;&lt;/pre&gt;
&lt;p&gt;Does something like this (or a reasonable workaround) exist for PowerApps?&lt;/p&gt;
</t>
  </si>
  <si>
    <t xml:space="preserve">&lt;p&gt;No, this functionality does not exist in PowerApps at this moment. Feel free to create a new feature request in the &lt;a href="https://aka.ms/powerapps-ideas" rel="nofollow noreferrer"&gt;PowerApps Ideas board&lt;/a&gt; for this.&lt;/p&gt;
</t>
  </si>
  <si>
    <t xml:space="preserve">&lt;p&gt;I have created a database for work for a report and am in need of some help. When I try to add comments to the textboxes it gives me an error saying there is too much data. I have tried to extent the textboxes and make them as big as possible as well as played around with the "Data Validation" to give it a large amount of max characters but none of those work. Is there some other way to increase the amount of text these text boxes can hold?&lt;/p&gt;
&lt;p&gt;(PS. I am using the text area widget not the text box widget which is supposed to be bigger but neither works)&lt;/p&gt;
&lt;p&gt;&lt;a href="https://i.stack.imgur.com/uPygI.png" rel="nofollow noreferrer"&gt;&lt;img src="https://i.stack.imgur.com/uPygI.png" alt="error"&gt;&lt;/a&gt;&lt;/p&gt;
</t>
  </si>
  <si>
    <t xml:space="preserve">&lt;p&gt;I am working on a lightning component and within the components layout I have to provide a button which can generate pdf of that lightning component . I found some blogs but still not sure about the actual solution for this . Please let me know if you guys have some sample implementation example for doing this . 
Thanks !&lt;/p&gt;
</t>
  </si>
  <si>
    <t xml:space="preserve">&lt;p&gt;I am currently working on a project using Google App maker and I have came across the google map API &lt;a href="https://stackoverflow.com/questions/49544447/"&gt;Draggable Marker&lt;/a&gt; question posted here.&lt;/p&gt;
&lt;p&gt;I was wondering how to save the coordinates of the marker when I drag it along the map.&lt;/p&gt;
&lt;p&gt;I have tried the code below but it saves the coordinates of the center of the map not the marker.&lt;a href="https://i.stack.imgur.com/BAM0J.png" rel="nofollow noreferrer"&gt; i've put a sample picture of what im planning to do.&lt;/a&gt;&lt;/p&gt;
&lt;pre class="lang-javascript prettyprint-override"&gt;&lt;code&gt;var marker = widget.getAddressMarkerJs();
marker.setDraggable(true);
record.latitude = widget.latitude();
record.longtitude = widget.longitude();                
&lt;/code&gt;&lt;/pre&gt;
&lt;p&gt;UPDATE**
This is my code now (an abomination &gt;__&amp;lt;)
&lt;/p&gt;
&lt;pre&gt;&lt;code&gt;var marker = widget.getAddressMarkerJs();
marker.setDraggable(true);
marker.addListener('dragend', function (event) {
var latLng = event.latLng;
var ds = app.datasources.Nomination;
ds.item.latitude = latLng.lat();
ds.item.longtitude = latLng.lng();
});   
&lt;/code&gt;&lt;/pre&gt;
</t>
  </si>
  <si>
    <t xml:space="preserve">&lt;p&gt;Google Maps API lets you add &lt;a href="https://developers.google.com/maps/documentation/javascript/reference/3.exp/marker" rel="nofollow noreferrer"&gt;event listener to the marker&lt;/a&gt; and it seems that the most suitable for your case is &lt;code&gt;dragend&lt;/code&gt; one:&lt;/p&gt;
&lt;pre class="lang-javascript prettyprint-override"&gt;&lt;code&gt;// Map's onAttach event handler
var marker = widget.getAddressMarkerJs();
marker.setDraggable(true);
marker.addListener('dragend', function (event) {
  var latLng = event.latLng;
  console.log(latLng.lat(), latLng.lng());
});
&lt;/code&gt;&lt;/pre&gt;
</t>
  </si>
  <si>
    <t xml:space="preserve">&lt;p&gt;I have a rocket.chat instance running on Google Compute. &lt;/p&gt;
&lt;p&gt;I am trying to configure the smtp settings from the Administration menu as specified here -  &lt;a href="https://rocket.chat/docs/administrator-guides/email/setup/#setup-credentials" rel="nofollow noreferrer"&gt;https://rocket.chat/docs/administrator-guides/email/setup/#setup-credentials&lt;/a&gt;&lt;/p&gt;
&lt;p&gt;I also have my smtp setup with free zoho mails, that works for other services like SendGrid, etc. &lt;/p&gt;
&lt;p&gt;So, based on this documentation here - &lt;a href="https://www.zoho.com/mail/help/imap-access.html" rel="nofollow noreferrer"&gt;https://www.zoho.com/mail/help/imap-access.html&lt;/a&gt;
I initially started with this config - &lt;/p&gt;
&lt;p&gt;&lt;a href="https://i.stack.imgur.com/WzcPR.png" rel="nofollow noreferrer"&gt;&lt;img src="https://i.stack.imgur.com/WzcPR.png" alt="smtp_config_1"&gt;&lt;/a&gt;&lt;/p&gt;
&lt;p&gt;Then I tested the configuration with all combinations of these values too - &lt;/p&gt;
&lt;p&gt;Protocol: smtp, smtps
Port: 465, 587
IgnoreTLS: True, False&lt;/p&gt;
&lt;p&gt;But in none of the cases I am receiving any test emails. &lt;/p&gt;
&lt;p&gt;Here is my rocket chat log screenshot if that can help debug &amp;amp; solve this issue - &lt;/p&gt;
&lt;p&gt;&lt;a href="https://i.stack.imgur.com/ERe2B.png" rel="nofollow noreferrer"&gt;&lt;img src="https://i.stack.imgur.com/ERe2B.png" alt="enter image description here"&gt;&lt;/a&gt;&lt;/p&gt;
</t>
  </si>
  <si>
    <t xml:space="preserve">&lt;p&gt;I have a custom list in Sharepoint with lots of choice columns which a user must select. There are also numeric and text columns and although there are up to thirty columns, they are semantically grouped into three types of data (just columns in the list though).&lt;/p&gt;
&lt;p&gt;e.g&lt;/p&gt;
&lt;pre&gt;&lt;code&gt;"personal type"
Age -&amp;gt; choice (Old,Young)
Grade -&amp;gt; number
Comments -&amp;gt; text
"operation type"
Procedure -&amp;gt; choice (select one from up to 10 different choices)
Grade -&amp;gt; number
Comments -&amp;gt; text
&lt;/code&gt;&lt;/pre&gt;
&lt;p&gt;I tried a Power App but the choice columns don't work in Power Apps so I was wondering if it's possible to design a Sharepoint workflow to:&lt;/p&gt;
&lt;ul&gt;
&lt;li&gt;select type (personal, operation, etc)&lt;/li&gt;
&lt;li&gt;once type is selected, gather data to populate those columns in the list&lt;/li&gt;
&lt;li&gt;when all types are complete, send emails to key personnel&lt;/li&gt;
&lt;/ul&gt;
&lt;p&gt;So the workflow would need to ask the user which type they wanted to work on, then display the columns from the list for that type and allow the user to enter the data, allow the user to "save" i.e. move back to the main screen and select the next type until all types have had their data entered.&lt;/p&gt;
&lt;p&gt;Programmatic is fine as I'm a developer but I'm new to sharepoint so hoping to learn from more experienced workflow/power app designers. Power app would ideal if it supported choice columns but I'm not sure it can segregate screen based on the type of data, i.e. display a list of types and then display the screen containing only data for the type selected.&lt;/p&gt;
</t>
  </si>
  <si>
    <t xml:space="preserve">&lt;p&gt;I want to build a  system that has a no. of task submitted by a different business user. Then I want to assign the task to someone in the organization. Below is the example of task list:&lt;/p&gt;
&lt;p&gt;&lt;a href="https://i.stack.imgur.com/Jr8W0.png" rel="nofollow noreferrer"&gt;&lt;img src="https://i.stack.imgur.com/Jr8W0.png" alt="enter image description here"&gt;&lt;/a&gt;&lt;/p&gt;
&lt;p&gt;Below is the roles that the system should have. HOD will be able to view each record submitted by user. HOD will approve the task before Managers can view it and assign the task to counsiles.&lt;/p&gt;
&lt;p&gt;&lt;a href="https://i.stack.imgur.com/fRQdG.png" rel="nofollow noreferrer"&gt;&lt;img src="https://i.stack.imgur.com/fRQdG.png" alt="enter image description here"&gt;&lt;/a&gt;&lt;/p&gt;
&lt;p&gt;Can anyone suggest me whether Google AppMaker capable of doing it or not? How to do it? Thanks!&lt;/p&gt;
</t>
  </si>
  <si>
    <t xml:space="preserve">&lt;p&gt;Our school Google App Maker application was declined "because your domain was not listed as having G Suite Business seats". We have 1,000+ EDU seats and the App Maker page says that GSFE customers can sign up --  &lt;em&gt;App Maker is included with G Suite Business and Enterprise editions, as well as, with G Suite for Education.&lt;/em&gt; &lt;a href="https://developers.google.com/appmaker/" rel="nofollow noreferrer"&gt;https://developers.google.com/appmaker/&lt;/a&gt;&lt;/p&gt;
&lt;p&gt;How can Google Suite for Education customers sign up? I would love to use it for one of my MS classes, I think Google App Maker would be perfect use case for EDU.&lt;/p&gt;
</t>
  </si>
  <si>
    <t xml:space="preserve">&lt;p&gt;I have three html pages on app script, respectively index.html second.html and third.html. I am trying to implement a goBack function that returns me back from the second page or another page to the home page. I tried windwo.history.back but it did not work. Does anyone know how can I do that. &lt;/p&gt;
</t>
  </si>
  <si>
    <t xml:space="preserve">&lt;p&gt;If I attempt to add a new SQL data model, a popup shows up explaining that the feature is locked and I must contact my administrator (myself). However, there is no further explanation found in the documentation on how to unlock this feature. &lt;/p&gt;
&lt;p&gt;This is how AppMaker used to look back when it allowed me to add database connections:&lt;/p&gt;
&lt;p&gt;&lt;a href="https://i.stack.imgur.com/mCVnG.png" rel="nofollow noreferrer"&gt;&lt;img src="https://i.stack.imgur.com/mCVnG.png" alt="enter image description here"&gt;&lt;/a&gt;&lt;/p&gt;
&lt;p&gt;This is how AppMaker looks now when starting a new app:&lt;/p&gt;
&lt;p&gt;&lt;a href="https://i.stack.imgur.com/QGNmg.png" rel="nofollow noreferrer"&gt;&lt;img src="https://i.stack.imgur.com/QGNmg.png" alt="enter image description here"&gt;&lt;/a&gt;&lt;/p&gt;
</t>
  </si>
  <si>
    <t xml:space="preserve">&lt;p&gt;The App Maker engineers are doing crazy changes now and then. I believe their point of view is to make the platform better but this kind of things really annoys me and makes life harder, honestly. &lt;/p&gt;
&lt;p&gt;I ran across this problem and find out that they are forcing admins to set up a default instance in the G Suite Admin console. You can read more about that &lt;strong&gt;&lt;a href="https://support.google.com/a/answer/7550053" rel="nofollow noreferrer"&gt;here&lt;/a&gt;&lt;/strong&gt;. You haven't completed that step and that is why you see what you are seeing. Although, it's crazy! What if I don't wanna do that?! But they are the product owners and they establish the rules so we have to suck it up and do what they want! Unless a bunch of people complain about it, they are not changing the behavior. &lt;/p&gt;
&lt;p&gt;Fortunately, I was able to find a work around. So what we (you and me) are trying to do, is set up a custom sql database. Right now, that will only be available if you've already done what I described above. So the work around is to import an app that already has a custom sql database set up and then modify the Google Cloud SQL address. Look at the example below:&lt;/p&gt;
&lt;p&gt;&lt;a href="https://i.stack.imgur.com/YiDj5.gif" rel="nofollow noreferrer"&gt;&lt;img src="https://i.stack.imgur.com/YiDj5.gif" alt="enter image description here"&gt;&lt;/a&gt;&lt;/p&gt;
&lt;p&gt;Here is the &lt;strong&gt;&lt;a href="https://drive.google.com/open?id=12eHU2iB2CPUKBKr1KKsGvgCsZU9HtAGK" rel="nofollow noreferrer"&gt;demo workaround app&lt;/a&gt;&lt;/strong&gt; that I use. Download it to your machine, then import it as in the image above. I hope this helps!&lt;/p&gt;
</t>
  </si>
  <si>
    <t xml:space="preserve">&lt;p&gt;This question is somewhat building off of &lt;a href="https://stackoverflow.com/questions/49897894/how-to-populate-many-to-many-relationship/49927422#49927422"&gt;this one&lt;/a&gt; regarding how to add and view Many-to-Many relations.&lt;/p&gt;
&lt;p&gt;I have one Model called Contacts with a Many-to-Many relation to itself (Children and Parents).&lt;/p&gt;
&lt;p&gt;If I go to a Child Item, I want to be able to have a field called Parents, where I can select the Child's parents. Since the Model will have hundreds of contact items, a Multi-Select widget would not be practical. I need the suggest box functionality to make it easy to find and select the Parents. However, a Suggest Box alone just seems to be able to hold one value, so the question is, how can I use a Suggest Box to set multiple values that are easily added and removed? It would be like having the result of a Suggest Box added to a Multi-Select field. &lt;/p&gt;
&lt;p&gt;How might this be possible?&lt;/p&gt;
&lt;p&gt;Any assistance is much appreciated. Thank you!&lt;/p&gt;
</t>
  </si>
  <si>
    <t xml:space="preserve">&lt;p&gt;I want to somehow create a To Do list in PowerApps, that connects to Outlook Tasks. It is avaliable as a
data source in PowerApps, so should be possible. 
I want it to be shareable. The new Microsoft To-Do app is not, so can't use that. At least not yet.&lt;/p&gt;
&lt;p&gt;EDIT 2018-05-15: Rather go directly to the answer given here, than read the rest, if you want to make a shareable To Do list that integrates with Outlook Tasks!&lt;/p&gt;
&lt;p&gt;There is already a To Do list template in PowerApps, but it is built on Wunderlist and I do not want this (because I can't
see how Wunderlist can connect to Outlook Tasks). Good thing is Wunderlist is shareable, though.&lt;/p&gt;
&lt;p&gt;Nevertheless, I am trying to start with the Wunderlist template, and replace all Wunderlist calls with appropriate Outlook Tasks calls; e.g.&lt;/p&gt;
&lt;pre&gt;&lt;code&gt;UpdateContext({MyList:Wunderlist.RetrieveLists()});;
&lt;/code&gt;&lt;/pre&gt;
&lt;p&gt;with something like:&lt;/p&gt;
&lt;pre&gt;&lt;code&gt;UpdateContext({MyList:OutlookTasks.GetAllTasks(...
&lt;/code&gt;&lt;/pre&gt;
&lt;p&gt;Anyone gone through this is welcome to give a hint. I have scanned through the Internet for any instructions, or a book, but as always
I find nothing. But I know this is all so new yet.
Or else, is there another way to go?&lt;/p&gt;
</t>
  </si>
  <si>
    <t xml:space="preserve">&lt;p&gt;I finally found a way to accomplish this. But no, the PowerApp way is not the easiest way to go (at least yet). I edited the title.
Better to use Planner and Outlook Tasks, and create a group in Microsoft Teams.
In Teams, you can easily add Planner to the tabs, and it at once gives you a To Do option. You can select exactly those people should see the list
(member of the team: all of them , some, or only yourself). It works well on the mobile, too.&lt;/p&gt;
&lt;p&gt;At the time of this writing, an integration Planner - Outlook Tasks is not yet implemented
by Microsoft, so for now we can follow Avem Evolution's excellent videos (using Flow): 
&lt;a href="https://www.youtube.com/watch?v=FytBrdPHH-A" rel="nofollow noreferrer"&gt;https://www.youtube.com/watch?v=FytBrdPHH-A&lt;/a&gt;&lt;/p&gt;
&lt;p&gt;Matt Soseman's article is very useful too:
&lt;a href="https://blogs.technet.microsoft.com/skypehybridguy/2017/08/30/microsoft-teams-using-planner-to-stay-organized/" rel="nofollow noreferrer"&gt;https://blogs.technet.microsoft.com/skypehybridguy/2017/08/30/microsoft-teams-using-planner-to-stay-organized/&lt;/a&gt;&lt;/p&gt;
</t>
  </si>
  <si>
    <t xml:space="preserve">&lt;p&gt;I need create a column for attach files on my Sharepoint Online (365) for create a powerapp with this field and store this on my sharepoint.&lt;/p&gt;
&lt;p&gt;On sharepoint list not exists a File or Blob Type. How can i add Attachment to a sharepoint list and store this?&lt;/p&gt;
&lt;p&gt;How can i solve this? &lt;/p&gt;
</t>
  </si>
  <si>
    <t xml:space="preserve">&lt;p&gt;For an employee questionnaire I would like to add an IBAN check to a textbox widget. Is it possible to add a library like &lt;a href="https://github.com/arhs/iban.js" rel="nofollow noreferrer"&gt;https://github.com/arhs/iban.js&lt;/a&gt; as an external resource in App Maker? How do I have to implement a validation method once the library has been added.&lt;/p&gt;
</t>
  </si>
  <si>
    <t xml:space="preserve">&lt;p&gt;You can easily add any external library. If library is available via CDN (Content Delivery Network) you can just add URL in &lt;code&gt;Application Settings -&amp;gt; External Resources -&amp;gt; JavaScript URLs
&lt;/code&gt; otherwise you can upload the js file as app resource (&lt;code&gt;Settings -&amp;gt; Resources&lt;/code&gt;) and use resource's URL instead.&lt;/p&gt;
&lt;p&gt;The library will help you to validate input on client:&lt;/p&gt;
&lt;pre class="lang-javascript prettyprint-override"&gt;&lt;code&gt;// onValidate event of input widget:
if (!IBAN.isValid(newValue)) {
  return 'Please, provide valid account number';
}
&lt;/code&gt;&lt;/pre&gt;
&lt;p&gt;But it will not help you with server side validation... So, end user can in theory compromise your system through dev console. You can try to copy/paste library's code to server script and make extra validation in &lt;code&gt;onBeforeCreate&lt;/code&gt; and &lt;code&gt;onBeforeSave&lt;/code&gt; model's events but most likely it will require some additional tweaks.&lt;/p&gt;
</t>
  </si>
  <si>
    <t xml:space="preserve">&lt;p&gt;I have a problem that might interest some. I was using sweet alert 2 in my lightning component bundle "pages". It was working like a charm:&lt;/p&gt;
&lt;p&gt;&lt;a href="https://imgur.com/KpKf3dV" rel="nofollow noreferrer"&gt;https://imgur.com/KpKf3dV&lt;/a&gt;&lt;/p&gt;
&lt;p&gt;But now, in my sandbox after the summer 18 update the sweet alert modal turned into a bitter corner alert:&lt;/p&gt;
&lt;p&gt;&lt;a href="https://imgur.com/6SEJK8a" rel="nofollow noreferrer"&gt;https://imgur.com/6SEJK8a&lt;/a&gt;&lt;/p&gt;
&lt;p&gt;Can anyone please help me? 
I uploaded the js file from the sweet alert website as a static resource in SalesForce.&lt;/p&gt;
&lt;p&gt;I am not sure if the css from sweet alert is being modified by the theme or if it is something else, but I don't know how to fix it, and I have to until this update is applied to production orgs. I also accept suggestions of modals, but I did not find anything as easy and nice looking as this.&lt;/p&gt;
</t>
  </si>
  <si>
    <t xml:space="preserve">&lt;p&gt;We are using Powerapps Forms to manage the user input to a SharePoint list. For some labels(fields) in the form it is wanted that a thousands separator is added to enhance readability of numeric values (the value is displayed with separators in the list but not in the Form). Anyone experienced this Before and how /if this could be achieved? &lt;/p&gt;
</t>
  </si>
  <si>
    <t xml:space="preserve">&lt;p&gt;I am trying to print the count in the Calculated database but getting below error&lt;/p&gt;
&lt;p&gt;Able to print the search result in console logs properly &lt;/p&gt;
&lt;p&gt;Records push Error -Executing query for datasource Aggregation: (Error) : The function queryRecords must return an array of records, but the array contained an element that was not a record.&lt;/p&gt;
&lt;p&gt;&lt;div class="snippet" data-lang="js" data-hide="false" data-console="true" data-babel="false"&gt;
&lt;div class="snippet-code"&gt;
&lt;pre class="snippet-code-js lang-js prettyprint-override"&gt;&lt;code&gt;function getStatisticsBypening_() {
  var searchVal = app.models.Company.newQuery().run();
  var count = 0;
  for (var i = 0; i &amp;lt; searchVal.length; ++i) {
     var recordType = searchVal[i].Status;
    if (recordType === 'Pending')
      count++;
  }
  console.log(count);
   var records = [];
   var record = app.models.Aggregation.newRecord();
   record.Count = count;
   records.push(count);
   return record;
}&lt;/code&gt;&lt;/pre&gt;
&lt;/div&gt;
&lt;/div&gt;
&lt;/p&gt;
&lt;p&gt;Error &lt;/p&gt;
&lt;p&gt;&lt;a href="https://i.stack.imgur.com/s4w9C.png" rel="nofollow noreferrer"&gt;&lt;img src="https://i.stack.imgur.com/s4w9C.png" alt="enter image description here"&gt;&lt;/a&gt;&lt;/p&gt;
</t>
  </si>
  <si>
    <t xml:space="preserve">&lt;p&gt;You are getting this error because you are not returning an array in response,&lt;/p&gt;
&lt;p&gt;Here's the updated code&lt;/p&gt;
&lt;pre&gt;&lt;code&gt;//Server Side
function getStatisticsBypening_() {
  var searchVal = app.models.Company.newQuery().run();
  var count = 0;
  for (var i = 0; i &amp;lt; searchVal.length; ++i) {
     var recordType = searchVal[i].Status;
    if (recordType === 'Pending')
      count++;
  }
  console.log(count);
   var records = [];
   var record = app.models.Aggregation.newRecord();
   record.Count = count;
   records.push(record);
   return records;
}
&lt;/code&gt;&lt;/pre&gt;
</t>
  </si>
  <si>
    <t xml:space="preserve">&lt;p&gt;Is it possible to search salesforce knowledge articles using keywords to their title and content? I've known that rest api have this&lt;/p&gt;
&lt;blockquote&gt;
  &lt;p&gt;https://&lt;strong&gt;&lt;em&gt;yourInstance&lt;/em&gt;&lt;/strong&gt;.salesforce.com/services/data/v37.0/search/?q=FIND&lt;/p&gt;
&lt;/blockquote&gt;
&lt;p&gt;but I have problem on what to put for the query. Please help me. Thanks&lt;/p&gt;
</t>
  </si>
  <si>
    <t xml:space="preserve">&lt;p&gt;I need to integrate Zoho CRM to my react project(External application) and am new to react.Any one can give a solution? Is this integrating through back end or front end?&lt;/p&gt;
</t>
  </si>
  <si>
    <t xml:space="preserve">&lt;p&gt;There is only one method which is through API's. Just go through the API docs. Api documentation has all the required information and also the sample json data. If they are not sufficient kindly try using Zoho postman collections. &lt;/p&gt;
&lt;p&gt;Documentation: &lt;a href="https://www.zoho.com/books/api/v3/" rel="nofollow noreferrer"&gt;https://www.zoho.com/books/api/v3/&lt;/a&gt;&lt;/p&gt;
</t>
  </si>
  <si>
    <t xml:space="preserve">&lt;p&gt;I need to generate a report that shows activity on all accounts, were the last activity is greater than 7 days ago, thus not showing accounts that have had activity in the past 7 days. &lt;/p&gt;
&lt;p&gt;I know this can be hard set when building the report, but I need this to update for the current day each time it is run. I don't wont to have to edit report everyday.&lt;/p&gt;
</t>
  </si>
  <si>
    <t xml:space="preserve">&lt;p&gt;How to test salesforce bulk API in postman? Do we really need WSDL to work with bulk api?&lt;/p&gt;
</t>
  </si>
  <si>
    <t xml:space="preserve">&lt;p&gt;This is my manually created class &lt;/p&gt;
&lt;pre&gt;&lt;code&gt;Public Class ZohoList
    Public Property Select_Store() As String
        Get
            Return m_Select_Store
        End Get
        Set
            m_Select_Store = Value
        End Set
    End Property
    Private m_Select_Store As String
End Class
Public Class RootObject
    Public Property Zoho_List As List(Of ZohoList)
        Get
            Return m_Zoho_List
        End Get
        Set
            m_Zoho_List = Value
        End Set
    End Property
    Private m_Zoho_List As List(Of ZohoList)
End Class
&lt;/code&gt;&lt;/pre&gt;
&lt;p&gt;After i get JSON response like this&lt;/p&gt;
&lt;pre&gt;&lt;code&gt;{
   "Store_Money_Snapshot":[
      {
         "TODO":"YES",
         "Date_field":"10-May-2018",
         "Xpawn_Money":"3562",
         "Select_Store":"TEST",
         "Total_Counted_Money":"$ 3,000.00",
         "Store_from_Xpawn_pc2":"TEST",
         "Discrepancy_Amount":"$ -562.00",
         "Store_Problem_fixed":"NO",
         "ID":"1111111111111111111",
         "Image":"",
         "Store_Closing_Balance":"$ 33,482.00"
      },
      {
         "TODO":"YES",
         "Date_field":"10-May-2018",
         "Xpawn_Money":"10234",
         "Select_Store":"TEST2",
         "Total_Counted_Money":"$ 9,800.00",
         "Store_from_Xpawn_pc2":"TEST2",
         "Discrepancy_Amount":"$ -434.00",
         "Store_Problem_fixed":"NO",
         "ID":"2222222222222",
         "Image":"",
         "Store_Closing_Balance":"$ 33,482.00"
      }
   ]
}
&lt;/code&gt;&lt;/pre&gt;
&lt;p&gt;My vb.net code for deserializing object is put in two lines&lt;/p&gt;
&lt;pre&gt;&lt;code&gt;Dim myO = JsonConvert.DeserializeObject(Of RootObject)(response)
            Dim items = myO.Zoho_List
            For Each item In items
                lTodo.Add(item.Select_Store.ToString)
                'Now comes th code
            Next
&lt;/code&gt;&lt;/pre&gt;
&lt;p&gt;From entire response i only need the Select_Store value so in class i put only that value&lt;/p&gt;
&lt;p&gt;Also i tried put all values in my class but still it wont deserialize JSON response&lt;/p&gt;
</t>
  </si>
  <si>
    <t xml:space="preserve">&lt;p&gt;Your &lt;code&gt;RootObject&lt;/code&gt; is paired with the first curly brace &lt;code&gt;{&lt;/code&gt;.&lt;/p&gt;
&lt;p&gt;There is then one property on that "root object' in the json: &lt;code&gt;Store_Money_Snapshot&lt;/code&gt;, which doesn't appear anywhere in your &lt;code&gt;RootObject&lt;/code&gt;.
&lt;code&gt;Store_Money_Snapshot&lt;/code&gt; is an array or &lt;code&gt;List&amp;lt;&amp;gt;&lt;/code&gt; or objects.  These objects contain your &lt;code&gt;Select_Store&lt;/code&gt; property.  &lt;/p&gt;
&lt;p&gt;So something like this should get you moving:  &lt;/p&gt;
&lt;pre&gt;&lt;code&gt;Public Class RootObject
  '  RootObject is a HORRIBLE name.
    Public Property Store_Money_Snapshot As List(Of ZohoList)
End Class
Public Class ZohoList
  '  Again, ZohoList is a HORRIBLE name.
    Public Property Select_Store As String
End Class
&lt;/code&gt;&lt;/pre&gt;
&lt;p&gt;I strongly encourage you to give some thought to naming your classes with more accurate descriptive names.&lt;/p&gt;
</t>
  </si>
  <si>
    <t xml:space="preserve">&lt;p&gt;I am learning Spritekit and I would like to know how I can convey the impression of lightning by lighting up the scene. I DON'T want to show the actual lightning bolt. But I want the clouds in the sky (for example) lighting up, or the entire scene (followed by appropriate sounds) to convey a lightning effect during stormy weather. &lt;/p&gt;
&lt;p&gt;Any help will be greatly appreciated. Thanks. &lt;/p&gt;
</t>
  </si>
  <si>
    <t xml:space="preserve">&lt;p&gt;How would you do to implement Audit Trail eg. add User Action(edit, new, delete, print), OldValue and NewValue in a separate "Audit Trail" table? Something like this:&lt;/p&gt;
&lt;pre&gt;&lt;code&gt; ID | DATE    | USERNAME | FORMNAME | ACTION | FIELDNAME | OLDVALUE | NEWVALUE 
 01    180513   user       form1      edit      Risk         Low       High
&lt;/code&gt;&lt;/pre&gt;
&lt;p&gt;Old values must not be overwritten and I am kind of a stuck there because "patch" overwrites old values...&lt;/p&gt;
</t>
  </si>
  <si>
    <t xml:space="preserve">&lt;p&gt;I have a list of items 'Achievements'&lt;/p&gt;
&lt;p&gt;That currently I am filtering to populate a gallery like this:&lt;/p&gt;
&lt;pre&gt;&lt;code&gt;SortByColumns(Filter('Achievements',  
Email = CurrentUser.Email And Role=SKlvl And Achieved = false And SKlvl = Role),
"Priority",If(SortDescending1, Descending, Ascending))
&lt;/code&gt;&lt;/pre&gt;
&lt;p&gt;The search box I want to search with is TextSearchBox1_1&lt;/p&gt;
&lt;p&gt;I was previously just using &lt;code&gt;TextSearchBox1_1.Text  in Title&lt;/code&gt; to perform searches and this was working well.
However as more users were added to the list it quickly grew over 500 entries and my search function had to be sacrificed to allow delegation to work.&lt;/p&gt;
&lt;p&gt;I've spent a couple of hours trying to resolve this and cannot get around the issue.&lt;/p&gt;
&lt;p&gt;Is there some way that I can pass the result of my Filter to something else than can then perform searching ?
Or do I just need to sacrifice the search functionality and move on with my life ?&lt;/p&gt;
</t>
  </si>
  <si>
    <t xml:space="preserve">&lt;p&gt;Some Options: &lt;/p&gt;
&lt;ul&gt;
&lt;li&gt;&lt;p&gt;I believe you can create a Collection with &gt;500 records in it then reference the local Collection rather than reach out to SP. . You may try creating this using the &lt;code&gt;OnStart&lt;/code&gt; property of the app itself. &lt;/p&gt;&lt;/li&gt;
&lt;li&gt;&lt;p&gt;Add some kind of column to your Sharepoint list that pares records down to a number that will always be &amp;lt;500 records, then query that from PowerApps. (Careful here. Sharepoint calculated columns don't play nice with all PowerApps queries)&lt;/p&gt;&lt;/li&gt;
&lt;li&gt;&lt;p&gt;Move your data over to Azure SQL or the PowerApps Common Data Source (CDS) to avert Delegation issues. &lt;/p&gt;&lt;/li&gt;
&lt;/ul&gt;
</t>
  </si>
  <si>
    <t xml:space="preserve">&lt;p&gt;How can I have a button that when a user clicks it creates a Google Document based on a record's fields and after the document is created it also opens the document.&lt;/p&gt;
&lt;p&gt;I have used the Document Sample in appmaker, I can create the Google Document, but I cannot find a way to open the URL of the Google Document (after it is created) using the same button that calls the function for creating the document.&lt;/p&gt;
&lt;p&gt;For now, I have taken the same approach of the &lt;a href="https://developers.google.com/appmaker/samples/document/" rel="nofollow noreferrer"&gt;Document Sample&lt;/a&gt; to have a separate link in the application (which gets the URL of the Document after it is created). What I don't like of this solution is that a user needs to click in two different places. &lt;/p&gt;
</t>
  </si>
  <si>
    <t xml:space="preserve">&lt;p&gt;&lt;strong&gt;Edit:&lt;/strong&gt; Changed to have the same onClick-to-open functionality as the Document Sample (no ad-block warnings), but with the OP's need to be in one button. Although the ideal solution would be to use javascript await, this works. The use of AppMaker page properties are unnecessary for this question. However I kept them in for simplicity of the matter.&lt;/p&gt;
&lt;hr&gt;
&lt;p&gt;I'll expand on Pavel's answer. For speed, you can make the document and go to the link before building the contents.&lt;/p&gt;
&lt;p&gt;Set the name, immediately commit, open link, then have the script reopen and make the changes to that document.&lt;/p&gt;
&lt;p&gt;I used Pavel's answer, changed the name of one function and added a parameter, and added one function. The rest is a copy and paste from the &lt;a href="https://developers.google.com/appmaker/samples/document/" rel="nofollow noreferrer"&gt;Document Sample&lt;/a&gt;.&lt;/p&gt;
&lt;p&gt;widget's onClick event&lt;/p&gt;
&lt;p&gt;&lt;div class="snippet" data-lang="js" data-hide="true" data-console="true" data-babel="false"&gt;
&lt;div class="snippet-code snippet-currently-hidden"&gt;
&lt;pre class="snippet-code-js lang-js prettyprint-override"&gt;&lt;code&gt;if (!widget.root.descendants.CreateDocFormPanel.validate()) {
  return;
}
var pageWidgets = widget.root.descendants;
var props = widget.root.properties;
props.CreatingDoc = true;
props.DocumentUrl = null;
google.script.run
  .withSuccessHandler(function(documentUrl) {
    clearForm(pageWidgets);
    props.DocumentUrl = documentUrl;
    props.CreatingDoc = false;
    var win = window.open(app.pages.DocumentSample.properties.DocumentUrl, '_blank');
    win.focus();
  })
  .withFailureHandler(function(error) {
    console.error(JSON.stringify(error));
    props.CreatingDoc = false;
  })
  .createDoc(
    pageWidgets.NameTextBox.value,
    pageWidgets.ContentTextArea.value);&lt;/code&gt;&lt;/pre&gt;
&lt;/div&gt;
&lt;/div&gt;
&lt;/p&gt;
&lt;p&gt;client script&lt;/p&gt;
&lt;p&gt;&lt;div class="snippet" data-lang="js" data-hide="true" data-console="true" data-babel="false"&gt;
&lt;div class="snippet-code snippet-currently-hidden"&gt;
&lt;pre class="snippet-code-js lang-js prettyprint-override"&gt;&lt;code&gt;/**
 * Clears form widgets after creating a Google Doc.
 * @param {Object} formWidgets - widgets of a form.
 */
function clearForm(pageWidgets) {
  pageWidgets.NameTextBox.value = null;
  pageWidgets.ContentTextArea.value = null;
}&lt;/code&gt;&lt;/pre&gt;
&lt;/div&gt;
&lt;/div&gt;
&lt;/p&gt;
&lt;p&gt;server script&lt;/p&gt;
&lt;p&gt;&lt;div class="snippet" data-lang="js" data-hide="true" data-console="true" data-babel="false"&gt;
&lt;div class="snippet-code snippet-currently-hidden"&gt;
&lt;pre class="snippet-code-js lang-js prettyprint-override"&gt;&lt;code&gt;/**
 * Configures a Google Doc.
 * @param {string} id - id of the Google Doc.
 * @param {string} content - content to add to a Google Doc.
 * @return {string} URL of the configured Google Doc.
 */
function configDoc(id, content) {
  // Creating the document.
  var doc = DocumentApp.openById(id);
  var body = doc.getBody();
  // Insert a document header paragraph.
  var title =
    body.insertParagraph(0, 'A Document Created by an App Maker App');
  title.setHeading(DocumentApp.ParagraphHeading.HEADING1);
  // Insert a paragraph with provided content.
  body.insertParagraph(1, content);
  // Example of bold text.
  var boldText = body.appendParagraph('Example of bold text');
  boldText.setBold(true);
  // Example of italic text.
  var italicText = body.appendParagraph('Example of italic text');
  italicText.setItalic(true);
  italicText.setBold(false);
  // Example of colored text.
  var coloredText = body.appendParagraph('Example of colored text');
  coloredText.setItalic(false);
  coloredText.setForegroundColor('#388e3c');
  // Example of text with background color.
  var textWithBackground = body.appendParagraph('Text with background color');
  textWithBackground.setForegroundColor('#000000');
  textWithBackground.setBackgroundColor('#4fc3f7');
  // Add a paragraph with link with italic style.
  var link = body.appendParagraph('Learn more about Document Service');
  link.setLinkUrl(
    'https://developers.google.com/apps-script/reference/document/');
  link.setBackgroundColor('#ffffff');
  link.setItalic(true);
  doc.saveAndClose();
  return doc.getUrl();
}
/**
 * Creates a Google Doc.
 * @param {string} name - name of the Google Doc.
 * @param {string} content - content to add to a Google Doc.
 * @return {string} URL of the created Google Doc.
 */
function createDoc(name, content) {
  var doc = DocumentApp.create(name);
  doc.saveAndClose();
  configDoc(doc.getId(), content);
  return doc.getUrl();
}&lt;/code&gt;&lt;/pre&gt;
&lt;/div&gt;
&lt;/div&gt;
&lt;/p&gt;
&lt;p&gt;More information can be found in the &lt;a href="https://developers.google.com/apps-script/reference/document/document" rel="nofollow noreferrer"&gt;DocumentApp reference documentation&lt;/a&gt;.&lt;/p&gt;
</t>
  </si>
  <si>
    <t xml:space="preserve">&lt;p&gt;The app I'm working on returns some search results in tables and I like to create a PDF from those results keeping the table's header, title and everything and without using Google Docs. Is it possible? If yes how can I do it?&lt;/p&gt;
</t>
  </si>
  <si>
    <t xml:space="preserve">&lt;p&gt;I am trying to create Bulk API job using CURL command.my file job.txt is as below-&lt;/p&gt;
&lt;pre&gt;&lt;code&gt;&amp;lt;?xml version="1.0" encoding="UTF-8"?&amp;gt;
&amp;lt;jobInfo xmlns="http://www.force.com/2009/06/asyncapi/dataload"&amp;gt;
&amp;lt;operation&amp;gt;Query&amp;lt;/operation&amp;gt;
&amp;lt;object&amp;gt;account&amp;lt;/object&amp;gt;
&amp;lt;contentType&amp;gt;CSV&amp;lt;/contentType&amp;gt;
&amp;lt;/jobInfo&amp;gt; 
&lt;/code&gt;&lt;/pre&gt;
&lt;p&gt;curl command is as below-&lt;/p&gt;
&lt;pre&gt;&lt;code&gt;curl https://XXXXX.salesforce.com/services/Soap/u/42.0 -H "X-SFDC-Session:XXXXXXXXX" -H "Content-Type: text/xml; charset=UTF-8" -H "SoapAction":Query -d @job.txt 
&lt;/code&gt;&lt;/pre&gt;
&lt;p&gt;but when i execute above command i am getting the error as below-&lt;/p&gt;
&lt;pre&gt;&lt;code&gt;&amp;lt;?xml version="1.0" encoding="UTF-8"?&amp;gt;&amp;lt;soapenv:Envelope xmlns:soapenv="http://shemas.xmlsoap.org/soap/envelope/"&amp;gt;&amp;lt;soapenv:Body&amp;gt;&amp;lt;soapenv:Fault&amp;gt;&amp;lt;faultcode&amp;gt;soapev:VersionMismatch&amp;lt;/faultcode&amp;gt;&amp;lt;faultstring&amp;gt;The SOAP request must use SOAP 1.1, did not recieve a SOAP 1.1 Envelope as the document root&amp;lt;/faultstring&amp;gt;&amp;lt;/soapenv:Fault&amp;gt;&amp;lt;/soapenv:Body&amp;gt;&amp;lt;/soapenv:Envelope&amp;gt;
&lt;/code&gt;&lt;/pre&gt;
&lt;p&gt;i am new to SFDC bulk api &lt;/p&gt;
</t>
  </si>
  <si>
    <t xml:space="preserve">&lt;p&gt;You are calling the SOAP endpoint where you should be calling the REST endpoint (or use a SOAP request on the SOAP endpoint).&lt;/p&gt;
&lt;p&gt;I think you are using this example: &lt;a href="https://developer.salesforce.com/docs/atlas.en-us.api_asynch.meta/api_asynch/asynch_api_code_curl_walkthrough.htm" rel="nofollow noreferrer"&gt;https://developer.salesforce.com/docs/atlas.en-us.api_asynch.meta/api_asynch/asynch_api_code_curl_walkthrough.htm&lt;/a&gt;. If that's the case you are using the wrong request URL. Try &lt;code&gt;/services/async/42.0/job&lt;/code&gt; instead of &lt;code&gt;/services/Soap/u/42.0&lt;/code&gt;.&lt;/p&gt;
</t>
  </si>
  <si>
    <t xml:space="preserve">&lt;p&gt;Am looking to build a Graphics printing process flow in Salesforce. We have 4 different departments working on a single Graphics job. Right now, we create 4 different salesforce tasks for the 4 departments. But its difficult to track the status of the job(like which department has the job pending and which department has completed their task etc,). I am looking to have a single page(View page) where I can track all the actions on the job and get a holistic view. All the tasks of the job are handled in a linear flow. No two tasks take place in a single time. For eg, if A, B , C, D are the 4 departments then the process is something like : A-&gt; B -&gt; C -&gt; A -&gt; C -&gt; B-&gt; D.
Also, it is important to note that the department D may have a task assigned to them but internally they are using the standard Object Work Orders to assign work orders to their departmental employees. 
In short I should be able to get the details from the Task object as well as another Salesforce Standard/Custom object on my view Page&lt;/p&gt;
&lt;p&gt;Please let me know your suggestions on how to handle this in Sales force&lt;/p&gt;
&lt;p&gt;Thanks&lt;/p&gt;
</t>
  </si>
  <si>
    <t xml:space="preserve">&lt;p&gt;I've been asked to develop a PowerApp that pulls Microsoft Planner tasks in, along with the comments added to each task (using the Planner web app). By using the preview Planner connection in PowerApps, and using the Planner API as a guide, I've been able to access the plans, buckets and tasks.&lt;/p&gt;
&lt;p&gt;It seems that the Graph API for Planner will pull in the "conversationThreadId" for each task, but I can't seem to access this in PowerApps at this time. (I &lt;em&gt;think&lt;/em&gt; that &lt;code&gt;https://graph.microsoft.com/v1.0/groups/[GroupID]/threads/[ConversationID]/reply&lt;/code&gt; retrieves that conversation once I have the needed IDs.)&lt;/p&gt;
&lt;p&gt;Is there some way I can obtain this conversationThreadId through the Graph API inside of PowerApps?&lt;/p&gt;
</t>
  </si>
  <si>
    <t xml:space="preserve">&lt;p&gt;I'm having a problem getting a file from a remote server to another web application using cURL. When I make the cURL request as shown below, I get a response saying: "the request does not contain any file." I have a feeling that it is because I'm trying to send the file as a simple URL string...but I don't know why that would matter, because it's still an active file. I don't know how to get accomplished what I want accomplished.&lt;br&gt;
When I try and make the request in Postman, I try first by passing just the url string, but I get the same "the request does not contain any file" error response, but then when I change the type on the value box from text to file and attach just a random file in Postman, the request works and attaches the file to the endpoint. The problem is, I won't be working with file streams, I'll only be working with URLs to those files, and so I need help moving the URL to where I need it to go. Here is the request as I have it now, &lt;strong&gt;what do I need to do to make the URL pass as an actual file&lt;/strong&gt;?&lt;br&gt;&lt;/p&gt;
&lt;pre&gt;&lt;code&gt;    $zohoDealId = $decodedResponse["data"][0]["details"]["id"];
    $curlPost = curl_init("https://www.zohoapis.com/crm/v2/Deals/$zohoDealId/Attachments");
    curl_setopt($curlPost, CURLOPT_HTTPHEADER, array("Content-Type: multipart/form-data", "Authorization: $postDetails[post_auth_key]"));
    curl_setopt($curlPost, CURLOPT_POSTFIELDS, array("file" =&amp;gt; "@" . realpath($fileToPost)));
    curl_setopt($curlPost, CURLOPT_RETURNTRANSFER, true);
    $fileResponse = curl_exec($curlPost);
&lt;/code&gt;&lt;/pre&gt;
</t>
  </si>
  <si>
    <t xml:space="preserve">&lt;p&gt;I have already created the QNA, Postman and the connection but I'm stuck in the app, can anyone help me on this ?&lt;/p&gt;
&lt;p&gt;I'm using the below code-&lt;/p&gt;
&lt;p&gt;&lt;strong&gt;for onselect of the button&lt;/strong&gt; &lt;/p&gt;
&lt;pre&gt;&lt;code&gt;Collect(chat,{id:1,name:User().FullName,text:TextInput1.Text});
Collect(chat,{id:0,name:"EmployeeFaqBot",text:First(OPMS_Service.GenerateAnswer("a6*****7c","application/json",{question:TextInput1.Text}).answers).answer})
&lt;/code&gt;&lt;/pre&gt;
&lt;p&gt;&lt;strong&gt;OnStart of the screen&lt;/strong&gt;&lt;/p&gt;
&lt;pre&gt;&lt;code&gt;ClearCollect(chat,{id:0,name:"EmployeeFaqBot",text:"Welcome " &amp;amp;User().FullName &amp;amp;" ! Enter your Query"})
&lt;/code&gt;&lt;/pre&gt;
&lt;p&gt;&lt;strong&gt;Error -&lt;/strong&gt;&lt;/p&gt;
&lt;p&gt;"Invalid number of arguments" on OnSelect of the button.&lt;/p&gt;
&lt;p&gt;&lt;strong&gt;I've tried below codes as well&lt;/strong&gt;&lt;/p&gt;
&lt;pre&gt;&lt;code&gt;Collect(chat,{id:1,name:User().FullName,text:TextInput1.Text});
Collect(chat,{id:0,name:"EmployeeFaqBot",text:First(OPMS_Service.GenerateAnswer({question:TextInput1.Text}).answers).answer})
Collect(chat,{id:1,name:User().FullName,text:TextInput1.Text});
Collect(chat,{id:0,name:"EmployeeFaqBot",text:First(OPMS_Service.GenerateAnswer("application/json",{question:TextInput1.Text}).answers).answer})
Collect(chat,{id:1,name:User().FullName,text:TextInput1.Text});
Collect(chat,{id:0,name:"EmployeeFaqBot",text:First(OPMS_Service.GenerateAnswer({"application/json",question:TextInput1.Text}).answers).answer})
&lt;/code&gt;&lt;/pre&gt;
&lt;p&gt;Thanks.&lt;/p&gt;
</t>
  </si>
  <si>
    <t xml:space="preserve">&lt;p&gt;I recently discovered WorkMail and really like it. Currently my custom domains route emails to zoho.com, which I also like, but due to limitations in the number of domains you can use I switched with a new domain to WorkMail.&lt;/p&gt;
&lt;p&gt;All my domains are hosted with aws/Route53.&lt;/p&gt;
&lt;p&gt;For the domain which routes mails to zoho I cannot receive mails from my other domain on WorkMail. Sending them from zoho to aws works, and from aws to google works as well.&lt;/p&gt;
&lt;p&gt;WorkMail -&gt; Zoho = :(&lt;/p&gt;
&lt;p&gt;Zoho -&gt; WorkMail = :)&lt;/p&gt;
&lt;p&gt;WorkMail -&gt; Googlemail = :)&lt;/p&gt;
&lt;p&gt;GoogleMail -&gt; WorkMail = :)&lt;/p&gt;
&lt;p&gt;Has anyone encountered a similar problem?&lt;/p&gt;
&lt;p&gt;I did check the spam folders ;)&lt;/p&gt;
</t>
  </si>
  <si>
    <t xml:space="preserve">&lt;p&gt;i'm currently trying to validate a text field, to ensure that its not just blank spaces, using the OnChange ACTION in powerapps&lt;/p&gt;
&lt;p&gt;both the trim(textfieldname.Text) and trimends(textfieldname.Text) functions do nothing.&lt;/p&gt;
&lt;p&gt;The IsEmpty and IsBlank functions also seem to accept blank spaces&lt;/p&gt;
&lt;p&gt;Does anyone have a way to validate text fields to stop the user from inputing blank spaces in powerapps?&lt;/p&gt;
&lt;p&gt;Cheers
Sam&lt;/p&gt;
</t>
  </si>
  <si>
    <t xml:space="preserve">&lt;p&gt;I have been having issues trying to use my zoho mail account with nodemailer in my cloud 9 workspace. When i send the request all it returns back after some time is connection timeout. i contacted my dns name provider they told me to ensure that port 465 is open in my server.. but am really stuck don't know how to change it or to check it any help&lt;/p&gt;
&lt;p&gt;&lt;strong&gt;how i listen to port in my express app&lt;/strong&gt;&lt;/p&gt;
&lt;pre&gt;&lt;code&gt;app.listen(process.env.PORT, function(){
    console.log(process.env.PORT)
})
&lt;/code&gt;&lt;/pre&gt;
&lt;p&gt;how do i configure it to listen to other ports like 465 and get my nodemailer working.. &lt;/p&gt;
</t>
  </si>
  <si>
    <t xml:space="preserve">&lt;p&gt;I want to set the 'status' label and their css font-color base on their validity  and tried the following:&lt;/p&gt;
&lt;pre&gt;&lt;code&gt;/**
 * To return status and set their label color according to expiration date
 */
function getStatusName(DueDate) {
  var a = app.pages.Dashboard.descendants.Table2Body.children.Table2Row.children.status;
  var status = 'Valid';
  if (DueDate &amp;lt; new Date()) {
    status = 'Expired';
  }
  switch(status) {
    case 'Valid':
        a.styles.color = green;
        break;
    case 'Expired':
        a.styles.color = red;
        break;
    default:
        return;
  }
  return status;
}
&lt;/code&gt;&lt;/pre&gt;
&lt;p&gt;The label work except for setting the color of that label. What is the correct way to set the CSS in Js? This is one of my Server Script in Google App Maker.&lt;/p&gt;
</t>
  </si>
  <si>
    <t xml:space="preserve">&lt;p&gt;I would rather go with the binding for the label's styles property:&lt;/p&gt;
&lt;pre class="lang-js prettyprint-override"&gt;&lt;code&gt;@datasource.item.DueDate &amp;lt; new Date() ? ['green'] : ['red']
&lt;/code&gt;&lt;/pre&gt;
&lt;p&gt;and couple CSS classes:&lt;/p&gt;
&lt;pre class="lang-css prettyprint-override"&gt;&lt;code&gt;.green {
  color: green;
}
.red {
  color: red;
}
&lt;/code&gt;&lt;/pre&gt;
&lt;p&gt;same trick should work for the label's text binding:&lt;/p&gt;
&lt;pre class="lang-js prettyprint-override"&gt;&lt;code&gt;@datasource.item.DueDate &amp;lt; new Date() ? 'Valid' : 'Expired'
&lt;/code&gt;&lt;/pre&gt;
</t>
  </si>
  <si>
    <t xml:space="preserve">&lt;p&gt;I am writing a chrome addon which will get the Current selected standard or custom object by the user and displays the information about it. I have used dom fetching method but it is not reliable.&lt;/p&gt;
&lt;p&gt;How to accomplish this by using SOQL query or rest api call?&lt;/p&gt;
</t>
  </si>
  <si>
    <t xml:space="preserve">&lt;p&gt;I have right now a problem.&lt;/p&gt;
&lt;p&gt;I created a View in my MySQL instance to get the result of multiples joins.&lt;/p&gt;
&lt;p&gt;Then in the appmaker i got that view as a Google Cloud SQL View.
I drop this as table and made a query script to apply filters to the results (filters are made by the value of 3 dropdowns).&lt;/p&gt;
&lt;p&gt;But now i have a problem: Sort does not work! I click in any header of the table and the arrow (sort indicator) appears, but sort does not work.&lt;/p&gt;
&lt;p&gt;Someone have a solution for this?&lt;/p&gt;
&lt;p&gt;query script:&lt;/p&gt;
&lt;pre&gt;&lt;code&gt;var status = query.parameters.Status;
var operation = query.parameters.Operation;
var local = query.parameters.Local;
var concat = query.parameters.Concat;
var query = app.models.DRIVERS_LIST.newQuery();
  switch(status) {
    case 'Activos':
      query.filters.DoprEndDate._equals = null;
      query.sorting.Name._ascending();
    break;
    case 'Inactivos':
      query.filters.DoprEndDate._notEquals = null;
      //query.sorting.Name._ascending();
    break;
    case 'Todos':
      query.clearFilters();
      //query.sorting.Name._ascending();
    break;
    default:
      query.filters.DoprEndDate._equals = null;
      query.sorting.Name._ascending();
  }
if (operation !== null) {
  query.filters.Operation._equals = operation;
  //query.sorting.Name._ascending();
}
if (local !== null) {
    query.filters.Local._equals = local;
    //query.sorting.Name._ascending();
}
if (concat !== null) {
    query.filters.concatAll._contains = concat;
    //query.sorting.Name._ascending();
}
return query.run();
&lt;/code&gt;&lt;/pre&gt;
</t>
  </si>
  <si>
    <t xml:space="preserve">&lt;p&gt;When user clicks table header App Maker sets sorting to the query and passes it to the server side. In your server script you have some code, that can potentially reset sorting settings provided by user. If you want to sort table on header click, then I would recommend to remove all sorting-related code from your server script.&lt;/p&gt;
</t>
  </si>
  <si>
    <t xml:space="preserve">&lt;p&gt;A button won't perform following &lt;code&gt;sendEmail(widget)&lt;/code&gt; on server script when clicked. But it also didn't show any error.&lt;/p&gt;
&lt;pre&gt;&lt;code&gt;function sendEmail(record) {  
  var to = record.OwnerEmail;
  var subject = 'Contract Renewal Notice';
  var body =  'Hello!&amp;lt;br/&amp;gt;&amp;lt;p&amp;gt;Please be inform that your following contract is expiring soon:\n&amp;lt;br/&amp;gt;\n&amp;lt;/p&amp;gt;'+
          '&amp;lt;b&amp;gt;Contract Name&amp;lt;/b&amp;gt;'+'&amp;lt;?= record.Name ?&amp;gt;&amp;lt;br/&amp;gt;'+
          '&amp;lt;b&amp;gt;Contract Value&amp;lt;/b&amp;gt;'+'&amp;lt;?= record.Currency ?&amp;gt;'+' '+'&amp;lt;?= record.ContractValue ?&amp;gt;&amp;lt;br/&amp;gt;'+
          '&amp;lt;b&amp;gt;Contract Owner&amp;lt;/b&amp;gt;'+'&amp;lt;?= record.OwnerName ?&amp;gt;&amp;lt;br/&amp;gt;'+
          '&amp;lt;b&amp;gt;Vendor Name&amp;lt;/b&amp;gt;'+'&amp;lt;?= record.VendorName ?&amp;gt;&amp;lt;br/&amp;gt;'+
          '&amp;lt;a href="&amp;lt;?= record.FileURL ?&amp;gt;"&amp;gt;Open contract document&amp;lt;/a&amp;gt;&amp;lt;/br&amp;gt;'+
          'Please act upon it. Thank You!';
  MailApp.sendEmail(to, subject, body);
}
&lt;/code&gt;&lt;/pre&gt;
&lt;p&gt;Did I do it correctly? &lt;/p&gt;
</t>
  </si>
  <si>
    <t xml:space="preserve">&lt;p&gt;If anyone could help it would really be appreciated I am struggling to find out how to store my Pen Input image into my Sharepoint List, I dont seem to be able to find any instructions on how to carry this out.&lt;/p&gt;
&lt;p&gt;I have found a lot of information telling me that this hasnt been developed as of yet but these posts where back in 2016 so Im unsure if this is still the case.&lt;/p&gt;
&lt;p&gt;I am creating a registration form and a signature field is required, but I cant keep the information in a gallery as I cant have the information stored at device level.&lt;/p&gt;
&lt;p&gt;But I need to be able to see the signatures within my Sharepoint list against the other information I am collecting.&lt;/p&gt;
&lt;p&gt;Thanks&lt;/p&gt;
&lt;p&gt;Paula&lt;/p&gt;
</t>
  </si>
  <si>
    <t xml:space="preserve">&lt;p&gt;I have built in the functionality for a user to upload data from an excel file in my web app. However if the any of the cells contain null values then the upload does not work as it attempts to convert a " " string into an int or date.&lt;/p&gt;
&lt;p&gt;I know the data fed into this tool will commonly contain null values. Any suggestions on how to deal with this issue would be greatly appreciated.&lt;/p&gt;
&lt;p&gt;Thanks&lt;/p&gt;
</t>
  </si>
  <si>
    <t xml:space="preserve">&lt;p&gt;In the interest of simplicity, OutSystems does not support NULLs for scalar/string types (only keys). Therefore you will either need to&lt;/p&gt;
&lt;ol&gt;
&lt;li&gt;Have a specific value of the type reserved to be understood as null (e.g. 0 or -1 for Integer, "" or "NULL" for Text etc). Which value to use is highly dependent on your value space;&lt;/li&gt;
&lt;li&gt;Have an extra (Boolean) column in the excel that states if the associated column's value should be understood as NULL.&lt;/li&gt;
&lt;/ol&gt;
&lt;p&gt;In the later case, you will likely need to also propagate this boolean to your data model (if you need to keep track of these NULLs at a later date).&lt;/p&gt;
</t>
  </si>
  <si>
    <t xml:space="preserve">&lt;p&gt;I want to send an email notification whenever the user clicks on a button. The button will call &lt;code&gt;sendEmail(widget)&lt;/code&gt; function and invoke a client script as follow:&lt;/p&gt;
&lt;pre&gt;&lt;code&gt;function sendEmail(widget){
  var item = widget.datasource.item;
  google.script.run
    .withFailureHandler(function(error) {
      console.text = error.message;
    })
   .withSuccessHandler(function(result) {
      console.text = 'succeed';
   })
 .sendEmails(item);
}
&lt;/code&gt;&lt;/pre&gt;
&lt;p&gt;then it will pass the datasource on &lt;code&gt;item&lt;/code&gt; and call &lt;code&gt;sendEmails(item)&lt;/code&gt; function from a server script as follows:&lt;/p&gt;
&lt;pre&gt;&lt;code&gt;function sendEmails(item){  
  var to = item.OwnerEmail;
  var subject = 'Please Review';
  var body = 'hello&amp;lt;br/&amp;gt;my name is Muhammad Alif bin Azali';
  MailApp.sendEmail({
      to: to,
      subject: subject,
      htmlBody: body,
      noReply: true
  });
}
&lt;/code&gt;&lt;/pre&gt;
&lt;p&gt;but when I click the button I got following error instead. Any help?&lt;/p&gt;
&lt;p&gt;&lt;a href="https://i.stack.imgur.com/GnzPC.png" rel="nofollow noreferrer"&gt;&lt;img src="https://i.stack.imgur.com/GnzPC.png" alt="enter image description here"&gt;&lt;/a&gt;&lt;/p&gt;
</t>
  </si>
  <si>
    <t xml:space="preserve">&lt;p&gt;Unfortunately, you cannot pass whatever you want as a parameter to your server function. Communication to the server has some &lt;a href="https://developers.google.com/apps-script/guides/html/reference/run#myfunction-any-server-side-function" rel="nofollow noreferrer"&gt;limitations&lt;/a&gt;:&lt;/p&gt;
&lt;blockquote&gt;
  &lt;p&gt;...most types are legal, but not Date, Function, or DOM element...&lt;/p&gt;
  &lt;p&gt;...objects that create circular references will also fail...&lt;/p&gt;
&lt;/blockquote&gt;
&lt;p&gt;App Maker's records definitely violate those restrictions.&lt;/p&gt;
&lt;p&gt;There are different strategies to handle this limitation, one of them is passing record's key as function's parameter.&lt;/p&gt;
&lt;pre class="lang-javascript prettyprint-override"&gt;&lt;code&gt;// Client script
function sendEmail(widget) {
  var item = widget.datasource.item;
  google.script.run
  ...
 .sendEmails(item._key);
}
// Server script
function sendEmails(itemKey) {
  var item = app.models.MyModel.getRecord(itemKey);
  ...
}
&lt;/code&gt;&lt;/pre&gt;
</t>
  </si>
  <si>
    <t xml:space="preserve">&lt;p&gt;I am creating an application where I need to provide Drive Picker widget so that users can upload some files. Now I want to restrict users so that they can only select files from their "Team Drives" and not from anywhere else.&lt;/p&gt;
&lt;p&gt;I've tried adding method in &lt;code&gt;onPickerInit&lt;/code&gt; event. &lt;/p&gt;
&lt;p&gt;Here's my function which is getting called in &lt;code&gt;onPickerInit&lt;/code&gt; event,&lt;/p&gt;
&lt;pre class="lang-javascript prettyprint-override"&gt;&lt;code&gt;function fetchFolder(widget, pickerBuilder) {
  pickerBuilder.addView(new google.picker.DocsView()
                       .setParent('TeamDriveId')
                       .setIncludeFolders(true));
}
&lt;/code&gt;&lt;/pre&gt;
&lt;p&gt;This method restricts users to select only from particular Team Drive, however my question is &lt;strong&gt;how can I give dynamic option so that users can select from any of their Team Drives and not limited to one Team Drive. Also they should not be able to select from their own Google Drives.&lt;/strong&gt;&lt;/p&gt;
</t>
  </si>
  <si>
    <t xml:space="preserve">&lt;p&gt;Good day, &lt;/p&gt;
&lt;p&gt;I have a online SharePoint List called Interactions (screenshot) attached. After various failed attempts to set a default value to a dropdown (Choice) list, I tried to create my own Patch function. (I receive a global variable from the previous screen called 'varCompanyName' and I can set a text_control to that field so I know the value is passed correctly.) I started trying to save just 1 column to my SharePoint List called Interactions - '_prospect' but in my formula field of the onSelect of my button control complains that it can't find the column = '_prospect'. I've tried appending it with OData__ as in "OData__prospect" (1 and 2 underscores). I don't understand at all how to save 1 record back to my Interactions table. A complete record should write something back like:&lt;/p&gt;
&lt;pre&gt;&lt;code&gt;Patch(
    Interactions,
    Defaults(Interactions),
    {
        _date : OData__date__dateCard3.selected,
        _prospect : OData__prospect_prospectCard3.select,
        etc etc
    })
&lt;/code&gt;&lt;/pre&gt;
&lt;p&gt;But it complains about the column not being found so I can't even save manual values like &lt;code&gt;{_prospect : "moon child"}&lt;/code&gt; let alone grab the values from the controls (next challenge) i.e &lt;code&gt;{_prospect: dropdown.selected}&lt;/code&gt; etc. &lt;/p&gt;
&lt;p&gt;&lt;a href="https://i.stack.imgur.com/21JFf.png" rel="nofollow noreferrer"&gt;&lt;img src="https://i.stack.imgur.com/21JFf.png" alt="enter image description here"&gt;&lt;/a&gt;&lt;/p&gt;
&lt;p&gt;&lt;a href="https://i.stack.imgur.com/MU6If.png" rel="nofollow noreferrer"&gt;&lt;img src="https://i.stack.imgur.com/MU6If.png" alt="enter image description here"&gt;&lt;/a&gt;&lt;/p&gt;
</t>
  </si>
  <si>
    <t xml:space="preserve">&lt;p&gt;I'm new to salesforce and maybe I'm barking up the wrong tree, but I created a simple lightning app using the Lightning App Builder and I am trying to open that app in the Developer Console.  I can't find it.&lt;/p&gt;
&lt;p&gt;On the reverse side of the coin, I create an app in the developer console and I can't find it in the App Builder.&lt;/p&gt;
&lt;p&gt;Can someone point me in the right direction please.&lt;/p&gt;
&lt;p&gt;I am using a developer version of salesforce, so this is not a matter of deploying it.  From the docs I've read, you can't deploy to a developer version anyway.&lt;/p&gt;
&lt;p&gt;Using spring 2018 version.&lt;/p&gt;
</t>
  </si>
  <si>
    <t xml:space="preserve">&lt;p&gt;Pages created or customized in the Lightning App Builder won't show up in the developer console because you're actually creating metadata, not code. If, as a developer, you want to make changes to those pages, I suggest you check out the &lt;a href="https://developer.salesforce.com/docs/atlas.en-us.api_meta.meta/api_meta/meta_flexipage.htm" rel="nofollow noreferrer"&gt;Flexipage Metadata Object&lt;/a&gt;.&lt;/p&gt;
&lt;p&gt;When you create an "&lt;a href="https://developer.salesforce.com/docs/atlas.en-us.lightning.meta/lightning/apps_intro.htm" rel="nofollow noreferrer"&gt;App&lt;/a&gt;" via the developer console, you're creating a standalone app using the Lightning Component Framework. These apps are not visible in App Builder. You can, however, create components in the developer console that can be put into App Builder pages. More information on how to do that is &lt;a href="https://developer.salesforce.com/docs/atlas.en-us.lightning.meta/lightning/components_config_for_app_builder_intro.htm" rel="nofollow noreferrer"&gt;here&lt;/a&gt;.&lt;/p&gt;
</t>
  </si>
  <si>
    <t xml:space="preserve">&lt;p&gt;I'd like to send to a user when they register for an account. I am using zoho mail. I have gone through several articles on this, but still I cant seem to crack this.&lt;/p&gt;
&lt;pre&gt;&lt;code&gt;    $email=$this-&amp;gt;session-&amp;gt;userdata('email');
    $ci = get_instance();
    $ci-&amp;gt;load-&amp;gt;library('email');
    $config['useragent'] = "CodeIgniter";
    $config['protocol'] = "smtp";
    $config['_smtp_auth']   = TRUE;
    $config['smtp_host'] = "ssl://smtp.zoho.com";
    $config['smtp_user'] = "my_email";
    $config['smtp_pass'] = 'my_password';
    $config['smtp_port'] = 465;
    $config['wordwrap'] = TRUE;
    $config['wrapchars'] = 76;
    $config['mailtype'] = "text";
    $config['charset'] = "utf-8";
    $config['validate'] = FALSE;
    $config['priority'] = 3;
    $config['crlf'] = "\r\n";
    $config['newline'] = "\r\n";
    $config['bcc_batch_mode'] = TRUE;
    $config['bcc_batch_size'] = "200";
    $ci-&amp;gt;email-&amp;gt;initialize($config);
    $ci-&amp;gt;email-&amp;gt;from('admin_email');
    $list = array($email);
    $ci-&amp;gt;email-&amp;gt;to($list);
    $this-&amp;gt;email-&amp;gt;reply_to('admin_email');
    $ci-&amp;gt;email-&amp;gt;subject('ACCOUNT ACTIVATION');
    $ci-&amp;gt;email-&amp;gt;message('Account activation was success');
    $ci-&amp;gt;email-&amp;gt;send();
&lt;/code&gt;&lt;/pre&gt;
&lt;p&gt;Then I get an error&lt;/p&gt;
&lt;pre&gt;&lt;code&gt;    Message: fsockopen() [function.fsockopen]: unable to connect to ssl://smtp.zoho.com:465 (Connection refused) 
    Filename: libraries/Email.php
&lt;/code&gt;&lt;/pre&gt;
</t>
  </si>
  <si>
    <t xml:space="preserve">&lt;p&gt;Is there any paging build into the PowerApps controls? Lets say you have Gallery control bound to a table with one million rows will it try to load all or should you handle this manually?&lt;/p&gt;
</t>
  </si>
  <si>
    <t xml:space="preserve">&lt;p&gt;The gallery will only load a certain number of items (100 or 500 by default, if I remember correctly), and as the user scrolls towards the end of the gallery, it will load more items from the data source.&lt;/p&gt;
&lt;p&gt;Notice that this works only if the expression that is used to define the Items property of the gallery can be run at the server side (delegated). For more information on delegation check out &lt;a href="https://docs.microsoft.com/powerapps/maker/canvas-apps/delegation-overview" rel="nofollow noreferrer"&gt;https://docs.microsoft.com/powerapps/maker/canvas-apps/delegation-overview&lt;/a&gt;.&lt;/p&gt;
</t>
  </si>
  <si>
    <t xml:space="preserve">&lt;p&gt;Good day to all,
I need your help to binding an dropdown in Google App Maker. 
I have 2 datasources, one for value and other for options and names. The problem is when I try to filter the dropbox with a textbox value.
&lt;a href="https://i.stack.imgur.com/Lz9fy.png" rel="nofollow noreferrer"&gt;&lt;img src="https://i.stack.imgur.com/Lz9fy.png" alt="capture"&gt;&lt;/a&gt;&lt;/p&gt;
&lt;p&gt;in TextBox's &lt;code&gt;onValueChange&lt;/code&gt; I put this code but it does not work.&lt;/p&gt;
&lt;pre class="lang-javascript prettyprint-override"&gt;&lt;code&gt;var item = widget.parent.descendants;
app.datasources.Prycts_Cmpns.query.clearFilters();
app.models.FCTRSRCBDS.datasources.Prycts_Cmpns.query.filters.s_AliasCompany._contains=widget.value;
app.models.FCTRSRCBDS.datasources.Prycts_Cmpns.load();
&lt;/code&gt;&lt;/pre&gt;
&lt;p&gt;the next code is the datasources options,value and names of the dropdown:
&lt;a href="https://i.stack.imgur.com/iJYYM.png" rel="nofollow noreferrer"&gt;&lt;img src="https://i.stack.imgur.com/iJYYM.png" alt="capture"&gt;&lt;/a&gt;&lt;/p&gt;
&lt;p&gt;How i can filter this dropdown with the filter?&lt;/p&gt;
&lt;p&gt;Thxs&lt;/p&gt;
</t>
  </si>
  <si>
    <t xml:space="preserve">&lt;p&gt;I have a feeling, that&lt;/p&gt;
&lt;ol&gt;
&lt;li&gt;User enters some filter in TextBox&lt;/li&gt;
&lt;li&gt;In &lt;code&gt;onValueChange&lt;/code&gt; you call &lt;code&gt;clearFilters&lt;/code&gt; what wipes user's input&lt;/li&gt;
&lt;li&gt;You load &lt;code&gt;Prycts_Cmpns&lt;/code&gt; datasource with no filters&lt;/li&gt;
&lt;/ol&gt;
&lt;p&gt;So to fix this you can check that the TextBox is bound to &lt;code&gt;app.models.FCTRSRCBDS.datasources.Prycts_Cmpns.query.filters.s_AliasCompany._contains&lt;/code&gt; and simplify &lt;code&gt;onValueChnage&lt;/code&gt; event handler to this&lt;/p&gt;
&lt;pre class="lang-javascript prettyprint-override"&gt;&lt;code&gt;// at this point filter's value should be already set by binding
app.models.FCTRSRCBDS.datasources.Prycts_Cmpns.load();
&lt;/code&gt;&lt;/pre&gt;
</t>
  </si>
  <si>
    <t xml:space="preserve">&lt;p&gt;I have done with integration between ZOHO CRM &amp;amp; Google Ads but want to know what would be the placeholder for these text:
&lt;code&gt;"CMPjuu-Xx78CFRSTjgodPHsA3Q&amp;lt;/FL&amp;gt;"&lt;/code&gt;
shown below in my third party web form.&lt;/p&gt;
&lt;p&gt;&lt;code&gt;val="GCLID"&amp;gt;CMPjuu-Xx78CFRSTjgodPHsA3Q&amp;lt;/FL&amp;gt; &amp;lt;/row&amp;gt;&lt;/code&gt;&lt;/p&gt;
&lt;p&gt;For reference:&lt;br&gt;
&lt;a href="https://www.zoho.com/crm/help/google-adwords/configure.html" rel="nofollow noreferrer"&gt;https://www.zoho.com/crm/help/google-adwords/configure.html&lt;/a&gt;&lt;/p&gt;
&lt;p&gt;Note: &lt;em&gt;GCLID&lt;/em&gt; needs to push in ZOHO, we have done all script part etc. But confused to what value must put on those specified placeholder in my script mentioned in link.&lt;/p&gt;
</t>
  </si>
  <si>
    <t xml:space="preserve">&lt;p&gt;My knowledge is at beginner-level on both App-Maker and software development, and I am trying to develop a little workflow automation and resource planning app on google app maker. &lt;/p&gt;
&lt;p&gt;I have two tables (datasources): product and productColor. I store product info on "product" datasource and I want to store color variations in productColor. Therefore, there is a one-to-many relationship between product and productColor.&lt;/p&gt;
&lt;p&gt;Here is my problem: I want to see all product entries and color variations in one page. I put a table widget which shows all products, and another table which is connected  to productColor which shows all color variations of all products. What I am trying to achieve is when I click a record on the "products" table, I want "productColor" table to be filtered by product ID which I have clicked. Note that those tables use different datasources.&lt;/p&gt;
&lt;p&gt;Thanks for any help.&lt;/p&gt;
</t>
  </si>
  <si>
    <t xml:space="preserve">&lt;p&gt;Two options:&lt;/p&gt;
&lt;p&gt;Set the datasource for your productColor table to &lt;/p&gt;
&lt;pre&gt;&lt;code&gt;product: productColor (relation)
&lt;/code&gt;&lt;/pre&gt;
&lt;p&gt;and in your product datasource set the prefetch to productColor. This automatically fetches the related colors for the selected product.&lt;/p&gt;
&lt;p&gt;Or&lt;/p&gt;
&lt;p&gt;In your productColor datasource uncheck 'automatically load data'. Then in your product onLoad/onItemChange event (client script) enter the following code:&lt;/p&gt;
&lt;pre&gt;&lt;code&gt;var ds = app.datasources.productColor;
ds.query.filters.product.Product_Id._equals = datasource.item.Product_Id;
ds.load();
&lt;/code&gt;&lt;/pre&gt;
</t>
  </si>
  <si>
    <t xml:space="preserve">&lt;p&gt;I am using below snippet to check for valid phone number format and then trying to set the formatted value to the current input element. But after summer 18 release I'm unable to set input with new formatted value.&lt;/p&gt;
&lt;p&gt;TestApp&lt;/p&gt;
&lt;pre&gt;&lt;code&gt;&amp;lt;aura:application extends="force:slds"&amp;gt;    
   &amp;lt;lightning:input type="text" label="Num" aura:id="ele" onchange=" 
    {!c.changeNum}" /&amp;gt;
 &amp;lt;/aura:application&amp;gt;
&lt;/code&gt;&lt;/pre&gt;
&lt;p&gt;Controller:&lt;/p&gt;
&lt;pre&gt;&lt;code&gt;({
    changeNum : function(component, event, helper) {
       helper.changeNum(component, event);
    }
})
&lt;/code&gt;&lt;/pre&gt;
&lt;p&gt;Helper:&lt;/p&gt;
&lt;pre&gt;&lt;code&gt;({
changeNum : function(component, event) {
    var element = event.getSource();
    var phonenumber = element.get("v.value");        
    if(phonenumber){                
            var updatedValue = phonenumber.replace(/-/g, "");
            if(/^\d{10}$/.test(updatedValue)){ 
                phonenumber = updatedValue.match(new RegExp('\\d{4}$|\\d{3}', 'g')).join("-");
            }
            else{
                var x = phonenumber.replace(/[^0-9._-]/g, "").replace(/ +/, " ");
                phonenumber = x;
               if(!/^[0-9-]+$/.test(phonenumber.slice(-1))){
                    phonenumber = phonenumber.slice(0, -1);
                }
            }
        }
    console.log(phonenumber);   
    element.set('v.value', phonenumber);
}
})
&lt;/code&gt;&lt;/pre&gt;
&lt;p&gt;element.set is not able to update the formatted value. The lightning input element is still able to accept alphabets.&lt;/p&gt;
</t>
  </si>
  <si>
    <t xml:space="preserve">&lt;p&gt;We can solve the issue by using &lt;strong&gt;&lt;a href="https://scotch.io/tutorials/javascript-promises-for-dummies" rel="nofollow noreferrer"&gt;Promise&lt;/a&gt;&lt;/strong&gt;&lt;/p&gt;
&lt;pre&gt;&lt;code&gt;({
handleInputChange : function(component, event) {
    try {           
        var element = event.getSource();
        var inputValue = element.get("v.value");
        var formattedValue;
        var chkPattern = new Promise(
            function (resolve, reject) {
                if (inputValue) {
                    formattedValue = inputValue.replace(/[^0-9-]/g, "").replace(/ +/, " ");                        
                    resolve(formattedValue); // fulfilled
                } else {
                    var reason = new Error('kitten is not happy');
                    reject(reason); // reject
                }
            }
        );
        chkPattern.then(function (fulfilled) { 
            element.set('v.value', fulfilled);
        }).catch(function (error) {                
            console.log(error.message);                
        });
    } catch(e) {
        this.consoleLog(e.stack, true)
    }
}
&lt;/code&gt;&lt;/pre&gt;
&lt;p&gt;})&lt;/p&gt;
</t>
  </si>
  <si>
    <t xml:space="preserve">&lt;p&gt;I have a Google drive table data source which stores list of open positions. Now in the data source I've set "Query per size" field to 10 so that I can get 10 records per page. I've added a Pager as well to show pagination.&lt;/p&gt;
&lt;p&gt;My query is I want to display like "Page 1 of X" to my end users and this X will vary based on certain search filters. What will the best way to achieve this in Appmaker?&lt;/p&gt;
&lt;p&gt;I've tried counting total records in a data source as per below code but every time updating that with the search criteria and recounting it is not a proper solution.&lt;/p&gt;
&lt;pre&gt;&lt;code&gt;//Server side
    var newQuery = app.models.Company.newQuery();
    var records = newQuery.run();
    var totalCount =0;
    for(var i=0;i&amp;lt;records.length;i++)
    {
       totalCount=totalCount+1;
    }
    return totalCount;
&lt;/code&gt;&lt;/pre&gt;
</t>
  </si>
  <si>
    <t xml:space="preserve">&lt;p&gt;I've achieved this using Calculated Model as suggested by &lt;strong&gt;Pavel&lt;/strong&gt;.&lt;/p&gt;
&lt;p&gt;Steps : &lt;/p&gt;
&lt;ol&gt;
&lt;li&gt;Create a calculated data source with one field count.&lt;/li&gt;
&lt;li&gt;In that data source add one parameter &lt;code&gt;searchQuery&lt;/code&gt;. This will contain users        filter going forward. Currently I have only one search query in which user can search many things. So I've added one parameter only.&lt;/li&gt;
&lt;li&gt;In this data source add following server script.&lt;/li&gt;
&lt;/ol&gt;
&lt;p&gt;Code:&lt;/p&gt;
&lt;pre class="lang-javascript prettyprint-override"&gt;&lt;code&gt;// Server script
function getTotalRecords(query) {
  var receivedQuery = query.parameters.searchQuery;
  // console.log('Received query:' + query.parameters.searchQuery);
  var records = app.models.Company.newQuery();
  records.parameters.SearchText = query.parameters.searchQuery;
  if(receivedQuery !== null) {
    records.where = '(Name contains? :SearchText or InternalId contains? ' +
      ':SearchText or LocationList contains? :SearchText )';
  }
  var recordsCount = records.run().length;
  var calculatedModelRecords = []; 
  var draftRecord = app.models.RecordCount.newRecord();
  draftRecord.count = ''+recordsCount;
  calculatedModelRecords.push(draftRecord);
  return calculatedModelRecords;
}
&lt;/code&gt;&lt;/pre&gt;
&lt;p&gt;.&lt;/p&gt;
&lt;ol start="4"&gt;
&lt;li&gt;On the Appmaker page bind a label with this data source.&lt;/li&gt;
&lt;li&gt;On search query/your filter applied event add following code which Reload this data source and assign value to Parameter.&lt;/li&gt;
&lt;/ol&gt;
&lt;pre class="lang-javascript prettyprint-override"&gt;&lt;code&gt;// Client script
function updateRecordCount(newValue) {
  var ds = app.datasources.RecordCount;
  ds.query.parameters.searchQuery = newValue;
  ds.unload();
  ds.load();
}
&lt;/code&gt;&lt;/pre&gt;
</t>
  </si>
  <si>
    <t xml:space="preserve">&lt;p&gt;Am trying to connect to one of my PowerApps environment using the console app given in the following URL&lt;/p&gt;
&lt;p&gt;&lt;a href="https://docs.microsoft.com/en-us/common-data-service/entity-reference/cds-sdk-get-started" rel="noreferrer"&gt;Get started with the Common Data Service SDK&lt;/a&gt;&lt;/p&gt;
&lt;p&gt;I followed all steps provided in the link. Registered App in AD, created environment and database in powerapps, replaced all values of the app.config sample code with the actual values. But, when i try to run the console app, it shows prompt as expected, once i give access using the prompt, it is showing following error &lt;/p&gt;
&lt;p&gt;{"Environment discovery failed. No matching environments matched the given Id of {{my environment GUID}}."} &lt;/p&gt;
&lt;p&gt;at following line&lt;/p&gt;
&lt;pre&gt;&lt;code&gt;var client = ConnectionSettings.Instance.CreateClient().Result
&lt;/code&gt;&lt;/pre&gt;
&lt;p&gt;What am i missing here ?&lt;/p&gt;
</t>
  </si>
  <si>
    <t xml:space="preserve">&lt;p&gt;I am trying to make a picklist dependent on another one
Controller picklist:Subtype
Dependent picklist
I succeded to do this
I put it in a lightning component &lt;/p&gt;
&lt;pre&gt;&lt;code&gt;&amp;lt;ui:inputSelect aura:id="conType" label="Type" class="slds-select" change="{!c.onControllerFieldChange}" value="{!v.TypeV}"&amp;gt;
&amp;lt;ui:inputSelect aura:id="conSubtype" label="Sub Type" value="{!v.SubTypeV}" disabled="{!v.isDependentDisable}" class="slds-select"  /&amp;gt; 
&lt;/code&gt;&lt;/pre&gt;
&lt;p&gt;I put this component  from another lightning component&lt;/p&gt;
&lt;p&gt;&lt;/p&gt;
&lt;p&gt;DependentSubtype is the child component
TypeV child component attribute to initialize the value of controller picklist (Type)
SubTypeV child component attribute to initialize the value of dependent picklist (SubType)&lt;/p&gt;
&lt;p&gt;For the Controller picklist (Type) the initialization works
But for the dependent picklis (Subtype) it doesn't
Thanks in advance&lt;/p&gt;
</t>
  </si>
  <si>
    <t xml:space="preserve">&lt;p&gt;I have been using GuzzleHttp and here is my code snippet and this appears to manage Session in GuzzleHTTP somehow.&lt;/p&gt;
&lt;pre&gt;&lt;code&gt;    $this-&amp;gt;httpMethod=='GET';
    if(!empty($this-&amp;gt;httpMethod) &amp;amp;&amp;amp; $this-&amp;gt;httpMethod=='POST'){
        $response = $this-&amp;gt;client-&amp;gt;post($finalUrl);
    }else{
        $response = $this-&amp;gt;client-&amp;gt;request($this-&amp;gt;httpMethod, $finalUrl);
    }
&lt;/code&gt;&lt;/pre&gt;
&lt;p&gt;Unfortunately, I am getting this Fatal Error-&lt;/p&gt;
&lt;pre&gt;&lt;code&gt;Fatal error: Uncaught GuzzleHttp\Exception\ClientException: Client error: `GET https://creator.zoho.com/api/json/test/view/All_SMS?zc_ownername=zc_owner&amp;amp;raw=1&amp;amp;authtoken=auth_token&amp;amp;scope=crmapi` resulted in a `400 Bad Request` response:
{"code":2945,"message":"DATATYPE_NOT_MATCHED"}
&lt;/code&gt;&lt;/pre&gt;
</t>
  </si>
  <si>
    <t xml:space="preserve">&lt;p&gt;Review the &lt;a href="https://www.zoho.com/creator/help/api/creator-error-codes.html" rel="nofollow noreferrer"&gt;Zoho API error codes&lt;/a&gt;.&lt;/p&gt;
&lt;p&gt;Code 2945 is an invalid ticket.&lt;/p&gt;
&lt;p&gt;Without studying the API documentation in depth, I suspect it is &lt;a href="https://www.zoho.com/creator/help/api/prerequisites/generate-auth-token.html" rel="nofollow noreferrer"&gt;an authentication problem&lt;/a&gt;.&lt;/p&gt;
</t>
  </si>
  <si>
    <t xml:space="preserve">&lt;p&gt;I'm currently trying to build a small PowerApps application, mainly to mess around with it and learn what it can do. I have a gateway on my desktop that PowerApps has connected to, but whenever I try and create a connection I get the following error:
Credentials are missing or not valid. inner exception: The credentials provided for the SQL source are invalid.&lt;/p&gt;
&lt;ul&gt;
&lt;li&gt;SQL Server Name &gt; DESKTOPNAME\PRAVDA&lt;/li&gt;
&lt;li&gt;SQL Database Name &gt; Planner&lt;/li&gt;
&lt;li&gt;Authentication Type &gt; Windows&lt;/li&gt;
&lt;li&gt;Username &gt; DESKTOPNAME\MyWindowsUsername&lt;/li&gt;
&lt;li&gt;Password &gt; My windows password&lt;/li&gt;
&lt;li&gt;Gateway &gt; The correct gateway&lt;/li&gt;
&lt;/ul&gt;
&lt;p&gt;I'm not sure why it's refusing to connect.&lt;/p&gt;
&lt;p&gt;So far I have:&lt;/p&gt;
&lt;ul&gt;
&lt;li&gt;Added SQL Server to my firewall exceptions&lt;/li&gt;
&lt;li&gt;Portforwarded ports 1433, 443, 5671-5672, and 9350-9354&lt;/li&gt;
&lt;li&gt;Googled the hell out of it&lt;/li&gt;
&lt;/ul&gt;
&lt;p&gt;What now?&lt;/p&gt;
&lt;p&gt;Edit: I am using SQL Server 2017&lt;/p&gt;
</t>
  </si>
  <si>
    <t xml:space="preserve">&lt;p&gt;I was using SQL Server 2017 - Express Edition, which does not have the SQL Server Agent available. This was rectified by switching to Developer Edition, which was suitable for my purposes.&lt;/p&gt;
</t>
  </si>
  <si>
    <t xml:space="preserve">&lt;p&gt;I need to use the values in DataCardValue6 and DataCardValue7 from a detail form in Powerapps to disable a button given they both return a value of "NON-STOCK". The name of the field returned from  one of the fields in the SharePoint list  is AMC_ItemType, not sure if that matters at all as I was just looking at the value.&lt;/p&gt;
&lt;p&gt;I have been trying to do this in the rules area and disable the button given those values. Things I have tried&lt;/p&gt;
&lt;p&gt;(Value(DataCardValue6.Text) And Value(DataCardValue7.Text)) in "NON-STOCK". This for some reason is returning blanks when I check what the output of this is.&lt;/p&gt;
&lt;p&gt;(DataCardValue6.Text And DataCardValue7.Text) in "NON-STOCK". I have tried to split this into two equations, did not change outcome. I also tried to set it to equals "NON-STOCK" and it says right is a left is a Boolean and right is text.&lt;/p&gt;
&lt;p&gt;Is the best way to disable a button given the value in the two fields to use a rule attached to the button itself? Or should I be doing something in the onselect function? I also tried adding textboxes with the returned values and make rules against those, still no luck.&lt;/p&gt;
</t>
  </si>
  <si>
    <t xml:space="preserve">&lt;p&gt;We have a chatter free user whose profile is also Single Sign-On enabled. When the user tries logging in to Trailhead, he gets Single Sing-on login error but when he logs in via Sing Sign-On he can only access Salesforce. &lt;/p&gt;
&lt;p&gt;Has anyone had this issue? If so, how did you solve it? &lt;/p&gt;
&lt;p&gt;Thank you. &lt;/p&gt;
</t>
  </si>
  <si>
    <t xml:space="preserve">&lt;p&gt;I am trying to implement a Many-to-Many relation between a class and its students in a form.&lt;/p&gt;
&lt;p&gt;The form can be used to create or edit a class. Also students can be added to that class. To reduce the effort needed to enter students, I would like to add a multi-select that shows the entries from the &lt;code&gt;students&lt;/code&gt;-table. But since the number of students is expected to be large, I would like to filter this multi-select.&lt;/p&gt;
&lt;p&gt;I checked &lt;a href="https://stackoverflow.com/questions/46001148/google-app-maker-list-view-filtering"&gt;this question on filtering lists&lt;/a&gt; and &lt;a href="https://developers.google.com/appmaker/samples/project-list/" rel="nofollow noreferrer"&gt;the sample app "Project List&lt;/a&gt;. I understand that the standard workflow with a table would be to bind the &lt;code&gt;value&lt;/code&gt; of a search box to the &lt;code&gt;@datasources.STUDENTS.query.filters.email._contains&lt;/code&gt; and set the tables &lt;code&gt;datasource&lt;/code&gt; property to &lt;code&gt;STUDENTS&lt;/code&gt;&lt;/p&gt;
&lt;p&gt;But, as I understand it, a multi-select element's &lt;code&gt;value&lt;/code&gt; property must be bound to &lt;code&gt;@datasource.item.students&lt;/code&gt; and its &lt;code&gt;datasource&lt;/code&gt; property must be &lt;code&gt;CLASS&lt;/code&gt; in order for the auto-saving to work.&lt;/p&gt;
&lt;p&gt;Hence I wonder whether it is possible to filter a multi-select element.&lt;/p&gt;
</t>
  </si>
  <si>
    <t xml:space="preserve">&lt;p&gt;I am fairly new to Google App Maker and I am not sure if this is even possible. I am trying to call an external service based on an ID entered into an input, then display the results dynamically as a list of checkboxes. &lt;/p&gt;
&lt;p&gt;I have successfully been able to enter an ID, call my database through JDBC in a server script, and display the returned value from that ID onto the page. But what I really want to do is enter the ID, which calls my database and returns an array of objects (which I won't know the length of until returned), then for each item in my array, dynamically create a new checkbox row with each objects data. &lt;/p&gt;
&lt;p&gt;I have been looking around for a solution to this, but can't find any example of widgets being dynamically created. I didn't see anything in the Google App Maker documentation about creating a widget from a script, and wasn't sure if this was possible yet. I was hoping this would be possible with the Accordian widget, as I liked that the rows can be expanded and collapsed, but not sure if I can add radio buttons to an Accordian or not. Even a group of Radio buttons would work as well. Any ideas would be a big help!&lt;/p&gt;
</t>
  </si>
  <si>
    <t xml:space="preserve">&lt;p&gt;You need to use &lt;a href="https://developers.google.com/appmaker/models/calculated" rel="nofollow noreferrer"&gt;Calculated Model&lt;/a&gt;. Once you have it you can bind its datasource to a &lt;a href="https://developers.google.com/appmaker/scripting/api/widgets#List" rel="nofollow noreferrer"&gt;List&lt;/a&gt;, &lt;a href="https://developers.google.com/appmaker/scripting/api/widgets#Grid" rel="nofollow noreferrer"&gt;Grid&lt;/a&gt; or &lt;a href="https://developers.google.com/appmaker/scripting/api/widgets#Accordion" rel="nofollow noreferrer"&gt;Accordion&lt;/a&gt; widget where you can add any other widget (even checkbox!) to its prototype row/cell. &lt;a href="https://developers.google.com/appmaker/samples/jdbc/" rel="nofollow noreferrer"&gt;External Database Sample&lt;/a&gt; could be a good starting point since you are reading data from external database.&lt;/p&gt;
&lt;p&gt;From the question it is not clear what do you want to do with the checkbox further, but I think reading about page &lt;a href="https://developers.google.com/appmaker/ui/binding#custom_properties" rel="nofollow noreferrer"&gt;Custom Properties&lt;/a&gt;, Checkbox Events and &lt;a href="https://developers.google.com/apps-script/guides/html/reference/run" rel="nofollow noreferrer"&gt;Apps Script RPC&lt;/a&gt; could be useful.&lt;/p&gt;
</t>
  </si>
  <si>
    <t xml:space="preserve">&lt;p&gt;I am trying to get some data parsed out of a subject line in Office 365 Flows. I have an email that has a consistent format:&lt;/p&gt;
&lt;pre&gt;&lt;code&gt;Help Desk [Ticket #12345]
&lt;/code&gt;&lt;/pre&gt;
&lt;p&gt;I want to get the number '12345' for use in later steps in the flow. So far, I've attempted to use the substring expression in a compose connector:&lt;/p&gt;
&lt;pre&gt;&lt;code&gt;substring(triggerBody()?['Subject'], 20, 5)
&lt;/code&gt;&lt;/pre&gt;
&lt;p&gt;But I get an error about the string being null.&lt;/p&gt;
</t>
  </si>
  <si>
    <t xml:space="preserve">&lt;p&gt;Besides the index being incorrect (to retrieve '12345' from &lt;code&gt;Help Desk [Ticket #12345]&lt;/code&gt; you need to use &lt;code&gt;substring(value, 0, 5)&lt;/code&gt; as the index is 0-based), the expression looks correct. But you can take a step-by-step approach to see what is wrong.&lt;/p&gt;
&lt;p&gt;To start, take a look at the flow run to see exactly what the trigger outputs are:
&lt;a href="https://i.stack.imgur.com/8DvHe.png" rel="nofollow noreferrer"&gt;&lt;img src="https://i.stack.imgur.com/8DvHe.png" alt="E-mail trigger"&gt;&lt;/a&gt;&lt;/p&gt;
&lt;p&gt;If you see the Subject field (as I do in my case), create a variable containing that value only to make sure that you don't have any typo:
&lt;a href="https://i.stack.imgur.com/WDAGj.png" rel="nofollow noreferrer"&gt;&lt;img src="https://i.stack.imgur.com/WDAGj.png" alt="enter image description here"&gt;&lt;/a&gt;&lt;/p&gt;
&lt;p&gt;If it works correctly, then you should see in the flow run the subject:
&lt;a href="https://i.stack.imgur.com/Och6A.png" rel="nofollow noreferrer"&gt;&lt;img src="https://i.stack.imgur.com/Och6A.png" alt="Subject"&gt;&lt;/a&gt;&lt;/p&gt;
&lt;p&gt;If everything is still good at that point, create a new variable with the substring that you want:
&lt;a href="https://i.stack.imgur.com/BnHEg.png" rel="nofollow noreferrer"&gt;&lt;img src="https://i.stack.imgur.com/BnHEg.png" alt="enter image description here"&gt;&lt;/a&gt;&lt;/p&gt;
&lt;p&gt;And again, check the value.
&lt;a href="https://i.stack.imgur.com/fTyMX.png" rel="nofollow noreferrer"&gt;&lt;img src="https://i.stack.imgur.com/fTyMX.png" alt="enter image description here"&gt;&lt;/a&gt;&lt;/p&gt;
&lt;p&gt;If you got to this point, then you should be able to retrieve the ticket id.&lt;/p&gt;
</t>
  </si>
  <si>
    <t xml:space="preserve">&lt;p&gt;I have created 2 SQL models in Google App Maker. For simplicity sake lets say Model 1 has all of the information that can be added and edited for each of the records. Model 2 works as a storage model where once a record in Model 1 is removed it moves over to Model 2. The idea is that the individual can click on a "removed" boolean which will open a dialog page to add in comments for the removal and once complete the record will be moved to Model 2 for storage and will no longer be visible in Model 1. &lt;/p&gt;
&lt;p&gt;Is there any way to do this? If you need more information let me know and I will try to provide it but the reason I cannot post the existing app is because the information is confidential. &lt;/p&gt;
&lt;p&gt;Thanks for you help! &lt;/p&gt;
&lt;p&gt;&lt;a href="https://i.stack.imgur.com/Z7JUX.png" rel="nofollow noreferrer"&gt;&lt;img src="https://i.stack.imgur.com/Z7JUX.png" alt="Models"&gt;&lt;/a&gt;&lt;/p&gt;
</t>
  </si>
  <si>
    <t xml:space="preserve">&lt;p&gt;Given scenario below:&lt;/p&gt;
&lt;p&gt;&lt;strong&gt;Models:&lt;/strong&gt;&lt;/p&gt;
&lt;pre&gt;&lt;code&gt;Projects
Tasks
&lt;/code&gt;&lt;/pre&gt;
&lt;p&gt;and&lt;/p&gt;
&lt;p&gt;&lt;strong&gt;Relationship:&lt;/strong&gt;&lt;/p&gt;
&lt;pre&gt;&lt;code&gt;Projects (one) &amp;lt;--&amp;gt; (many) Tasks
&lt;/code&gt;&lt;/pre&gt;
&lt;p&gt;I have an accordion with the datasource that only shows Projects with uncompleted tasks.
(e.g., query.filters.Tasks.Completed._equals = false)&lt;/p&gt;
&lt;p&gt;In the accordion detail I have a list where I only want to show tasks that meet a certain criteria (eg. Task.Category = "Marketing" OR "Sales").&lt;/p&gt;
&lt;p&gt;&lt;a href="https://i.stack.imgur.com/vYfZ4.png" rel="nofollow noreferrer"&gt;&lt;img src="https://i.stack.imgur.com/vYfZ4.png" alt="enter image description here"&gt;&lt;/a&gt;&lt;/p&gt;
&lt;p&gt;Is this possible, and if so, how would this be done?&lt;/p&gt;
</t>
  </si>
  <si>
    <t xml:space="preserve">&lt;ol&gt;
&lt;li&gt;Create a dedicated datasource for filtered Tasks&lt;/li&gt;
&lt;li&gt;Set it to manual load mode&lt;/li&gt;
&lt;li&gt;Drop a table inside Accordion's details prototype&lt;/li&gt;
&lt;li&gt;Bind the table to the datasource from the step #1&lt;/li&gt;
&lt;li&gt;Add this snippet to the &lt;code&gt;onDataLoad&lt;/code&gt; event of the Accordion's details prototype&lt;/li&gt;
&lt;/ol&gt;
&lt;pre class="lang-javascript prettyprint-override"&gt;&lt;code&gt;// Accordion details onDataLoad event handler
var ds = app.datasources.TasksFitered;
var projectKey = widget.datasource.item._key;
ds.query.filters.Category._in = ['Marketings', 'Sales'];
ds.query.filters.Project._key._equals = projectKey;
ds.load();
&lt;/code&gt;&lt;/pre&gt;
&lt;p&gt;Most likely you'll need to unload the datasource on onDetach event of the details, to hide old results when user switches between projects:&lt;/p&gt;
&lt;pre class="lang-javascript prettyprint-override"&gt;&lt;code&gt;// Accordion details onDetach event handler
app.datasources.TasksFitered.unload();
&lt;/code&gt;&lt;/pre&gt;
</t>
  </si>
  <si>
    <t xml:space="preserve">&lt;p&gt;I'm unable to use PowerApps in Chrome, but am able to use it successfully in Edge. The issue manifests itself in two places (as far as I can tell), but it's concerned with logging in to PowerApps on Chrome.&lt;/p&gt;
&lt;p&gt;If I go to create.powerapps.com, no matter how many times I log in, I'm presented with the 'Sign in required: We need you to sign in again. Please click the button to continue'. The 'More' error is as follows:&lt;/p&gt;
&lt;pre&gt;&lt;code&gt;Unable to obtain access token for resource
'https://management.core.windows.net/'. Error from ADAL.js: login_required 
(AADSTS50058: A silent sign-in request was sent but no user is signed in. The 
cookies used to represent the user's session were not sent in the request to 
Azure AD. This can happen if the user is using Internet Explorer or Edge, and 
the web app sending the silent sign-in request is in different IE security 
zone than the Azure AD endpoint (login.microsoftonline.com).
&lt;/code&gt;&lt;/pre&gt;
&lt;p&gt;I've read through many posts regarding this error, and believe I've followed all the suggestions (e.g. allowing 3rd party cookies for create.powerapps.com). Note that this issue isn't present when using Microsoft Edge.&lt;/p&gt;
&lt;p&gt;The second instance of this issue, is when accessing a SharePoint page which has an embedded PowerApps in a webpart. On Edge, I might need to click on the 'login' button on the webpart when first using the site, but from that point on the PowerApp functions as required. On Chrome however, I click on the login button within the webpart, a popup is generated momentarily, which then disappears and nothing happens. I'm entirely unable to view/use the embedded PowerApp in SharePoint with Chrome.&lt;/p&gt;
&lt;p&gt;This seems to be somewhat of a systemic issue with PowerApps. Is there a documented, proven resolution for this issue?&lt;/p&gt;
</t>
  </si>
  <si>
    <t xml:space="preserve">&lt;p&gt;Here is my code and I am getting Internal Error for postural() call. By the way, one more thing I want to know how we can use verify_peer to 0(zero) for not using SSL things. What is wrong with my code?&lt;/p&gt;
&lt;pre&gt;&lt;code&gt;void SendSMS(SMS SMSObject)
{
 //CONFIGURATION
 URL = "https://example.com/send_ack.php";
 wbLogin = "wbLogin";
 wbPwd = "wbPwd";
 wbAccount = "wbAccount";
 label = "label";
 applicationName = "ADR SMS v1.0";
 //BASE64 ENCODING
 Base64Encoded = zoho.encryption.base64Encode("httpLogin:httpPwd");
 AuthorizationBasic = "Authorization: Basic " + Base64Encoded;
 //HEADER
 HeaderMap = Map();
 HeaderMap.put("content-type", "application/x-www-form-urlencoded");
 HeaderMap.put("Authorization", AuthorizationBasic);
 //REQUEST
 RequestMap = Map();
 RequestMap.put("compte", wbAccount);
 RequestMap.put("op", 1);
 RequestMap.put("type", 0);
 RequestMap.put("dt", zoho.currentdate.getDay());
 RequestMap.put("hr", zoho.currenttime.getHour());
 RequestMap.put("mn", zoho.currenttime.getMinutes());
 RequestMap.put("label", label);
 RequestMap.put("dest_num", "phone_number");     
 RequestMap.put("msg", "ZC Testing");
 RequestMap.put("ref", "ZC");
 //CALL POSTURL
 Result = postUrl(URL, RequestMap, HeaderMap, false);
     //DEBUG
 info Result;
}
&lt;/code&gt;&lt;/pre&gt;
</t>
  </si>
  <si>
    <t xml:space="preserve">&lt;p&gt;Use Zoho Creator API for this purpose.&lt;/p&gt;
</t>
  </si>
  <si>
    <t xml:space="preserve">&lt;p&gt;I am using the   in the code the Html class name are not viewable.&lt;/p&gt;
&lt;p&gt;&lt;a href="https://i.stack.imgur.com/Cgku7.png" rel="nofollow noreferrer"&gt;&lt;img src="https://i.stack.imgur.com/Cgku7.png" alt="enter image description here"&gt;&lt;/a&gt;&lt;/p&gt;
&lt;p&gt;but if I use inspect element I can find the HTML class name that it uses such as slds-carousel__content etc.&lt;/p&gt;
&lt;p&gt;&lt;a href="https://i.stack.imgur.com/s6gUf.png" rel="nofollow noreferrer"&gt;&lt;img src="https://i.stack.imgur.com/s6gUf.png" alt="enter image description here"&gt;&lt;/a&gt;&lt;/p&gt;
&lt;p&gt;My  problem is i cant access those class name on my client side controllers.
Is there a way to get those class name ?&lt;/p&gt;
</t>
  </si>
  <si>
    <t xml:space="preserve">&lt;p&gt;I‘m using an Azure hosted ASP.NET API to deliver items from my backend to a PowerApps canvas app. Some items have images assigned to them. In those cases I supply the image ID, to download the image on demand with a GetImage(id) method. In this method I return the content in the HTTPResponse. This works so far. I can call the method from a browser and the image is being displayed. On a mobile device I can not use the URL directly, because the connection is secured by Azure AD. I need to receive the image using the method result of my custom connector. Unfortunately I cannot find a way to populate the image control with string containing the raw image data. How can that to be done?
I could return any other type in the API, if that solves the problem.&lt;/p&gt;
&lt;p&gt;Regards&lt;/p&gt;
&lt;p&gt;Sven&lt;/p&gt;
</t>
  </si>
  <si>
    <t xml:space="preserve">&lt;p&gt;I having an google app (app maker) where I script the following code:&lt;/p&gt;
&lt;pre&gt;&lt;code&gt;    function runQuery() {
  var projectId = 'projekte-123425512';
  var request = {
    query: 'SELECT title FROM [bigquery-public-data:samples.wikipedia]  where title contains "olimpic" LIMIT 100'
  };
  var queryResults = BigQuery.Jobs.query(request, projectId);
  var jobId = queryResults.jobReference.jobId;
  var names = queryResults.schema.fields.map(function(field){ return field.name; });
  return queryResults.rows.map(function(row) {
    var obj = {};
    for( var i = 0, len = names.length; i &amp;lt; len; ++i ) {
      obj[names[i]] = row.f[i].v;
    }
    return obj;
  });
}
&lt;/code&gt;&lt;/pre&gt;
&lt;p&gt;So I basically try to get some data out of Big Query and store it in an array. Later I want it as a calculated model and a data source in my app:&lt;/p&gt;
&lt;p&gt;&lt;a href="https://i.stack.imgur.com/hlRqA.png" rel="nofollow noreferrer"&gt;&lt;img src="https://i.stack.imgur.com/hlRqA.png" alt="enter image description here"&gt;&lt;/a&gt;&lt;/p&gt;
&lt;p&gt;I already tried it and get result in my logger:&lt;/p&gt;
&lt;p&gt;&lt;a href="https://i.stack.imgur.com/Cv8ar.png" rel="nofollow noreferrer"&gt;&lt;img src="https://i.stack.imgur.com/Cv8ar.png" alt="enter image description here"&gt;&lt;/a&gt;&lt;/p&gt;
&lt;p&gt;It works! But only in app script debugger, then I want to test the whole app I get the following error: &lt;/p&gt;
&lt;blockquote&gt;
  &lt;p&gt;The function queryRecords must return an array of records, but the array contained an element that was not a record. Error: The function queryRecords must return an array of records, but the array contained an element that was not a record.&lt;/p&gt;
&lt;/blockquote&gt;
&lt;p&gt;&lt;strong&gt;EDIT&lt;/strong&gt;&lt;/p&gt;
&lt;p&gt;I updated my code&lt;/p&gt;
&lt;pre&gt;&lt;code&gt;    function runQuery() {
  var projectId = 'nifty-stage-155512';
  var request = {
    query: 'SELECT title FROM [bigquery-public-data:samples.wikipedia]  where title contains "olimpic" LIMIT 100'
  };
  var queryResults = BigQuery.Jobs.query(request, projectId);
  var jobId = queryResults.jobReference.jobId;
  var names = queryResults.schema.fields.map(function(field){ return field.name; });
  //var records = [];  
  return queryResults.rows.map(function(row) {
  var record = app.models.Test.newRecord();
  for (var i = 0, len = names.length; i &amp;lt; len; ++i) {
    // Calculated model should contain correspondent fields
    // all non-defined fields will be ignored
    record[names[i]] =  (row.f[i].v);
  }
  return record;
});
}
&lt;/code&gt;&lt;/pre&gt;
&lt;p&gt;It now works without error but I still get no data into my grid:&lt;/p&gt;
&lt;p&gt;&lt;a href="https://i.stack.imgur.com/26rRk.png" rel="nofollow noreferrer"&gt;&lt;img src="https://i.stack.imgur.com/26rRk.png" alt="enter image description here"&gt;&lt;/a&gt;&lt;/p&gt;
&lt;p&gt;Is there something I'am missing in the configuration of the grid or the datasource??&lt;/p&gt;
&lt;p&gt;&lt;a href="https://i.stack.imgur.com/RRKst.png" rel="nofollow noreferrer"&gt;&lt;img src="https://i.stack.imgur.com/RRKst.png" alt="enter image description here"&gt;&lt;/a&gt;&lt;/p&gt;
</t>
  </si>
  <si>
    <t xml:space="preserve">&lt;p&gt;I am trying to edit my app maker app using the interface on my phone. Plenty of features work but it appears the drag and drop feature to drag a widget onto a page does not work on my Samsung Galaxy S8+. Anyone else having this problem, or knows how to get the drag and drop feature to work when editing from your phone? &lt;/p&gt;
</t>
  </si>
  <si>
    <t xml:space="preserve">&lt;p&gt;In a salesforce login form, input field have ID value, and ID value is adding the prefix of parent div, please see the code below:&lt;/p&gt;
&lt;pre&gt;&lt;code&gt;&amp;lt;apex:inputText id="login__idvalue" value="{!Inputvalue}" /&amp;gt;
&lt;/code&gt;&lt;/pre&gt;
&lt;p&gt;Expected result in web page is: &lt;/p&gt;
&lt;pre&gt;&lt;code&gt;&amp;lt;input type="text" id="login_idvalue" value="ABC value" /&amp;gt;
&lt;/code&gt;&lt;/pre&gt;
&lt;p&gt;But since the input is wrapped in a &lt;code&gt;DIV&lt;/code&gt; its generating the following:&lt;/p&gt;
&lt;pre&gt;&lt;code&gt;&amp;lt;input type="text" id="test:login_idvalue" value="ABC value" /&amp;gt;
&lt;/code&gt;&lt;/pre&gt;
&lt;p&gt;How do I remove/avoid that &lt;code&gt;test:&lt;/code&gt;?&lt;/p&gt;
</t>
  </si>
  <si>
    <t xml:space="preserve">&lt;p&gt;That's normal behavior, the Visualforce component id's don't correspond directly to the ids of their corresponding DOM elements. &lt;/p&gt;
&lt;p&gt;One option would be to use the &lt;code&gt;$Component&lt;/code&gt; variable in your Visualforce to get the DOM id generated for a given component. see: &lt;a href="https://developer.salesforce.com/docs/atlas.en-us.pages.meta/pages/pages_access.htm#pages_access" rel="nofollow noreferrer"&gt;Using $Component to Reference Components from JavaScript&lt;/a&gt;&lt;/p&gt;
&lt;p&gt;Or you could use HTML directly in you visualforce, where the id value will be passed through unchanged. There would be more work doing it this way vs using a standard component, but it might be worth considering. &lt;/p&gt;
</t>
  </si>
  <si>
    <t xml:space="preserve">&lt;p&gt;Hi all App Maker Gurus,&lt;/p&gt;
&lt;p&gt;I am trying to create an app using Google App Maker that when published, allows a user to upload files to the app creator's google drive. For example, User A creates this app and shares it with User B, giving User B permission to use the app. User B uploads a file via Google Drive picker, and the file is saved onto User A's Google Drive. Does Google App Maker have the ability to configure a "centralized" drive where users with access to the app can all upload files there?&lt;/p&gt;
&lt;p&gt;Thank you.&lt;/p&gt;
</t>
  </si>
  <si>
    <t xml:space="preserve">&lt;p&gt;AS in every ticket we create normally programmatically, we do have a reporter and assignee of ticket. But in sales-force API documentation I could not find any field which describes Reporter of Case.&lt;/p&gt;
&lt;p&gt;Also, there is no field to specify project Id against which we can create a case.&lt;/p&gt;
&lt;p&gt;Is this the limitation of the Salesforce ITSM services or am I missing something.&lt;/p&gt;
&lt;p&gt;Reference link
&lt;a href="https://developer.salesforce.com/docs/api-explorer/sobject/Case" rel="nofollow noreferrer"&gt;https://developer.salesforce.com/docs/api-explorer/sobject/Case&lt;/a&gt;&lt;/p&gt;
</t>
  </si>
  <si>
    <t xml:space="preserve">&lt;p&gt;A case is normally associated with an Account (AccountID) record and a Contact (ContactId) record.  Those record indicate the "reporter" of your case.&lt;/p&gt;
</t>
  </si>
  <si>
    <t xml:space="preserve">&lt;p&gt;I having an script in googles app maker:&lt;/p&gt;
&lt;pre&gt;&lt;code&gt;    function runQuery() {
  var projectId = 'blalab155512';
  var request = {
    query: 'SELECT title FROM [bigquery-public-data:samples.wikipedia]  where title contains "olimpic" LIMIT 100'
  };
  var queryResults = BigQuery.Jobs.query(request, projectId);
  var jobId = queryResults.jobReference.jobId;
  var names = queryResults.schema.fields.map(function(field){ return field.name; });
  //var records = [];  
  return queryResults.rows.map(function(row) {
  var record = app.models.Test.newRecord();
  for (var i = 0, len = names.length; i &amp;lt; len; ++i) {
    // Calculated model should contain correspondent fields
    // all non-defined fields will be ignored
    record[names[i]] =  (row.f[i].v);
  }
  return record;
});
}
&lt;/code&gt;&lt;/pre&gt;
&lt;p&gt;Which gives me the desired data from Big Query. Data format output from Logger:
&lt;a href="https://i.stack.imgur.com/Cv8ar.png" rel="nofollow noreferrer"&gt;&lt;img src="https://i.stack.imgur.com/Cv8ar.png" alt="enter image description here"&gt;&lt;/a&gt;&lt;/p&gt;
&lt;p&gt;I'm now struggling with put that data as an Calculated Data Source and then show it as a grid within the app. &lt;/p&gt;
&lt;p&gt;I have a calculated data source, which calls the script above to get the data. And I configured a field (String) in which I want to out the titles from the query. &lt;a href="https://i.stack.imgur.com/MIHJn.png" rel="nofollow noreferrer"&gt;&lt;img src="https://i.stack.imgur.com/MIHJn.png" alt="enter image description here"&gt;&lt;/a&gt;&lt;/p&gt;
&lt;p&gt;In preview no error was shown but the grid stay empty:&lt;/p&gt;
&lt;p&gt;&lt;a href="https://i.stack.imgur.com/K11GL.png" rel="nofollow noreferrer"&gt;&lt;img src="https://i.stack.imgur.com/K11GL.png" alt="enter image description here"&gt;&lt;/a&gt;&lt;/p&gt;
</t>
  </si>
  <si>
    <t xml:space="preserve">&lt;p&gt;As a follow up question regarding the solution for this question: &lt;a href="https://stackoverflow.com/a/50494893/9878092"&gt;https://stackoverflow.com/a/50494893/9878092&lt;/a&gt;&lt;/p&gt;
&lt;p&gt;I am able to upload a file to the team drive, but how can I make it such that if the file has the same name, it will override a pre-existing file in the team drive? For example, if I first upload a file named "File A" and then upload another file named "File A" both to the team drive, how do I ensure that only the most recently uploaded File A is located in the team drive? Thank you.&lt;/p&gt;
</t>
  </si>
  <si>
    <t xml:space="preserve">&lt;p&gt;This is more about performance. This is the scenario:&lt;/p&gt;
&lt;p&gt;This app is used to control the inventory of PCs in an organization. So the app has a model that consists of 32 fields and 1 relation. The model already has 2650 records saved in it. I also have a process that exports all the records to a google sheet. Even though it works fine, the export consumes too much time from my point of view. &lt;/p&gt;
&lt;p&gt;So my logic consists of getting all the records, looping through each one and getting the data of each field. Then put all the fields into a row and finally save it to a google sheet; thus it looks like this:&lt;/p&gt;
&lt;pre&gt;&lt;code&gt;var allRows ="";
header = ["Property Tag", "Status", "Building", "Department", "Floor", "Area", "Specific Location", "Serial Number", "Model", "Purchase Date", "Warranty End", "HD Size"];
header.push("Processor", "RAM", "PC Name", "MAC Address", "Monitor 1", "Monitor 1 Model", "Monitor 2", "Monitor 2 Model", "Notes", "Office", "Last Inventoried","SSO Type");
header.push("Static/Reserved IP Address", "Static IP Reason","Card Reader Installed", "Last Repair Issue", "Last Repair Date", "Created By", "Created On");
header.push("Last Modified By", "Last Modified On", "Item Type");    
allRows += header.join() + "\r\n";
//get all pcItems and save them to google sheet
var pcItems = app.models.pcItems.newQuery().run();
for(i=0; i&amp;lt;pcItems.length; i++){
  item = pcItems[i];
  propTag = (item.propertyTag) ? ("'" + item.propertyTag) : "";
  status = item.status || "";
  building = item.building || "";
  dept = item.department || "";
  floor = item.floor || "";
  area = item.area || "";
  specLoc = (item.specificLocation) ? "'" + item.specificLocation : "";
  serialNum = (item.serialNumber) ? "'" + item.serialNumber : "";
  model = item.model || "";
  purchase = (item.purchaseDate) ? Utilities.formatDate(item.purchaseDate, "GMT-6", "MM/dd/yyyy") : "";
  warranty = (item.warrantyEnd) ? Utilities.formatDate(item.warrantyEnd, "GMT-6", "MM/dd/yyyy") : "";
  hd = (item.hdSize) ? "'" + item.hdSize : "";
  processor = item.processor || "";
  ram = item.ram || "";
  pcName = (item.pcName) ? "'" + item.pcName : "";
  macAdd = (item.macAddress) ? "'" + item.macAddress : "";
  monOne = (item.monitor1) ? "'" + item.monitor1 : "";
  monOneMod = item.monitor1Model || "";
  monTwo = (item.monitor2) ? "'" + item.monitor2 : "";
  monTwoMod = item.monitor2Model || "";
  notes = (item.notes) ? "'" + item.notes : "";
  office = item.officeVersion || "";
  lastInv = (item.lastInventoried) ? "'" + item.lastInventoried : "";
  ssoType = item.ssoType || "";
  staticIp = item.staticIpAddress || "";
  staticIpReason = item.staticIpReason || "";
  var cardReader = (item.cardReaderInstalled === true) ? true : (item.cardReaderInstalled === false) ? false : "";
  createdBy = item.createdBy || "";
  createdOn = (item.created) ?  "'" + Utilities.formatDate(item.created, "GMT-6", "MM/dd/yyyy HH:mm") : "";      
  lastRepairDate = (item.lastRepairDate) ? Utilities.formatDate(item.lastRepairDate, "GMT-6", "MM/dd/yyyy") : "";
  lastRepairIssue = item.lastRepairIssue || "";
  //the history relation
  hist = item.itemHistory;    
  if(hist.length){
    lastModifiedBy = hist[hist.length-1].modifiedBy;
    lastModifiedOn = (hist[hist.length-1].modified) ? ("'" + Utilities.formatDate(hist[hist.length-1].modified, "GMT-6", "MM/dd/yyyy HH:mm")) : "";
  } else {
    lastModifiedBy = "";
    lastModifiedOn = "";        
  }
  row = [propTag, status, building, dept, floor, area, specLoc, serialNum, model, purchase, warranty, hd];
  row.push(processor, ram, pcName, macAdd, monOne, monOneMod, monTwo, monTwoMod, notes, office, lastInv, ssoType);
  row.push(staticIp, staticIpReason, cardReader, lastRepairIssue, lastRepairDate, createdBy, createdOn, lastModifiedBy, lastModifiedOn, "PC");
  formattedRow = [];
  for(d=0; d&amp;lt;row.length; d++){        
    cellData = row[d];
    if((typeof(cellData) === "string") &amp;amp;&amp;amp; (cellData.indexOf(",") &amp;gt; -1)){
      cellData = '"'+cellData+'"';
    } else if(typeof(cellData) === "object"){
      cellData = Utilities.formatDate(cellData, "GMT", "MM/dd/yyyy");
    }
    formattedRow.push(cellData);
  }
  csvRow = formattedRow.join(); 
  allRows += csvRow+"\r\n";
}
var data = Utilities.newBlob("").setDataFromString(allRows, "UTF-8").setContentType("text/csv");
var newFile = Drive.Files.insert({title: fileName}, data, {convert: true});
var ss = SpreadsheetApp.openById(newFile.id);
var sheet = ss.getActiveSheet();  
var fileHeader = sheet.getRange(1, 1, 1, sheet.getLastColumn());
fileHeader.setBackground("#efefef").setFontWeight("Bold").setVerticalAlignment("Middle");
sheet.setRowHeight(1, 30);
sheet.setFrozenRows(1);
var allData = sheet.getRange(1, 1, sheet.getLastRow(), sheet.getLastColumn());
allData.setNumberFormat("@");  
sheet.autoResizeColumns(1, sheet.getLastColumn());  
sheet.deleteColumns(sheet.getLastColumn(), 3);
return ss.getUrl();
&lt;/code&gt;&lt;/pre&gt;
&lt;p&gt;This process takes approximately 8-10 minutes to complete. I believe this could be done faster. The reason I know that is because if I go to Settings &gt; Deployments &gt; Export Data and do an export of &lt;strong&gt;ALL&lt;/strong&gt; data, it only takes &lt;strong&gt;1:30 mins.&lt;/strong&gt; That is blazingly fast, considering it also exports other data. &lt;/p&gt;
&lt;p&gt;So my question is... Does anyone knows a better approach that could help me achieve this task? For any input on this matter, I am very thankful in advance!&lt;/p&gt;
</t>
  </si>
  <si>
    <t xml:space="preserve">&lt;p&gt;First things first I would recommend to find bottlenecks in your code. For instance you can try to use  &lt;code&gt;console.time&lt;/code&gt; and &lt;code&gt;console.timeEnd&lt;/code&gt; to log execution times. Once you know where are the slowest parts of your algorithm you can tackle how to improve them.&lt;/p&gt;
&lt;p&gt;Second thing to try is to use prefetch. It seems, that now your script makes a call to the database to access relations for each record. So, total number of calls to DB is &lt;code&gt;N * M + 1&lt;/code&gt;, where N is total number of records, M is number of relations for each record and 1 is the initial call to get records without relations.&lt;/p&gt;
&lt;pre class="lang-javascript prettyprint-override"&gt;&lt;code&gt;var query = app.models.pcItems.newQuery();
query.prefetch.myModel._add();
var pcItems = query.run();
for (...) {
...
// after adding prefetch this line should not cause additional
// call to the database
hist = item.itemHistory; 
...
}
&lt;/code&gt;&lt;/pre&gt;
</t>
  </si>
  <si>
    <t xml:space="preserve">&lt;p&gt;Is there any less time consuming way to check if file's Root Directory is "My Drive" or "Team Drive"? &lt;/p&gt;
&lt;p&gt;I have tried using &lt;code&gt;file.getParents();&lt;/code&gt; and then iterating through every parent and finally to Root, but this is way too time consuming.&lt;/p&gt;
</t>
  </si>
  <si>
    <t xml:space="preserve">&lt;p&gt;When a file is in Team Drive, the owner is the Team Drive and not any particular user.&lt;/p&gt;
&lt;p&gt;You can perform a check for ownership on the file and if it is set to null, the file is likely inside Team Drive.&lt;/p&gt;
&lt;pre&gt;&lt;code&gt;var file = DriveApp.getFileById("fileID");
if (file.getOwner() === null) {
  // do something here
}
&lt;/code&gt;&lt;/pre&gt;
</t>
  </si>
  <si>
    <t xml:space="preserve">&lt;p&gt;I have notes in my Pipedrive tool for each deals. Now i need to migrate those notes for each deal in Pipedrive to my Salesforce. How can I get the notes for each project loaded to its corresponding project. I try loading notes by giving project ID through Data Loader Wizard. Even-though the tool says that the data is loaded successfully, When I go to my Project in Salesforce, I am not able to see the Notes for the project.&lt;/p&gt;
&lt;p&gt;Please help.&lt;/p&gt;
&lt;p&gt;Thanks&lt;/p&gt;
&lt;p&gt;Niki &lt;/p&gt;
</t>
  </si>
  <si>
    <t xml:space="preserve">&lt;p&gt;I am just starting to work with app maker and I was wondering if it is possible to access g suite's api to create groups, emails, and folder directories in drive, all from information a user inputs in to a form on the app?&lt;/p&gt;
&lt;p&gt;I am seeing a lot of documentation on GET for these but not POST.&lt;/p&gt;
</t>
  </si>
  <si>
    <t xml:space="preserve">&lt;p&gt;The issue is that once the app is deployed I (the creator) am able to view, edit and add records into the database but no one else can. When I give them the link the app loads as it should BUT none of the data is shown AND once they try to add their own record in the app it does not save nor am I able to view the added record on my end. I have tried to set the access to only a few people as regular users and I have tried selecting the "Do not restrict access to this application" field as well but none of those options work. &lt;/p&gt;
&lt;p&gt;The closest issues to this I have found is this. 
&lt;a href="https://stackoverflow.com/questions/42506938/google-app-maker-app-not-working-after-deploy"&gt;Google App Maker app not working after deploy&lt;/a&gt;&lt;/p&gt;
&lt;p&gt;And I import my data into the published deployment just as it states but after I send out the link to other people (They are within my domain as we are a on company email and that should work) it does not give them any access to view or add data. &lt;/p&gt;
&lt;p&gt;I am wondering if it has anything to do with this section but am unsure. 
&lt;a href="https://i.stack.imgur.com/JT9s8.png" rel="nofollow noreferrer"&gt;Picture&lt;/a&gt;&lt;/p&gt;
&lt;p&gt;I have published dozens of times at this point and I have not been able to find what the issue is. Is anyone else having this problem and found a solution? &lt;/p&gt;
</t>
  </si>
  <si>
    <t xml:space="preserve">&lt;p&gt;Whenever I get an &lt;code&gt;&amp;amp; (ampersand)&lt;/code&gt; in my company name , it throws error &lt;code&gt;Unable to parse XML data&lt;/code&gt;&lt;/p&gt;
&lt;p&gt;XML data:&lt;/p&gt;
&lt;pre&gt;&lt;code&gt;$xmlData = '&amp;lt;Leads&amp;gt;
&amp;lt;row no="1"&amp;gt;
&amp;lt;FL val="Company"&amp;gt;&amp;lt;![CDATA[ .$company. ]]&amp;gt;&amp;lt;/FL&amp;gt;
&amp;lt;/row&amp;gt;
&amp;lt;/Leads&amp;gt;';
$company = isset($company) &amp;amp;&amp;amp; !empty($company) ? str_replace('&amp;amp;', '&amp;amp;amp;', $company) : 'None';
&lt;/code&gt;&lt;/pre&gt;
&lt;p&gt;I have tried replacing &lt;code&gt;&amp;amp;&lt;/code&gt; with &lt;code&gt;&amp;amp;amp;&lt;/code&gt; , &lt;code&gt;%26&lt;/code&gt; &lt;code&gt;etc&lt;/code&gt; and used CDATA as well, but nothing is working.&lt;/p&gt;
&lt;p&gt;XML seems valid still it throws the error&lt;/p&gt;
&lt;pre&gt;&lt;code&gt;&amp;lt;Leads&amp;gt;&amp;lt;row no="1"&amp;gt;&amp;lt;FL val="Company"&amp;gt;test &amp;amp;amp; test&amp;lt;/FL&amp;gt;&amp;lt;/row&amp;gt;&amp;lt;/Leads&amp;gt;
&lt;/code&gt;&lt;/pre&gt;
&lt;p&gt;With CDATA:&lt;/p&gt;
&lt;pre&gt;&lt;code&gt;&amp;lt;Leads&amp;gt;&amp;lt;row no="1"&amp;gt;&amp;lt;FL val="Company"&amp;gt;&amp;lt;![CDATA[test &amp;amp; test]]&amp;gt;&amp;lt;/FL&amp;gt;&amp;lt;/row&amp;gt;&amp;lt;/Leads&amp;gt;
&lt;/code&gt;&lt;/pre&gt;
&lt;p&gt;What could be the solution for it?&lt;/p&gt;
&lt;p&gt;P.S: I am sending this xml data to zoho CRM. &lt;code&gt;Zoho not accepting company name with &amp;amp; in it.&lt;/code&gt;&lt;/p&gt;
&lt;p&gt;&lt;strong&gt;UPDATE 1:&lt;/strong&gt;&lt;/p&gt;
&lt;p&gt;This is the URL that sends xml data to zoho and when it gets &amp;amp; it does not work.&lt;/p&gt;
&lt;p&gt;&lt;a href="https://crm.zoho.com/crm/private/xml/Leads/insertRecords?newFormat=1&amp;amp;authtoken=authtoken" rel="nofollow noreferrer"&gt;https://crm.zoho.com/crm/private/xml/Leads/insertRecords?newFormat=1&amp;amp;authtoken=authtoken&lt;/a&gt;&lt;code&gt;&amp;amp;xmlData=&amp;lt;Leads&amp;gt;&amp;lt;row no="1"&amp;gt;&amp;lt;FL val="Company"&amp;gt;test &amp;amp;amp; test&amp;lt;/FL&amp;gt;&amp;lt;/row&amp;gt;&amp;lt;/Leads&amp;gt;&lt;/code&gt;&lt;/p&gt;
&lt;p&gt;OR&lt;/p&gt;
&lt;p&gt;&lt;a href="https://crm.zoho.com/crm/private/xml/Leads/insertRecords?newFormat=1&amp;amp;authtoken=authtoken" rel="nofollow noreferrer"&gt;https://crm.zoho.com/crm/private/xml/Leads/insertRecords?newFormat=1&amp;amp;authtoken=authtoken&lt;/a&gt;&lt;code&gt;&amp;amp;xmlData=&amp;lt;Leads&amp;gt;&amp;lt;row no="1"&amp;gt;&amp;lt;FL val="Company"&amp;gt;test &amp;amp; test&amp;lt;/FL&amp;gt;&amp;lt;/row&amp;gt;&amp;lt;/Leads&amp;gt;&lt;/code&gt;&lt;/p&gt;
&lt;p&gt;With &lt;code&gt;&amp;amp;amp;&lt;/code&gt; it should work but it doesn't. :( &lt;/p&gt;
</t>
  </si>
  <si>
    <t xml:space="preserve">&lt;p&gt;I have a lightnoing  application App which contains a lightning component C1
This component contains an other C2 one which implements 2 dependent picklists
The issue is that C2 needs his attributes value from the C1 component
But since the Child component init (C2) is executed before the parent one init (C1), so the child is not working correctly
Can you please help me?
Thanks&lt;/p&gt;
</t>
  </si>
  <si>
    <t xml:space="preserve">&lt;p&gt;i have done a calculated sql with a custom query.&lt;/p&gt;
&lt;p&gt;Implemented a table from that data model.
Until here we are ok.&lt;/p&gt;
&lt;p&gt;My problem is the next step:
In my custom query i have a field concatAll(that is all fields concatenated).
In my page i want to put a search box to do a "contains" search in my field concatAll and present those results in my table.&lt;/p&gt;
&lt;p&gt;Anyone knows how to do this?&lt;/p&gt;
&lt;p&gt;Tried multiple approaches, but could not have the result.&lt;/p&gt;
&lt;p&gt;Thanks&lt;/p&gt;
</t>
  </si>
  <si>
    <t xml:space="preserve">&lt;p&gt;As @Pavel Shkleinik send to me this is possible using :params in the query of calculated_sql.
Example:
or  (c.phone like concat(CONCAT("%", ifnull(:concatAll,''), "%")))
and you put concatAll as a string parameter on datasource page.&lt;/p&gt;
&lt;p&gt;Regards&lt;/p&gt;
</t>
  </si>
  <si>
    <t xml:space="preserve">&lt;p&gt;In Google App Maker, can you check when a file is uploaded in the Google Drive Picker widget? I am trying to call scripts based on the event, when a clicks UPLOAD after selecting a file and successfully uploads a file to the Google Drive. In Google App Maker, the only events are onAttach, onDetach, onDataLoad, onDocumentSelect, onCancel, and onPickerInit. Thanks.&lt;/p&gt;
</t>
  </si>
  <si>
    <t xml:space="preserve">&lt;p&gt;&lt;code&gt;onDocumentSelect&lt;/code&gt; event is fired both when user selects existing file or uploads a new one. Information about the selected/uploaded file(s) can be found in the &lt;code&gt;result&lt;/code&gt; object that is passed as a parameter to the event. Here is a link to the Drive Picker widget docs - &lt;a href="https://developers.google.com/appmaker/ui/input-widgets#drive-picker" rel="nofollow noreferrer"&gt;https://developers.google.com/appmaker/ui/input-widgets#drive-picker&lt;/a&gt;&lt;/p&gt;
</t>
  </si>
  <si>
    <t xml:space="preserve">&lt;p&gt;What error is there in this code? 
This is most confused code I ever met, please help me with this to solve&lt;/p&gt;
&lt;pre&gt;&lt;code&gt;#include &amp;lt;stdio.h&amp;gt; 
int compare(int a, int b, int c){
    if(a-b&amp;gt;0&amp;amp;&amp;amp;a-c&amp;gt;0)
        return c;
    else
        if (b-c&amp;gt;0)
        return a;//what would it return?
    else
        return b;
}
int main()
{//below in printf? is it right to print this way?
    printf("%d",compare(compare(88,89,91)compare(90,41,17)compare(75,100,96)));
    return 0;
}
&lt;/code&gt;&lt;/pre&gt;
</t>
  </si>
  <si>
    <t xml:space="preserve">&lt;p&gt;As posted, the code does not compile because you have missing commas in the &lt;code&gt;printf&lt;/code&gt; argument list.&lt;/p&gt;
&lt;p&gt;Here is a corrected version with extra spacing to improve readability:&lt;/p&gt;
&lt;pre&gt;&lt;code&gt;#include &amp;lt;stdio.h&amp;gt; 
int compare(int a, int b, int c) {
    if (a - b &amp;gt; 0 &amp;amp;&amp;amp; a - c &amp;gt; 0)
        return c;
    else
    if (b - c &amp;gt; 0)
        return a;//what would it return?
    else
        return b;
}
int main() {
    //below in printf? is it right to print this way?
    printf("%d\n", compare(compare(88, 89, 91),
                           compare(90, 41, 17),
                           compare(75, 100, 96)));
    return 0;
}
&lt;/code&gt;&lt;/pre&gt;
&lt;p&gt;This code seems broken in many respects, beyond the initial syntax errors:&lt;/p&gt;
&lt;ul&gt;
&lt;li&gt;&lt;code&gt;a - b &amp;gt; 0&lt;/code&gt; performs an integer subtraction that can overflow: signed arithmetic overflow is specified as having undefined behavior by the C Standard. It would be simpler and safer to write &lt;code&gt;a &amp;gt; b&lt;/code&gt; which is defined for all values of &lt;code&gt;a&lt;/code&gt; and &lt;code&gt;b&lt;/code&gt;.&lt;/li&gt;
&lt;li&gt;&lt;code&gt;compare(a, b, c)&lt;/code&gt; returns &lt;code&gt;c&lt;/code&gt; if &lt;code&gt;a&lt;/code&gt; is the largest value, &lt;code&gt;a&lt;/code&gt; if &lt;code&gt;b&lt;/code&gt; is the largest and &lt;code&gt;b&lt;/code&gt; if &lt;code&gt;c&lt;/code&gt; is the largest... The result is therefore heavily dependent on the order of the parameters given. One may wonder if the intend was to compute the max value of a triplet instead, which would not depend on the order of the parameters.&lt;/li&gt;
&lt;/ul&gt;
&lt;p&gt;I wonder what is really expected from the candidate facing this test.&lt;/p&gt;
</t>
  </si>
  <si>
    <t xml:space="preserve">&lt;p&gt;I have a collection in my PowerApp called &lt;code&gt;Collection1&lt;/code&gt;.
I also have a gallery called &lt;code&gt;Gallery1&lt;/code&gt;. I use the collection to keep track if all checkboxes are checked in the gallery, so then I can enable a button.&lt;/p&gt;
&lt;p&gt;&lt;code&gt;AgreeCheckbox&lt;/code&gt; in &lt;code&gt;Gallery1&lt;/code&gt; has the following actions:&lt;/p&gt;
&lt;ul&gt;
&lt;li&gt;&lt;p&gt;&lt;code&gt;OnCheck: Collect(Collection1,ThisItem)&lt;/code&gt;&lt;/p&gt;&lt;/li&gt;
&lt;li&gt;&lt;p&gt;&lt;code&gt;OnUncheck: Remove(Collection1,ThisItem)&lt;/code&gt;&lt;/p&gt;&lt;/li&gt;
&lt;/ul&gt;
&lt;p&gt;And then the button has the following displaymode:&lt;/p&gt;
&lt;pre&gt;&lt;code&gt;If(CountRows(Collection1) = CountRows(Gallery1.AllItems), 
DisplayMode.Edit, DisplayMode.Disabled)
&lt;/code&gt;&lt;/pre&gt;
&lt;p&gt;I'm currently running the App in preview mode, but sometimes items get stuck in &lt;code&gt;Collection1&lt;/code&gt; and next time the button is enabled even if only half of the checkboxes are checked (I have 6 currently, and intermittently 2 or 3 items get stuck in the &lt;code&gt;Collection1&lt;/code&gt;. &lt;/p&gt;
&lt;p&gt;I've added &lt;code&gt;OnStart: Clear(Collection1)&lt;/code&gt; to &lt;code&gt;Screen1&lt;/code&gt; (where all this is happening), but this didn't help.&lt;/p&gt;
&lt;p&gt;What am I missing here?&lt;/p&gt;
</t>
  </si>
  <si>
    <t xml:space="preserve">&lt;p&gt;I created a POST function to Harvest using postman and it was successful, I exported the code in as javascript but then when I go to run it in the google apps script I get, ‘ReferenceError: “FormData” is not defined.’&lt;/p&gt;
&lt;p&gt;Any idea what this is referring too?&lt;/p&gt;
&lt;pre&gt;&lt;code&gt;function myFunction() {
var data = new FormData();
data.append(“name”, “TEST_CLIENT”);
data.append(“is_active”, “true”);
data.append(“address”, “”);
data.append(“currency”, “USD”);
var xhr = new XMLHttpRequest();
xhr.withCredentials = true;
xhr.addEventListener(“readystatechange”, function () {
if (this.readyState === 4) {
console.log(this.responseText);
}
});
xhr.open(“POST”, “https://api.harvestapp.com/v2/clients? 
name=TEST_CLIENT&amp;amp;is_active=true&amp;amp;address=1%20Main%20st.%20&amp;amp;currency=USD”);
xhr.setRequestHeader(“Authorization”, “Bearer {{$ACCESS_TOKEN}}”);
xhr.setRequestHeader(“Harvest-Account-Id”, “{{$ACCOUNT_ID}}”);
xhr.setRequestHeader(“User-Agent”, “(hidden)”);
xhr.setRequestHeader(“Content-Type”, “application/x-www-form-urlencoded”);
xhr.setRequestHeader(“Cache-Control”, “no-cache”);
xhr.setRequestHeader(“Postman-Token”, “HIDDEN”);
xhr.send(data);
}
&lt;/code&gt;&lt;/pre&gt;
&lt;p&gt;I hid some parts of my code&lt;/p&gt;
</t>
  </si>
  <si>
    <t xml:space="preserve">&lt;p&gt;In Google App Maker, I am writing a function in ServerScript that will convert a user-uploaded Excel spreadsheet to Google spreadsheet. I am using this piece of code (&lt;a href="https://stackoverflow.com/a/35597644/9878092"&gt;https://stackoverflow.com/a/35597644/9878092&lt;/a&gt;), but I am getting&lt;/p&gt;
&lt;blockquote&gt;
  &lt;p&gt;ReferenceError: "Drive" is not defined. &lt;/p&gt;
&lt;/blockquote&gt;
&lt;p&gt;I tried using the line of code that I got directly from the link: &lt;/p&gt;
&lt;pre&gt;&lt;code&gt;file = Drive.Files.insert(file, xlsxBlob, {
&lt;/code&gt;&lt;/pre&gt;
&lt;p&gt;and my own edited version: &lt;/p&gt;
&lt;pre&gt;&lt;code&gt;file = Drive.Files.update(file, ssFileID, xlsxBlob, {
&lt;/code&gt;&lt;/pre&gt;
&lt;p&gt;Where &lt;code&gt;ssFileID&lt;/code&gt; is the file id of the pre-made Google Sheet I want to insert the data from a user-uploaded Excel spreadsheet into. How do I fix this error?&lt;/p&gt;
</t>
  </si>
  <si>
    <t xml:space="preserve">&lt;p&gt;I am new to Google App Maker and I want to explore some sample apps. But I cannot even open sample apps that require access to Google Cloud SQL. &lt;/p&gt;
&lt;p&gt;I've set up Cloud SQL for other projects already. How to enable Cloud SQL for a project that cannot be opened?  &lt;/p&gt;
&lt;p&gt;Any help is appreciated! &lt;/p&gt;
</t>
  </si>
  <si>
    <t xml:space="preserve">&lt;p&gt;I am working on a Document Approval Workflow in Appmaker, I have a use case where If document gets approved then I need to convert that Google Doc to PDF and Add watermark (Confidential text) to it. I have successfully converted my Google Document to PDF By following code,&lt;/p&gt;
&lt;pre&gt;&lt;code&gt;var pdfFile = DriveApp.getFileById('docId').getAs(MimeType.PDF);
&lt;/code&gt;&lt;/pre&gt;
&lt;p&gt;Can anyone suggest how can I achieve this? I think possible way out is &lt;/p&gt;
&lt;ol&gt;
&lt;li&gt;Using Third party end point to which I can pass my PDF and get
'Confidential' text embedded in the background as watermark &lt;/li&gt;
&lt;/ol&gt;
&lt;p&gt;Please suggest if there is any other way out.&lt;/p&gt;
&lt;p&gt;P.S. This answer &lt;a href="https://stackoverflow.com/questions/30220133/google-spreadsheet-to-pdf-with-watermark-in-google-script"&gt;here&lt;/a&gt; is outdated and that REST End point is no longer working&lt;/p&gt;
&lt;p&gt;&lt;strong&gt;EDIT:&lt;/strong&gt;
This is how my final PDF should look like.
&lt;a href="https://i.stack.imgur.com/Cp38w.jpg" rel="nofollow noreferrer"&gt;&lt;img src="https://i.stack.imgur.com/Cp38w.jpg" alt="Sample output"&gt;&lt;/a&gt;&lt;/p&gt;
</t>
  </si>
  <si>
    <t xml:space="preserve">&lt;p&gt;My org has a namespace and I'm trying to load a static resource within a lightning:container in my lightning component. My lightning component and static resource, both have the same namespace. The browser complains that the server URL that Salesforce resolves the static resource to, is inaccessible. Has anyone done this before, successfully?&lt;/p&gt;
&lt;p&gt;Here's how my lightning container has been defined:&lt;/p&gt;
&lt;pre&gt;&lt;code&gt;&amp;lt;lightning:container src="{!$Resource.ns__resourcename + '/index.html'}" onmessage="{!c.doSomething}" aura:id="myapp" /&amp;gt;
&lt;/code&gt;&lt;/pre&gt;
</t>
  </si>
  <si>
    <t xml:space="preserve">&lt;p&gt;We use the Zoho OAuth API's response to authenticate users in our app (RoloCRM). Our approach works for most of the accounts but is failing for a few users.
We have listed the steps below, with the APIs used in our app during login.&lt;/p&gt;
&lt;p&gt;&lt;strong&gt;Step1&lt;/strong&gt;: We use v2 of the Zoho OAuth API for login and get basic details.
&lt;a href="https://www.zohoapis.com/oauth/v2/auth?scope=ZohoCRM.users.ALL,ZohoCRM.org.ALL,ZohoCRM.modules.ALL,ZohoCRM.settings.ALL&amp;amp;client_id=" rel="nofollow noreferrer"&gt;https://www.zohoapis.com/oauth/v2/auth?scope=ZohoCRM.users.ALL,ZohoCRM.org.ALL,ZohoCRM.modules.ALL,ZohoCRM.settings.ALL&amp;amp;client_id=&lt;/a&gt;&amp;amp;&amp;amp;response_type=code&amp;amp;access_type=offline&amp;amp;redirect_uri=&lt;/p&gt;
&lt;p&gt;&lt;strong&gt;Step2&lt;/strong&gt;: Once we get the access &amp;amp; refresh token, we call below api to get currently signed in user's email and zoho-user-id.
&lt;a href="https://www.zohoapis.com/crm/v2/users?type=CurrentUser" rel="nofollow noreferrer"&gt;https://www.zohoapis.com/crm/v2/users?type=CurrentUser&lt;/a&gt;&lt;/p&gt;
&lt;p&gt;&lt;strong&gt;Step3&lt;/strong&gt;: We call below api to get currently logged in user's organization id.
&lt;a href="https://www.zohoapis.com/crm/v2/org" rel="nofollow noreferrer"&gt;https://www.zohoapis.com/crm/v2/org&lt;/a&gt;&lt;/p&gt;
&lt;p&gt;In step2, we receive currently logged in user's zoho-user-id. We expect this to be same across different zoho teams.&lt;/p&gt;
&lt;p&gt;&lt;strong&gt;Is this assumption valid?&lt;/strong&gt;&lt;/p&gt;
&lt;p&gt;&lt;strong&gt;Example&lt;/strong&gt;:
In one of our example, same user has 2 registered zoho organizations with 2 different email ids(Email1 and Email2).&lt;/p&gt;
&lt;ol&gt;
&lt;li&gt;User validated email1 with zoho, in step2 we get "zohouserid1" and
in step3 we get "zohoorgid1" &lt;/li&gt;
&lt;li&gt;User validated email2 with zoho, in
step2 we get "zohouserid1" and in step3 we get "zohoorgid1"&lt;/li&gt;
&lt;/ol&gt;
&lt;p&gt;We are getting same zohouserid and organization id for two different emails (belongs to same user).&lt;/p&gt;
&lt;p&gt;Is it possible to get actual organization id and user id based on the logged in user's email?&lt;/p&gt;
</t>
  </si>
  <si>
    <t xml:space="preserve">&lt;p&gt;Can I give another person publishing rights to my deployment? If so, how?&lt;/p&gt;
&lt;p&gt;I tried adding the other person to 'Admins' of that deployment, but at least the rights haven't updated, as I did it approx. 30 minutes ago. I also just published it, and the rights have not updated.&lt;/p&gt;
&lt;p&gt;Of course, they could make their own deployment, but then the URL would change. Is there a way to solve this?&lt;/p&gt;
</t>
  </si>
  <si>
    <t xml:space="preserve">&lt;p&gt;I created a multi-tenant application where each tenant have different set of users. I am trying to implement a functionality where same user might exist in different tenants. Does outsystems provide such functionality or I have to create my custom logic ?
Right now, I did create a user having same username in 2 different tenants and during login I am showing user to select tenants. But on changing tenants and logging to that tenant, the environment doesn't switch to that tenant that user has selected.&lt;/p&gt;
&lt;p&gt;Below is the image of the logic of switching tenants and logging in the customer.&lt;/p&gt;
&lt;p&gt;&lt;a href="https://i.stack.imgur.com/3HB3T.png" rel="nofollow noreferrer"&gt;&lt;img src="https://i.stack.imgur.com/3HB3T.png" alt="enter image description here"&gt;&lt;/a&gt;&lt;/p&gt;
&lt;p&gt;During debugging I saw that after executing &lt;em&gt;TenantSwitch&lt;/em&gt; action it did change the &lt;em&gt;Site.TenantID&lt;/em&gt; property but after &lt;em&gt;User_Login&lt;/em&gt; action is reverted to the first tenant not the one user selected.&lt;/p&gt;
</t>
  </si>
  <si>
    <t xml:space="preserve">&lt;p&gt;I was searching through salesforce and I know queryAll and getDeleted can return &lt;code&gt;deleted&lt;/code&gt; objects. But what I don't understand is Will &lt;code&gt;/deleted&lt;/code&gt; return only hard deleted objects of last 15 days or it will also return soft deleted objects also?&lt;/p&gt;
</t>
  </si>
  <si>
    <t xml:space="preserve">&lt;p&gt;I would like to test our app maker in our organisation. We use G-suite but when I go to load any of the examples, it just says &lt;/p&gt;
&lt;pre&gt;&lt;code&gt;We are sorry, but you do not have access to this service.
&lt;/code&gt;&lt;/pre&gt;
&lt;p&gt;I have looked around our admin console but I can't see AppMaker listed as a service. We are set up to have new apps enabled automatically.&lt;/p&gt;
&lt;p&gt;Am I missing something?&lt;/p&gt;
</t>
  </si>
  <si>
    <t xml:space="preserve">&lt;p&gt;I have a data model, Material, that has related chemicalProperty model. Each material may have several chemical properties.
I want the users to be able to create a new Material record based on an existing one and to create at the same time a copy of its related chemicalProperty records to go along.&lt;/p&gt;
&lt;p&gt;I know how to create several records from an array and I know how to make a query.
Is there a way to create an array from a query?
or is there another way to copy several records changing the forgein key in the process?&lt;/p&gt;
&lt;p&gt;Here is the code I have right now.&lt;/p&gt;
&lt;p&gt;Any help is appreciated.&lt;/p&gt;
&lt;p&gt;&lt;div class="snippet" data-lang="js" data-hide="false" data-console="true" data-babel="false"&gt;
&lt;div class="snippet-code"&gt;
&lt;pre class="snippet-code-html lang-html prettyprint-override"&gt;&lt;code&gt;function duplicateChemicalProperties(oldMaterialId, newMaterialId) {
/* var query = app.models.Propiedad_Quimica.newQuery();
*  query.filters.Material_fk._equals = oldMaterialId;
*  var recordData = query.run()[0];*/
  var recordData = [
   ["1",new Date,userId,new Date,userId,"H2O",,"2",,".5","algun tipo de tolerancia","comentarios"],
   ["2",new Date,userId,new Date,userId,"Algodon de azucar ",,"6",,"10","tolerancia","Notas"]
   ];
  var records = [];
  for (var i = 0; i &amp;lt; recordData.length; i++) {    
    var record = app.models.Propiedad_Quimica.newRecord();
    record.Material_fk =  newMaterialId; 
    record.Fecha_Creacion = recordData[i][1];
    record.Usuario_Creacion = recordData[i][2];
    record.Fecha_Edicion = recordData[i][3];
    record.Usuario_Edicion = recordData[i][4];
    record.Analisis =  recordData[i][5];
    record.P_Min = recordData[i][6];
    record.P_Max = recordData[i][7];
    record.P_Tipico = recordData[i][8];
    record.Tolerancia = recordData[i][9];
    record.Tipo_de_tolerancia = recordData[i][10];
    record.Comentarios = recordData[i][11];
    records.push(record);
  }
  app.saveRecords(records);
}&lt;/code&gt;&lt;/pre&gt;
&lt;/div&gt;
&lt;/div&gt;
&lt;/p&gt;
</t>
  </si>
  <si>
    <t xml:space="preserve">&lt;p&gt;This should work&lt;/p&gt;
&lt;pre class="lang-javascript prettyprint-override"&gt;&lt;code&gt;function duplicateChemicalProperties(oldMaterialId, newMaterialId) {
  var query = app.models.Propiedad_Quimica.newQuery();
  query.filters.Material_fk._equals = oldMaterialId;
  var existingRecords = query.run();
  var newRecords = [];
  for (var i = 0; i &amp;lt; existingRecords.length; i++) {
    var existingRecord = existingRecords[i];
    var newRecord = app.models.Propiedad_Quimica.newRecord();
    newRecord.Material_fk =  newMaterialId;
    newRecord.Fecha_Creacion = existingRecord.Fecha_Creacion;
    newRecord.Usuario_Creacion = existingRecord.Usuario_Creacion;
    ...
    newRecords.push(newRecord);
  }
  app.saveRecords(newRecords);
}
&lt;/code&gt;&lt;/pre&gt;
&lt;p&gt;Depending on the data flow the algorithm could be optimized with &lt;a href="https://developers.google.com/appmaker/scripting/api/server#Query" rel="nofollow noreferrer"&gt;prefetches&lt;/a&gt; and &lt;a href="https://developers.google.com/appmaker/scripting/api/server#ModelMetadata" rel="nofollow noreferrer"&gt;Models Metadata API&lt;/a&gt;&lt;/p&gt;
</t>
  </si>
  <si>
    <t xml:space="preserve">&lt;p&gt;Google's App Maker Setup Instruction seem to be inaccurate!
I am closely following the instructions found on &lt;a href="https://developers.google.com/appmaker/models/cloudsql" rel="nofollow noreferrer"&gt;https://developers.google.com/appmaker/models/cloudsql&lt;/a&gt;&lt;/p&gt;
&lt;p&gt;For: Create a custom Google Cloud SQL database for your app/
Second Generation&lt;/p&gt;
&lt;p&gt;&lt;a href="https://i.stack.imgur.com/WkZZW.png" rel="nofollow noreferrer"&gt;Step 6a is not valid&lt;/a&gt;&lt;/p&gt;
&lt;p&gt;&lt;a href="https://i.stack.imgur.com/w9Bs2.png" rel="nofollow noreferrer"&gt;There is No Database Found in the Settings&lt;/a&gt;&lt;/p&gt;
&lt;p&gt;Note I have followed all of the previous steps without issue.&lt;/p&gt;
&lt;p&gt;Does anyone know what I can do to follow those intructions listed on the url above if Step 6a appears to be incorrect?&lt;/p&gt;
&lt;p&gt;Note: This is my first ever post on stackoverflow, please be kind to my ignorance if obvious.&lt;/p&gt;
&lt;p&gt;Thanks!&lt;/p&gt;
</t>
  </si>
  <si>
    <t xml:space="preserve">&lt;p&gt;I can't unblock some apps on my Salesforce connected app admin. If you look at the app highlighed with yellow background on the page bottom. The unblock button is disabled. Why?&lt;/p&gt;
&lt;p&gt;&lt;a href="https://i.stack.imgur.com/IHaWW.jpg" rel="nofollow noreferrer"&gt;&lt;img src="https://i.stack.imgur.com/IHaWW.jpg" alt="enter image description here"&gt;&lt;/a&gt;&lt;/p&gt;
</t>
  </si>
  <si>
    <t xml:space="preserve">&lt;p&gt;I am adding ZohosalesIQ to the CookieBot Prior Consent widget on w WP install.&lt;/p&gt;
&lt;p&gt;This script given by zoho is &lt;/p&gt;
&lt;pre&gt;&lt;code&gt;&amp;lt;script type="text/javascript" data-cookieconsent="statistics"&amp;gt;
    var $zoho = [];
    var $zoho = $zoho || {};
    $zoho.salesiq = $zoho.salesiq || {
        widgetcode: "1c636a8a8d8e3410b7e579760898b7768f3cb213adb21970788a3891735df801800b6e4a1385c37b0f792b9ee54ce",
        values: {},
        ready: function() {}
    };
    var d = document;
    s = d.createElement("script");
    s.type = "text/javascript";
    s.id = "zsiqscript";
    s.defer = true;
    s.src = "https://salesiq.zoho.eu/widget";
    t = d.getElementsByTagName("script")[0];
    t.parentNode.insertBefore(s, t);
    d.write("&amp;lt;div id='zsiqwidget'&amp;gt;&amp;lt;/div&amp;gt;");
&amp;lt;/script&amp;gt;
&lt;/code&gt;&lt;/pre&gt;
&lt;p&gt;I am supposed to be adding &lt;code&gt;&amp;lt;script type="text/plain" data-cookieconsent="statistics"&amp;gt;
&lt;/code&gt;
to the script tag to enable prior consent on cookies created by this script however, when I add this it breaks and fails to load.  &lt;/p&gt;
&lt;p&gt;Console is empty but the page renders as a white page after pre-load.  When I add the code with the jaavscript type tag, it works fine.&lt;/p&gt;
&lt;p&gt;I've tried popping itto a call back function but no joy :(
Any pointers would be great.&lt;/p&gt;
</t>
  </si>
  <si>
    <t xml:space="preserve">&lt;p&gt;After eagerly waiting for appmaker its finally here! I immediately started diving into it and i love it.
I want to make a basic app to track the status of our chromebooks from a spreadsheet, which i think appmaker is quite a good option for.&lt;/p&gt;
&lt;p&gt;Well, i followed the database connection screen and got everything hooked up, but when i try to load it in via a widget is gives me a error when i run the app
I get the following error:&lt;/p&gt;
&lt;p&gt;E&lt;/p&gt;
&lt;p&gt;Fri Jun 15 12:40:08 GMT+200 2018&lt;/p&gt;
&lt;p&gt;The function queryRecords returned undefined, please make sure a value was explicitly returned. Error: The function queryRecords returned undefined, please make sure a value was explicitly returned.
E&lt;/p&gt;
&lt;p&gt;Fri Jun 15 12:40:08 GMT+200 2018&lt;/p&gt;
&lt;p&gt;Executing query for datasource InventorySheet: (Error) : The function queryRecords returned undefined, please make sure a value was explicitly returned.
E&lt;/p&gt;
&lt;p&gt;Fri Jun 15 12:40:08 GMT+200 2018&lt;/p&gt;
&lt;p&gt;Executing query for datasource InventorySheet failed.&lt;/p&gt;
&lt;p&gt;How do we fix this?&lt;/p&gt;
&lt;p&gt;Greetings,
Luuk&lt;/p&gt;
</t>
  </si>
  <si>
    <t xml:space="preserve">&lt;p&gt;Before I dive in too deep any guidelines on best practice for UI flows where the response is delayed from request? Ie, submit job, wait 10 - 45 seconds, get job response back? &lt;/p&gt;
&lt;p&gt;Job would be calling out to a REST endpoint, I'd love to have a UI update when job is done. &lt;/p&gt;
&lt;p&gt;With firebase for example you can surface job status asynchronously to let user know when report is ready. I see the binding to Cloud SQL, but not clear on how updates on Cloud SQL job record flow back to UI. &lt;/p&gt;
</t>
  </si>
  <si>
    <t xml:space="preserve">&lt;p&gt;I have a table binded to a datasource which is a production plan model. I have added a button on each row which sends the production plan item to the production when clicked. Note that I have two boolean fields which indicate whether the item is on plan or sent to production. The datasource which is connected to the table has this query builder expressions and only shows planned production lines: &lt;code&gt;planned = :true&lt;/code&gt;&lt;/p&gt;
&lt;p&gt;My button onClick event code is below:&lt;/p&gt;
&lt;pre class="lang-javascript prettyprint-override"&gt;&lt;code&gt;widget.datasource.item.planned = false;
widget.datasource.item.inProduction = true;
app.datasources.productionPlan.load();
&lt;/code&gt;&lt;/pre&gt;
&lt;p&gt;What I want to achieve is I want this button to send item to the production and reload datasource in  order to not include the item which is sent to the production. However, these code lines run asynchronously and I think that datasource reloads before boolean changes. Is there any way to make client scripts rows on onClick event of a button run in particular order?&lt;/p&gt;
</t>
  </si>
  <si>
    <t xml:space="preserve">&lt;p&gt;The most reliable way to handle it will be using &lt;a href="https://developers.google.com/appmaker/models/datasources#manual_save_mode" rel="nofollow noreferrer"&gt;Manual Save mode&lt;/a&gt; for the &lt;code&gt;productionPlan&lt;/code&gt; datasource:&lt;/p&gt;
&lt;pre class="lang-javascript prettyprint-override"&gt;&lt;code&gt;var ds = widget.datasource;
ds.item.planned = false;
ds.item.inProduction = true;
ds.saveChanges({
  success: function() {
    app.datasources.productionPlan.load();
  },
  failure: function(error) {
   // todo
  }
});
&lt;/code&gt;&lt;/pre&gt;
&lt;p&gt;You can also consider hiding the row immediately to make the app feel faster:&lt;/p&gt;
&lt;pre class="lang-javascript prettyprint-override"&gt;&lt;code&gt;widget.parent.visible = false;
&lt;/code&gt;&lt;/pre&gt;
</t>
  </si>
  <si>
    <t xml:space="preserve">&lt;p&gt;Curious if anyone has thoughts on building apps that include data from external users (not necessarily being able to log-in, but just submit forms).&lt;/p&gt;
&lt;p&gt;I can wire up something that has Google Forms moving data into Cloud SQL but it seems janky - would be great to be able to build pages that have anonymous data submit capabilities.&lt;/p&gt;
</t>
  </si>
  <si>
    <t xml:space="preserve">&lt;p&gt;Another possible alternative to Google Forms with some &lt;a href="https://developers.google.com/apps-script/reference/script/form-trigger-builder" rel="nofollow noreferrer"&gt;configured triggers&lt;/a&gt; will be public stand alone web app that will gather data from end users and push it to the same DB as App Maker deployment. However, this options seems to be way more labor intensive.&lt;/p&gt;
</t>
  </si>
  <si>
    <t xml:space="preserve">&lt;p&gt;I am trying to include a feature in my app that examines the values of a column in a user-uploaded Google sheet and verifies whether they are correct or not. If there are any incorrect values, a popup like Snackbar or Notification dialog will appear listing the incorrect values. If there are no incorrect values, no popup will appear. How do you display a popup with different values depending on the situation? Is there a way to display unique popups directly from the ServerScript without having to create separate pages? Thank you very much!&lt;/p&gt;
</t>
  </si>
  <si>
    <t xml:space="preserve">&lt;p&gt;You can do it either by direct interaction with Snackbar's children widgets or by binding them to &lt;a href="https://developers.google.com/appmaker/ui/binding#custom_properties" rel="nofollow noreferrer"&gt;Custom Properties&lt;/a&gt;:&lt;/p&gt;
&lt;pre class="lang-javascript prettyprint-override"&gt;&lt;code&gt;// option 1
app.popups.Snackbar.descendants.SnackbarText.text = message;
// option 2
app.popups.Snackbar.properties.Text = message;
app.popups.Snackbar.visible = true;
&lt;/code&gt;&lt;/pre&gt;
&lt;p&gt;You can see first option implementation sample here - &lt;a href="https://developers.google.com/appmaker/samples/jdbc/" rel="nofollow noreferrer"&gt;https://developers.google.com/appmaker/samples/jdbc/&lt;/a&gt;&lt;/p&gt;
</t>
  </si>
  <si>
    <t xml:space="preserve">&lt;p&gt;I have started to use &lt;strong&gt;Google App Maker&lt;/strong&gt; and would like to collaborate on an app with a colleague, however when I add a user via the share app button (top right) that user does not have the ability to edit, public or preview the project, they are just able to view the project&lt;/p&gt;
</t>
  </si>
  <si>
    <t xml:space="preserve">&lt;p&gt;&lt;strong&gt;Edit:&lt;/strong&gt; It seems the correct values are stored in &lt;code&gt;listWidget.children._values&lt;/code&gt; instead of just &lt;code&gt;listWidget.children&lt;/code&gt;.  It seems strange to me that the children would still contain those old row keys and null values though.&lt;/p&gt;
&lt;p&gt;I'm trying to create a list whose datasource is another datasource's item's relation.  For example: I have two tables, one storing roles and another storing permissions and I have a one to many relation between roles and permissions.  Both the &lt;code&gt;roles&lt;/code&gt; and &lt;code&gt;permissions&lt;/code&gt; tables have a &lt;code&gt;name&lt;/code&gt; property.&lt;/p&gt;
&lt;p&gt;I have a list with datasource &lt;code&gt;roles&lt;/code&gt; to select a role.  Each row has a button with the following code for the onClick event:&lt;/p&gt;
&lt;pre&gt;&lt;code&gt;app.datasources.roles.selectKey(widget.datasource.item._key);
app.showPage(app.pages.listView);
&lt;/code&gt;&lt;/pre&gt;
&lt;p&gt;I'm not sure if this is the best practice but it sets the current role item to the key stored in the &lt;code&gt;roles&lt;/code&gt; list's row's datasource key.&lt;/p&gt;
&lt;p&gt;The listView page has another list, this time having a datasource of &lt;code&gt;@datasources.roles.item.permissions&lt;/code&gt; to load rows from the current role's permissions.  I then have a simple label to output that permission's name.&lt;/p&gt;
&lt;p&gt;The permission list loads just fine the first time, with the list widget's children containing the correct rows but when you go back to the role selection page and click another role's button the widget seems to go to an invalid state with the children keys staying as the old rows and the values null.  I have an event on the row's onDataLoad to output the row widget and I can see that the new rows are being loaded and linked to the parent widget (the list itself) but if I go back to the children of that widget the values are still null.&lt;/p&gt;
&lt;p&gt;For example let's say I have two roles:&lt;/p&gt;
&lt;pre&gt;&lt;code&gt;key | name 
===========
1   | role1 
2   | role2
&lt;/code&gt;&lt;/pre&gt;
&lt;p&gt;and the following permissions:&lt;/p&gt;
&lt;pre&gt;&lt;code&gt;key | name  | role_fk
=====================
1   | perm1 | 1
2   | perm2 | 1
3   | perm3 | 2
&lt;/code&gt;&lt;/pre&gt;
&lt;p&gt;When I click the button to load role key &lt;code&gt;1&lt;/code&gt; and show it's permission list I get the correct list:&lt;/p&gt;
&lt;pre&gt;&lt;code&gt;Permission List:
================
perm1
perm2
&lt;/code&gt;&lt;/pre&gt;
&lt;p&gt;And when I check the list widget I also see the correct children: &lt;code&gt;"List1Row$0", "List1Row$1"&lt;/code&gt;.  However, once I go back and click to load role key &lt;code&gt;2&lt;/code&gt; I still have children &lt;code&gt;"List1Row$0", "List1Row$1"&lt;/code&gt;, their values are null, and the list shows:&lt;/p&gt;
&lt;pre&gt;&lt;code&gt;Permission List:
================
perm3
&lt;/code&gt;&lt;/pre&gt;
&lt;p&gt;I know the &lt;code&gt;perm3&lt;/code&gt; widget is being created as I have it print to console when it's attached.  One strange thing is that it's name is &lt;code&gt;"List1Row$2"&lt;/code&gt;, suggesting that the old row values were never cleared out.&lt;/p&gt;
&lt;p&gt;Anyone know how to fix this?  I can link a sample app which is as simple as I could make while still exposing the issue.  I'm not sure if you're able to use item relations as list datasources or if there's an issue with how I'm selecting my datasources, items, and bindings.&lt;/p&gt;
&lt;p&gt;Here is some additional output, the point where the list is detatched is where I go back and click to set the page item to the second item.&lt;/p&gt;
&lt;pre&gt;&lt;code&gt;Loaded row with name List1Row$0
Loaded row with name List1Row$1
Widget Child - Key: __gwt_instance Null? No
Widget Child - Key: _values Null? No
Widget Child - Key: List1Row$0 Null? No
Widget Child - Key: List1Row$1 Null? No
------- Detatching List -------
Loaded row with name List1Row$0
Loaded row with name List1Row$1
Loaded row with name List1Row$2
Widget Child - Key: __gwt_instance Null? No
Widget Child - Key: _values Null? No
Widget Child - Key: List1Row$0 Null? Yes
Widget Child - Key: List1Row$1 Null? Yes
&lt;/code&gt;&lt;/pre&gt;
&lt;p&gt;Thanks.&lt;/p&gt;
</t>
  </si>
  <si>
    <t xml:space="preserve">&lt;p&gt;I do not understand why when I am calling a ServerScript method from a ClientScript method, I am getting a value of undefined.&lt;/p&gt;
&lt;p&gt;ClientScript:&lt;/p&gt;
&lt;pre&gt;&lt;code&gt;    function clientScript() {
      var message;
      message = google.script.run.test();
      console.log("Message: " + message);
    }
&lt;/code&gt;&lt;/pre&gt;
&lt;p&gt;ServerScript:&lt;/p&gt;
&lt;pre&gt;&lt;code&gt;    function serverScript() {
       return "hello";
    }
&lt;/code&gt;&lt;/pre&gt;
&lt;p&gt;I expected the console to print: Message: hello. However, I am getting this printed to my console: Message: undefined. Why am I getting an undefined value in my ClientScript method when I am returning a defined value in my ServerScript method? Thank you!&lt;/p&gt;
</t>
  </si>
  <si>
    <t xml:space="preserve">&lt;p&gt;Because server calls are asynchronous. In order to handle server response you need to pass callback. Here is a snippet from &lt;a href="https://developers.google.com/apps-script/guides/html/reference/run#withsuccesshandlerfunction" rel="nofollow noreferrer"&gt;Apps Script docs&lt;/a&gt;:&lt;/p&gt;
&lt;pre class="lang-javascript prettyprint-override"&gt;&lt;code&gt;function onSuccess(numUnread) {
  console.log(numUnread);
}
google.script.run.withSuccessHandler(onSuccess)
    .getUnreadEmails();
&lt;/code&gt;&lt;/pre&gt;
&lt;p&gt;Just in case AMs docs interpretation of the same thing - &lt;a href="https://developers.google.com/appmaker/scripting/client#call_a_server_script" rel="nofollow noreferrer"&gt;https://developers.google.com/appmaker/scripting/client#call_a_server_script&lt;/a&gt;&lt;/p&gt;
</t>
  </si>
  <si>
    <t xml:space="preserve">&lt;p&gt;I am Trying to install &lt;a href="https://github.com/salesforce-ux/design-system" rel="nofollow noreferrer"&gt;https://github.com/salesforce-ux/design-system&lt;/a&gt;
and cant solve the NPM problems i get. 
I am new to node and all the stuff but whily triyn to fix the issu i am getting new ones after 5 hours of trying i wannt to ask you guys, maybe you have some idea. &lt;/p&gt;
&lt;p&gt;This are the last lines from the log file&lt;/p&gt;
&lt;pre&gt;&lt;code&gt;4461 warn optional SKIPPING OPTIONAL DEPENDENCY: fsevents@1.2.4     
(node_modules\fsevents):
4462 warn notsup SKIPPING OPTIONAL DEPENDENCY: Unsupported platform for 
fsevents@1.2.4: wanted {"os":"darwin","arch":"any"} (current: 
{"os":"win32","arch":"x64"})
4463 verbose notsup SKIPPING OPTIONAL DEPENDENCY: Valid OS:    darwin
4463 verbose notsup SKIPPING OPTIONAL DEPENDENCY: Valid Arch:  any
4463 verbose notsup SKIPPING OPTIONAL DEPENDENCY: Actual OS:   win32
4463 verbose notsup SKIPPING OPTIONAL DEPENDENCY: Actual Arch: x64
4464 warn optional SKIPPING OPTIONAL DEPENDENCY: fsevents@1.2.4 
(node_modules\watchpack\node_modules\fsevents):
4465 warn notsup SKIPPING OPTIONAL DEPENDENCY: Unsupported platform for 
fsevents@1.2.4: wanted {"os":"darwin","arch":"any"} (current: 
{"os":"win32","arch":"x64"})
4466 verbose notsup SKIPPING OPTIONAL DEPENDENCY: Valid OS:    darwin
4466 verbose notsup SKIPPING OPTIONAL DEPENDENCY: Valid Arch:  any
4466 verbose notsup SKIPPING OPTIONAL DEPENDENCY: Actual OS:   win32
4466 verbose notsup SKIPPING OPTIONAL DEPENDENCY: Actual Arch: x64
4467 warn optional SKIPPING OPTIONAL DEPENDENCY: fsevents@1.2.4 
(node_modules\sane\node_modules\fsevents):
4468 warn notsup SKIPPING OPTIONAL DEPENDENCY: Unsupported platform for 
fsevents@1.2.4: wanted {"os":"darwin","arch":"any"} (current: 
{"os":"win32","arch":"x64"})
4469   verbose notsup SKIPPING OPTIONAL DEPENDENCY: Valid OS:    darwin
4469 verbose notsup SKIPPING OPTIONAL DEPENDENCY: Valid Arch:  any
4469  verbose notsup SKIPPING OPTIONAL DEPENDENCY: Actual OS:   win32
4469 verbose notsup SKIPPING OPTIONAL DEPENDENCY: Actual Arch: x64
4470  warn optional SKIPPING OPTIONAL DEPENDENCY: fsevents@1.2.4 
(node_modules\glob-watcher\node_modules\fsevents):
4471 warn notsup SKIPPING OPTIONAL DEPENDENCY: Unsupported platform for 
fsevents@1.2.4: wanted {"os":"darwin","arch":"any"} (current: 
{"os":"win32","arch":"x64"})
4472 verbose notsup SKIPPING OPTIONAL DEPENDENCY: Valid OS:    darwin
4472 verbose notsup SKIPPING OPTIONAL DEPENDENCY: Valid Arch:  any
4472 verbose notsup SKIPPING OPTIONAL DEPENDENCY: Actual OS:   win32
4472 verbose notsup SKIPPING OPTIONAL DEPENDENCY: Actual Arch: x64
4473 warn optional SKIPPING OPTIONAL DEPENDENCY: fsevents@1.2.4 
(node_modules\chokidar\node_modules\fsevents):
4474 warn notsup SKIPPING OPTIONAL DEPENDENCY: Unsupported platform for fsevents@1.2.4: wanted {"os":"darwin","arch":"any"} (current: {"os":"win32","arch":"x64"})
4475 verbose notsup SKIPPING OPTIONAL DEPENDENCY: Valid OS:    darwin
4475 verbose notsup SKIPPING OPTIONAL DEPENDENCY: Valid Arch:  any
4475 verbose notsup SKIPPING OPTIONAL DEPENDENCY: Actual OS:   win32
4475 verbose notsup SKIPPING OPTIONAL DEPENDENCY: Actual Arch: x64
4476 verbose stack Error: node-sass@4.5.2 postinstall: `node scripts/build.js`
4476 verbose stack Exit status 1
4476 verbose stack     at EventEmitter.&amp;lt;anonymous&amp;gt; (C:\Users\ASOL.Projects\AppData\Roaming\npm\node_modules\npm\node_modules\npm-lifecycle\index.js:304:16)
4476 verbose stack     at emitTwo (events.js:126:13)
4476 verbose stack     at EventEmitter.emit (events.js:214:7)
4476 verbose stack     at ChildProcess.&amp;lt;anonymous&amp;gt; (C:\Users\ASOL.Projects\AppData\Roaming\npm\node_modules\npm\node_modules\npm-lifecycle\lib\spawn.js:55:14)
4476 verbose stack     at emitTwo (events.js:126:13)
4476 verbose stack     at ChildProcess.emit (events.js:214:7)
4476 verbose stack     at maybeClose (internal/child_process.js:925:16)
4476 verbose stack     at Process.ChildProcess._handle.onexit (internal/child_process.js:209:5)
4477 verbose pkgid node-sass@4.5.2
4478 verbose cwd C:\xampp\htdocs\salesforge
4479 verbose Windows_NT 6.3.9600
4480 verbose argv "C:\\Program Files\\nodejs\\node.exe" "C:\\Users\\ASOL.Projects\\AppData\\Roaming\\npm\\node_modules\\npm\\bin\\npm-cli.js" "install"
4481 verbose node v8.10.0
4482 verbose npm  v6.1.0
4483 error code ELIFECYCLE
4484 error errno 1
4485 error node-sass@4.5.2 postinstall: `node scripts/build.js`
4485 error Exit status 1
4486 error Failed at the node-sass@4.5.2 postinstall script.
4486 error This is probably not a problem with npm. There is likely additional logging output above.
4487 verbose exit [ 1, true ]
&lt;/code&gt;&lt;/pre&gt;
&lt;p&gt;Does it have somthing to do with gyp?&lt;/p&gt;
</t>
  </si>
  <si>
    <t xml:space="preserve">&lt;p&gt;I would like to generate an app with app maker that wiil be available as a saas product for any internet user. Is that possible?&lt;/p&gt;
&lt;p&gt;Sharon&lt;/p&gt;
</t>
  </si>
  <si>
    <t xml:space="preserve">&lt;p&gt;In my Google App Maker application, I am trying to convert a large, user-uploaded Excel CSV file to Google Sheet. I have previously used these lines of code to convert smaller-size, user-uploaded Excel CSV files to Google Sheets: &lt;/p&gt;
&lt;pre&gt;&lt;code&gt;     var xlsxBlob = DriveApp.getFileById(xlsxFileID).getBlob();
     var file = {
     };
     file = Drive.Files.update(file, ssFileID, xlsxBlob, {
       convert: true
     });
&lt;/code&gt;&lt;/pre&gt;
&lt;p&gt;When I try uploading a large Excel CSV file, I get this error:&lt;/p&gt;
&lt;pre&gt;&lt;code&gt;     Exception: File NAME.csv exceeds the maximum file size
&lt;/code&gt;&lt;/pre&gt;
&lt;p&gt;My Excel CSV file is 56.5 MB. Is there any way to convert a large Excel CSV file to Google Sheet? I tried following this website: &lt;a href="https://www.geek.com/apps/geek-101-how-to-open-a-csv-document-with-google-docs-1551489/" rel="nofollow noreferrer"&gt;https://www.geek.com/apps/geek-101-how-to-open-a-csv-document-with-google-docs-1551489/&lt;/a&gt; which converts a CSV file to Google Sheet immediately upon upload. However, I get an error: Upload failed. Thank you very much!&lt;/p&gt;
</t>
  </si>
  <si>
    <t xml:space="preserve">&lt;p&gt;You probably have to break your csv into smaller chunks. Also, if the number of fields in the csv file is in excess of 2 million cells then you have another problem on your hands since a google sheet's max cell count is 2 million.&lt;/p&gt;
&lt;p&gt;Google Sheets are not designed to handle large databases so you may have to look into using an alternative solution; if you plan on keeping your dev stack under Google's Cloud platform you can try Big Query, Cloud SQL, Cloud Datastore or Cloud Firestore. &lt;/p&gt;
</t>
  </si>
  <si>
    <t xml:space="preserve">&lt;p&gt;I want to insert data in zoho crm using api v2. first make an array then i encoded json .Request url &lt;strong&gt;&lt;a href="https://www.zohoapis.com/crm/v2/Contacts" rel="nofollow noreferrer"&gt;https://www.zohoapis.com/crm/v2/Contacts&lt;/a&gt;&lt;/strong&gt;. 
But i got this error.&lt;/p&gt;
&lt;p&gt;&lt;strong&gt;Code:&lt;/strong&gt;&lt;/p&gt;
&lt;pre&gt;&lt;code&gt;$authtoken = ***********;
$fields={"data":["{\"Last_Name\":\"Test John insert\",\"Email\":\"testjhon@jhon.com\"}"]};
$zoho_url = "https://www.zohoapis.com/crm/v2/Contacts";
&lt;/code&gt;&lt;/pre&gt;
&lt;p&gt;&lt;strong&gt;Error:&lt;/strong&gt;&lt;/p&gt;
&lt;pre&gt;&lt;code&gt;{"data":[{"code":"INVALID_DATA","details":{"expected_data_type":"jsonobject","index":0},"message":"invalid data","status":"error"}]}
&lt;/code&gt;&lt;/pre&gt;
</t>
  </si>
  <si>
    <t xml:space="preserve">&lt;p&gt;I've customized Document Management System template in Appmaker as per my needs. Now instead of going to Appmaker every time to initiate an approval I want to provide functionality to initiate the workflow from Google Drive.So users can select file for Approval directly from Google Drive.&lt;/p&gt;
&lt;p&gt;My question is is there any Rest call or something via which I can initiate DMS workflow from Third party app?&lt;/p&gt;
</t>
  </si>
  <si>
    <t xml:space="preserve">&lt;p&gt;I'm using Zoho mail with my domain name. I also use an SMTP service with my domain name to send newsletters. &lt;/p&gt;
&lt;p&gt;In order for Zoho to work properly I am required to add an spf record to my domain DNS. The SMTP service also requires my to add spf record. &lt;/p&gt;
&lt;p&gt;My question is can I add multiple spf record to a domain name? If not is it possible to somehow combine the two? &lt;/p&gt;
&lt;p&gt;These are the recorde I need to use:&lt;/p&gt;
&lt;pre&gt;&lt;code&gt;v=spf1 include:zoho.com ~all
v=spf1 mx a ip4:91.82.206.0/24 ip4:91.83.103.0/24 ~all
&lt;/code&gt;&lt;/pre&gt;
&lt;p&gt;Any help is appreciated.&lt;/p&gt;
</t>
  </si>
  <si>
    <t xml:space="preserve">&lt;p&gt;You can't have two, but you can combine them, like this:&lt;/p&gt;
&lt;pre&gt;&lt;code&gt;v=spf1 ip4:91.82.206.0/24 ip4:91.83.103.0/24 mx a include:zoho.com ~all
&lt;/code&gt;&lt;/pre&gt;
&lt;p&gt;It's best practice to put literal IPs first as they are the fastest for receivers to check.&lt;/p&gt;
</t>
  </si>
  <si>
    <t xml:space="preserve">&lt;p&gt;In a handful of circumstances, I'd like to allow the Current User to be able view a list of records filtered by Owners of each record that are Direct Reports that they manage or even by the Manager they report to via our global directory.&lt;/p&gt;
&lt;p&gt;I'm comfortable making a new Datasource for CurrentUser in a Directory model. However, I'm tripping over myself trying to find the best way to match an Ownership (email) field from a record, with an array of the direct reports associated with the current user.&lt;/p&gt;
&lt;p&gt;A specific example would be on the Travel Approval template. The table on the Dashboard page has a filter for "My Requests | All" and I'd love to add a third option for "Direct Report Requests".&lt;/p&gt;
&lt;p&gt;My assumption is that I would adjust the onClick event to filter results accordingly:&lt;/p&gt;
&lt;pre&gt;&lt;code&gt;widget.datasource.query.pageIndex = 1;
widget.datasource.query.filters.Owner._equals = app.user.email;
widget.datasource.query.filters.Owner._in = null;
widget.datasource.load();
updateUrlForDashboard();
&lt;/code&gt;&lt;/pre&gt;
&lt;p&gt;That's one small example, but more importantly, I'd like to get a better understanding of how best to reference/store those additional relationships about the Current User.&lt;/p&gt;
&lt;p&gt;Ideally, a current user is able to have greater ability to manage (approve/deny/comment on) resources tied to their Direct Reports and generate records that provide a similar level of control to the Users that Manage them.&lt;/p&gt;
&lt;p&gt;I'm not sure if that's best handle by some use of Roles or another approach. Any advice on how best to plan out that kind of setup would be much appreciated.&lt;/p&gt;
</t>
  </si>
  <si>
    <t xml:space="preserve">&lt;p&gt;I have two datasets:&lt;/p&gt;
&lt;ol&gt;
&lt;li&gt;&lt;strong&gt;Dataset 1&lt;/strong&gt; - Records the details of a store visit. Merchandiser name, location, date &amp;amp; a relation to SKU (Dataset 2)&lt;/li&gt;
&lt;li&gt;&lt;strong&gt;Dataset 2&lt;/strong&gt; - This is the SKU data, where the stock levels for each sku are input as a new record, each associated to a visit from Dataset 1.&lt;/li&gt;
&lt;/ol&gt;
&lt;p&gt;I have two issues:&lt;/p&gt;
&lt;ol&gt;
&lt;li&gt;&lt;p&gt;I want to combine this data into a single table. I want to show each SKU record, with additional columns for the visit information (such as the location &amp;amp; date). How do I do this.&lt;/p&gt;&lt;/li&gt;
&lt;li&gt;&lt;p&gt;How do I combine this data for use elsewhere, such as google data studio. Essentially I want to be able to see an SKU's stock-level's history, or the date it was last updated.&lt;/p&gt;&lt;/li&gt;
&lt;/ol&gt;
</t>
  </si>
  <si>
    <t xml:space="preserve">&lt;h3&gt;Is there a graceful way to handle permission failures?&lt;/h3&gt;
&lt;p&gt;If a user attempts to access an API endpoint or a link that they don't have access for, Appmaker currently just fails silently. &lt;/p&gt;
&lt;p&gt;Is there an event that can be handled in the application and used to show a snackbar or other piece of UI that will tell the user that they don't have permission?&lt;/p&gt;
&lt;h3&gt;Can you query permissions directly from the user?&lt;/h3&gt;
&lt;p&gt;In a separate but related question I'd also like to know whether you can query the permissions directly and use an &lt;code&gt;if&lt;/code&gt; statement to determine whether the user should even see certain pieces of UI or links. &lt;/p&gt;
</t>
  </si>
  <si>
    <t xml:space="preserve">&lt;p&gt;I want to apply #formatNumber binding expression on one of my widgets binding, which is: &lt;/p&gt;
&lt;pre&gt;&lt;code&gt;    @datasource.item.quantity * @datasource.item.price
&lt;/code&gt;&lt;/pre&gt;
&lt;p&gt;I have tried to apply some usage like: &lt;/p&gt;
&lt;pre&gt;&lt;code&gt;    (@datasource.item.quantity * @datasource.item.price)#formatNumber
     [@datasource.item.quantity * @datasource.item.price]#formatNumber
&lt;/code&gt;&lt;/pre&gt;
&lt;p&gt;Is there any way to do it?&lt;/p&gt;
</t>
  </si>
  <si>
    <t xml:space="preserve">&lt;p&gt;The travel approval template from Google should give you what you need. As you can see in the template, it uses a client script in the binding expression to format dates on the dashboard into ISO format.&lt;/p&gt;
</t>
  </si>
  <si>
    <t xml:space="preserve">&lt;p&gt;I have referenced this solution: &lt;a href="https://stackoverflow.com/q/42069003/9878092"&gt;blob.getDataAsString() Size Limit in Google Apps Script?&lt;/a&gt;, but I am still unsure about what is specifically causing my error, "File NAME.csv exceeds the maximum file size". In my Google App Maker application, the user uploads an Excel CSV file that is 56.5 MB, and I am curious about whether getBlob() or getDataAsString() has a maximum file size of 50 MB. Thank you very much.&lt;/p&gt;
</t>
  </si>
  <si>
    <t xml:space="preserve">&lt;p&gt;I'm creating Lightning Component that displays Classic version of the Current URL record page with a button that onclick copy to the clipboard that URL. &lt;/p&gt;
&lt;p&gt;Just a simple functionality that saves time for Lightning Users, when they need to send a URL of the record to non-Lightning users.&lt;/p&gt;
&lt;p&gt;Cmp:&lt;/p&gt;
&lt;pre&gt;&lt;code&gt;&amp;lt;lightning:button class="slds-align_right slds-button slds-button_neutral" iconName="utility:copy_to_clipboard" variant="border-filled" label="Copy" onclick="{! c.copyClassic }"/&amp;gt;
&amp;lt;textarea readonly="true" id="urlClassic"&amp;gt;https://name.my.salesforce.com/{!v.recordId}&amp;lt;/textarea&amp;gt;
&lt;/code&gt;&lt;/pre&gt;
&lt;p&gt;Controller:&lt;/p&gt;
&lt;pre&gt;&lt;code&gt;({
copyClassic : function(cmp, event){
  var urlClassic = document.getElementById('urlClassic');
  urlClassic.select();
    document.queryCommandSupported('copy');
    document.execCommand('copy');
    var source = event.getSource();
    source.set('v.label', 'COPIED!');
    setTimeout(function(){
        source.set('v.label', 'Copy');
    }, 2000);
} })
&lt;/code&gt;&lt;/pre&gt;
&lt;p&gt;It is working on first copied page, but if I open in the same window new record, Textarea displays new URL (with the new record page) and button changed to 'COPIED!' but it's not selecting and copying new URL. &lt;/p&gt;
&lt;p&gt;Does anyone has similar issue or idea to solve this problem?&lt;/p&gt;
</t>
  </si>
  <si>
    <t xml:space="preserve">&lt;p&gt;I am building a Google App Maker application that takes a user-uploaded Excel CSV spreadsheet file as input. I have thought of multiple, possible solutions to reading the data from this file, but I have encountered this error: "Exception: FILENAME.csv exceeds the maximum file size" each time. I have tried extracting the data via parseCSV() to Google Cloud SQL, reading in as one string via .getBlob().getDataAsString() and splitting it by "\n," and writing all the data to Google Docs and trying to read it from there. However, all of these methods have resulted in the same error. &lt;/p&gt;
&lt;p&gt;Is there any workaround solution to solving this maximum file size problem? &lt;/p&gt;
&lt;p&gt;I have thought of splitting the file into smaller CSV files, but I am unsure of how to do this.&lt;/p&gt;
</t>
  </si>
  <si>
    <t xml:space="preserve">&lt;p&gt;You want to convert the large CSV file to the split Spreadsheet. If my understanding is correct, how about this workaround?&lt;/p&gt;
&lt;h2&gt;Issues and workarounds for this situation :&lt;/h2&gt;
&lt;ol&gt;
&lt;li&gt;&lt;p&gt;When such large CSV file is converted to Spreadsheet, it cannot directly convert to Spreadsheet, because of both the total number of cells and the size of file. And also when the large file is tried to split, it cannot do it because the blob which can be used at GAS is less than 50 MB (52,428,800 bytes).&lt;/p&gt;
&lt;ul&gt;
&lt;li&gt;In order to split such large file, it uses &lt;a href="https://developers.google.com/drive/api/v3/manage-downloads#partial_download" rel="nofollow noreferrer"&gt;"Partial download"&lt;/a&gt; of files.get in Drive API.&lt;/li&gt;
&lt;/ul&gt;&lt;/li&gt;
&lt;li&gt;&lt;p&gt;In my environment, when a CSV file with the size of 100 MB is used for this sample script, when the file is split by 10 MB, about 65 seconds was required to convert a chunk to Spreadsheet. In this case, when the CSV file is completely converted, it is considered that it will be over the limitation time (6 min) for executing GAS.&lt;/p&gt;
&lt;ul&gt;
&lt;li&gt;In order to avoid this, it is required to implement the resumable conversion from the large CSV-file to several spreadsheets.&lt;/li&gt;
&lt;/ul&gt;&lt;/li&gt;
&lt;/ol&gt;
&lt;h2&gt;Prepare :&lt;/h2&gt;
&lt;p&gt;In order to use this sample script, please enable Drive API at Advanced Google Services and API console.&lt;/p&gt;
&lt;h3&gt;Enable Drive API v2 at Advanced Google Services&lt;/h3&gt;
&lt;ul&gt;
&lt;li&gt;On script editor
&lt;ul&gt;
&lt;li&gt;Resources -&gt; Advanced Google Services&lt;/li&gt;
&lt;li&gt;Turn on Drive API v2&lt;/li&gt;
&lt;/ul&gt;&lt;/li&gt;
&lt;/ul&gt;
&lt;h3&gt;&lt;a href="https://console.cloud.google.com/apis/library/drive.googleapis.com/" rel="nofollow noreferrer"&gt;Enable Drive API at API console&lt;/a&gt;&lt;/h3&gt;
&lt;ul&gt;
&lt;li&gt;On script editor
&lt;ul&gt;
&lt;li&gt;Resources -&gt; Cloud Platform project&lt;/li&gt;
&lt;li&gt;View API console&lt;/li&gt;
&lt;li&gt;At Getting started, click Enable APIs and get credentials like keys.&lt;/li&gt;
&lt;li&gt;At left side, click Library.&lt;/li&gt;
&lt;li&gt;At Search for APIs &amp;amp; services, input "Drive". And click Drive API.&lt;/li&gt;
&lt;li&gt;Click Enable button.&lt;/li&gt;
&lt;li&gt;If API has already been enabled, please don't turn off.&lt;/li&gt;
&lt;/ul&gt;&lt;/li&gt;
&lt;/ul&gt;
&lt;h2&gt;Sample script :&lt;/h2&gt;
&lt;pre&gt;&lt;code&gt;function createSplitSpreadsheet(obj) {
  var accessToken = ScriptApp.getOAuthToken();
  var baseUrl = "https://www.googleapis.com/drive/v3/files/";
  // Retrieve file size.
  var url1 = baseUrl + obj.fileId + "?fields=size";
  var params1 = {
    method: "get",
    headers: {Authorization: "Bearer " + accessToken},
  };
  var fileSize = Number(JSON.parse(UrlFetchApp.fetch(url1, {headers: {Authorization: "Bearer " + accessToken}}).getContentText()).size);
  // Calculate number of output files.
  if (obj.files == null) {
    obj.number = 1;
    obj.start = 0;
  }
  var start = obj.start;
  var end = start + obj.chunk;
  var useFileSize = fileSize - start;
  f = Math.floor(useFileSize / obj.chunk);
  f = useFileSize % obj.chunk &amp;gt; 0 ? f + 1 : f;
  if (f &amp;lt; obj.files || obj.files == null) {
    obj.files = f;
  }
  // Split large file by chunk size (bytes).
  var url2 = baseUrl + obj.fileId + "?alt=media";
  var i;
  for (i = 0; i &amp;lt; obj.files; i++) {
    var params = {
      method: "get",
      headers: {
        Authorization: "Bearer " + accessToken,
        Range: "bytes=" + start + "-" + end,
      },
    };
    var res = UrlFetchApp.fetch(url2, params).getContentText();
    var e = res.lastIndexOf("\n");
    start += e + 1;
    end = start + obj.chunk;
    Drive.Files.insert(
      {mimeType: MimeType.GOOGLE_SHEETS, title: obj.fileName + (i + obj.number)},
      Utilities.newBlob(res.substr(0, e), MimeType.CSV)
    );
  }
  // Return next start value if there is a next chunk for the resume.
  if (start &amp;lt; fileSize) {
    return {nextStart: start, nextNumber: i + obj.number};
  } else {
    return null;
  }
}
// Please run this function.
function main() {
    var obj = {
        fileId: "#####", // File ID of the large CSV file.
        chunk: 10485760, // 10MB Please modify this for your situation.
        files: 3, // Please input the number of files you want to convert.
        start: 0,
        fileName: "sample",
        number: 1, // Counter of output files. Please input this as a next number.
    };
    var nextStart = createSplitSpreadsheet(obj);
    Logger.log(nextStart);
}
&lt;/code&gt;&lt;/pre&gt;
&lt;h2&gt;Usage :&lt;/h2&gt;
&lt;p&gt;When you use this, please modify &lt;code&gt;obj&lt;/code&gt; in &lt;code&gt;main()&lt;/code&gt; for your situation, and run &lt;code&gt;main()&lt;/code&gt;. A sample case is as follows.&lt;/p&gt;
&lt;p&gt;It supposes as follows.&lt;/p&gt;
&lt;ul&gt;
&lt;li&gt;You want to convert the CSV file with the size of 100 MB to 10 spreadsheets.&lt;/li&gt;
&lt;li&gt;Size of one chunk is 10 MB.&lt;/li&gt;
&lt;li&gt;CSV file is processed by every 3.&lt;/li&gt;
&lt;/ul&gt;
&lt;p&gt;In this sample case, each &lt;code&gt;obj&lt;/code&gt; is as follows. Please input each &lt;code&gt;obj&lt;/code&gt; at each run.&lt;/p&gt;
&lt;ol&gt;
&lt;li&gt;&lt;code&gt;var obj = {fileId: "#####", chunk: 10485760, files: 3, start: 0, fileName: "sample", number: 1}&lt;/code&gt;
&lt;ul&gt;
&lt;li&gt;&lt;code&gt;{"nextStart": ### nextStart2 ###, "nextNumber": 4}&lt;/code&gt; is returned from &lt;code&gt;createSplitSpreadsheet()&lt;/code&gt;.&lt;/li&gt;
&lt;/ul&gt;&lt;/li&gt;
&lt;li&gt;&lt;code&gt;var obj = {fileId: "#####", chunk: 10485760, files: 3, start: ### nextStart2 ###, fileName: "sample", number: 4}&lt;/code&gt;
&lt;ul&gt;
&lt;li&gt;&lt;code&gt;{"nextStart": ### nextStart3 ###, "nextNumber": 7}&lt;/code&gt; is returned from &lt;code&gt;createSplitSpreadsheet()&lt;/code&gt;.&lt;/li&gt;
&lt;/ul&gt;&lt;/li&gt;
&lt;li&gt;&lt;code&gt;var obj = {fileId: "#####", chunk: 10485760, files: 3, start: ### nextStart3 ###, fileName: "sample", number: 7}&lt;/code&gt;
&lt;ul&gt;
&lt;li&gt;&lt;code&gt;{"nextStart": ### nextStart4 ###, "nextNumber": 10}&lt;/code&gt; is returned from &lt;code&gt;createSplitSpreadsheet()&lt;/code&gt;.&lt;/li&gt;
&lt;/ul&gt;&lt;/li&gt;
&lt;li&gt;&lt;code&gt;var obj = {fileId: "#####", chunk: 10485760, files: 3, start: ### nextStart4 ###, fileName: "sample", number: 10}&lt;/code&gt;
&lt;ul&gt;
&lt;li&gt;&lt;code&gt;null&lt;/code&gt; is returned from &lt;code&gt;createSplitSpreadsheet()&lt;/code&gt;.&lt;/li&gt;
&lt;/ul&gt;&lt;/li&gt;
&lt;/ol&gt;
&lt;p&gt;By this flow, 10 spreadsheets are created from the CSV file with the size of 100 MB.&lt;/p&gt;
&lt;p&gt;If &lt;code&gt;null&lt;/code&gt; is used for &lt;code&gt;files&lt;/code&gt; in &lt;code&gt;obj&lt;/code&gt;, &lt;code&gt;files&lt;/code&gt; is automatically calculated. But in this case, the limitation time for executing GAS may be over. Please be careful this.&lt;/p&gt;
&lt;h3&gt;References :&lt;/h3&gt;
&lt;ul&gt;
&lt;li&gt;&lt;a href="https://developers.google.com/drive/api/v3/manage-downloads#partial_download" rel="nofollow noreferrer"&gt;Partial download&lt;/a&gt;&lt;/li&gt;
&lt;li&gt;&lt;a href="https://developers.google.com/apps-script/guides/services/advanced" rel="nofollow noreferrer"&gt;Advanced Google Services&lt;/a&gt;&lt;/li&gt;
&lt;li&gt;&lt;a href="https://developers.google.com/drive/v2/reference/" rel="nofollow noreferrer"&gt;Drive API&lt;/a&gt;&lt;/li&gt;
&lt;/ul&gt;
&lt;p&gt;If this was not what you want, I'm sorry.&lt;/p&gt;
</t>
  </si>
  <si>
    <t xml:space="preserve">&lt;p&gt;I am building an application in Google App Maker that takes in a user-input Excel CSV file with 3 columns and 370,573 rows, so in total 1,111,719 data values. I am trying to efficiently input this data into a MySQL database by sending Batch Requests. However, I am unsure of how to properly optimize this process to minimize the amount of time it takes.
This is how I am currently completing the process: &lt;/p&gt;
&lt;pre&gt;&lt;code&gt;var file = DriveApp.getFileById(fileID);
var data = Utilities.parseCsv(file.getBlob().getDataAsString());
var stmt = conn.prepareStatement('INSERT INTO report '
   + '(createdDate, accountFullID, lsid) values (?, ?, ?)');
for(var i = 1; i &amp;lt; **data.length**; i++) {
   stmt.setString(1, data[i][0]);
   stmt.setString(2, data[i][1]);
   stmt.setString(3, data[i][2]); 
   stmt.addBatch();
}
var batch = stmt.executeBatch();
conn.commit();
conn.close();
&lt;/code&gt;&lt;/pre&gt;
&lt;p&gt;When testing my code, it took upwards of 3 minutes to complete when I set the for-loop to iterate until variable i was less than 500. When I set the value to a small number like 5, it took several seconds to complete. When I set the value to data.length (as it is currently set to in bold), it never completed and timed out with a deadlock exception. How should I edit my code in order to more efficiently execute batches and reduce the total amount of time it takes when inputting all the data entries from the Excel CSV file, not only a small portion of the spreadsheet? &lt;/p&gt;
</t>
  </si>
  <si>
    <t xml:space="preserve">&lt;p&gt;I've been reading through all of the AppMaker documentation on security but there's one part that I can't wrap my head around which is how you limit access to only subsets of records. &lt;/p&gt;
&lt;p&gt;Let's say I'm the &lt;strong&gt;Manager&lt;/strong&gt; of a company and I want access to see &lt;strong&gt;Contract&lt;/strong&gt; records for each &lt;strong&gt;Employee&lt;/strong&gt; that I manage. I should have access to the &lt;strong&gt;Contract&lt;/strong&gt; records that correspond to people I manage but not to those in other teams. I do need to have access to some contacts but not to all of them.&lt;/p&gt;
&lt;p&gt;I can't seem to see how to do this in the interface. I had expected that it might be the case of creating a new Datasource which was filtered to only include the relevant records and setting access permissions on the new  Datasource but Datasources don't seem to have any permissions assignable to them. &lt;/p&gt;
&lt;p&gt;Is it possible to create access controls that limit access to subsets of data (from the server) or do you have to rely on hiding it in the client?&lt;/p&gt;
</t>
  </si>
  <si>
    <t xml:space="preserve">&lt;p&gt;I'm an IT-guy at a school and I try to make some apps for them.
I'm struggling with this problem:&lt;/p&gt;
&lt;p&gt;I have two datasources:&lt;/p&gt;
&lt;ul&gt;
&lt;li&gt;one with all the students&lt;/li&gt;
&lt;li&gt;one with a list of educational needs&lt;/li&gt;
&lt;/ul&gt;
&lt;p&gt;There is a relation between these two.&lt;/p&gt;
&lt;p&gt;I made a page where I can select the educational needs for every student.&lt;/p&gt;
&lt;ul&gt;
&lt;li&gt;So &lt;code&gt;student1&lt;/code&gt; has edu &lt;code&gt;need 1&lt;/code&gt; and edu &lt;code&gt;need 3&lt;/code&gt;&lt;/li&gt;
&lt;li&gt;&lt;code&gt;Student2&lt;/code&gt; has edu &lt;code&gt;need 2&lt;/code&gt; and edu &lt;code&gt;need 3&lt;/code&gt;&lt;/li&gt;
&lt;/ul&gt;
&lt;p&gt;The next step is to get a table like this:&lt;/p&gt;
&lt;pre&gt;&lt;code&gt;educational need     student1     student 2
need 1                  x
need 2                               x
need 3                  x            x
&lt;/code&gt;&lt;/pre&gt;
&lt;p&gt;Someone? It would be a great help!&lt;/p&gt;
</t>
  </si>
  <si>
    <t xml:space="preserve">&lt;p&gt;Seems like the new version of CDS boolean is missing. Is this an error or what is recommended to use with the toggle control in PowerApps?&lt;/p&gt;
&lt;p&gt;&lt;a href="https://i.stack.imgur.com/JLB9I.png" rel="nofollow noreferrer"&gt;&lt;img src="https://i.stack.imgur.com/JLB9I.png" alt="enter image description here"&gt;&lt;/a&gt;&lt;/p&gt;
</t>
  </si>
  <si>
    <t xml:space="preserve">&lt;p&gt;You can use the "Two options" data type, and it will be represented as a toggle control in PowerApps.&lt;/p&gt;
&lt;p&gt;&lt;a href="https://i.stack.imgur.com/h5Vz4.png" rel="nofollow noreferrer"&gt;&lt;img src="https://i.stack.imgur.com/h5Vz4.png" alt="enter image description here"&gt;&lt;/a&gt;&lt;/p&gt;
</t>
  </si>
  <si>
    <t xml:space="preserve">&lt;p&gt;I'm using &lt;code&gt;Outsystem&lt;/code&gt; and my goal is to export a Word 2007 file (&lt;code&gt;.doc&lt;/code&gt; file), filled starting from the Word template (&lt;code&gt;version 2007. doc file&lt;/code&gt;) with the parameters entered by the user, but I'm incurring in the following error:&lt;/p&gt;
&lt;blockquote&gt;
  &lt;p&gt;Wrong Local header signature: 0xE011CFD0&lt;/p&gt;
&lt;/blockquote&gt;
&lt;p&gt;If instead a &lt;code&gt;.docx&lt;/code&gt; file is used as template, no problem is shown.&lt;/p&gt;
&lt;p&gt;What should I do? &lt;/p&gt;
</t>
  </si>
  <si>
    <t xml:space="preserve">&lt;p&gt;I am trying to implement offline featues like Outlook. If offline it should place values from EditForm1 to an local collection (Outbox). Is it possible to Submit editform to different sources dependant on the Connection.Connected variable? I would then create a timer that Submits its back when connected each x seconds.&lt;/p&gt;
</t>
  </si>
  <si>
    <t xml:space="preserve">&lt;p&gt;If I understand correctly, you would like to save what's currently in EditForm1 to a local collection and upon receiving internet connection again, you'd like to submit the form again.&lt;/p&gt;
&lt;p&gt;You'll want to use a condition to save data that's currently in the form if you're connected to the internet otherwise collect it into a temporary collection.&lt;/p&gt;
&lt;pre&gt;&lt;code&gt;If(ToggleIsConnected.Value,
    //If you are connected to the internet, then write the data to the database.
    SubmitForm(Form1),
    //If you are NOT connected to the internet, then write the data to a temporary collection to be written later.
    Collect(temporary,
        {id: Max(temporary,id)+1,
            column1: InputColumn1.Text,
            column2: InputColumn2.Text
        }
    );
    SaveData(temporary,"temporary")
)
&lt;/code&gt;&lt;/pre&gt;
&lt;p&gt;You can use a Toggle to check the internet connectivity. In the event that you had lost connection, saved data locally, and regained connectivity, the toggle will trigger on and perform the OnCheck actions automatically:&lt;/p&gt;
&lt;pre&gt;&lt;code&gt;If(!IsEmpty(temporary),
    // If the connection returns and there are records to be written, 
    // then perform these actions:
    ForAll(temporary,
        // For each of the records in the temporary collection, 
        // save their data to a new row in the connected datasource.
        // If writing was successful, copy it to a collection called 'success' 
        // to identify it.
        Collect(success,
            {id: id,
                Record:                     
                    Patch(datasource,Defaults(datasource),
                        {column1: column1,
                            column2: column2
                        }
                    )
            }
        )
    );
    If(IsEmpty(Errors(datasource)),
        // If there are no errors with the datasource, 
        // go ahead and clear the entire temporary collection since you're writing.
        Clear(temporary),
        // Otherwise if there is an error, remove only the records that were successful. 
        // Then clear the successful records.
        // Keep records that had an error so they could be attempted later.
        Remove(temporary,Filter(temporary,id exactin Filter(success,!IsBlank(Record)).id));
        Clear(success)
    )
)
&lt;/code&gt;&lt;/pre&gt;
&lt;p&gt;Note that here, I'm using Patch() to save what was in the temporary collection. I am not able to use SubmitForm unless I populate a form.&lt;/p&gt;
&lt;p&gt;There's some more steps involved to implement this further. Please see my video on this topic for more granular details:
&lt;a href="https://www.youtube.com/watch?v=j30xOM5OmRE" rel="nofollow noreferrer"&gt;https://www.youtube.com/watch?v=j30xOM5OmRE&lt;/a&gt;&lt;/p&gt;
</t>
  </si>
  <si>
    <t xml:space="preserve">&lt;p&gt;I have an afterRender function that has an event listener for when the user scrolls down the page, it adds the fixed class to an element. Fixing the element to the page creates a gap that makes all subsequent elements look like they "jump" up. My idea was to create an empty div that will have the height of the fixed div and take its place when the scroll event happens, so as to remove the "jump".&lt;/p&gt;
&lt;p&gt;My problem is that when I inspect the chpCard component in console (see the 'chpTarget' var) at event execution time, the element seems to be rendering without width/height. I've inspected it's offsetHeight and it reders to 0. But when I inspect it again once Lightning is done with it, I get the offsetHeight with the correct value. So my question is: How am I supposed to get the height? Isn't afterRender mean that everything is ready in the DOM to be used? Why is it rendering as a 0 height element?&lt;/p&gt;
&lt;p&gt;This is the CMP:&lt;/p&gt;
&lt;pre&gt;&lt;code&gt;&amp;lt;lightning:card class="slds-page-header slds-page-header_object-home" aura:id="chpCard"&amp;gt;
    &amp;lt;p&amp;gt;Lorem Ipsum&amp;lt;/p&amp;gt;
    &amp;lt;p&amp;gt;Lorem Ipsum&amp;lt;/p&amp;gt;
    &amp;lt;p&amp;gt;Lorem Ipsum&amp;lt;/p&amp;gt;
&amp;lt;/lightning:card&amp;gt;
&lt;/code&gt;&lt;/pre&gt;
&lt;p&gt;And this is the render method&lt;/p&gt;
&lt;pre&gt;&lt;code&gt;afterRender: function(component, helper) {
    this.superAfterRender();
    window.addEventListener('scroll', function (event) {
        var chpTarget = component.find('chpCard');
        var wrapper = component.find('chpWrapper');
        if (event.srcElement.documentElement.scrollTop &amp;gt; 12) {
            $A.util.addClass(chpTarget, 'slds-is-fixed');
        } else {
            $A.util.removeClass(chpTarget, 'slds-is-fixed');
        }
    });
}
&lt;/code&gt;&lt;/pre&gt;
&lt;p&gt;I'm hoping there is some sort of virtual DOM that lightning generates where the true value of these elements exists, but I'm not holding my breath. :S&lt;/p&gt;
</t>
  </si>
  <si>
    <t xml:space="preserve">&lt;p&gt;For debugging purposes I would like to display the value of different objects. Is there any way you can convert an object to a string to display all of its properties and values?&lt;/p&gt;
</t>
  </si>
  <si>
    <t xml:space="preserve">&lt;p&gt;Not in a generic way. If you have an object that is set to a variable, like below:&lt;/p&gt;
&lt;pre&gt;&lt;code&gt;Set(obj, { Name: "John Doe", Age: 33 })
&lt;/code&gt;&lt;/pre&gt;
&lt;p&gt;Then you can use the &lt;a href="https://docs.microsoft.com/powerapps/maker/canvas-apps/functions/operators" rel="nofollow noreferrer"&gt;&amp;amp; operator&lt;/a&gt; or the &lt;a href="https://docs.microsoft.com/powerapps/maker/canvas-apps/functions/function-concatenate" rel="nofollow noreferrer"&gt;Concatenate function&lt;/a&gt; to create a string from that object:&lt;/p&gt;
&lt;pre&gt;&lt;code&gt;Concatenate(
    obj.Name,
    " - ",
    obj.Age
)
&lt;/code&gt;&lt;/pre&gt;
&lt;p&gt;You can also see the value of the variables in the View -&gt; Variables menu on the ribbon.&lt;/p&gt;
&lt;p&gt;If you believe that this is a feature that should be supported, consider creating a new item in the &lt;a href="https://aka.ms/powerapps-ideas" rel="nofollow noreferrer"&gt;PowerApps Ideas board&lt;/a&gt;.&lt;/p&gt;
</t>
  </si>
  <si>
    <t xml:space="preserve">&lt;p&gt;I am a little confused as to whether this is working properly, but I have made a many to many relationship between two tables. However unlike one to many relations, it does not seem to have created a field for this relation. &lt;/p&gt;
&lt;p&gt;As such when I call it in the multi-selector, it comes up blank, as I am assuming that there is nowhere to write to?&lt;/p&gt;
&lt;p&gt;I have also tried setting up prefetch on both tables, for each other, but this doesn't seem to have created the respective fields. Am I missing something?&lt;/p&gt;
&lt;p&gt;EDIT:&lt;/p&gt;
&lt;ol&gt;
&lt;li&gt;&lt;p&gt;At present I have no code&lt;/p&gt;&lt;/li&gt;
&lt;li&gt;&lt;p&gt;The situation is as follows:&lt;/p&gt;&lt;/li&gt;
&lt;/ol&gt;
&lt;p&gt;I am trying to build an app for field agents to fill out when they are on the go. The way I am modelling the data is as follows:&lt;/p&gt;
&lt;p&gt;Models:
1. Customer
2. Stores
3. Activities
4. SKUS
5. Field Agents&lt;/p&gt;
&lt;ol&gt;
&lt;li&gt;ONE Customer owns MANY Stores - Done&lt;/li&gt;
&lt;li&gt;One Store can have Many SKUS. But Each SKU can belong to Many stores as well (Many to Many relation)&lt;/li&gt;
&lt;li&gt;One Field Agent, can have many activies&lt;/li&gt;
&lt;li&gt;One Store can have Many activities associated with it.&lt;/li&gt;
&lt;li&gt;One SKU can have many activities associated with it.&lt;/li&gt;
&lt;/ol&gt;
&lt;p&gt;The Issue:&lt;/p&gt;
&lt;p&gt;When a NEW Store entry is created, I have a form that inputs:&lt;/p&gt;
&lt;p&gt;Name
Location
What Customer it belongs to
What SKUS Are located in this store.&lt;/p&gt;
&lt;p&gt;I am able to create the form, except for the last item. This is what I am refering to. How do I tell the app that Store X "owns" SKU A, B, C &amp;amp; D.&lt;/p&gt;
&lt;p&gt;The reason I am doing it this way as well, is because later I want to be able to open an SKU page, and see a list of what stores it "owns".&lt;/p&gt;
&lt;p&gt;I hope this clarifies things. I will try to post screenshots later, but I hope in the meantime this provides some indication of what I am attepmting to do. Alternatively I could share the applicatoin for you to have a look at it.&lt;/p&gt;
</t>
  </si>
  <si>
    <t xml:space="preserve">&lt;p&gt;I am using the Zoho Books API to create a purchase order&lt;/p&gt;
&lt;p&gt;(&lt;a href="https://www.zoho.com/books/api/v3/#Purchase-Order_Create_a_purchase_order" rel="nofollow noreferrer"&gt;https://www.zoho.com/books/api/v3/#Purchase-Order_Create_a_purchase_order&lt;/a&gt;) - &lt;/p&gt;
&lt;p&gt;The only required items appear to be &lt;code&gt;vendor_id&lt;/code&gt; and &lt;code&gt;line_items&lt;/code&gt;.  However, after creating a job I am getting following message:  &lt;/p&gt;
&lt;p&gt;&lt;code&gt;ZohoBooks::BadRequestError: Purchase order cannot be created for a non-purchase item.
&lt;/code&gt;&lt;/p&gt;
&lt;p&gt;And here is the code:&lt;/p&gt;
&lt;p&gt;```&lt;/p&gt;
&lt;pre&gt;&lt;code&gt;class CreatePurchaseOrderJob &amp;lt; ApplicationJob
  queue_as :default
  def perform(order_id)
    @order = SupplierOrder.find(order_id)
    create_purchase_order
  end
  private
  attr_reader :order
  def vendor
    name = order.supplier.name
    books.get_contact_with_options(contact_type: :vendor, contact_name: name)
  end
  def create_purchase_order
    payload = {
      vendor_id: vendor['contact_id'],
      purchaseorder_number: order.reference,
      reference_number: order.reference,
      line_items: line_items
    }
    books.create_purchase_order(payload)
  end
  def line_items
    order.rfq_line_item_prices.order(:id).map do |price|
      line_item(price)
    end
  end
  def line_item(price)
    {
      name: price.current_line_item.shape,
      description: price.current_line_item&amp;amp;.name,
      bcy_rate: price.unit_price.to_f,
      rate: price.unit_price.to_f,
      quantity: price.current_line_item.quantity,
      tax_id: Registry.zoho_vat_tax_id,
      item_custom_fields: [
        { label: 'Grade', value: price.current_line_item&amp;amp;.grade },
        { label: 'Finish', value: price.current_line_item&amp;amp;.finish },
        { label: 'Dimensions', value: price.current_line_item&amp;amp;.dimensions }
      ]
    }
  end
  def books
    @books ||= Registry.books
  end
end
&lt;/code&gt;&lt;/pre&gt;
&lt;p&gt;This is the same code we use to make invoices and that works, so I'm missing something magical that let's Zoho know this is a purchase item, without any indication to what that may be.  I asked via chat and got the following:  &lt;code&gt;The reason why you're getting this error message is because, You can create a purchase order only when you add the purchase info for an item.&lt;/code&gt;&lt;/p&gt;
</t>
  </si>
  <si>
    <t xml:space="preserve">&lt;p&gt;So the answer turned out to be easier than I thought, although it took longer than I would have liked to uncover.  Eventually I decided try adding attributes even if they were defined as optional.  By including the item id it allowed the purchase order to be created.&lt;/p&gt;
&lt;p&gt;My final code:&lt;/p&gt;
&lt;pre&gt;&lt;code&gt;class CreatePurchaseOrderJob &amp;lt; ApplicationJob
  queue_as :default
  def perform(order_id)
    @order = SupplierOrder.find(order_id)
    create_purchase_order
  end
  private
  def payload
    {
      vendor_id: vendor['contact_id'],
      reference_number: order&amp;amp;.reference,
      line_items: line_items
    }
  end
  attr_reader :order
  def vendor
    @vendor ||= books.find_or_create_vendor(order.supplier)
  end
  def create_purchase_order
    begin
      books.create_purchase_order(payload)
    rescue Exception =&amp;gt; e
      Airbrake.notify(e)
    end
  end
  def line_items
    order.line_item_prices.order(:id).map do |price|
      line_item(price)
    end
  end
  def item_id(name)
    books.find_or_create_item(name)['item_id']
  end
  def line_item(price)
    {
      item_id: item_id(price.current_line_item.shape),
      description: price.current_line_item&amp;amp;.description,
      bcy_rate: price.unit_price.to_f,
      rate: price.unit_price.to_f,
      quantity: price.current_line_item.quantity,
      tax_id: Registry.vat_tax_id,
      item_custom_fields: [
        { label: 'Grade', value: price.current_line_item&amp;amp;.grade },
        { label: 'Finish', value: price.current_line_item&amp;amp;.finish },
        { label: 'Dimensions', value: price.current_line_item&amp;amp;.dimensions }
      ]
    }
  end
  def books
    @books ||= Registry.books
  end
end
&lt;/code&gt;&lt;/pre&gt;
</t>
  </si>
  <si>
    <t xml:space="preserve">&lt;p&gt;i've a application with 2 Google Drive Tables (FatherM &amp;amp; SonM models)
and with a many to one relation&lt;/p&gt;
&lt;p&gt;i'm able to export the data in a spreadsheet 
in the SonM model at export an extra column is created automaticaly by the export with the name of the relation (FatherM) and containing all the Keys of the fathers records&lt;/p&gt;
&lt;p&gt;when i import the single model data Son spreadsheet i've an error : &lt;/p&gt;
&lt;p&gt;V:1 Field names "FatherM" in the spreadsheet can't be found in the corresponding model.&lt;/p&gt;
&lt;p&gt;yes it doesn't exist in the model but is created by the relation&lt;/p&gt;
&lt;p&gt;how can i import SonM datas ?&lt;/p&gt;
</t>
  </si>
  <si>
    <t xml:space="preserve">&lt;p&gt;I'm creating a single page application using VueJs and I'm facing a problem that all my SVGs are not being rendered. I'm using webpack-simple CLI and I'm using SLDS(Salesforce Lightning Design System) as CSS framework, which is providing me all my svgs.&lt;/p&gt;
&lt;p&gt;Here is one of my components which are not displaying the SVGs:&lt;/p&gt;
&lt;p&gt;&lt;div class="snippet" data-lang="js" data-hide="false" data-console="true" data-babel="false"&gt;
&lt;div class="snippet-code"&gt;
&lt;pre class="snippet-code-js lang-js prettyprint-override"&gt;&lt;code&gt;export default {
        props: ['tabData']
    }&lt;/code&gt;&lt;/pre&gt;
&lt;pre class="snippet-code-html lang-html prettyprint-override"&gt;&lt;code&gt;&amp;lt;template&amp;gt;
    &amp;lt;li class="slds-context-bar__item slds-context-bar__item_tab" role="presentation"&amp;gt;
        &amp;lt;a href="javascript:void(0);" class="slds-context-bar__label-action" role="tab" title="Tab Item 2"
           aria-selected="false" tabindex="-1" aria-controls="context-tab-panel-3" id="context-tab-id-3"&amp;gt;
            &amp;lt;div class="slds-icon_container" :title="tabData.tabName"&amp;gt;
                &amp;lt;svg class="slds-icon slds-icon_small slds-icon-text-default" aria-hidden="true"&amp;gt;
                    &amp;lt;use xmlns:xlink="http://www.w3.org/1999/xlink"
                         xlink:href="../../assets/lightning/assets/icons/standard-sprite/svg/symbols.svg#case"/&amp;gt;
                &amp;lt;/svg&amp;gt;
            &amp;lt;/div&amp;gt;
            &amp;lt;span class="slds-truncate" :title="tabData.tabName"&amp;gt;{{ tabData.tabName }}&amp;lt;/span&amp;gt;
        &amp;lt;/a&amp;gt;
        &amp;lt;div class="slds-context-bar__icon-action slds-context-bar__dropdown-trigger slds-dropdown-trigger slds-dropdown-trigger_click slds-p-left_none slds-p-right_none"&amp;gt;
            &amp;lt;button class="slds-button slds-button_icon slds-button_icon-container slds-button_icon-x-small"
                    aria-haspopup="true"
                    tabindex="-1"&amp;gt;
                &amp;lt;svg class="slds-button__icon" aria-hidden="true"&amp;gt;
                    &amp;lt;use xmlns:xlink="http://www.w3.org/1999/xlink"
                         xlink:href="../../assets/lightning/assets/icons/utility-sprite/svg/symbols.svg#chevrondown"/&amp;gt;
                &amp;lt;/svg&amp;gt;
            &amp;lt;/button&amp;gt;
        &amp;lt;/div&amp;gt;
        &amp;lt;div class="slds-context-bar__icon-action slds-col_bump-left slds-p-left_none"&amp;gt;
            &amp;lt;button class="slds-button slds-button_icon slds-button_icon-container slds-button_icon-x-small"
                    tabindex="-1" :title="'Fechar ' + tabData.tabName"&amp;gt;
                &amp;lt;svg class="slds-button__icon" aria-hidden="true"&amp;gt;
                    &amp;lt;use xmlns:xlink="http://www.w3.org/1999/xlink"
                         xlink:href="../../assets/lightning/assets/icons/utility-sprite/svg/symbols.svg#close"/&amp;gt;
                &amp;lt;/svg&amp;gt;
            &amp;lt;/button&amp;gt;
        &amp;lt;/div&amp;gt;
    &amp;lt;/li&amp;gt;
&amp;lt;/template&amp;gt;&lt;/code&gt;&lt;/pre&gt;
&lt;/div&gt;
&lt;/div&gt;
&lt;/p&gt;
&lt;p&gt;This component above is called in other component named GlobalNavigation:&lt;/p&gt;
&lt;p&gt;&lt;div class="snippet" data-lang="js" data-hide="false" data-console="true" data-babel="false"&gt;
&lt;div class="snippet-code"&gt;
&lt;pre class="snippet-code-js lang-js prettyprint-override"&gt;&lt;code&gt;import DashboardTab from '../navigation-tabs/DashboardTab.vue';
    import TabsContainer from '../navigation-tabs/TabsContainer.vue';
    import NavigationTab from '../navigation-tabs/NavigationTab.vue';
    export default {
        data() {
            return {
                navigationTabs: [
                    {
                        tabName: 'Organizações',
                        hasMenu: true
                    },
                    {
                        tabName: 'Contas',
                        hasMenu: false
                    }
                ]
            };
        },
        components: {
            ursusDashboardTab: DashboardTab,
            ursusTabsContainer: TabsContainer,
            ursusNavigationTab: NavigationTab
        }
    }&lt;/code&gt;&lt;/pre&gt;
&lt;pre class="snippet-code-css lang-css prettyprint-override"&gt;&lt;code&gt;.slds-global-navigation {
        margin-top: 50px;
    }&lt;/code&gt;&lt;/pre&gt;
&lt;pre class="snippet-code-html lang-html prettyprint-override"&gt;&lt;code&gt;&amp;lt;template&amp;gt;
    &amp;lt;div class="slds-global-navigation"&amp;gt;
        &amp;lt;div class="slds-context-bar slds-context-bar_tabs"&amp;gt;
            &amp;lt;div class="slds-context-bar__primary"&amp;gt;
                &amp;lt;ursus-dashboard-tab&amp;gt;&amp;lt;/ursus-dashboard-tab&amp;gt;
            &amp;lt;/div&amp;gt;
            &amp;lt;ursus-tabs-container&amp;gt;
                &amp;lt;ursus-navigation-tab
                        v-for="tab in navigationTabs"
                        :tabData="tab"/&amp;gt;
            &amp;lt;/ursus-tabs-container&amp;gt;
        &amp;lt;/div&amp;gt;
    &amp;lt;/div&amp;gt;
&amp;lt;/template&amp;gt;&lt;/code&gt;&lt;/pre&gt;
&lt;/div&gt;
&lt;/div&gt;
&lt;/p&gt;
&lt;p&gt;And finally GlobalNavigation is called in my App.vue file&lt;/p&gt;
&lt;p&gt;&lt;div class="snippet" data-lang="js" data-hide="false" data-console="true" data-babel="false"&gt;
&lt;div class="snippet-code"&gt;
&lt;pre class="snippet-code-js lang-js prettyprint-override"&gt;&lt;code&gt;export default {
    data() {
        return {
            displayTrialBar: false,
            displayAlert: false
        }
    }
}&lt;/code&gt;&lt;/pre&gt;
&lt;pre class="snippet-code-css lang-css prettyprint-override"&gt;&lt;code&gt;.slds-unscrollable-page {
        overflow: hidden;
    }&lt;/code&gt;&lt;/pre&gt;
&lt;pre class="snippet-code-html lang-html prettyprint-override"&gt;&lt;code&gt;&amp;lt;template&amp;gt;
    &amp;lt;div class="slds-unscrollable-page"&amp;gt;
        &amp;lt;ursus-trial-bar v-if="displayTrialBar"&amp;gt;&amp;lt;/ursus-trial-bar&amp;gt;
        &amp;lt;ursus-alert v-if="displayAlert"&amp;gt;&amp;lt;/ursus-alert&amp;gt;
        &amp;lt;ursus-global-header&amp;gt;&amp;lt;/ursus-global-header&amp;gt;
        &amp;lt;ursus-global-navigation&amp;gt;&amp;lt;/ursus-global-navigation&amp;gt;
        &amp;lt;ursus-main-area&amp;gt;&amp;lt;/ursus-main-area&amp;gt;
    &amp;lt;/div&amp;gt;
&amp;lt;/template&amp;gt;&lt;/code&gt;&lt;/pre&gt;
&lt;/div&gt;
&lt;/div&gt;
&lt;/p&gt;
&lt;p&gt;And here you can check my main.js&lt;/p&gt;
&lt;p&gt;&lt;div class="snippet" data-lang="js" data-hide="false" data-console="true" data-babel="false"&gt;
&lt;div class="snippet-code"&gt;
&lt;pre class="snippet-code-js lang-js prettyprint-override"&gt;&lt;code&gt;import Vue from 'vue';
import VueRouter from 'vue-router';
import VueResource from 'vue-resource';
import App from './App.vue';
import {routes} from './routes';
import { store } from './store';
import TrialBar from './components/global/TrialBar.vue';
import Alert from './components/global/Alert.vue';
import GlobalHeader from './components/global/GlobalHeader.vue';
import GlobalNavigation from './components/global/GlobalNavigation.vue';
import MainArea from './components/global/MainArea.vue';
import PageHeader from './components/page/PageHeader.vue';
import PageBody from './components/page/PageBody.vue';
Vue.use(VueRouter);
Vue.use(VueResource);
Vue.component('ursus-trial-bar', TrialBar);
Vue.component('ursus-alert', Alert);
Vue.component('ursus-global-header', GlobalHeader);
Vue.component('ursus-global-navigation', GlobalNavigation);
Vue.component('ursus-main-area', MainArea);
Vue.component('ursus-page-header', PageHeader);
Vue.component('ursus-page-body', PageBody);
const router = new VueRouter({
    routes,
    mode: 'history'
});
new Vue({
  el: '#app',
  store,
  router,
  render: h =&amp;gt; h(App)
})&lt;/code&gt;&lt;/pre&gt;
&lt;/div&gt;
&lt;/div&gt;
&lt;/p&gt;
&lt;p&gt;And also here is my webpack.config.js&lt;/p&gt;
&lt;p&gt;&lt;div class="snippet" data-lang="js" data-hide="false" data-console="true" data-babel="false"&gt;
&lt;div class="snippet-code"&gt;
&lt;pre class="snippet-code-js lang-js prettyprint-override"&gt;&lt;code&gt;var path = require('path')
var webpack = require('webpack')
module.exports = {
  entry: './src/main.js',
  output: {
    path: path.resolve(__dirname, './dist'),
    publicPath: '/dist/',
    filename: 'build.js'
  },
  module: {
    rules: [
      {
        test: /\.css$/,
        use: [
          'vue-style-loader',
          'css-loader'
        ],
      },
      {
        test: /\.scss$/,
        use: [
          'vue-style-loader',
          'css-loader',
          'sass-loader'
        ],
      },
      {
        test: /\.sass$/,
        use: [
          'vue-style-loader',
          'css-loader',
          'sass-loader?indentedSyntax'
        ],
      },
      {
        test: /\.vue$/,
        loader: 'vue-loader',
        options: {
          loaders: {
            // Since sass-loader (weirdly) has SCSS as its default parse mode, we map
            // the "scss" and "sass" values for the lang attribute to the right configs here.
            // other preprocessors should work out of the box, no loader config like this necessary.
            'scss': [
              'vue-style-loader',
              'css-loader',
              'sass-loader'
            ],
            'sass': [
              'vue-style-loader',
              'css-loader',
              'sass-loader?indentedSyntax'
            ]
          }
          // other vue-loader options go here
        }
      },
      {
        test: /\.js$/,
        loader: 'babel-loader',
        exclude: /node_modules/
      },
      {
        test: /\.(png|jpg|gif|svg)$/,
        loader: 'file-loader',
        options: {
          name: '[name].[ext]?[hash]'
        }
      }
    ]
  },
  resolve: {
    alias: {
      'vue$': 'vue/dist/vue.esm.js'
    },
    extensions: ['*', '.js', '.vue', '.json']
  },
  devServer: {
    historyApiFallback: true,
    noInfo: true,
    overlay: true
  },
  performance: {
    hints: false
  },
  devtool: '#eval-source-map'
}
if (process.env.NODE_ENV === 'production') {
  module.exports.devtool = '#source-map'
  // http://vue-loader.vuejs.org/en/workflow/production.html
  module.exports.plugins = (module.exports.plugins || []).concat([
    new webpack.DefinePlugin({
      'process.env': {
        NODE_ENV: '"production"'
      }
    }),
    new webpack.optimize.UglifyJsPlugin({
      sourceMap: true,
      compress: {
        warnings: false
      }
    }),
    new webpack.LoaderOptionsPlugin({
      minimize: true
    })
  ])
}&lt;/code&gt;&lt;/pre&gt;
&lt;/div&gt;
&lt;/div&gt;
&lt;/p&gt;
</t>
  </si>
  <si>
    <t xml:space="preserve">&lt;p&gt;What does your browser debug show? Your svgs have &lt;code&gt;&amp;lt;use&amp;gt;&lt;/code&gt; tags with relative urls. These will be resolved by the browser, and it's likely that they're not pointing to where you think. Your browser network tab should tell you what's going on?&lt;/p&gt;
</t>
  </si>
  <si>
    <t xml:space="preserve">&lt;p&gt;I am developing an app using PowerApps Web.  I have a browse screen (1st Screen) with general information from a SharePoint list shown in a Gallery.&lt;/p&gt;
&lt;p&gt;I created another screen (2nd screen) where I show some details of an item selected from the gallery in the first screen using the formula: Navigate(FirstScreen, Fade, {Variable: thisItem}).&lt;/p&gt;
&lt;p&gt;This works perfect for the 2nd screen, but now I created another screen (3rd screen) where I want to show more details (other fields) of the same item selected from the gallery on the 1st screen where the user selected the item, but so far I haven't been able to do it.&lt;/p&gt;
&lt;p&gt;I have to do the same thing in other screens, I'm trying to show details from the item selected in the gallery on the first screen on other screens by topic.  So far I've only being able to show information from the 1st screen to the 2nd screen, but not to the rest of the screens.  &lt;/p&gt;
&lt;p&gt;Any help is greatly appreciated,&lt;/p&gt;
</t>
  </si>
  <si>
    <t xml:space="preserve">&lt;p&gt;I'm having some trouble getting relation deletion to work exactly how I would expect it to.&lt;/p&gt;
&lt;p&gt;For example I have two simple tables, &lt;code&gt;users&lt;/code&gt; and &lt;code&gt;permissions&lt;/code&gt; with a one-to-many relation between users and permissions (or it could be many-to-many in this example as well).&lt;/p&gt;
&lt;p&gt;I first tried deleting one of the related permissions using &lt;code&gt;userDatasource.deleteItem()&lt;/code&gt; or &lt;code&gt;userDatasource.item.permissions[index]._delete()&lt;/code&gt; but when you use either of those functions it marks the record as deleted client side so you run into trouble when you need to insert again.&lt;/p&gt;
&lt;p&gt;I then found a related question that said to use &lt;code&gt;item.relation.splice(startIndex, 1)&lt;/code&gt; to just break the relation and that worked as expected but now I have a bunch of extra rows in my database with the &lt;code&gt;user&lt;/code&gt; foreign key null.  I would much rather have the same behavior as &lt;code&gt;.splice&lt;/code&gt; but also have it delete those records from the database.  Is there any way to do that or is App Maker supposed to detect the broken relation and automatically delete the row from the table?&lt;/p&gt;
</t>
  </si>
  <si>
    <t xml:space="preserve">&lt;p&gt;I recently took over a small project started by another developer, one of the core pieces of this project involves displaying information on a calendar. This calendar is created using Javascript within a salesforce lightning component, the JS creates a an unordered list, and then fills that list with list items which acts as the days. And here lies the problem, whenever information such as a link is displayed within a day, the list item is moved so that the last line of each day lines up with the previous day like this:&lt;/p&gt;
&lt;p&gt;Broken calendar days:&lt;/p&gt;
&lt;p&gt;&lt;a href="https://i.stack.imgur.com/NabBY.png" rel="nofollow noreferrer"&gt;&lt;img src="https://i.stack.imgur.com/NabBY.png" alt="enter image description here"&gt;&lt;/a&gt;&lt;/p&gt;
&lt;p&gt;Each list item contains a paragraph tag which contains the day number and if applicable, a link, each separated by a line break. &lt;/p&gt;
&lt;p&gt;Here's the javascript within the lightning component:&lt;/p&gt;
&lt;pre&gt;&lt;code&gt;var number = DayNumber(i + 1);
// Check Date against Event Dates
for (var n = 0; n &amp;lt; calendar.Model.length; n++) {
  var evDate = calendar.Model[n].Date;
  var toDate = new Date(calendar.Selected.Year, calendar.Selected.Month, (i + 1));
  if (evDate.getTime() == toDate.getTime()) {
    number.className += " eventday";
    var title = document.createElement('span');
    title.className += "cld-title";
    if (typeof calendar.Model[n].Link == 'function' || calendar.Options.EventClick) {
      var a = document.createElement('a');
      a.setAttribute('href', '#');
      a.innerHTML += calendar.Model[n].Title;
      if (calendar.Options.EventClick) {
        var z = calendar.Model[n].Link;
        if (typeof calendar.Model[n].Link != 'string') {
          a.addEventListener('click', calendar.Options.EventClick.bind.apply(calendar.Options.EventClick, [null].concat(z)));
          if (calendar.Options.EventTargetWholeDay) {
            day.className += " clickable";
            day.addEventListener('click', calendar.Options.EventClick.bind.apply(calendar.Options.EventClick, [null].concat(z)));
          }
        } else {
          a.addEventListener('click', calendar.Options.EventClick.bind(null, z));
          if (calendar.Options.EventTargetWholeDay) {
            day.className += " clickable";
            day.addEventListener('click', calendar.Options.EventClick.bind(null, z));
          }
        }
      } else {
        a.addEventListener('click', calendar.Model[n].Link);
        if (calendar.Options.EventTargetWholeDay) {
          day.className += " clickable";
          day.addEventListener('click', calendar.Model[n].Link);
        }
      }
      title.appendChild(a);
    } else {
      title.innerHTML += '&amp;lt;a href="' + calendar.Model[n].Link + '"&amp;gt;' + calendar.Model[n].Title + '&amp;lt;/a&amp;gt;';
    }
    number.innerHTML += "&amp;lt;/br&amp;gt;" + title.innerHTML;
  }
}
day.appendChild(number);
&lt;/code&gt;&lt;/pre&gt;
&lt;p&gt;They are displayed inline-block and use a border to create the illusion of a calendar. Is there any way to alter or override the way that this list is aligning it's items?&lt;/p&gt;
</t>
  </si>
  <si>
    <t xml:space="preserve">&lt;p&gt;I have a database called Students. DB has a "status" string field with 3 possible values; missing, absent, present. I have Calculated SQL DB called "stats". In the "stats" I have a "name" and "number" fields.&lt;/p&gt;
&lt;p&gt;I'm stuck adding scripting that can load a chart with a total number of missing, present, and absent students.&lt;/p&gt;
</t>
  </si>
  <si>
    <t xml:space="preserve">&lt;p&gt;Powerapps:
Is it possible to add a picture taken by the in-app camera to an attachment control? &lt;/p&gt;
&lt;p&gt;If I take the picture and add it to the same collection as used in the attachment control (using collect) the collection gets overridden and is only filled with the newly taken picture.&lt;/p&gt;
&lt;p&gt;Collect(MyPictures;({Name:"pic1.jpg";Url:Camera1.Photo})&lt;/p&gt;
&lt;p&gt;Thanks!&lt;/p&gt;
</t>
  </si>
  <si>
    <t xml:space="preserve">&lt;p&gt;I've started to get some strange output in my developer console.  I was wondering if there was a way to turn it off.&lt;/p&gt;
&lt;blockquote&gt;
  &lt;p&gt;Net state changed from IDLE to BUSY&lt;/p&gt;
&lt;/blockquote&gt;
&lt;p&gt;That outputs whenever anything server side is called, you can imagine that it might cause a lot of clutter.&lt;/p&gt;
</t>
  </si>
  <si>
    <t xml:space="preserve">&lt;p&gt;I've built a custom lightning component that is embedded in Record pages, but I can't figure out from documentation how to setup a configuration area for the User to put their data for the component. Can somebody point me in the right directions ?&lt;/p&gt;
</t>
  </si>
  <si>
    <t xml:space="preserve">&lt;p&gt;I have a requirement to call REST API from Salesforce lightning component, for that i need to have session id of that user while requesting a REST service. But, in current version (Summer 18) of Salesforce the session id i'm getting from UserInfo is always Invalid, that means salesforce doesn't give session id in Summer 18 release. Is there any alternative to get session Id in Summer18?&lt;/p&gt;
</t>
  </si>
  <si>
    <t xml:space="preserve">&lt;p&gt;I'm trying to achieve a lightning component that recursively calls itself to generate a tree hierarchy with attributtes of a filled map that goes like
&lt;code&gt;Map&amp;lt;Integer,Map&amp;lt;Id,List&amp;lt;Object&amp;gt;&amp;gt;&amp;gt;&lt;/code&gt; being first key &lt;strong&gt;the level of the tree&lt;/strong&gt; and second key &lt;strong&gt;the parentid of the list of objects retrieved&lt;/strong&gt;.&lt;/p&gt;
&lt;p&gt;My question is: &lt;strong&gt;Is it possible to create a component that works like this example?&lt;/strong&gt;&lt;/p&gt;
&lt;p&gt;CustomLightningComponent&lt;/p&gt;
&lt;pre&gt;&lt;code&gt;&amp;lt;aura:component&amp;gt;
    &amp;lt;aura:attribute name="mapObject" type="map"/&amp;gt;
    &amp;lt;aura:attribute name="level" type="integer"/&amp;gt;
    &amp;lt;aura:attribute name="parentId" type="string"/&amp;gt;
    &amp;lt;aura:attribute name="listObject" type="list"/&amp;gt;
    &amp;lt;aura:iteration items="listObject" var="obj"&amp;gt;
        &amp;lt;p&amp;gt;{!obj.Name}&amp;lt;/p&amp;gt;
        &amp;lt;c:CustomLightningComponent mapObject="{!mapObject}" level="{!v.level}" parentId="{!obj.Id}"/&amp;gt;
    &amp;lt;/aura:iteration&amp;gt;
&amp;lt;/aura:component&amp;gt;
&lt;/code&gt;&lt;/pre&gt;
&lt;p&gt;CustomLightningComponentController &lt;/p&gt;
&lt;pre&gt;&lt;code&gt;({
    doInit: function(component, event, helper) {
         var map = component.get("v.mapObject");
         var level = component.get("v.level");
         var parentId = component.get("v.parentId");
         var listObjects = map[level][parentId];
         //To iterate over next level
         component.set("v.level", level++);
         //Set list
         component.set("v.listObject", listObjects);
    }
})
&lt;/code&gt;&lt;/pre&gt;
&lt;p&gt;The code is pretty basic just to put an example of what I want to implement.&lt;/p&gt;
&lt;p&gt;&lt;strong&gt;Is this even possible? Call the same lightning component recursively?&lt;/strong&gt;&lt;/p&gt;
</t>
  </si>
  <si>
    <t xml:space="preserve">&lt;p&gt;Yes, It's possible to iterate over child component using aura:iteration tag. &lt;strong&gt;However,&lt;/strong&gt; the map you have created looks very complex and lightning doesn't provide very easy access to map and its contents. Instead of such complex map you can create JSON object in javascript(helper) that will definitely reduce the complexity. &lt;/p&gt;
</t>
  </si>
  <si>
    <t xml:space="preserve">&lt;p&gt;Making a Powerapps Leave Request app. I can get all user and manager info, but when I try to obtain a user or manager photo, I get this error:&lt;/p&gt;
&lt;pre&gt;&lt;code&gt;Office365Users.UserPhoto failed: { 
    "status":404, 
    "message": "No user found with the specified id...." 
    ...
    "source": "office365users-eus.azconn-eus.p.azukrewebsites.net" 
}
&lt;/code&gt;&lt;/pre&gt;
&lt;p&gt;&lt;a href="https://i.stack.imgur.com/O4PX4.png" rel="nofollow noreferrer"&gt;&lt;img src="https://i.stack.imgur.com/O4PX4.png" alt="Error message"&gt;&lt;/a&gt;&lt;/p&gt;
</t>
  </si>
  <si>
    <t xml:space="preserve">&lt;p&gt;I have built a simple component to display the contact information. But, its not showing in the page. no clue what is going on ?&lt;/p&gt;
&lt;p&gt;I have checked apex controller is returning contact correctly. But, the component is not rendering with the received contact object.&lt;/p&gt;
&lt;pre&gt;&lt;code&gt;&amp;lt;aura:application &amp;gt;
    &amp;lt;aura:attribute name="contactId" type="String"/&amp;gt;
    &amp;lt;c:PreferenceComponent contactId="{!v.contactId}"/&amp;gt;
&amp;lt;/aura:application&amp;gt;
&amp;lt;aura:component controller="PreferenceComponentCtrlr"&amp;gt;
    &amp;lt;aura:attribute name="contactId" type="String"/&amp;gt;
    &amp;lt;aura:handler name="init" value="{!this}" action="{!c.doInit}"/&amp;gt;
    &amp;lt;lightning:card variant="Narrow" title="{!v.contact.Name}" 
                    iconName="standard:contact"&amp;gt;
        &amp;lt;p class="slds-p-horizontal_small"&amp;gt;
            {!v.contact.Phone}
        &amp;lt;/p&amp;gt;
        &amp;lt;p class="slds-p-horizontal_small"&amp;gt;
            {!v.contact.MailingStreet}
        &amp;lt;/p&amp;gt;
    &amp;lt;/lightning:card&amp;gt;    
&amp;lt;/aura:component&amp;gt;
({
    doInit : function(component, event, helper) {
        var action = component.get("c.getContact");
        action.setParams({
            contactId : component.get("v.contactId")
        });
        action.setCallback(this, function(response) {
            var state = response.getState();
            if (state === 'SUCCESS'){
                component.set("v.contact", response.getReturnValue());
            }
        });
        $A.enqueueAction(action);                           
    }
})
public class PreferenceComponentCtrlr {
    @AuraEnabled
    public static Contact getContact(Id contactId) {
        System.debug('contactId - ' + contactId);
        return [Select Id, Name, Phone, MailingStreet From Contact Where Id =: contactId LIMIT 1];
    }
}
&lt;/code&gt;&lt;/pre&gt;
</t>
  </si>
  <si>
    <t xml:space="preserve">&lt;p&gt;I am new with powerapps, I want to create CRUD operation and use my own api with powerapps, how to do that? Thanks.&lt;/p&gt;
</t>
  </si>
  <si>
    <t xml:space="preserve">&lt;p&gt;I am attempting to build several apps for different use cases in our business. However many of them share data. Such as our Inventory app will use the same customer data as our field audit app, and many apps will need to access the dataset we made to hold SKU information. &lt;/p&gt;
&lt;p&gt;As such, my question is, if app a, has a table with x information. can App b access the same table?&lt;/p&gt;
</t>
  </si>
  <si>
    <t xml:space="preserve">&lt;p&gt;[google-app-maker]&lt;/p&gt;
&lt;p&gt;New to AppMaker and never done coding before, so please excuse the question if obvious or I'm trying to do the impossible.&lt;/p&gt;
&lt;p&gt;App Maker - &lt;/p&gt;
&lt;p&gt;I have a page, &lt;/p&gt;
&lt;p&gt;on the page is a 'Create' Item form, 
and then on another panel on same page, a dropdown from another model thats generated from a 'one relation end' and using a none related datasource or model to the model I am updating.&lt;/p&gt;
&lt;p&gt;Like me my code is very simple(as learning) Im just trying to update a field within the model the form is creating a new item in with the current dropdown value, that comes from a different datasource and based on a 'one relation end' from two other tables.&lt;/p&gt;
&lt;pre&gt;&lt;code&gt;Table:
Id | date |  action  | user | note | theValue |
             'did it'                    X
&lt;/code&gt;&lt;/pre&gt;
&lt;p&gt;I have applied the code within my 'Submit button' on the form, to keep it very basic.&lt;/p&gt;
&lt;pre&gt;&lt;code&gt;widget.datasource.item.action = 'did it'; // Works fine
widget.datasource.item.theValue = 
widget.root.descendants.Sites_dropdown.value;  // this fails ( error below )
widget.datasource.createItem();
&lt;/code&gt;&lt;/pre&gt;
&lt;p&gt;But I get the following error.&lt;/p&gt;
&lt;p&gt;ERROR -- &lt;/p&gt;
&lt;pre&gt;&lt;code&gt;Type mismatch: Cannot set type sites record for property newValue. Type String is expected.
at assets_move.Content.Form1.Form1Footer.Form1SubmitButton.onClick:2:33
&lt;/code&gt;&lt;/pre&gt;
&lt;p&gt;I can see by the error, its not passing as a string, not sure if this is because its a dropdown with a different datasource on another panel, or Im using the wrong binding to get the value.&lt;/p&gt;
&lt;p&gt;Any help much appreciated. &lt;/p&gt;
</t>
  </si>
  <si>
    <t xml:space="preserve">&lt;p&gt;I have created a page with lightening components as shown the below image, I want to change my pick-List field into radio button next to picklist option to choose the appropriate selection, can someone please help to create radio buttons instead of pickList filed
in the component I have used below code&lt;/p&gt;
&lt;pre&gt;&lt;code&gt;&amp;lt;div class="slds-form-element"&amp;gt;
                    &amp;lt;div class="slds-form-element__control"&amp;gt;
                        &amp;lt;ui:inputSelect label="Race Type" 
                                        aura:id="Type" 
                                        class="slds-select" 
                                        labelClass="slds-form-element__label"
                                        value="{!v.newRace.Race_Type__c}" /&amp;gt;
                    &amp;lt;/div&amp;gt;
&lt;/code&gt;&lt;/pre&gt;
&lt;p&gt;&lt;a href="https://i.stack.imgur.com/kV31c.jpg" rel="nofollow noreferrer"&gt;&lt;img src="https://i.stack.imgur.com/kV31c.jpg" alt="enter image description here"&gt;&lt;/a&gt;&lt;/p&gt;
</t>
  </si>
  <si>
    <t xml:space="preserve">&lt;p&gt;I use document approval template, and I want to define default approver and stages.&lt;/p&gt;
&lt;p&gt;I have tried to change the custom value associates to the &lt;code&gt;userpicker&lt;/code&gt; widget in &lt;code&gt;EditRequest&lt;/code&gt; Page to define a default Approver by changing the location from &lt;code&gt;onValueChange&lt;/code&gt; to &lt;code&gt;onAttach&lt;/code&gt;. I set default value for mail's approvers.&lt;/p&gt;
&lt;p&gt;&lt;strong&gt;PageEditRequest/userPickerWidget:&lt;/strong&gt;
&lt;img src="https://i.stack.imgur.com/3nEeL.png" alt="PageEditRequest/userPickerWidget"&gt;&lt;/p&gt;
&lt;p&gt;&lt;strong&gt;Function associates to the custom value of userPickerWidget:&lt;/strong&gt;
&lt;img src="https://i.stack.imgur.com/7t5XI.png" alt="Function associates to the custom value of userPickerWidget"&gt;&lt;/p&gt;
&lt;p&gt;But I don't know how can I associate a new stage to an another approver... &lt;/p&gt;
&lt;p&gt;I tried a lot of things that failed&lt;/p&gt;
&lt;p&gt;Have you any ideas? &lt;/p&gt;
&lt;p&gt;I want to have this type of results without any client interaction:&lt;/p&gt;
&lt;p&gt;&lt;strong&gt;Desired result:&lt;/strong&gt;
&lt;img src="https://i.stack.imgur.com/Xyzdd.png" alt="Desired result"&gt;&lt;/p&gt;
</t>
  </si>
  <si>
    <t xml:space="preserve">&lt;p&gt;The earlier answer points to solve the problem where user are adding stage manually. If you want all stages and all approvers list to be added automatically, follow the below steps.&lt;/p&gt;
&lt;ol&gt;
&lt;li&gt;Open Edit Request page, in that page you can find event &lt;code&gt;onAttach&lt;/code&gt;, this event will trigger when page is being loaded and data has not loaded yet. DMS Template has already provided a method called &lt;code&gt;startLoading()&lt;/code&gt; to this Event.&lt;/li&gt;
&lt;li&gt;Locate &lt;code&gt;startLoading()&lt;/code&gt; method in Client Script named &lt;code&gt;EditRequestPage_Request&lt;/code&gt;. This method is calling &lt;code&gt;loadEditRequestPage()&lt;/code&gt; method internally. Locate &lt;code&gt;loadEditRequestPage()&lt;/code&gt; method.&lt;/li&gt;
&lt;li&gt;This method is adding a default stage (i.e. Stage 1) to the approval workflow. We need to perform our operations here for Automatically add approvers.&lt;/li&gt;
&lt;li&gt;Locate the line &lt;code&gt;requestDs.relations.WorkflowStages.createItem&lt;/code&gt; in the code, this line is Adding a Stage to the workflow. So we need to add this line multiple times to Add multiple stages. In my below code I've show cased for 2 stages.&lt;/li&gt;
&lt;/ol&gt;
&lt;p&gt;Code for adding 2 stages and 1 approver at each stage.&lt;/p&gt;
&lt;pre&gt;&lt;code&gt;if (requestDs.item.WorkflowStages.length === 0) {
    requestDs.relations.WorkflowStages.createItem(function() {
    var createDatasource = requestDs.relations.WorkflowStages.relations.Approvers.modes.create;
    var draft = createDatasource.item;
    draft.Email = 'darpan.sanghavi@abc.com';
    draft.Name = 'Darpan Sanghavi';          
    createDatasource.createItem(function(createdRecord) { });
    });      
     requestDs.relations.WorkflowStages.createItem(function() {
    var createDatasource = requestDs.relations.WorkflowStages.relations.Approvers.modes.create;
    var draft = createDatasource.item;
    draft.Email = 'darpan.sanghavi@xyz.com';
    draft.Name = 'Darn Alarm';          
    createDatasource.createItem(function(createdRecord) { });
    app.closeDialog();
    }); 
}
&lt;/code&gt;&lt;/pre&gt;
&lt;ol start="5"&gt;
&lt;li&gt;In the above code I've added lines inside &lt;code&gt;requestDs.relations.WorkflowStages.createItem&lt;/code&gt; call, this call is creating a stage, inside a stage I've added Predefined Approver by Creating New Approver Data source.&lt;/li&gt;
&lt;/ol&gt;
&lt;p&gt;This code still can be changed for incorporating changes like User's Thumbnail and some other changes, but this will help you get going. Add/Change code as per need.&lt;/p&gt;
</t>
  </si>
  <si>
    <t xml:space="preserve">&lt;p&gt;I am working on my first Salesforce Einstein Bot in a sandbox. The bot works well and navigates through multiple dialogs as intended until I try to call an Action.  If I try to call any action, no matter how simple, the bot automatically ends the chat even though there are more steps in the dialog after the action call.  I have even dumbed-down the invocable method to simply accept a string list and return nothing.  The method literally does nothing and I can call it without issue from a Process Builder.  For some reason in the bot it crashes the chat.  I have deleted and rebuilt the bot from scratch with the same result.&lt;/p&gt;
&lt;p&gt;Any thoughts or advice on what I might be missing?  Suggestions on what else I can check?&lt;/p&gt;
</t>
  </si>
  <si>
    <t xml:space="preserve">&lt;p&gt;Make sure to give your bot access to the apex class through permission sets. The bot has its own set of permissions name something like sfdc.chatbot.service.permset.&lt;/p&gt;
</t>
  </si>
  <si>
    <t xml:space="preserve">&lt;p&gt;I'm trying to update the id (not pk) of a record &lt;code&gt;onAfterCreate&lt;/code&gt; in auto save mode. The &lt;code&gt;createContractNum_SOW()&lt;/code&gt; is a server script that returns a number. I have also tried using&lt;/p&gt;
&lt;pre&gt;&lt;code&gt;app.datasources.MyDatasource.item.MyField = 'My new value';
&lt;/code&gt;&lt;/pre&gt;
&lt;p&gt;but that does not work either.&lt;/p&gt;
&lt;p&gt;Is there something that I am missing?&lt;/p&gt;
&lt;pre&gt;&lt;code&gt;if (contract_type === "Statement of Work"){
    var next_id = createContractNum_SOW();
    record.contract_num = next_id;
}
&lt;/code&gt;&lt;/pre&gt;
</t>
  </si>
  <si>
    <t xml:space="preserve">&lt;p&gt;You probably need to save the record after you modify it.&lt;/p&gt;
&lt;p&gt;Since the datasource events are server side you can do that with &lt;code&gt;app.saveRecords([record]);&lt;/code&gt;&lt;/p&gt;
</t>
  </si>
  <si>
    <t xml:space="preserve">&lt;p&gt;I want a redirect to be triggered on a certain action but am running into issues with same origin policies.  &lt;/p&gt;
&lt;p&gt;Has anyone had any luck redirecting to external URLs (I can't use &lt;code&gt;app.showPage&lt;/code&gt;)?&lt;/p&gt;
&lt;p&gt;I've tried &lt;code&gt;window.location.href&lt;/code&gt; but it's blocked because the iframe that the app is loaded into does not allow cross-origin requests.&lt;/p&gt;
&lt;p&gt;At best I've gotten &lt;code&gt;window.open&lt;/code&gt; to work but because of the cross-origin policy it opens in a new page even if the &lt;code&gt;windowName&lt;/code&gt; parameter is set to &lt;code&gt;window.name&lt;/code&gt;.&lt;/p&gt;
</t>
  </si>
  <si>
    <t xml:space="preserve">&lt;p&gt;I am working on powerapps which will integrate with CRM and create records in it. As part of this I wanted to save the peninput as a note in CRM. But CRM only takes images as base64 encoded. In powerapps the output of pen input is not base64 encoded instead it is a URI to a local blob storage. &lt;/p&gt;
&lt;p&gt;If I save the local blob storage then, in CRM it will not show the image.&lt;/p&gt;
&lt;p&gt;There is a way to do it in SharePoint but that is not working for CRM.&lt;/p&gt;
&lt;p&gt;Is there a way to save the peninput to CRM?&lt;/p&gt;
</t>
  </si>
  <si>
    <t xml:space="preserve">&lt;p&gt;I have an application that manages events. For every event several rooms can be booked. Hence I created tables for &lt;code&gt;EVENTS&lt;/code&gt;, for &lt;code&gt;ROOMS&lt;/code&gt; and for &lt;code&gt;ROOM_BOOKINGS&lt;/code&gt;.&lt;/p&gt;
&lt;p&gt;&lt;code&gt;EVENTS&lt;/code&gt; has a one-to-many relation with &lt;code&gt;ROOM_BOOKINGS&lt;/code&gt; which itself has a many-to-one relation with &lt;code&gt;ROOMS&lt;/code&gt;.&lt;/p&gt;
&lt;p&gt;Now I would like to trigger a pop-up from the event details page to create a new room booking for the event. Using the form generator I get a dropdown for the event the room binding should be tied to. &lt;/p&gt;
&lt;p&gt;I would like to set this dropdown in form for a new room booking to the event that is shown on the current event details page and disable editing by the user. &lt;/p&gt;
&lt;p&gt;I tried to set the options of the dropdown using the button that triggers the popup:&lt;/p&gt;
&lt;pre&gt;&lt;code&gt;app.popups.AddRoomBooking.visible = true;
var currentEvent = [widget.datasource.item];
app.popups.AddRoomBooking.descendants.roomsbookedField.options = currentEvent;
&lt;/code&gt;&lt;/pre&gt;
&lt;p&gt;But this not only feels weird, it also doesn't work, returning:&lt;/p&gt;
&lt;blockquote&gt;
  &lt;p&gt;Fri Jul 06 12:18:10 GMT+200 2018 Expected List to match
  List. at
  EventDetailPage.roomBookingPanel.room_bookings_table.addRoomBooking.onClick:4:64&lt;/p&gt;
&lt;/blockquote&gt;
&lt;p&gt;&lt;strong&gt;I guess the fundamental problem is that I do not understand what needs to be passed to a dropdown if it should represent a many-to-one relation.&lt;/strong&gt;&lt;/p&gt;
</t>
  </si>
  <si>
    <t xml:space="preserve">&lt;p&gt;I have a page where I need to display projects from one table according to there status - I need To Do, In Progress, Done like on kanban board. I tried to filter each panel according to status but I guess because I filter the same datasource I end up with the same data in all three panels. Any advice? Thanks!&lt;/p&gt;
</t>
  </si>
  <si>
    <t xml:space="preserve">&lt;p&gt;At least two options come to mind:&lt;/p&gt;
&lt;ol&gt;
&lt;li&gt;&lt;p&gt;Use one datasource, but 3 tables, for each table, bind the Table Row's visible property to the item's status like: @datasource.item.status === "Done", etc. And then for the other two tables do the same but with a different status value, this will basically just hide the rows that don't match your desired status.&lt;/p&gt;&lt;/li&gt;
&lt;li&gt;&lt;p&gt;Use 3 datasources, and either have a query that loads a specific status, or let the user filter within that status using query filters (@datasource.query.filters.type._equals = "Done"). This way each table is its own datasource and set of records that does not overlap.&lt;/p&gt;&lt;/li&gt;
&lt;/ol&gt;
</t>
  </si>
  <si>
    <t xml:space="preserve">&lt;p&gt;I'm making a library for connecting an Informix database with a C# extension for use in Outsystems.&lt;/p&gt;
&lt;p&gt;So, now I've hit a wall. I need to receive a list/multiset from the db. How can I do that? I'm using the IfxDataReader to receive the data. But I see no method that could work.&lt;/p&gt;
&lt;p&gt;&lt;a href="https://stackoverflow.com/questions/11038298/how-to-pass-an-informix-collection-parameter-list-set-multiset-in-c-sharp-th"&gt;Here&lt;/a&gt; is how we can send a list/multiset input parameter. But I need to receive it from a result set.&lt;/p&gt;
&lt;p&gt;EDIT: Seeing as this was frowned upon by someone I'll provide some code and my try at it to see if you think it's correct (can't test it right now as I don't yet have data on the database... I'll test it in the end):&lt;/p&gt;
&lt;pre&gt;&lt;code&gt;        ssBensAndFotos = new RLBensAndFotos_BemRecordList();
        DatabaseConnection dc = new DatabaseConnection(ssDatabase, ssHost, ssServer, ssService, ssProtocol, ssUserID, ssPassword);
        try
        {
            dc.Conn = new IfxConnection(dc.ConnectionString);
            dc.Cmd = new IfxCommand("get_bens_and_fotos_by_id_diligencia", dc.Conn);
            dc.Cmd.CommandType = CommandType.StoredProcedure;
            dc.Cmd.Parameters.Add(new IfxParameter("pi_id_diligencia", IfxType.Integer) { Direction = ParameterDirection.Input, Value = sspi_id_diligencia });
            dc.Conn.Open();
            using (IfxDataReader reader = dc.Cmd.ExecuteReader())
                if (reader.HasRows)
                    while (reader.Read())
                    {
                        var bensAndFotos = new STBensAndFotos_BemStructure()
                        {
                            ssid_bem = reader.GetInt32(0),
                            ssnumero = reader.GetInt32(1),
                            ssespecie = reader.GetString(2),
                            ssbem = reader.GetString(3),
                            ssvalor = reader.GetDecimal(4),
                            sscomum = reader.GetInt32(5),
                            ssvoice_record = AuxiliaryMethods.CreateByteArrayFromIfxBlob(reader.GetIfxBlob(6))
                        };
                       // Here I get the string, split it and check to see which members of the array are integers, since in this case I'll be getting a multiset of int's
                        var multisetString = reader.GetString(7).Split('\'');
                        int n;
                        foreach (var item in multisetString)
                            if (int.TryParse(item, out n))
                                bensAndFotos.ssfotos.Add(new STBensAndFotos_FotoStructure() { ssfoto = n });
                        ssBensAndFotos.Add(bensAndFotos);
                    }
            dc.Conn.Close();
        }
        catch (Exception ex)
        {
            throw new Exception(ex.Message);
        }
&lt;/code&gt;&lt;/pre&gt;
</t>
  </si>
  <si>
    <t xml:space="preserve">&lt;p&gt;LIST, MULTISET and SET are mapped to String. You should be able to use IfxDataReader.GetString() to get the data.&lt;/p&gt;
</t>
  </si>
  <si>
    <t xml:space="preserve">&lt;p&gt;I have list of thumbnails. I want to drag those images to the container. I want thumbnails to be changed to original pictures which are stored in the db.And I want to perform drag action (overlap)on those images which are dropped inside the container.&lt;/p&gt;
&lt;p&gt;Below is the code snippet
Here i am using dragging function to send thumbnails&lt;/p&gt;
&lt;pre&gt;&lt;code&gt; "&amp;lt;script&amp;gt;
$(function() {
    $('#" + EncodeJavaScript(DraggableId) + "' ).draggable({
    helper: 'clone'
    });
});              
&amp;lt;/script&amp;gt;"
&lt;/code&gt;&lt;/pre&gt;
&lt;p&gt;Below is the code snippet where i am displaying the corresponding image&lt;/p&gt;
&lt;pre&gt;&lt;code&gt;"&amp;lt;script&amp;gt;
$(function() {
    $('#" + EncodeJavaScript(DroppableId) + "' ).droppable({
        drop: function( event, ui ) {
           $( this ) this )
              .html('&amp;lt;img 
src=data:image/.png;base64,"+BinaryImg+" height=80px width=80px &amp;gt; ') '-&amp;gt; Here i am not getting actual image instead i got a blank image 
}
    });
});
&amp;lt;/script&amp;gt;"
&lt;/code&gt;&lt;/pre&gt;
</t>
  </si>
  <si>
    <t xml:space="preserve">&lt;p&gt;I have made an accordion in Google App Maker and it's working fine.&lt;/p&gt;
&lt;p&gt;But by defect, the first accordion row shows the detail part... I don't want to show the details unless we specify it (clicking on a "expand" button) &lt;/p&gt;
&lt;p&gt;Is that possible? I have tried to do it via css and it doesn't work...&lt;/p&gt;
&lt;p&gt;I also have tried this: (widget = expand button)&lt;/p&gt;
&lt;pre&gt;&lt;code&gt;if (widget.parent.parent.children.Accordion1Detail.visible === false){
  widget.parent.parent.children.Accordion1Detail.visible = true;
} else {
  widget.parent.parent.children.Accordion1Detail.visible = false;
}
&lt;/code&gt;&lt;/pre&gt;
</t>
  </si>
  <si>
    <t xml:space="preserve">&lt;p&gt;Refer &lt;a href="https://developers.google.com/appmaker/templates/vendor-ratings/" rel="nofollow noreferrer"&gt;this&lt;/a&gt; template. It has the example of Accordion Expanded/Not Expanded.&lt;/p&gt;
&lt;p&gt;Overall you need to Bind the following &lt;code&gt;onAttach&lt;/code&gt; event.&lt;/p&gt;
&lt;pre&gt;&lt;code&gt;  widget.styles = ['collapsed'];
  widget.getElement().removeAttribute('aria-expanded'); 
&lt;/code&gt;&lt;/pre&gt;
&lt;p&gt;Bind the &lt;code&gt;toggleAccordionRow&lt;/code&gt; method on &lt;code&gt;onClick()&lt;/code&gt; event,&lt;/p&gt;
&lt;pre&gt;&lt;code&gt;/**
 * Expands an accordion row. 
 * Extends default functionality of the Accordion widget.
 * @param {Widget} accordionRow - accordion row which was clicked.
 */
function expandAccordionRow(accordionRow) {
  var rows = accordionRow.parent.children._values;
  var i = 0;
  for (i = 0; i &amp;lt; rows.length; i++) {
    if (rows[i].name.indexOf('YourElementName') &amp;gt; -1) {
      rows[i].styles = [];
    } else {
      rows[i].styles = ['collapsed'];
    }
  }
  accordionRow.styles = [];
}
/**
 * Collapses an accordion row. 
 * Extends default functionality of the Accordion widget.
 * @param {Widget} accordionRow - accordion row which was clicked.
 */
function collapseAccordionRow(accordionRow) {
  var rows = accordionRow.parent.children._values;
  var i = 0;
  accordionRow.styles = ['collapsed'];
  for (i = 0; i &amp;lt; rows.length; i++) {
    if (rows[i].name.indexOf('YourElementName') &amp;gt; -1) {
      rows[i].styles = ['hidden'];
    }
  }
}
/**
 * Toggles the appearance of an accordion row. 
 * Extends default functionality of the Accordion widget.
 * @param {Widget} accordionRow - accordion row which was clicked.
 */
function toggleAccordionRow(accordionRow) {
  if (accordionRow.styles.length === 0) {
    collapseAccordionRow(accordionRow);
  } else {
    expandAccordionRow(accordionRow);
  }
}
&lt;/code&gt;&lt;/pre&gt;
</t>
  </si>
  <si>
    <t xml:space="preserve">&lt;p&gt;I have a task lisk with Assignees. Right now I show email I get from field Assignee but I would like to show a profile picture instead. Id like to use the ThumbnailPhotoUrl from the directory but so far Ive failed to write a script that would return this value based on the Assignee. &lt;/p&gt;
</t>
  </si>
  <si>
    <t xml:space="preserve">&lt;p&gt;I am getting an error, when trying to execute Deluge script under workflow, when writing a function for Account module, where I need to fetch records based on filter criteria. I run below query script, but its showing the error. &lt;/p&gt;
&lt;pre&gt;&lt;code&gt;response=zoho.crm.searchRecords("Accounts", "(Account Name|starts with|A*)");  
info response;
&lt;/code&gt;&lt;/pre&gt;
&lt;p&gt;Error response: &lt;/p&gt;
&lt;pre&gt;&lt;code&gt;{"code":"INVALID_QUERY","details":{},"message":"invalid query formed","status":"error"}
&lt;/code&gt;&lt;/pre&gt;
&lt;p&gt;This query is the default query provided by Zoho blog itself. I just copied and pasted it.&lt;br&gt;
Right now I am using trial Zoho account. May it be the reason? &lt;/p&gt;
</t>
  </si>
  <si>
    <t xml:space="preserve">&lt;p&gt;I'm using SuggestBox with a Calculated Model. Options are provided by a database query. The Query Script (Server Script) is executed correctly and filtered records are returned, but the widget's datasource is not in "loading" state while queries are running; this makes using a spinner a little bit difficult. I have to use SuggestBox's events to make the spinner visible/not visible. Have I missed something?
If the Calculated Model has several datasources (I think it's possible) will SuggestBox use the one with the name equal to the Calculated Model's name?
Thank you.&lt;/p&gt;
</t>
  </si>
  <si>
    <t xml:space="preserve">&lt;p&gt;First time trying to link an App Maker project to my CloudSQL instance, however, I can't get past this message:&lt;/p&gt;
&lt;blockquote&gt;
  &lt;p&gt;The default Google Cloud SQL instance is not setup properly. Please ask a G Suite administrator to check the Google Cloud SQL configuration for your domain. (Reason: App Maker is unable to verify the default Google Cloud SQL instance. The instance must be a 2nd generation SQL database that is located in the us-central1 region.)&lt;/p&gt;
&lt;/blockquote&gt;
&lt;p&gt;&lt;img src="https://i.stack.imgur.com/8ceCr.png" alt="enter image description here"&gt;&lt;/p&gt;
</t>
  </si>
  <si>
    <t xml:space="preserve">&lt;p&gt;I am trying to integrate an Azure function from PowerApps.
The function returns a very simple JSON:&lt;/p&gt;
&lt;p&gt;{
  "response": "test"
}&lt;/p&gt;
&lt;p&gt;Testing the custom connector from PowerApps works fine and returns the right result however when I use this connector inside the app itself it returns true/false rather than the value of the response.&lt;/p&gt;
&lt;p&gt;All the forums/blogs I've found say to define the variable on the button as follows-
UpdateContext({testvar:'functioname'.FunctionPOST("test")})&lt;/p&gt;
&lt;p&gt;Then use testvar to show the response but all I get is true/false rather than the response. 
Looking at the variables confirms that the variable gets created as Boolean (and if I try to create it as a string typed global variable it gets converted to a Boolean typed Screen variable).
I checked the response definition on the custom connector and it is set correctly to 'string'.
Ideas?&lt;/p&gt;
</t>
  </si>
  <si>
    <t xml:space="preserve">&lt;p&gt;I want to get my visualforce page apex code through rest API. I tried metadata API like /services/data/v41.0/sobjects/{sobjectName}/describe/layouts and I am able to access fields information but I want to access apex code of the page where define all fields and triggers.&lt;/p&gt;
&lt;p&gt;Any guidance would be appreciated. Thanks&lt;/p&gt;
</t>
  </si>
  <si>
    <t xml:space="preserve">&lt;p&gt;You can get the body of Apex classes (that aren't part of managed packages) from a query on the &lt;code&gt;ApexClass&lt;/code&gt; standard object:&lt;/p&gt;
&lt;pre&gt;&lt;code&gt;curl \
-H 'X-PrettyPrint: 1' \
-H 'Authorization: Bearer &amp;lt;session-id&amp;gt;' \
https://ap4.salesforce.com/services/data/v43.0/tooling/query?q=SELECT+Body+FROM+ApexClass+LIMIT+1
&lt;/code&gt;&lt;/pre&gt;
&lt;p&gt;Visualforce pages can be retrieved similarly through a query on the &lt;code&gt;ApexPage&lt;/code&gt; standard object to retrieve the &lt;code&gt;Markup&lt;/code&gt;:&lt;/p&gt;
&lt;pre&gt;&lt;code&gt;curl \
-H 'X-PrettyPrint: 1' \
-H 'Authorization: Bearer &amp;lt;session-id&amp;gt;' \
https://ap4.salesforce.com/services/data/v43.0/tooling/query?q=SELECT+Markup+FROM+ApexPage+LIMIT+1
&lt;/code&gt;&lt;/pre&gt;
&lt;p&gt;For more information on available standard fields and objects to query, check out the &lt;a href="https://resources.docs.salesforce.com/sfdc/pdf/object_reference.pdf" rel="nofollow noreferrer"&gt;Object Reference&lt;/a&gt;&lt;/p&gt;
</t>
  </si>
  <si>
    <t xml:space="preserve">&lt;p&gt;I'm trying to add a field on my form that suggests different ID's in the database. I'm getting the error suggest_field.ID does not support the startsWith function. Is there any way to change this so that I can use the Suggest box with numbers&lt;/p&gt;
</t>
  </si>
  <si>
    <t xml:space="preserve">&lt;ol&gt;
&lt;li&gt;&lt;p&gt;I have connected app created in org 2 with OAuth enabled.&lt;/p&gt;&lt;/li&gt;
&lt;li&gt;&lt;p&gt;I'm using OAuth2.0 User agent workflow in org1 where I have lightning app.&lt;/p&gt;&lt;/li&gt;
&lt;li&gt;&lt;p&gt;Upon clicking a button (named auth target org) in lightning component page, &lt;/p&gt;&lt;/li&gt;
&lt;li&gt;&lt;p&gt;window.open(endpturl,'_self');
var currLoc = window.location.href;
&lt;strong&gt;alert ('Curr Loc is:  ' + currLoc);&lt;/strong&gt; //prints the URL from where I clicked button (named auth target org). Expected this statement to be executed after step 7. Hence not able to capture the access token.&lt;/p&gt;&lt;/li&gt;
&lt;li&gt;&lt;p&gt;Redirects to salesforce authorization/login page.&lt;/p&gt;&lt;/li&gt;
&lt;li&gt;&lt;p&gt;enter user credential --&gt; click allow access.&lt;/p&gt;&lt;/li&gt;
&lt;li&gt;&lt;p&gt;Redirects to as per connected app configured callback URL 
&lt;a href="https://business-momentum-162-dev-ed.cs2.my.salesforce.com/services/oauth2/success#access_token=abc&amp;amp;instance_url=https%3A%2F%2Fdream-innovation-4602-dev-ed.cs40.my.salesforce.com&amp;amp;id=https%3A%2F%2Ftest.salesforce.com%2Fid%2F00D540000009LzUEAU%2F00554000000zjC5AAI&amp;amp;issued_at=1531980498349&amp;amp;signature=abc&amp;amp;scope=id+api&amp;amp;token_type=Bearer" rel="nofollow noreferrer"&gt;https://business-momentum-162-dev-ed.cs2.my.salesforce.com/services/oauth2/success#access_token=abc&amp;amp;instance_url=https%3A%2F%2Fdream-innovation-4602-dev-ed.cs40.my.salesforce.com&amp;amp;id=https%3A%2F%2Ftest.salesforce.com%2Fid%2F00D540000009LzUEAU%2F00554000000zjC5AAI&amp;amp;issued_at=1531980498349&amp;amp;signature=abc&amp;amp;scope=id+api&amp;amp;token_type=Bearer&lt;/a&gt;&lt;/p&gt;&lt;/li&gt;
&lt;/ol&gt;
&lt;p&gt;&lt;strong&gt;BUT i'm not able to capture the access token as step 4 executed before step 7. Hence not able to capture access token&lt;/strong&gt;. Please do let me know if there is way to get/capture access token.&lt;/p&gt;
&lt;pre&gt;&lt;code&gt;    client side controller code (**using window object**):
    ({ AuthTargetOrg : function (component, event, helper) {
    var endpturl = 'https://test.salesforce.com/services/oauth2/authorize?response_type=token&amp;amp;client_id=abc123&amp;amp;redirect_uri=https%3A%2F%2Fbusiness-momentum-162-dev-ed.lightning.force.com%2Fservices%2Foauth2%2Fsuccess';
    window.open(endpturl,'_self');
    var currLoc = window.location.href;
    alert ('Curr Loc is:  ' + currLoc); //  prints home page URL from where I clicked "auth target org" button, rather this statement expected to execute after step 7.
   )}
&lt;/code&gt;&lt;/pre&gt;
&lt;p&gt;Regards,
PJS&lt;/p&gt;
</t>
  </si>
  <si>
    <t xml:space="preserve">&lt;p&gt;I need to create interface through Google App Maker, the interface basically will read the data which is information of my Google groups from spreadsheet and create the groups. There is only a button and whenever button is clicked the createGroup() method is called to run. However, I am getting the error when I preview the app;&lt;/p&gt;
&lt;blockquote&gt;
  &lt;p&gt;TypeError: Cannot call method "getRange" of null. at createGroup (Server:16)&lt;/p&gt;
&lt;/blockquote&gt;
&lt;p&gt;As my understanding, it says the spreadsheet empty but it is not.&lt;/p&gt;
&lt;p&gt;My client and server code like below;&lt;/p&gt;
&lt;p&gt;Server:&lt;/p&gt;
&lt;pre&gt;&lt;code&gt;function createGroup() {
  var sheetID = 'ID';
  var spreadsheetName= 'Name';
  var spreadsheetId = sheetID;
  var sheetName= spreadsheetName;
  var spreadsheet = SpreadsheetApp.openById(spreadsheetId);
  //var sheet = SpreadsheetApp.getActiveSpreadsheet();
  var sheet = spreadsheet.getSheetByName(sheetName);
  **var Avals = sheet.getRange("B1:B").getValues();**
  var Alast = Avals.filter(String).length;
  for (var j = 2; j&amp;lt; Alast+1; j++) {
      var columnEmailName = sheet.getRange(j,2).getValue()+"@domainname.com"; //Group's email
      var columnGroupName = sheet.getRange(j,2).getValue(); //Group's name
      try {
          groups= AdminDirectory.Groups.get(columnEmailName);
      }
      catch(e){
          var response = AdminDirectory.Groups.insert({
              "name": columnGroupName, 
              "email": columnEmailName, 
              "description": "This is the "+ columnGroupName+ " group."
          });
      }
  }
}
&lt;/code&gt;&lt;/pre&gt;
&lt;p&gt;Client: &lt;/p&gt;
&lt;pre&gt;&lt;code&gt;function createGroup() {
  google.script.run
    .withFailureHandler(function(error) {
      console.error(error);
    })
    .withSuccessHandler(function() {
    })
    .createGroup();
}
&lt;/code&gt;&lt;/pre&gt;
&lt;p&gt;Could you please help if anyone knows about the error? &lt;/p&gt;
</t>
  </si>
  <si>
    <t xml:space="preserve">&lt;p&gt;I found some helpful information in this post [&lt;a href="https://stackoverflow.com/questions/49573392/adding-google-groups-to-roles/51430901#51430901"&gt;Adding google groups to roles&lt;/a&gt; ] which helped me realize I have to have permissions to at least read group membership in order to get a group to properly assign to a role under access permissions (or role assignment).  The only way I could get the small group icon next to the group e-mail address was to add myself (developer account) to that group.  I do not want to be added to every group in my domain which I assign to roles in my appmaker apps but I can't seem to find the right access permissions to grant access.&lt;/p&gt;
&lt;p&gt;I have a second group which I have NOT added myself to but have allowed all in the organization to view members and members e-mail addresses.  Is there something I'm missing as appmaker does not appear to find the group (as indicated by the group icon) when adding it to a role?&lt;/p&gt;
</t>
  </si>
  <si>
    <t xml:space="preserve">&lt;p&gt;I want to merge 6 different profiles into one, consolidating  FLS, Record Type, Permission sets, Page layouts in salesforce. May I know whats the best possible and easiest way to do it?&lt;/p&gt;
&lt;p&gt;Thanks&lt;/p&gt;
</t>
  </si>
  <si>
    <t xml:space="preserve">&lt;p&gt;&lt;a href="https://i.stack.imgur.com/WRF5D.jpg" rel="nofollow noreferrer"&gt;&lt;img src="https://i.stack.imgur.com/WRF5D.jpg" alt="My Table"&gt;&lt;/a&gt;&lt;/p&gt;
&lt;p&gt;Hi there,&lt;/p&gt;
&lt;p&gt;I am writing an SQL query to derive closing balance and value of which shall be used to calculate opening balance for next row and so on. My Table structure is pasted in the image above code is as mentioned below :&lt;/p&gt;
&lt;pre&gt;&lt;code&gt;SELECT
         t1."Document Date" as txn_dt,
         t1."GL Account Code" as gl_code,
         t1."GL Account Description" as cst_name,
         t1."Debit Amount" as debit,
         t1."Credit Amount" as credit,
         t2."Opening Balance" as op_bal,
         t1."Debit Amount" + t1."Credit Amount" + t2."Opening Balance" as closing_bal
FROM  "Trial Balance 1617" t1,
     "GL Master Account" t2 
WHERE    t1."GL Account Code"  = t2."GL Account Code"
 AND    t1."GL Account Code"  = 'A3010101B058'
&lt;/code&gt;&lt;/pre&gt;
&lt;p&gt;Please note that LAG and LEAD is unsupported in ZOHO reports
Can someone please guide me ?&lt;/p&gt;
</t>
  </si>
  <si>
    <t xml:space="preserve">&lt;p&gt;Assuming "Trial Balance 1617" is a rollup table that has a unique index on GL Account Code and Document Date, you can just manually calculate sums of debits and credits leading up to a particular entry like this:&lt;/p&gt;
&lt;pre&gt;&lt;code&gt;create table "Trial Balance 1617" ("Document Date" date, "GL Account Code" varchar(25), 
    "Debit Amount" numeric(12,2), "Credit Amount" numeric(12,2))
create table "GL Master Account" ("GL Account Code" varchar(25), "Opening Balance" numeric(12,2))
insert into "GL Master Account" values ('A3010101B058', '8110339.14')
insert into "Trial Balance 1617" values ('4/1/2016', 'A3010101B058', 5332269.28, 0)
insert into "Trial Balance 1617" values ('4/2/2016', 'A3010101B058', 741674.9, 0)
insert into "Trial Balance 1617" values ('4/4/2016', 'A3010101B058', 570253.96, 0)
insert into "Trial Balance 1617" values ('4/5/2016', 'A3010101B058', 0, -148839.52)
SELECT
    t1."Document Date" as txn_dt,
    t1."GL Account Code" as gl_code,
    t1."Debit Amount" as debit,
    t1."Credit Amount" as credit,
    case 
    when not exists 
        (select * from "Trial Balance 1617" where "GL Account Code" = t1."GL Account Code" and "Document Date" &amp;lt; t1."Document Date")
            then t2."Opening Balance" 
    else
        t2."Opening Balance" + (select sum("Debit Amount") from "Trial Balance 1617" where "GL Account Code" = t1."GL Account Code" and "Document Date" &amp;lt; t1."Document Date")
            - (select sum("Credit Amount") from "Trial Balance 1617" where "GL Account Code" = t2."GL Account Code" and "Document Date" &amp;lt; t1."Document Date") 
            - (select sum("Credit Amount") from "Trial Balance 1617" where "GL Account Code" = t2."GL Account Code" and "Document Date" &amp;lt; t1."Document Date")
    end as op_bal,
    case 
    when not exists 
        (select * from "Trial Balance 1617" where "GL Account Code" = t1."GL Account Code" and "Document Date" &amp;lt; t1."Document Date")
            then t2."Opening Balance" 
    else
        t2."Opening Balance" + (select sum("Debit Amount") from "Trial Balance 1617" where "GL Account Code" = t1."GL Account Code" and "Document Date" &amp;lt; t1."Document Date")
            - (select sum("Credit Amount") from "Trial Balance 1617" where "GL Account Code" = t2."GL Account Code" and "Document Date" &amp;lt; t1."Document Date") 
            - (select sum("Credit Amount") from "Trial Balance 1617" where "GL Account Code" = t2."GL Account Code" and "Document Date" &amp;lt; t1."Document Date")
    end + t1."Debit Amount" + t1."Credit Amount" as closing_bal
FROM "Trial Balance 1617" t1
INNER JOIN "GL Master Account" t2 ON t1.[GL Account Code] = t2.[GL Account Code]
WHERE t1."GL Account Code"  = 'A3010101B058'
&lt;/code&gt;&lt;/pre&gt;
&lt;p&gt;Returns:&lt;/p&gt;
&lt;pre&gt;&lt;code&gt;txn_dt      gl_code         debit       credit      op_bal      closing_bal
2016-04-01  A3010101B058    5332269.28  0.00        8110339.14  13442608.42
2016-04-02  A3010101B058    741674.90   0.00        13442608.42 14184283.32
2016-04-04  A3010101B058    570253.96   0.00        14184283.32 14754537.28
2016-04-05  A3010101B058    0.00        -148839.52  14754537.28 14605697.76
&lt;/code&gt;&lt;/pre&gt;
&lt;p&gt;If you can use CTEs, you can clean it up a lot by calculating the opening balance in a separate query:&lt;/p&gt;
&lt;pre&gt;&lt;code&gt;;with cte_op_balance as
(
    SELECT
         t1."Document Date" as txn_dt,
         t1."GL Account Code" as gl_code,
         case 
            when not exists 
                (select * from "Trial Balance 1617" where "GL Account Code" = t1."GL Account Code" and "Document Date" &amp;lt; t1."Document Date")
                    then t2."Opening Balance" 
            else
                t2."Opening Balance" + (select sum("Debit Amount") from "Trial Balance 1617" where "GL Account Code" = t1."GL Account Code" and "Document Date" &amp;lt; t1."Document Date")
                    - (select sum("Credit Amount") from "Trial Balance 1617" where "GL Account Code" = t2."GL Account Code" and "Document Date" &amp;lt; t1."Document Date") 
                    - (select sum("Credit Amount") from "Trial Balance 1617" where "GL Account Code" = t2."GL Account Code" and "Document Date" &amp;lt; t1."Document Date")
         end as op_bal
        FROM "Trial Balance 1617" t1
        INNER JOIN "GL Master Account" t2 ON t1.[GL Account Code] = t2.[GL Account Code]
        WHERE t1."GL Account Code"  = 'A3010101B058'
)
SELECT
         t1."Document Date" as txn_dt,
         t1."GL Account Code" as gl_code,
         t1."Debit Amount" as debit,
         t1."Credit Amount" as credit,
         c.op_bal,
         c.op_bal + t1."Debit Amount" + t1."Credit Amount" as closing_bal
FROM "Trial Balance 1617" t1
INNER JOIN "GL Master Account" t2 ON t1.[GL Account Code] = t2.[GL Account Code]
INNER JOIN cte_op_balance c ON t1.[GL Account Code] = c.gl_code and t1.[Document Date] = c.txn_dt
WHERE t1."GL Account Code"  = 'A3010101B058'
&lt;/code&gt;&lt;/pre&gt;
</t>
  </si>
  <si>
    <t xml:space="preserve">&lt;p&gt;How do I get the field type of a field in Google App Maker?&lt;/p&gt;
&lt;p&gt;I have tried to find it via:&lt;/p&gt;
&lt;p&gt;app.models.MODEL_NAME.fields.date&lt;/p&gt;
&lt;p&gt;but there isn't a property type for a field.&lt;/p&gt;
&lt;p&gt;So the question is how can I find the type of a field via Javascript?&lt;/p&gt;
&lt;p&gt;Many thanks&lt;/p&gt;
</t>
  </si>
  <si>
    <t xml:space="preserve">&lt;p&gt;Interesting question. Here is how I do it; Suppose I want to know what are all the field types of a model. I use this:&lt;/p&gt;
&lt;pre&gt;&lt;code&gt;var allFields = app.models.MODEL_NAME.fields._values;
for( var f=0; f&amp;lt;allFields.length; f++) {
  var field = allFields[f];  
  var fieldType = field.__gwt_instance.b.B.j;
  console.log(fieldType);
}
&lt;/code&gt;&lt;/pre&gt;
&lt;p&gt;So, in summary, all you have to do is get the field:&lt;/p&gt;
&lt;pre&gt;&lt;code&gt;var field = app.models.MODEL_NAME.fields.DESIRED_FIELD
&lt;/code&gt;&lt;/pre&gt;
&lt;p&gt;Then you just get the type like this:&lt;/p&gt;
&lt;pre&gt;&lt;code&gt;var fieldType = field.__gwt_instance.b.B.j;
&lt;/code&gt;&lt;/pre&gt;
&lt;p&gt;As I say, this works for me. I hope this works for you too!&lt;/p&gt;
</t>
  </si>
  <si>
    <t xml:space="preserve">&lt;p&gt;Almost a month I tried to understand the template but found a dead end. Had tried posted &lt;a href="https://groups.google.com/d/msg/appmaker-users/pWXYuYHmJFI/XTdyFr71BQAJ" rel="nofollow noreferrer"&gt;here&lt;/a&gt; on the App Maker Users Forum to request on a tutorial video to explain on how's the template work .. yet still no reply from them.&lt;/p&gt;
&lt;p&gt;Can anyone with the Google AppMaker expertise kindly explain to me how's this different layer of approval been done. In this example from &lt;a href="https://developers.google.com/appmaker/templates/document-approval/" rel="nofollow noreferrer"&gt;Document Approval&lt;/a&gt; template, user need to manually key in their approver. But what I try to achieve is that, the system will automatically set the different layer of approval when user submit the request. Can anyone guide me on how to do that .. any help from the floor? Thanks ..&lt;/p&gt;
&lt;p&gt;&lt;a href="https://i.stack.imgur.com/K58rB.png" rel="nofollow noreferrer"&gt;&lt;img src="https://i.stack.imgur.com/K58rB.png" alt="screenshot of the approval stages interface"&gt;&lt;/a&gt;&lt;/p&gt;
</t>
  </si>
  <si>
    <t xml:space="preserve">&lt;p&gt;Well I've been working on this template since last 5 months and you will need to do a lot of customization to use it in PROD like environment and I think that is okay because Google team has provided us a starting point by providing us templates. We need to customize it as per our need.&lt;/p&gt;
&lt;p&gt;Here are the steps that template will do for you.&lt;/p&gt;
&lt;ol&gt;
&lt;li&gt;End user will see all the request he has already made on the home screen. If any. On the right hand side '+' button, user can start a new request.&lt;/li&gt;
&lt;li&gt;Here an end user can choose any document from Google Drive/ Team Drive and provide the description for that file and click on 'ADD' button. On the next screen he can provide a list of approvers. Here this template supports both sequential and parallel approvals. i.e. More than one approver can take action at same time or you can have a workflow like approvals where Approver 1 approves first then only Approver 2 gets notified for the action.&lt;/li&gt;
&lt;li&gt;Once all approvers are in place users can submit the request and Doc is sent for Approvals with the approvers.&lt;/li&gt;
&lt;li&gt;Approvers can Approve/Reject the request with Comments. After all approvals are done workflow is closed.&lt;/li&gt;
&lt;/ol&gt;
&lt;p&gt;Now your second question is somewhat unclear. I think you are referring to Auto Approver names should be added. Please refer &lt;a href="https://stackoverflow.com/questions/51186512/app-maker-document-approval-template-how-can-i-add-default-approvers/51188680?noredirect=1#comment89363757_51188680"&gt;this&lt;/a&gt; if your question is same, or else please provide exact use case. &lt;/p&gt;
</t>
  </si>
  <si>
    <t xml:space="preserve">&lt;p&gt;As Zoho is going to deprecate the v1 support for rest API. I am changing the API's to support v2.&lt;/p&gt;
&lt;p&gt;Earlier there was a field in Lead module saying lastModifiedTime which helped to get only those leads which are modified. And the query string contained lastModifiedTime={SOMEDATETIME}.&lt;/p&gt;
&lt;p&gt;But in the new version of API, I am not able to apply that criteria.
Below is my URL.&lt;/p&gt;
&lt;p&gt;&lt;code&gt;https://www.zohoapis.com/crm/v2/Leads/search?criteria=(Modified Time:equals:2018-07-19T17:39:46+05:30)&lt;/code&gt;&lt;/p&gt;
&lt;p&gt;I tried different fields but all the date fields are giving me the below error.&lt;/p&gt;
&lt;p&gt;&lt;code&gt;{
    "code": "INVALID_QUERY",
    "details": {
        "reason": "the field is not available for search",
        "api_name": "Modified Time"
    },
    "message": "invalid query formed",
    "status": "error"
}&lt;/code&gt;&lt;/p&gt;
</t>
  </si>
  <si>
    <t xml:space="preserve">&lt;p&gt;I have a problem in OutSystems saving text into database, which contains &lt;code&gt;"&lt;/code&gt;.&lt;/p&gt;
&lt;p&gt;For example user inputs in a text field the text &lt;code&gt;"c".&lt;/code&gt; In a debugger i can see that it converts into &lt;code&gt;text="""c""."&lt;/code&gt;, probably to escape the &lt;code&gt;"&lt;/code&gt; character in expressions. &lt;/p&gt;
&lt;p&gt;And when i write it in a database it is already &lt;code&gt;c"".&lt;/code&gt; &lt;/p&gt;
&lt;p&gt;How to handle this situation correctly?&lt;/p&gt;
</t>
  </si>
  <si>
    <t xml:space="preserve">&lt;p&gt;It looks like the outer quotes are trimmed of when showing the value in an entity.&lt;/p&gt;
&lt;p&gt;&lt;em&gt;This is speculation, but i think Outsystems uses a &lt;code&gt;trim(")&lt;/code&gt; function on database values due to underlying Outsystems mechanics. The trim function trims the quotes of your input because your value contains quotes at the start of your value. The trim function removes all characters at the start and end of a string.&lt;/em&gt;&lt;/p&gt;
&lt;p&gt;However it does seems that the correct value is showed when you use the value in your application. So in the database it's stored correctly.&lt;/p&gt;
&lt;ul&gt;
&lt;li&gt;Input: &lt;code&gt;"c".&lt;/code&gt;&lt;/li&gt;
&lt;li&gt;EscapedInput (how it's stored in the database: &lt;code&gt;""c"".&lt;/code&gt;&lt;/li&gt;
&lt;li&gt;Debugger view (adds quotes to a string): &lt;code&gt;"""c""."&lt;/code&gt;&lt;/li&gt;
&lt;li&gt;Entity view (trimmed escaped string): &lt;code&gt;c"".&lt;/code&gt;&lt;/li&gt;
&lt;li&gt;database value shown on your site: &lt;code&gt;"c".&lt;/code&gt;&lt;/li&gt;
&lt;/ul&gt;
</t>
  </si>
  <si>
    <t xml:space="preserve">&lt;p&gt;I am currently trying to build an application using Google App Maker. After a user hits a "Create" button, depending on whether the files were successfully or unsuccessfully sent, a popup snackbar should display saying "File successfully sent" or "Something went wrong. File not sent." I want to indicate to the user in the final deployed application (no bottom console log) whether their files were sent or not. I do not know how to do this. I have tried creating separate pre-created snackbars (one for success, one for failure) and having the clientscript function display either one depending on what is returned from the serverscript function. However, I do not know how to show them. How do you display a snackbar popup in a clientscript function? Thank you for your help!&lt;/p&gt;
</t>
  </si>
  <si>
    <t xml:space="preserve">&lt;p&gt;Please follow below steps in order to display Snackbar page.&lt;/p&gt;
&lt;ol&gt;
&lt;li&gt;Create a Snackbar page in your appmaker. In order to click on Left Hand Side panel '+' button on the "Page" section.
&lt;a href="https://i.stack.imgur.com/GnSyB.jpg" rel="noreferrer"&gt;&lt;img src="https://i.stack.imgur.com/GnSyB.jpg" alt="Popup"&gt;&lt;/a&gt;&lt;/li&gt;
&lt;li&gt;Choose Pop up. Click "Next" button. On the Next page Select "Snackbar" and click on "Create".&lt;/li&gt;
&lt;li&gt;This will create a snack bar page for you. Open the snack bar page. On the bottom part you can see a text box which will display your custom message. Bind a Function to it. Show cased below.
&lt;a href="https://i.stack.imgur.com/JPBYn.jpg" rel="noreferrer"&gt;&lt;img src="https://i.stack.imgur.com/JPBYn.jpg" alt="Message"&gt;&lt;/a&gt;&lt;/li&gt;
&lt;li&gt;Now in the client script add the following code to configure Snackbar.&lt;/li&gt;
&lt;/ol&gt;
&lt;p&gt;This will create a Reusable Snack bar for you for all different messages.&lt;/p&gt;
&lt;pre&gt;&lt;code&gt;//Client Script
var notificationText='';
function setNotificationText(text)
{
  notificationText=text;
}
function getNotificationText()
{
  return notificationText;
}
&lt;/code&gt;&lt;/pre&gt;
&lt;p&gt;Whenever any event happens add the following code to Display Snackbar.&lt;/p&gt;
&lt;pre&gt;&lt;code&gt;setNotificationText('Congratulations!!! You have successfully showcased SnackBar');
app.popups.Snackbar.visible = true;  //Snackbar is page name.
&lt;/code&gt;&lt;/pre&gt;
&lt;p&gt;Here configuring Snackbar code is optional, just to reuse one page for many messages. You can directly showcase the Snackbar page by adding &lt;code&gt;app.popups.Snackbar.visible = true;&lt;/code&gt; code in your client script.&lt;/p&gt;
</t>
  </si>
  <si>
    <t xml:space="preserve">&lt;p&gt;We have a need to have just one screen for creating and then editing the record in the same screen. So I don't know if we can create a record and then edit it in the same screen. We are using CRM as our data source.&lt;/p&gt;
</t>
  </si>
  <si>
    <t xml:space="preserve">&lt;p&gt;I have created an service account to access domain user's files in google drive to change sharing settings. &lt;/p&gt;
&lt;p&gt;Here is the app script code:&lt;/p&gt;
&lt;pre&gt;&lt;code&gt;`  if(service.hasAccess){
        var fileId = activity.events[0].parameters[6].value;
        var url = 'https://www.googleapis.com/drive/v2/files/'+fileId+'/permissions'
        var body = {
          'value': 'domain.com',
          'type': 'domain.com',
          'role': 'writer'
        };
                Logger.log("done");
         var response = UrlFetchApp.fetch(url, {
          method: 'POST',
          resource: body,
          headers: {
            Authorization: 'Bearer ' + service.getAccessToken()
          }
        });`
&lt;/code&gt;&lt;/pre&gt;
&lt;p&gt;I can see "done" text in the logs dialog box. So i think the service has access to users drive. But still raising the same error. Am i missing something here? any help would be appreciated, thank you.&lt;/p&gt;
</t>
  </si>
  <si>
    <t xml:space="preserve">&lt;p&gt;For some reason the Visible function in my Powerapps won't work I just wrote in &lt;code&gt;OnSelect() Mail.Visible = false&lt;/code&gt; 
The Mail is in this case a Textinput/ TextBox.
When I click on the button nothing happens. I can't find a documentation about it on the MS Website but I have in Powerapps a fuction called "Visible"&lt;/p&gt;
</t>
  </si>
  <si>
    <t xml:space="preserve">&lt;p&gt;You need to create a variable in the button's (or another control) &lt;code&gt;OnSelect&lt;/code&gt; property:&lt;/p&gt;
&lt;pre&gt;&lt;code&gt;UpdateContext({ mailVisible: false })
&lt;/code&gt;&lt;/pre&gt;
&lt;p&gt;And set the &lt;code&gt;Visible&lt;/code&gt; property of the &lt;code&gt;Mail&lt;/code&gt; control to &lt;code&gt;mailVisible&lt;/code&gt;. You may need to initialize that variable to &lt;code&gt;true&lt;/code&gt;, for example, in the screen's &lt;code&gt;OnVisible&lt;/code&gt; property:&lt;/p&gt;
&lt;pre&gt;&lt;code&gt;UpdateContext({ mailVisible: true })
&lt;/code&gt;&lt;/pre&gt;
&lt;p&gt;PowerApps works similarly to Excel - you cannot, by an action, change directly the value of a cell (e.g., &lt;code&gt;A1 = 42&lt;/code&gt;). But you can make the A1 cell reference another cell (say, &lt;code&gt;=A4&lt;/code&gt;), so when you change the value of the cell &lt;code&gt;A4&lt;/code&gt;, A1 will be updated as well. The same principle applies in PowerApps - you cannot change the value of a property from an action, but you can update the value that the property references.&lt;/p&gt;
</t>
  </si>
  <si>
    <t xml:space="preserve">&lt;p&gt;I want to get all custom labels through rest API. I used custom labels in apex page
like &lt;/p&gt;
&lt;blockquote&gt;
  &lt;p&gt;{!$Label.MyCustomLabel}&lt;/p&gt;
&lt;/blockquote&gt;
&lt;p&gt;. So can i get information about &lt;strong&gt;MyCustomLabel&lt;/strong&gt; through rest api.&lt;/p&gt;
&lt;p&gt;Any guidance would be appreciated. Thanks&lt;/p&gt;
</t>
  </si>
  <si>
    <t xml:space="preserve">&lt;p&gt;There's not really an easy way to get the custom labels out of an org. The CustomLabel/ExternalString object isn't queryable, and the &lt;code&gt;services/data/v43.0/nouns&lt;/code&gt; part of the rest api doesn't include them either. &lt;/p&gt;
&lt;p&gt;The only way to get custom labels from Salesforce right now is by reading metadata. The quickest way to do this would probably be to use the synchronous &lt;code&gt;listMetadata&lt;/code&gt; and &lt;code&gt;readMetadata&lt;/code&gt; calls. This uses the SOAP api, so there's a bit of XML involved here. &lt;/p&gt;
&lt;p&gt;1., &lt;strong&gt;&lt;code&gt;listMetadata&lt;/code&gt;&lt;/strong&gt;, replace &lt;code&gt;org-id&lt;/code&gt; with your org id, and replace &lt;code&gt;session-id&lt;/code&gt; with your session id.&lt;/p&gt;
&lt;pre&gt;&lt;code&gt;curl \
-H 'Content-Type: text/xml' \
-H 'SOAPAction: ""' \
https://ap4.salesforce.com/services/Soap/m/38.0/org-id \
-d '&amp;lt;?xml version="1.0" encoding="utf-8"?&amp;gt;&amp;lt;env:Envelope xmlns:xsd="http://www.w3.org/2001/XMLSchema" xmlns:xsi="http://www.w3.org/2001/XMLSchema-instance" xmlns:env="http://schemas.xmlsoap.org/soap/envelope/"&amp;gt;&amp;lt;env:Header&amp;gt;&amp;lt;n1:SessionHeader xmlns:n1="http://soap.sforce.com/2006/04/metadata"&amp;gt;&amp;lt;n1:sessionId&amp;gt;session-id&amp;lt;/n1:sessionId&amp;gt;&amp;lt;/n1:SessionHeader&amp;gt;&amp;lt;/env:Header&amp;gt;&amp;lt;env:Body&amp;gt;&amp;lt;n1:listMetadata xmlns:n1="http://soap.sforce.com/2006/04/metadata"&amp;gt;&amp;lt;n1:queries&amp;gt;&amp;lt;n1:type type="xsd:string"&amp;gt;CustomLabel&amp;lt;/n1:type&amp;gt;&amp;lt;/n1:queries&amp;gt;&amp;lt;/n1:listMetadata&amp;gt;&amp;lt;/env:Body&amp;gt;&amp;lt;/env:Envelope&amp;gt;'
&lt;/code&gt;&lt;/pre&gt;
&lt;p&gt;2., pull out all of the custom label names within the &lt;code&gt;&amp;lt;fullName&amp;gt;&lt;/code&gt; tags&lt;/p&gt;
&lt;p&gt;3., &lt;strong&gt;&lt;code&gt;readMetadata&lt;/code&gt;&lt;/strong&gt;, replace &lt;code&gt;org-id&lt;/code&gt; with your org id, replace &lt;code&gt;session-id&lt;/code&gt; with your session id, and replace &lt;code&gt;custom-label-name&lt;/code&gt; with the name of a custom label. &lt;/p&gt;
&lt;pre&gt;&lt;code&gt;curl \
-H 'Content-Type: text/xml' \
-H 'SOAPAction: ""' \
https://ap4.salesforce.com/services/Soap/m/38.0/org-id \
-d '&amp;lt;?xml version="1.0" encoding="utf-8"?&amp;gt;&amp;lt;env:Envelope xmlns:xsd="http://www.w3.org/2001/XMLSchema" xmlns:xsi="http://www.w3.org/2001/XMLSchema-instance" xmlns:env="http://schemas.xmlsoap.org/soap/envelope/"&amp;gt;&amp;lt;env:Header&amp;gt;&amp;lt;n1:SessionHeader xmlns:n1="http://soap.sforce.com/2006/04/metadata"&amp;gt;&amp;lt;n1:sessionId&amp;gt;session-id&amp;lt;/n1:sessionId&amp;gt;&amp;lt;/n1:SessionHeader&amp;gt;&amp;lt;/env:Header&amp;gt;&amp;lt;env:Body&amp;gt;&amp;lt;n1:readMetadata xmlns:n1="http://soap.sforce.com/2006/04/metadata"&amp;gt;&amp;lt;n1:type type="xsd:string"&amp;gt;CustomLabel&amp;lt;/n1:type&amp;gt;&amp;lt;n1:fullNames type="xsd:string"&amp;gt;custom-label-name&amp;lt;/n1:fullNames&amp;gt;&amp;lt;n1:fullNames type="xsd:string"&amp;gt;custom-label-name&amp;lt;/n1:fullNames&amp;gt;&amp;lt;/n1:readMetadata&amp;gt;&amp;lt;/env:Body&amp;gt;&amp;lt;/env:Envelope&amp;gt;' 
&lt;/code&gt;&lt;/pre&gt;
</t>
  </si>
  <si>
    <t xml:space="preserve">&lt;p&gt;When building a screen with a form with 2 fields, after running the app the fields are gone, why?&lt;/p&gt;
&lt;p&gt;Here are the screenshots:&lt;/p&gt;
&lt;p&gt;&lt;a href="https://i.stack.imgur.com/aNqmF.png" rel="nofollow noreferrer"&gt;&lt;img src="https://i.stack.imgur.com/aNqmF.png" alt="enter image description here"&gt;&lt;/a&gt;&lt;/p&gt;
&lt;p&gt;&lt;a href="https://i.stack.imgur.com/2FX20.png" rel="nofollow noreferrer"&gt;&lt;img src="https://i.stack.imgur.com/2FX20.png" alt="enter image description here"&gt;&lt;/a&gt;&lt;/p&gt;
&lt;p&gt;The data source for this EditForm screen is an Excel table that contains one record (demo). See image below:&lt;/p&gt;
&lt;p&gt;&lt;a href="https://i.stack.imgur.com/SZhs5.png" rel="nofollow noreferrer"&gt;&lt;img src="https://i.stack.imgur.com/SZhs5.png" alt="enter image description here"&gt;&lt;/a&gt;&lt;/p&gt;
</t>
  </si>
  <si>
    <t xml:space="preserve">&lt;p&gt;added a suspension list to a powerapps projects, trying to add items editing "Items" property with: ["12","24","36"] but receiving a error: expecting "bracketclose" found "error" and the first item, "12" is in a different color&lt;/p&gt;
</t>
  </si>
  <si>
    <t xml:space="preserve">&lt;p&gt;Please check your locale.  In an English locale your expression should work, but for example in a Latin locale then you should change , into ; so using this&lt;/p&gt;
&lt;pre&gt;&lt;code&gt;["12";"24";"36"]
&lt;/code&gt;&lt;/pre&gt;
&lt;p&gt;PS Also in Latin locales ; should be changed into ;;&lt;/p&gt;
</t>
  </si>
  <si>
    <t xml:space="preserve">&lt;p&gt;I am attempting to set a field in one data model to equal to a field in a related data model. I've considered setting up an event to set the field equal to the other but do not know what the best trigger for this event would be and do not know the code that would be required.&lt;/p&gt;
&lt;p&gt;Additionally, perhaps an event is not needed and there is some more fundamental/basic way to establish this field connection between related models.&lt;/p&gt;
&lt;p&gt;Example: People Model has Companies Model as a related model. When adding a new People record, selecting the related Companies record would mean that the "Industry" field in the People record would be equal to the "Industry" field in the related Companies record.&lt;/p&gt;
&lt;p&gt;Thank you!&lt;/p&gt;
</t>
  </si>
  <si>
    <t xml:space="preserve">&lt;p&gt;I have a text label in a budget form, I used to create my document title. This title is like : "BU[YEAR]-001".&lt;/p&gt;
&lt;p&gt;When my users save the document, I want to take the year, find the highest existed document, add one, and save. &lt;/p&gt;
&lt;p&gt;Exemple : my datasources contains BU2018-001, BU2019-001 and BU2019-002.
If my user select 2019 in year label, and save the document, I want the title to be BU2019-003. If it's 2018 =&gt; BU2018-002 and if the year not exist, like 2020 =&gt; BU2020-001.&lt;/p&gt;
&lt;p&gt;Using : LookUp(Budget2.Title;Text(Annee) in Title;Title), I can restrain to my budget with the year in it, but it only take the first one.&lt;/p&gt;
&lt;p&gt;Can you help me with this, please?&lt;/p&gt;
&lt;p&gt;Thanks !&lt;/p&gt;
</t>
  </si>
  <si>
    <t xml:space="preserve">&lt;p&gt;As you found out, &lt;a href="https://docs.microsoft.com/powerapps/maker/canvas-apps/functions/function-filter-lookup" rel="nofollow noreferrer"&gt;LookUp&lt;/a&gt; only returns one item, in no specific order (likely the first one that was entered, but this is not guaranteed). If you want a specific record (the last one), you can first &lt;a href="https://docs.microsoft.com/powerapps/maker/canvas-apps/functions/function-sort" rel="nofollow noreferrer"&gt;sort&lt;/a&gt; the source in descending order, then take the &lt;a href="https://docs.microsoft.com/powerapps/maker/canvas-apps/functions/function-first-last" rel="nofollow noreferrer"&gt;first&lt;/a&gt; element from the sorted result:&lt;/p&gt;
&lt;pre&gt;&lt;code&gt;First(
    SortByColumns(
        Filter(
            Budget2;
            Text(Annee) in Title);
        "Title";
        Descending)).Title
&lt;/code&gt;&lt;/pre&gt;
</t>
  </si>
  <si>
    <t xml:space="preserve">&lt;p&gt;I am trying to delete permissions on a specific file in Google Drive using Google Drive API and Google Apps Script with a service account. &lt;/p&gt;
&lt;p&gt;My mission is to delete permission of a file which is shared with the option "public on the web". &lt;/p&gt;
&lt;p&gt;Things I have done so far:&lt;/p&gt;
&lt;ol&gt;
&lt;li&gt;Created a service account with domain-wide delegation.&lt;/li&gt;
&lt;li&gt;&lt;p&gt;I have included following scopes in admin.google.com&lt;/p&gt;
&lt;p&gt;&lt;a href="https://www.google.com/m8/feeds" rel="nofollow noreferrer"&gt;https://www.google.com/m8/feeds&lt;/a&gt;&lt;br&gt;
&lt;a href="https://www.googleapis.com/auth/admin.reports.audit.readonly" rel="nofollow noreferrer"&gt;https://www.googleapis.com/auth/admin.reports.audit.readonly&lt;/a&gt;&lt;br&gt;
&lt;a href="https://www.googleapis.com/auth/drive" rel="nofollow noreferrer"&gt;https://www.googleapis.com/auth/drive&lt;/a&gt;&lt;br&gt;
&lt;a href="https://www.googleapis.com/auth/script.external_request" rel="nofollow noreferrer"&gt;https://www.googleapis.com/auth/script.external_request&lt;/a&gt;&lt;/p&gt;&lt;/li&gt;
&lt;/ol&gt;
&lt;p&gt;error log: &lt;/p&gt;
&lt;pre&gt;&lt;code&gt;"error": {
  "errors": [
   {
    "domain": "global",
    "reason": "forbidden",
    "message": "Insufficient permissions for this file",
    "locationType": "other",
    "location": "file.permissions"
   }
  ],
  "code": 403,
  "message": "Insufficient permissions for this file"
 }
}
&lt;/code&gt;&lt;/pre&gt;
</t>
  </si>
  <si>
    <t xml:space="preserve">&lt;p&gt;I have created one datasource which contains only the rows that fulfil one condition. I want to create some filters in this table... but is not working.&lt;/p&gt;
&lt;p&gt;This is the datasource: 
&lt;a href="https://i.stack.imgur.com/Qcfkq.jpg" rel="nofollow noreferrer"&gt;&lt;img src="https://i.stack.imgur.com/Qcfkq.jpg" alt="enter image description here"&gt;&lt;/a&gt;&lt;/p&gt;
&lt;p&gt;For example, I have a text area which filters by the field "Title". Only should appears the row 5 , but the numer 6 it's still here... &lt;/p&gt;
&lt;p&gt;&lt;a href="https://i.stack.imgur.com/J1mmo.jpg" rel="nofollow noreferrer"&gt;&lt;img src="https://i.stack.imgur.com/J1mmo.jpg" alt="enter image description here"&gt;&lt;/a&gt;&lt;/p&gt;
&lt;p&gt;This is the event handler code: &lt;/p&gt;
&lt;p&gt;&lt;a href="https://i.stack.imgur.com/IFi0S.jpg" rel="nofollow noreferrer"&gt;&lt;img src="https://i.stack.imgur.com/IFi0S.jpg" alt="enter image description here"&gt;&lt;/a&gt;&lt;/p&gt;
&lt;p&gt;&lt;strong&gt;Important: in the beginning, I used this filters and they worked properly. They stopped working when i created the filter in the datasource (The one of the first image)&lt;/strong&gt;&lt;/p&gt;
</t>
  </si>
  <si>
    <t xml:space="preserve">&lt;p&gt;The filter that you are setting via the binding is getting lost when you perform your query script. Essentially, you are creating a query via the binding, then your script is creating a new query that doesn't have the filters you set previously.&lt;/p&gt;
&lt;pre&gt;&lt;code&gt;Server Script - queryRecords(query: Query)
&lt;/code&gt;&lt;/pre&gt;
&lt;p&gt;You'll notice that your query script has access to a parameter &lt;code&gt;query&lt;/code&gt; that you can use instead of calling &lt;code&gt;newQuery()&lt;/code&gt;. This will have the filter you set via your binding. Additionally, &lt;code&gt;query.run()&lt;/code&gt; returns a list of records, so there's no need to iterate over them. Here is all the code you need in your query script:&lt;/p&gt;
&lt;pre&gt;&lt;code&gt;query.filters.Status._in = ["Published"];
return query.run();
&lt;/code&gt;&lt;/pre&gt;
</t>
  </si>
  <si>
    <t xml:space="preserve">&lt;p&gt;I'm trying to have a button to allow users to upload a file, into a specific folder. I tried to follow other advise, and add this hook to &lt;/p&gt;
&lt;p&gt;onPickerInit:&lt;/p&gt;
&lt;pre&gt;&lt;code&gt;var uploadView = new google.picker.DocsUploadView()
uploadView.setParent('XXXXXXXXXXXXXXXXXXXXXXXXXXXXXXXXXX'); // test folder
pickerBuilder.addView(uploadView);
&lt;/code&gt;&lt;/pre&gt;
&lt;p&gt;I've set the MULTISELECT_ENABLED feature (without it, the destination folder is not respected), and I &lt;em&gt;can&lt;/em&gt; in fact now upload the files where they belong. Yay!&lt;/p&gt;
&lt;p&gt;HOWEVER: The picker widget now has &lt;em&gt;two&lt;/em&gt; upload tabs. The first one just does the regular upload into the drive main folder, the second tab does the right thing. My guess is that appmaker contstructs the first upload tab behind the curtains and there is no feature to disable this.&lt;/p&gt;
&lt;p&gt;This is obviously fairly quirky and hardly usable. My questions are: &lt;/p&gt;
&lt;p&gt;1) are there (possibly undocumented) API calls in the pickerbuilder to remove the original upload view? &lt;/p&gt;
&lt;p&gt;2) Is it possible to respect the destination folder even is the MULTISELECT feature is off ?&lt;/p&gt;
&lt;p&gt;Many thanks in advance for any pragmatic solutions!&lt;/p&gt;
</t>
  </si>
  <si>
    <t xml:space="preserve">&lt;p&gt;I want to send an email with a content related to my data such as in following piece of code I found on Datasource script of Google AppMaker Project Tracker template. But I don't understand how it works. How that &lt;strong&gt;data.modifiedBy&lt;/strong&gt; reflect to the record in my datasource?&lt;/p&gt;
&lt;p&gt;&lt;a href="https://i.stack.imgur.com/kEDcc.png" rel="nofollow noreferrer"&gt;&lt;img src="https://i.stack.imgur.com/kEDcc.png" alt="enter image description here"&gt;&lt;/a&gt;&lt;/p&gt;
&lt;p&gt;Any help from the floors? Thanks ..&lt;/p&gt;
</t>
  </si>
  <si>
    <t xml:space="preserve">&lt;p&gt;Look at the Notifications server side script in the template.&lt;/p&gt;
&lt;p&gt;It has method &lt;code&gt;notifyAboutItemChanges_&lt;/code&gt; which is passing the data to this record.&lt;/p&gt;
&lt;pre&gt;&lt;code&gt;function notifyAboutItemChanges_(changes) {
  var settings = getAppSettingsRecord_()[0];
  if (!settings.EnableEmailNotifications) {
    return;
  }
  var data = {
    appUrl: settings.AppUrl,
    itemType: changes[0].Type,
    itemKey: changes[0]._key,
    itemName: changes[0].Name,
    modifiedBy: changes[0].ModifiedBy,
    changes: changes
  };
  // Email subject.
  var subjectTemplate =
          HtmlService.createTemplate(settings.NotificationEmailSubject);
}
&lt;/code&gt;&lt;/pre&gt;
&lt;p&gt;This function is passing this data to your settings record. &lt;/p&gt;
&lt;p&gt;So no magic here :) You need to pass the data to your record which will be replaced at run time with the values.&lt;/p&gt;
&lt;p&gt;For more details on Email refer &lt;a href="https://developers.google.com/appmaker/samples/email/" rel="nofollow noreferrer"&gt;this&lt;/a&gt; sample app.&lt;/p&gt;
</t>
  </si>
  <si>
    <t xml:space="preserve">&lt;p&gt;I have tables with relation and a form to insert new data into one of them. Because of the table has a relation to another table, the form also shows the ID from the other table. But for the user it may be confusing to choose the ID of an entry from the other table because the user does not know whats behind the ID.
So I want to show multiple atributes instead of the ID in the dropdown of the insert form. Is that possible, and if yes, how?&lt;/p&gt;
</t>
  </si>
  <si>
    <t xml:space="preserve">&lt;p&gt;I have a value calculated in window.Sum and I need to display it in label1. Window.Sum is calculated when datasource is filtered and label1 text is set to window.Sum. I log the value of window.Sum and it is correct. How do I force the label1 to display the value everytime the window.Sum is updated?&lt;/p&gt;
</t>
  </si>
  <si>
    <t xml:space="preserve">&lt;p&gt;Let's suppose that the function to calculate the sum you are using is this one:&lt;/p&gt;
&lt;pre&gt;&lt;code&gt;function calculateSum(){
    /* do your stuff right here */
    var sum = x+y;
}
&lt;/code&gt;&lt;/pre&gt;
&lt;p&gt;All you need to do is to pass the label widget to the function and update the widget text property once you get the sum value, like this:&lt;/p&gt;
&lt;pre&gt;&lt;code&gt;function calculateSum(labelWidget){
    /* do your stuff right here */
    var sum = x+y;
    labelWidget.text = sum;
}
&lt;/code&gt;&lt;/pre&gt;
&lt;p&gt;Then you just invoke your function passing the labelWidget like this:&lt;/p&gt;
&lt;pre&gt;&lt;code&gt;var labelWidget = app.pathToWhereYourLabelWidgetIsLocated;
calculateSum(labelWidget);
&lt;/code&gt;&lt;/pre&gt;
&lt;p&gt;Since your question is pretty vague, this is the best I can do to answer your question. Please consult the official documentation for &lt;strong&gt;&lt;a href="https://developers.google.com/appmaker/ui/binding" rel="nofollow noreferrer"&gt;widgets data binding&lt;/a&gt;&lt;/strong&gt; and &lt;strong&gt;&lt;a href="https://developers.google.com/appmaker/scripting/api/widgets#Label" rel="nofollow noreferrer"&gt;widgets api&lt;/a&gt;&lt;/strong&gt; to further understand how to achieve this type of things. Hope it helps!&lt;/p&gt;
</t>
  </si>
  <si>
    <t xml:space="preserve">&lt;p&gt;I have some complex scenario which I am unable to achieve it. Here the below user stories I received from client.&lt;/p&gt;
&lt;p&gt;User Story:
&lt;em&gt;If the case has been in the status of '&lt;strong&gt;Pending Decision&lt;/strong&gt;' for 30 days and case owner is in queue, Task should be generated under the case. Task Owner should be assigned to '&lt;strong&gt;Derrick James&lt;/strong&gt;'. If the case has been in the status of 'Pending Decision' for 30 days and case owner is in '&lt;strong&gt;Rahul Rathore&lt;/strong&gt;' (or someone other), Task should be generated under the case. Task Owner should be assigned to '&lt;strong&gt;Case Owner&lt;/strong&gt;'.&lt;/em&gt;&lt;/p&gt;
&lt;p&gt;I have done the above scenario in process builder. I am not able to assign the task owner since it has two scenario. I need to implement this configuration within a week. Please help me on this. Thanks in advance.&lt;/p&gt;
</t>
  </si>
  <si>
    <t xml:space="preserve">&lt;p&gt;After digging lots of blog. Here I'm providing links which can be useful in future. &lt;a href="https://salesforce.stackexchange.com/questions/193594/how-do-i-determine-if-the-case-owner-is-a-user-or-queue-in-process-builder"&gt;Using Begins function&lt;/a&gt; and &lt;a href="https://salesforce.stackexchange.com/questions/225267/process-builder-error-ownerqueue-developername-is-causing-an-error"&gt;Using Left function&lt;/a&gt;&lt;/p&gt;
</t>
  </si>
  <si>
    <t xml:space="preserve">&lt;p&gt;&lt;a href="https://i.stack.imgur.com/fL5tF.png" rel="nofollow noreferrer"&gt;&lt;img src="https://i.stack.imgur.com/fL5tF.png" alt="enter image description here"&gt;&lt;/a&gt;&lt;/p&gt;
&lt;p&gt;Hi There,&lt;/p&gt;
&lt;p&gt;We just have followed the steps as described in here: &lt;a href="https://support.google.com/a/answer/7550053" rel="nofollow noreferrer"&gt;https://support.google.com/a/answer/7550053&lt;/a&gt;, but still our appmaker is not able to load Google Cloud SQL. It's saying that our Cloud SQL instance is not owned by any organization.&lt;/p&gt;
&lt;p&gt;Thanks for your help.&lt;/p&gt;
</t>
  </si>
  <si>
    <t xml:space="preserve">&lt;p&gt;Never mind! This issue is resolved as per Google Cloud Support answers. If anyone has the same problems you will find the solution doing this: &lt;a href="https://cloud.google.com/resource-manager/docs/migrating-projects-billing" rel="nofollow noreferrer"&gt;https://cloud.google.com/resource-manager/docs/migrating-projects-billing&lt;/a&gt;&lt;/p&gt;
</t>
  </si>
  <si>
    <t xml:space="preserve">&lt;p&gt;I have been unable to generate my auth token for accessing Zoho Projects through the API. I had previously made an app that connects to People and Reports, but for some reason, Projects is all the more difficult!&lt;/p&gt;
&lt;p&gt;I get an "invalid code" in the step 'Generate access and Refresh Token' in the following link. I have followed each step, and retrieved the code from the URL in the browser I get redirected to after fulfilling the previous step.&lt;/p&gt;
&lt;p&gt;&lt;a href="https://www.zoho.com/projects/help/rest-api/get-tickets-api.html" rel="nofollow noreferrer"&gt;https://www.zoho.com/projects/help/rest-api/get-tickets-api.html&lt;/a&gt;&lt;/p&gt;
&lt;p&gt;I believe it's not as good explained as it should be, anyway. I don't understand why you have to put a "client id", "client domain" and what is their purpose. I'd love if someone can point me in a better direction about how to do this authentication.  &lt;/p&gt;
</t>
  </si>
  <si>
    <t xml:space="preserve">&lt;p&gt;I have React app and generated zoho form but this form isn't configurable, for example, I cannot validate it with react, after submit all pages reloads and redirected to the zoho thank you page(no ajax calls). Also, I cannot add some custom logic to it. I didn't find examples in the internet of sending info to zoho through some api. Is it possible in react apps?&lt;/p&gt;
&lt;p&gt;I checked this api docs page but didn't find any examples &lt;a href="https://www.zoho.com/crm/help/api/v2/#api-reference" rel="nofollow noreferrer"&gt;https://www.zoho.com/crm/help/api/v2/#api-reference&lt;/a&gt;&lt;/p&gt;
</t>
  </si>
  <si>
    <t xml:space="preserve">&lt;p&gt;Simply, the answer is no. You can not validate Zoho Generate Form with react as the form is originally hosted on Zoho Server and you can just embed it in your application using iframe. Even the javascript embedding option is creating an iframe.&lt;/p&gt;
&lt;p&gt;The link you referenced is for Zoho CRM API and is not related to Zoho Forms.&lt;/p&gt;
</t>
  </si>
  <si>
    <t xml:space="preserve">&lt;p&gt;I have built a Google App Maker application and published it. However, I only want users in a Google Group to be able to access the application (view UI elements) via the deployment link. How do you do this? I referenced this solution to another post: &lt;a href="https://stackoverflow.com/a/49577258/9878092"&gt;https://stackoverflow.com/a/49577258/9878092&lt;/a&gt;. I cannot seem to find where the Application access section that is mentioned in the solution is. Thank you!&lt;/p&gt;
</t>
  </si>
  <si>
    <t xml:space="preserve">&lt;p&gt;Here are the steps you can follow to go to 'Application Access' screen.&lt;/p&gt;
&lt;ol&gt;
&lt;li&gt;From your appmaker window click on 'Setting' icon. &lt;a href="https://i.stack.imgur.com/2tk2V.jpg" rel="nofollow noreferrer"&gt;&lt;img src="https://i.stack.imgur.com/2tk2V.jpg" alt="enter image description here"&gt;&lt;/a&gt;&lt;/li&gt;
&lt;li&gt;Go to Deployments tab.&lt;a href="https://i.stack.imgur.com/ieW2m.jpg" rel="nofollow noreferrer"&gt;&lt;img src="https://i.stack.imgur.com/ieW2m.jpg" alt="Deployment"&gt;&lt;/a&gt;&lt;/li&gt;
&lt;li&gt;Publish new deployment if you haven't done already. If you have already deployed your changes then click on the deployed version and "Edit" button.&lt;a href="https://i.stack.imgur.com/2pK40.jpg" rel="nofollow noreferrer"&gt;&lt;img src="https://i.stack.imgur.com/2pK40.jpg" alt="Application Access"&gt;&lt;/a&gt;&lt;/li&gt;
&lt;li&gt;This will open the Application Access screen. Select option "Only allow to specific" users. Provide user names who should be able to access the app.&lt;/li&gt;
&lt;/ol&gt;
</t>
  </si>
  <si>
    <t xml:space="preserve">&lt;p&gt;I'm creating a 'Kiosk' where users can sign-in and out. 
I'm stuck on the sign-out component. &lt;/p&gt;
&lt;p&gt;I'd like to have a table that only returns visitors that have not signed out after the end-user searches. &lt;/p&gt;
&lt;p&gt;My search box has the following properties:&lt;/p&gt;
&lt;p&gt;Value: &lt;/p&gt;
&lt;pre&gt;&lt;code&gt;@datasource.query.filters.fullname._startsWith
&lt;/code&gt;&lt;/pre&gt;
&lt;p&gt;On value change: &lt;/p&gt;
&lt;pre&gt;&lt;code&gt;if (widget.value === null || (widget.value).length === 0){
    widget.datasource.unload();
} else {
    widget.datasource.load();
}
&lt;/code&gt;&lt;/pre&gt;
&lt;p&gt;I'm new to this &amp;amp; JS as a whole. How can I filter the search to only contain users that have not signed out?  &lt;/p&gt;
</t>
  </si>
  <si>
    <t xml:space="preserve">&lt;p&gt;As suggested in the comments you need to add &lt;code&gt;widget.datasource.query.filters.signedout._equals = false;&lt;/code&gt; line before you load your data source. However you should make one more change while unloading.&lt;/p&gt;
&lt;p&gt;Here's the full code.&lt;/p&gt;
&lt;pre&gt;&lt;code&gt;if (widget.value === null || (widget.value).length === 0){
    widget.datasource.unload();
    widget.datasource.load();
} else {
    widget.datasource.unload();
    widget.datasource.query.filters.signedout._equals = false;
    widget.datasource.load();
}
&lt;/code&gt;&lt;/pre&gt;
&lt;p&gt;Here &lt;code&gt;unload()&lt;/code&gt; will unload previous data and &lt;code&gt;load()&lt;/code&gt; will reload it. Now while reloading you can pass multiple filters so it reloads only filtered records.&lt;/p&gt;
</t>
  </si>
  <si>
    <t xml:space="preserve">&lt;p&gt;My question is : how to find and write my title where ID is max.
I want something like that : Filter(Budget2.ID;Max(ID))&lt;/p&gt;
&lt;p&gt;And second question : I can't use Filter with a text field. How can I write my title in the text field ?&lt;/p&gt;
&lt;p&gt;I have : 
ID       Name
1        TOTO01
2        TOTO02
3        TOTO03&lt;/p&gt;
&lt;p&gt;I want my formula to give me : TOTO03 as a result, in a text field.&lt;/p&gt;
&lt;p&gt;Thanks !&lt;/p&gt;
</t>
  </si>
  <si>
    <t xml:space="preserve">&lt;p&gt;You want something like the expression below:&lt;/p&gt;
&lt;pre&gt;&lt;code&gt;LookUp(
    Budget2;
    ID = Max(Budget2; ID);
    Title)
&lt;/code&gt;&lt;/pre&gt;
&lt;p&gt;&lt;a href="https://docs.microsoft.com/powerapps/maker/canvas-apps/functions/function-filter-lookup" rel="nofollow noreferrer"&gt;Filter&lt;/a&gt; will return you a table (list of items), so you cannot use it directly in a label / text field. &lt;a href="https://docs.microsoft.com/powerapps/maker/canvas-apps/functions/function-filter-lookup" rel="nofollow noreferrer"&gt;LookUp&lt;/a&gt; will return a single record, and if you use the third argument (column name) it will extract the value for that column.&lt;/p&gt;
&lt;p&gt;The expression above is looking for a single record, where the ID is the maximum id for that table, and extracting the &lt;code&gt;Title&lt;/code&gt; column from it.&lt;/p&gt;
</t>
  </si>
  <si>
    <t xml:space="preserve">&lt;p&gt;Some times ago I asked this: &lt;a href="https://stackoverflow.com/questions/43778494/how-to-check-in-both-server-side-and-client-side-scripts-if-we-are-in-preview-mo"&gt;How to check in both server-side and client-side scripts if we are in preview mode or deployed version&lt;/a&gt;&lt;/p&gt;
&lt;p&gt;Because I wanted in my code to have different logic whether it is the preview mode or not.&lt;/p&gt;
&lt;p&gt;The answer was "preview mode is just another deployment and each deployment has its own Drive table, store some env variables there". That was true and made the trick.&lt;/p&gt;
&lt;p&gt;Problem: Drive tables &lt;a href="https://developers.google.com/appmaker/models/migrate" rel="nofollow noreferrer"&gt;don't exist anymore&lt;/a&gt;.&lt;/p&gt;
&lt;p&gt;I have not been working with AppMaker the past months so maybe I have missed new features:&lt;/p&gt;
&lt;ul&gt;
&lt;li&gt;&lt;p&gt;how can I set environment variables per deployment ? (so I can make a
difference between my prod deployment and my pre-prod deployment) &lt;/p&gt;&lt;/li&gt;
&lt;li&gt;&lt;p&gt;is there a way to get the current deployment name from the code ?&lt;/p&gt;&lt;/li&gt;
&lt;/ul&gt;
&lt;p&gt;Thanks for your answers&lt;/p&gt;
</t>
  </si>
  <si>
    <t xml:space="preserve">&lt;p&gt;Deployment unique environment variables can be stored using the &lt;a href="https://developers.google.com/apps-script/reference/properties/" rel="nofollow noreferrer"&gt;Google script properties service&lt;/a&gt;.  &lt;/p&gt;
</t>
  </si>
  <si>
    <t xml:space="preserve">&lt;p&gt;In my Google App Maker application, whenever a user clicks on a Link, it causes the href link to open in the same window as the application. This causes a problem because the user has to click back in order to access the application again. Is there any way to set the link such that when a user clicks on it (without right click &gt; open new tab), the page opens in a new tab/window? Thanks.&lt;/p&gt;
</t>
  </si>
  <si>
    <t xml:space="preserve">&lt;p&gt;Try 
&lt;code&gt;window.open('www.your_link.com','_blank');&lt;/code&gt;&lt;/p&gt;
</t>
  </si>
  <si>
    <t xml:space="preserve">&lt;p&gt;I tried to create a zoho campaign following this link &lt;a href="https://www.zoho.com/campaigns/help/api/create-campaign.html" rel="nofollow noreferrer"&gt;https://www.zoho.com/campaigns/help/api/create-campaign.html&lt;/a&gt;&lt;/p&gt;
&lt;p&gt;but every time, I get an error 1004
according to &lt;a href="https://www.zoho.com/campaigns/help/api/error-codes.html" rel="nofollow noreferrer"&gt;https://www.zoho.com/campaigns/help/api/error-codes.html&lt;/a&gt; , 1004 gives Wrong URL entered.&lt;/p&gt;
&lt;p&gt;This is the link that I used&lt;/p&gt;
&lt;p&gt;&lt;a href="https://campaigns.zoho.com/api/v2/createcampaign?campaignName=mynewone&amp;amp;from_email=sammoudi.maher@gmail.com&amp;amp;subject=testSubject&amp;amp;authtoken=6fd68951538f7489e2406ac6f5a59bbe&amp;amp;resfmt=json" rel="nofollow noreferrer"&gt;https://campaigns.zoho.com/api/v2/createcampaign?campaignName=mynewone&amp;amp;from_email=sammoudi.maher@gmail.com&amp;amp;subject=testSubject&amp;amp;authtoken=6fd68951538f7489e2406ac6f5a59bbe&amp;amp;resfmt=json&lt;/a&gt;&lt;/p&gt;
&lt;p&gt;Where is the issue ?&lt;/p&gt;
</t>
  </si>
  <si>
    <t xml:space="preserve">&lt;p&gt;I want to iterate through each row of the data table check for values and update the value in the newly created column. &lt;/p&gt;
&lt;p&gt;Are there any blogs or tutorials which have described power app data table iteration and code syntax it.&lt;/p&gt;
</t>
  </si>
  <si>
    <t xml:space="preserve">&lt;p&gt;I have created a power app form and showing a data from a list using data table object in power apps.Currently Data shows html tag along with the data. I want to change the format of the Rich text column to normal text of the Data Table object. I cannot change the SharePoint column to single line text. &lt;/p&gt;
</t>
  </si>
  <si>
    <t xml:space="preserve">&lt;p&gt;The data table currently cannot be customized to do what you want; one option is to use a gallery, where you have full control over the controls (no pun intended) that are used to display the rows from your data source. If you use a gallery, you can then add the rich text editor (or the Html Text control, for read-only scenarios) in the gallery and bind it to the rich text column from SharePoint.&lt;/p&gt;
</t>
  </si>
  <si>
    <t xml:space="preserve">&lt;p&gt;Was wondering if it was possible to have a drop down widget in app maker be required. In other words, users could not click submit unless they had selected a value from a down down menu. Kind of like how validation on text boxes.&lt;/p&gt;
&lt;p&gt;When looking at the property editor for a drop down widget I don't see anything that will allow me to set the above requirement out of the box.&lt;/p&gt;
&lt;p&gt;Below is the property editor for a drop down, you will notice there is no validation options.&lt;/p&gt;
&lt;p&gt;Below that is the text box property editor with the validation option expanded. I basically need the same functionality for my drop down menu.&lt;/p&gt;
&lt;p&gt;If anyone dealt with a similar issue I would appreciate any input.&lt;/p&gt;
&lt;p&gt;&lt;a href="https://i.stack.imgur.com/h2fE3.png" rel="nofollow noreferrer"&gt;&lt;img src="https://i.stack.imgur.com/h2fE3.png" alt="enter image description here"&gt;&lt;/a&gt;&lt;/p&gt;
&lt;p&gt;&lt;a href="https://i.stack.imgur.com/X3RFm.png" rel="nofollow noreferrer"&gt;&lt;img src="https://i.stack.imgur.com/X3RFm.png" alt="enter image description here"&gt;&lt;/a&gt;&lt;/p&gt;
&lt;p&gt;&lt;a href="https://i.stack.imgur.com/bgZpO.png" rel="nofollow noreferrer"&gt;&lt;img src="https://i.stack.imgur.com/bgZpO.png" alt="enter image description here"&gt;&lt;/a&gt;&lt;/p&gt;
</t>
  </si>
  <si>
    <t xml:space="preserve">&lt;p&gt;Of course you have that option.
Look under DropDown menu you will find option called &lt;code&gt;allowNull&lt;/code&gt;, deselect that option. Also select &lt;code&gt;validationDisplay&lt;/code&gt; check box from 'Other' menu and users will have to choose from a drop down menu always.&lt;/p&gt;
&lt;p&gt;Below are the screen for your reference,&lt;/p&gt;
&lt;ol&gt;
&lt;li&gt;Dropdown menu &lt;code&gt;allowNull&lt;/code&gt; option,&lt;/li&gt;
&lt;/ol&gt;
&lt;p&gt;&lt;a href="https://i.stack.imgur.com/g6dBz.jpg" rel="nofollow noreferrer"&gt;&lt;img src="https://i.stack.imgur.com/g6dBz.jpg" alt="DropDown"&gt;&lt;/a&gt;&lt;/p&gt;
&lt;ol start="2"&gt;
&lt;li&gt;Other menu &lt;code&gt;validationDisplay&lt;/code&gt; option,&lt;/li&gt;
&lt;/ol&gt;
&lt;p&gt;&lt;a href="https://i.stack.imgur.com/U3hQm.jpg" rel="nofollow noreferrer"&gt;&lt;img src="https://i.stack.imgur.com/U3hQm.jpg" alt="Other"&gt;&lt;/a&gt;&lt;/p&gt;
</t>
  </si>
  <si>
    <t xml:space="preserve">&lt;p&gt;I have multiple locations with multiple issues that can be resolved. Depending on the location and issue the ticket will be routed to a specific tech. I'm not sure how to either query or filter multiple locations, multiple issues, to multiple techs. Example: Location 1, Computer issue, sent to computer tech. Location 1, wiring issue, sent to wiring tech.&lt;/p&gt;
</t>
  </si>
  <si>
    <t xml:space="preserve">&lt;p&gt;I am trying to display a custom marker on the map in App maker but unfortunately, I am unable to do so,&lt;/p&gt;
&lt;p&gt;previously I was able to achieve this simply by&lt;/p&gt;
&lt;pre&gt;&lt;code&gt;var marker = new google.maps.Marker({
position:{lat:, lng:},
map:map,
icon: url
});
&lt;/code&gt;&lt;/pre&gt;
&lt;p&gt;please assist&lt;/p&gt;
</t>
  </si>
  <si>
    <t xml:space="preserve">&lt;p&gt;Is it possible to add a role to a user dynamically ?  &lt;/p&gt;
&lt;p&gt;I understand that this is typically done at app publishing time but I'd like to have a page in the app that allows me to adds and assign roles.&lt;/p&gt;
&lt;p&gt;Thanks.&lt;/p&gt;
</t>
  </si>
  <si>
    <t xml:space="preserve">&lt;p&gt;How can we possibly Integrate dot net Application with Zoho Desk.
want my Feedback Forms to Accessible in dot Net Application in Box View and we can manage our Tickets from both Ends.&lt;/p&gt;
&lt;p&gt;One more thing we don't wan use any third party integration to achieve this, wan do that with the help of Rest API.
Is that even Possible?&lt;/p&gt;
</t>
  </si>
  <si>
    <t xml:space="preserve">&lt;p&gt;If you are not aware, Zoho Desk provides REST API to manage things from other system. You can simply use their REST APIs from your .Net application.&lt;/p&gt;
&lt;p&gt;Here is the link for their API documentation: &lt;a href="https://support.zoho.com/support/APIDocument.do#GettingStarted#Errors" rel="nofollow noreferrer"&gt;https://support.zoho.com/support/APIDocument.do#GettingStarted#Errors&lt;/a&gt;&lt;/p&gt;
&lt;p&gt;Hope this will help you to kick start.&lt;/p&gt;
</t>
  </si>
  <si>
    <t xml:space="preserve">&lt;p&gt;What happens to PowerApps offline in-memory(Values saved in the collection variable during offline &lt;code&gt;Collect(offlineData,{...})&lt;/code&gt;) when we close the PowerApps from Mobile during offline mode and re-open it later.&lt;/p&gt;
&lt;p&gt;&lt;strong&gt;Is there a way to keep the offline collection even after exiting the app and re-open it later in offline mode and add more; Finally once the connection is back, sync everything to the data source?&lt;/strong&gt;&lt;/p&gt;
</t>
  </si>
  <si>
    <t xml:space="preserve">&lt;p&gt;I am trying to connect Google App Maker to MySQL database on digital ocean.
Life of me I can't get going, I  went through every possible forums and article.&lt;/p&gt;
&lt;p&gt;Initially, I had a droplet with MySQL with SSL setup, then I configured another server with a simple setup, with no firewalls, no SSL. Still, I am getting this error.&lt;/p&gt;
&lt;blockquote&gt;
  &lt;p&gt;Error: Failed to establish a database connection. Check connection string, username, and password.&lt;/p&gt;
&lt;/blockquote&gt;
&lt;h2&gt;Stak Trace from Google App Maker&lt;/h2&gt;
&lt;p&gt;Fri Aug 03 22:57:41 GMT+1000 2018
Error: Failed to establish a database connection. Check connection string, username and password. at connectDB (dbConnection:85) at datasources.employee.script:1&lt;/p&gt;
&lt;p&gt;Fri Aug 03 22:57:41 GMT+1000 2018
Executing query for datasource employee: (Error) : Failed to establish a database connection. Check connection string, username and password.
at connectDB (dbConnection:85)
at datasources.employee.script:1&lt;/p&gt;
&lt;p&gt;Fri Aug 03 22:57:41 GMT+1000 2018
Executing query for datasource employee failed.&lt;/p&gt;
&lt;p&gt;I have set up the MySQL to listen to &lt;code&gt;0.0.0.0&lt;/code&gt; (any interface), then the MySQL user to connect remotely with any ip '%'&lt;/p&gt;
&lt;pre&gt;&lt;code&gt; host      | user           | plugin                |
 +---------+----------------+-----------------------+
 | %       | user           | mysql_native_password |
&lt;/code&gt;&lt;/pre&gt;
&lt;p&gt;Here is my db connection string&lt;/p&gt;
&lt;pre&gt;&lt;code&gt;var conn = Jdbc.getConnection('jdbc:mysql://xxx.xxxx.xxxx.xxxx:3306/example','user', 'password');
&lt;/code&gt;&lt;/pre&gt;
&lt;ol&gt;
&lt;li&gt;i can remotely connect to the db using mysqlworkbench &lt;/li&gt;
&lt;li&gt;i can connect using my local PHP setup using xampp. &lt;/li&gt;
&lt;li&gt;I can connect from another remote ubantu box using mysql.&lt;/li&gt;
&lt;/ol&gt;
&lt;p&gt;So I have isolated that there is no issue in connecting to db remotely.&lt;/p&gt;
&lt;p&gt;Am I missing something that I need to setup in App App Maker?
I tried same connection on google appscript using google sheets, still didn't work. &lt;/p&gt;
&lt;p&gt;I tried all possible methods of troubleshooting by isolating each possibility I am still unsuccessful for last two weeks.
If anyone can help or direct me where I am going wrong will be much appreciated.&lt;/p&gt;
&lt;p&gt;Thanks&lt;/p&gt;
</t>
  </si>
  <si>
    <t xml:space="preserve">&lt;p&gt;In Power apps, Can I add a text field and connect it to a SharePoint list column.&lt;/p&gt;
&lt;p&gt;I am trying to create an app, with power apps controls and then attaching them to SharePoint columns rather than binding the columns to the app.&lt;/p&gt;
&lt;p&gt;Is it possible?&lt;/p&gt;
</t>
  </si>
  <si>
    <t xml:space="preserve">&lt;p&gt;I have used a table in an Excel workbook stored on OneDrive as a data source in Powerapps. The data source is listed as 'tblALL' (which is the name as the table), and OneDrive for Business. But is there nowhere that I can find the name of the &lt;em&gt;workbook&lt;/em&gt; where this data resides&lt;/p&gt;
</t>
  </si>
  <si>
    <t xml:space="preserve">&lt;p&gt;This is an interesting one - the short answer is no - there's no place where we can find the name of the workbook where the table is stored. The app only contains a "dataset name" which is a key that the connector can use to find the actual file (workbook), and there's no way to retrieve which file that key maps to. You can consider creating a new feature request in the &lt;a href="https://aka.ms/powerapps-ideas" rel="nofollow noreferrer"&gt;PowerApps Ideas board&lt;/a&gt; for this.&lt;/p&gt;
&lt;p&gt;One possible way to find out which file contains a given table is to make a change to that table (i.e., using the app, first add a new record, then remove it) - and go over the workbooks that you have stored in OneDrive to see which one was updated more recently. Granted, this may take some time if you have multiple folders where the workbook can be stored, but that was the only way I could find today.&lt;/p&gt;
</t>
  </si>
  <si>
    <t xml:space="preserve">&lt;p&gt;I purchased trogg.io on AWS Route 53, and am trying to setup Zoho Mail. I'm stuck on the "Verify Domain" step. &lt;/p&gt;
&lt;p&gt;After entering a TXT record in my Route 53 DNS, and then clicking "Proceed to TXT Verification" on Zoho, I get a popup that says, "TXT Validation Failed There are no TXT Records found for your domain." Even after waiting several hours, and trying the CNAME method, I get similar failures. What am I missing? Is it because the domain is .io? Or maybe I need some other product/service configured in addition to Route 53?&lt;/p&gt;
&lt;p&gt;Here's the DNS record screenshot (I pasted the value that Zoho suggests):&lt;/p&gt;
&lt;p&gt;&lt;a href="https://i.stack.imgur.com/GF69m.png" rel="nofollow noreferrer"&gt;&lt;img src="https://i.stack.imgur.com/GF69m.png" alt="Route 53 TXT Record"&gt;&lt;/a&gt;&lt;/p&gt;
</t>
  </si>
  <si>
    <t xml:space="preserve">&lt;p&gt;&lt;strong&gt;The problem is not due to Zoho Mail: their pop-up contains the correct explanation.&lt;/strong&gt;&lt;/p&gt;
&lt;p&gt;The problem is due to an incorrect configuration of Route 53.&lt;/p&gt;
&lt;p&gt;Here are the explanations.&lt;/p&gt;
&lt;p&gt;The first step that Route 53 needs to do is registering your new domain by contacting the io TLD registry. There are only two registrar IDs used by Route 53: 468 and 81, depending on the TLD (see IANA Registrar IDs public list: 81 is the registrar of a subcontractor of Amazon, and 468 is directly registered to Amazon). Therefore, we can check that your domain has been correctly registered, or not, to the io TLD &lt;strong&gt;registry&lt;/strong&gt; by one of the two &lt;strong&gt;registrars&lt;/strong&gt; used by AWS:&lt;/p&gt;
&lt;pre&gt;&lt;code&gt;% whois -h whois.nic.io trogg.io | grep 'Registrar IANA ID'
Registrar IANA ID: 81
&lt;/code&gt;&lt;/pre&gt;
&lt;p&gt;Since the registrar ID found in the output of the whois request is 81, we can conclude that Amazon has certainly done correctly the first step.&lt;/p&gt;
&lt;p&gt;The 2nd step that Route 53 needs to do is sending the names of some AWS DNS servers to the registry, to add NS resource records that delegate that domain from the io domain servers to the AWS servers.&lt;/p&gt;
&lt;p&gt;We can check this 2nd step with two different tools: &lt;code&gt;whois&lt;/code&gt; and &lt;code&gt;dig&lt;/code&gt;.&lt;/p&gt;
&lt;p&gt;First, we use whois to look for the DNS records in the database of the io TLD registry:&lt;/p&gt;
&lt;pre&gt;&lt;code&gt;% whois -h whois.nic.io trogg.io | grep 'Name Server'
Name Server: NS-673.AWSDNS-20.NET
Name Server: NS-1685.AWSDNS-18.CO.UK
Name Server: NS-304.AWSDNS-38.COM
Name Server: NS-1263.AWSDNS-29.ORG
&lt;/code&gt;&lt;/pre&gt;
&lt;p&gt;Secondly, we query some io name server for NS records for your domain:&lt;/p&gt;
&lt;pre&gt;&lt;code&gt;% dig io ns +short | head -1
ns-a3.io.
% dig @ns-a3.io. trogg.io NS | grep trogg.io
; &amp;lt;&amp;lt;&amp;gt;&amp;gt; DiG 9.10.6 &amp;lt;&amp;lt;&amp;gt;&amp;gt; @ns-a3.io. trogg.io NS
;trogg.io.          IN  NS
trogg.io.       86400   IN  NS  ns-304.awsdns-38.com.
trogg.io.       86400   IN  NS  ns-673.awsdns-20.net.
trogg.io.       86400   IN  NS  ns-1263.awsdns-29.org.
trogg.io.       86400   IN  NS  ns-1685.awsdns-18.co.uk.
&lt;/code&gt;&lt;/pre&gt;
&lt;p&gt;As expected, the whois database and the io zone contain the same DNS list of four AWS name servers.&lt;/p&gt;
&lt;p&gt;&lt;strong&gt;Therefore, we can conclude that the io registry has done its jobs correctly.&lt;/strong&gt;&lt;/p&gt;
&lt;p&gt;The following step for Route 53 is to host your domain name on these four name servers, with at least one SOA resource record.&lt;/p&gt;
&lt;p&gt;So we check for this task:&lt;/p&gt;
&lt;pre&gt;&lt;code&gt;% for ns in ns-304.awsdns-38.com. ns-673.awsdns-20.net. ns-1263.awsdns-29.org. ns-1685.awsdns-18.co.uk.
for&amp;gt; do
for&amp;gt; dig @$ns trogg.io soa | grep ANSWER
for&amp;gt; done
;; flags: qr rd; QUERY: 1, ANSWER: 0, AUTHORITY: 0, ADDITIONAL: 0
;; flags: qr rd; QUERY: 1, ANSWER: 0, AUTHORITY: 0, ADDITIONAL: 0
;; flags: qr rd; QUERY: 1, ANSWER: 0, AUTHORITY: 0, ADDITIONAL: 0
;; flags: qr rd; QUERY: 1, ANSWER: 0, AUTHORITY: 0, ADDITIONAL: 0
&lt;/code&gt;&lt;/pre&gt;
&lt;p&gt;As you can see, the ANSWER count is 0 for each of the four servers.&lt;/p&gt;
&lt;p&gt;Therefore, your domain is not hosted by Route 53 servers.&lt;/p&gt;
&lt;blockquote&gt;
  &lt;p&gt;What am I missing?&lt;/p&gt;
&lt;/blockquote&gt;
&lt;p&gt;The problem is not due to the io TLD servers nor to the Zoho Mail service.
It is only due to your DNS not being correctly configured on Route 53.&lt;/p&gt;
&lt;blockquote&gt;
  &lt;p&gt;Is it because the domain is .io?&lt;/p&gt;
&lt;/blockquote&gt;
&lt;p&gt;No, AWS can register any io domain by means of one of its subcontractors, that is named GANDI.&lt;/p&gt;
&lt;blockquote&gt;
  &lt;p&gt;Or maybe I need some other product/service configured in addition to Route 53?&lt;/p&gt;
&lt;/blockquote&gt;
&lt;p&gt;No, this is only due to your configuration of Route 53. Your problem with Zoho Mail is not due to Zoho Mail.&lt;/p&gt;
</t>
  </si>
  <si>
    <t xml:space="preserve">&lt;p&gt;I have a multi-select widget bound to a table that only contains relations. I want to use the related values for each record to populate the multi-select name.&lt;/p&gt;
&lt;pre&gt;&lt;code&gt;Parent-Table 
 - Child-Table-One
 - Child-Table-Two
&lt;/code&gt;&lt;/pre&gt;
&lt;p&gt;No matter which way I try using the multi-select name paths, &lt;strong&gt;only the first record name in the multi-select gets populated&lt;/strong&gt; with the related value from the related child table, the others just display the record ID of the Parent Table.&lt;/p&gt;
&lt;p&gt;&lt;strong&gt;Do I need to use a function somehow to iterate through all records to get the related values for every record?&lt;/strong&gt;&lt;/p&gt;
</t>
  </si>
  <si>
    <t xml:space="preserve">&lt;p&gt;I have a lightening card in my component.&lt;/p&gt;
&lt;pre&gt;&lt;code&gt; &amp;lt;lightning:card title="My Title"&amp;gt;
        &amp;lt;lightning:layout horizontalAlign="left" class="slds-m-ertical_medium"&amp;gt;
            &amp;lt;lightning:layoutItem size="3"&amp;gt;
                &amp;lt;lightning:badge label=""/&amp;gt;
            &amp;lt;/lightning:layoutItem&amp;gt;
            &amp;lt;lightning:layoutItem size="7"&amp;gt;
                   ......
            &amp;lt;/lightning:layoutItem&amp;gt;
        &amp;lt;/lightning:layout&amp;gt;
&amp;lt;/lightning:card&amp;gt;
&lt;/code&gt;&lt;/pre&gt;
&lt;p&gt;I've been looking for a way to underline the title "My Title".
But I haven't been able to find any.
Can someone help ?&lt;/p&gt;
</t>
  </si>
  <si>
    <t xml:space="preserve">&lt;p&gt;Looking at the lightning design system &lt;a href="https://lightningdesignsystem.com/components/cards/" rel="nofollow noreferrer"&gt;documentation&lt;/a&gt;, it looks like that title is given the style class &lt;code&gt;slds-text-heading_small&lt;/code&gt;, so you should be able to get the desired effect by adding this to your component's style section: &lt;/p&gt;
&lt;pre&gt;&lt;code&gt;.THIS .slds-text-heading_small{
    text-decoration : underline ;
}
&lt;/code&gt;&lt;/pre&gt;
</t>
  </si>
  <si>
    <t xml:space="preserve">&lt;p&gt;I am attempting to detect when a device changes it's orientation and update my component to reflect the new orientation.&lt;/p&gt;
&lt;p&gt;The problem with my approach is that my event lives outside of the components life-cycle which in turn makes the &lt;strong&gt;component&lt;/strong&gt; variable is undefined thus rendering the code inside the event absolutely useless.&lt;/p&gt;
&lt;p&gt;Anyone that has some insight into what I could do to achieve this would great.&lt;/p&gt;
&lt;pre&gt;&lt;code&gt;afterRender: function(component,helper){
    this.superAfterRender();
    window.addEventListener("orientationchange", function() {
        window.setTimeout(function(){
            if(window.innerWidth &amp;lt;= 768) {
                component.set('v.deviceWidth','small');
            } else if(window.innerWidth &amp;gt; 768 &amp;amp;&amp;amp; window.innerWidth &amp;lt; 1440) {
                component.set('v.deviceWidth','medium');
            } else if(window.innerWidth &amp;gt;= 1440) {
                component.set('v.deviceWidth','large');
            }
        },500);
    });
}
&lt;/code&gt;&lt;/pre&gt;
</t>
  </si>
  <si>
    <t xml:space="preserve">&lt;p&gt;App Maker Guide (server script section) mentions that " It is important to note any function you define in a server script is open to all users of your application, even if you do not expose it in the UI."
How can I call an app maker server script outside of UI?&lt;/p&gt;
</t>
  </si>
  <si>
    <t xml:space="preserve">&lt;p&gt;Is it possible to read a csv or json file from PowerApps and work with the data in the file? I want to be able to read a file, manipulate data and add it to a SQL server.&lt;/p&gt;
</t>
  </si>
  <si>
    <t xml:space="preserve">&lt;p&gt;I got a gallery with Title and Subtitle, data source is from SharePoint List.&lt;br&gt;
&lt;strong&gt;Title:&lt;/strong&gt;&lt;/p&gt;
&lt;pre&gt;&lt;code&gt;ThisItem.name_check_list
&lt;/code&gt;&lt;/pre&gt;
&lt;p&gt;&lt;strong&gt;Subtitle:&lt;/strong&gt;&lt;/p&gt;
&lt;pre&gt;&lt;code&gt;ThisItem.user_mail
&lt;/code&gt;&lt;/pre&gt;
&lt;p&gt;My example item Title is: &lt;strong&gt;CQ 00.11/22&lt;/strong&gt;,
and my Subtitle is: &lt;strong&gt;example.mail_qwe@mail.com&lt;/strong&gt;&lt;/p&gt;
&lt;p&gt;When i use button with &lt;strong&gt;&lt;em&gt;OnSelect&lt;/em&gt;&lt;/strong&gt; action:&lt;/p&gt;
&lt;pre&gt;&lt;code&gt;Select(Parent);
If(ThisItem.user_mail = "example.mail_qwe@mail.com", Navigate(BrowseScreen1, ScreenTransition.None), false)
&lt;/code&gt;&lt;/pre&gt;
&lt;p&gt;Everything is ok, it navigates me to &lt;em&gt;BrowseScreen1&lt;/em&gt;.&lt;br&gt;
But when i use button with &lt;strong&gt;&lt;em&gt;OnSelect:&lt;/em&gt;&lt;/strong&gt;&lt;/p&gt;
&lt;pre&gt;&lt;code&gt;Select(Parent);
If(ThisItem.name_check_list = "CQ 00.11/22", Navigate(BrowseScreen1, ScreenTransition.None), false)
&lt;/code&gt;&lt;/pre&gt;
&lt;p&gt;It returns false and i have no idea what I am doing wrong. I tried use &lt;strong&gt;&lt;em&gt;Gallery1.Selected.name_check_list&lt;/em&gt;&lt;/strong&gt; instead of &lt;strong&gt;&lt;em&gt;ThisItem&lt;/em&gt;&lt;/strong&gt; but without result.&lt;/p&gt;
&lt;p&gt;Screenshots of my app:  &lt;/p&gt;
&lt;p&gt;&lt;a href="https://i.stack.imgur.com/djAy5.png" rel="nofollow noreferrer"&gt;screenshot of app with tree view&lt;/a&gt;&lt;/p&gt;
&lt;p&gt;&lt;a href="https://i.stack.imgur.com/yKEco.png" rel="nofollow noreferrer"&gt;data source of gallery&lt;/a&gt;&lt;/p&gt;
&lt;p&gt;Screenshot with Title2.Text = "CQ 11.12/39":
&lt;a href="https://i.stack.imgur.com/LWPhR.png" rel="nofollow noreferrer"&gt;&lt;img src="https://i.stack.imgur.com/LWPhR.png" alt="enter image description here"&gt;&lt;/a&gt;&lt;/p&gt;
</t>
  </si>
  <si>
    <t xml:space="preserve">&lt;p&gt;Based on the comments in the question, you have leading and/or trailing spaces in the values in your list, which is causing the &lt;code&gt;If&lt;/code&gt; condition to be evaluated to false.&lt;/p&gt;
&lt;p&gt;You can use the &lt;a href="https://docs.microsoft.com/powerapps/maker/canvas-apps/functions/function-trim" rel="nofollow noreferrer"&gt;Trim function&lt;/a&gt; to remove those spaces, and with that the expression should start working:&lt;/p&gt;
&lt;pre&gt;&lt;code&gt;If(
    Trim(ThisItem.name_check_list) = "CQ 00.11/22",
    Navigate(BrowseScreen1, ScreenTransition.None))
&lt;/code&gt;&lt;/pre&gt;
</t>
  </si>
  <si>
    <t xml:space="preserve">&lt;p&gt;I'm just getting started with App Maker.&lt;/p&gt;
&lt;p&gt;I need users to be able to upload an image (this we can do) and then ROTATE the image by clicking a button below it.&lt;/p&gt;
&lt;p&gt;I can't find the correct code write in Custom Action in the onClick section in Property editor&lt;/p&gt;
&lt;p&gt;Any help would be much appreciated!&lt;/p&gt;
</t>
  </si>
  <si>
    <t xml:space="preserve">&lt;p&gt;I am trying to turn on Google App Maker for our G-Suite business. Within the Google admin console, I navigate to Apps then Additional Google services. In the list I don't see a row for Google App Maker.&lt;/p&gt;
&lt;p&gt;&lt;a href="https://i.stack.imgur.com/gDOZa.png" rel="nofollow noreferrer"&gt;&lt;img src="https://i.stack.imgur.com/gDOZa.png" alt="enter image description here"&gt;&lt;/a&gt;&lt;/p&gt;
&lt;p&gt;Is App Maker limited release or something?&lt;/p&gt;
</t>
  </si>
  <si>
    <t xml:space="preserve">&lt;p&gt;Are you sure your G Suite level is really Business and not Basic? App Maker is only available in Business and Enterprise pricing plans.&lt;/p&gt;
</t>
  </si>
  <si>
    <t xml:space="preserve">&lt;p&gt;I am looking for an option to integrate SMS gateway in App Maker 
On form submit genrate an OTP and verify the OTP To confirm the Mobile Number &lt;/p&gt;
</t>
  </si>
  <si>
    <t xml:space="preserve">&lt;p&gt;I am trying to use data stored in multiple lists from a SharePoint collection, and display the data stored inside all of the lists within a PowerApp gallery.&lt;/p&gt;
&lt;p&gt;The fields I want to pick from the lists are all the same I would just like to display them within a PowerApp gallery.&lt;/p&gt;
&lt;p&gt;Is this possible using PowerApps?&lt;/p&gt;
&lt;p&gt;Any help or insight into this would be much appreciated! &lt;/p&gt;
</t>
  </si>
  <si>
    <t xml:space="preserve">&lt;p&gt;Yes, it is possible. Different ways you can achieve this, by joining the data or by collecting data first. By using Lookup function, you can join the data first. Please refer to this &lt;a href="https://powerusers.microsoft.com/t5/General-Discussion/Can-I-add-fields-from-multiple-data-sources-into-a-single/td-p/7376" rel="nofollow noreferrer"&gt;article.&lt;/a&gt; And use Collect function is very straightforward, you will collect the fields into the same collection and use the collection as the data source of your gallery. Example code:&lt;/p&gt;
&lt;p&gt;&lt;code&gt;Collect(CombinedCollection, 'table1'.Title); Collect(CombinedCollection, 'table2'.Title)&lt;/code&gt;:&lt;/p&gt;
</t>
  </si>
  <si>
    <t xml:space="preserve">&lt;p&gt;When I attempt to open an existing appmaker project, it fails to load and returns this message.  &lt;/p&gt;
&lt;p&gt;&lt;img src="https://i.imgur.com/4E9DKC5.png" alt="error message"&gt; &lt;/p&gt;
&lt;p&gt;Other appmaker projects load and build just fine. The issue exists for multiple users.&lt;/p&gt;
&lt;p&gt;How can I restore my appmaker project if it continues to crash on opening? &lt;/p&gt;
</t>
  </si>
  <si>
    <t xml:space="preserve">&lt;p&gt;As what everyone in this post has been saying, it too is a bug in App Maker that seems to occur whenever there's a new update on the G-Suite. To check the status on any G-Suite related products including AppMaker, go on to this site &lt;a href="https://www.google.com/appsstatus#hl=en&amp;amp;v=status" rel="nofollow noreferrer"&gt;https://www.google.com/appsstatus#hl=en&amp;amp;v=status&lt;/a&gt; to determine whether a particular G-Suite product is down or not. &lt;/p&gt;
</t>
  </si>
  <si>
    <t xml:space="preserve">&lt;p&gt;I'm having a tough time trying to get this email alert to fire. Correction, I can get it to fire, but not when I want. I have the following fields: &lt;code&gt;Last Login&lt;/code&gt; and &lt;code&gt;Last Login Target Date&lt;/code&gt;. &lt;/p&gt;
&lt;p&gt;Use Case: I need to alert the account owner if a user hasn't logged into our app in 30 days. I query into our app database on a weekly basis to get the 'last login' dates for each account. I then data load the CSV into our every account's &lt;code&gt;Last Login&lt;/code&gt; dates on the account object.&lt;/p&gt;
&lt;p&gt;I have two workflow rules with one field update for one, and one email alert for the other  &lt;/p&gt;
&lt;ol&gt;
&lt;li&gt;When &lt;code&gt;Last Login&lt;/code&gt; is changed, &lt;code&gt;Last Login Target Date&lt;/code&gt; is updated.
i.e. WFR: &lt;code&gt;IF( ISCHANGED(Last_Login__c) , True, False)&lt;/code&gt; and Field Update: &lt;code&gt;Last_Login__c + 30&lt;/code&gt;&lt;/li&gt;
&lt;li&gt;When &lt;code&gt;Last Login Target Date&lt;/code&gt; = Today, email acount owner. 
i.e. WFR: &lt;code&gt;IF(Today() = Last_Login_Target_Date__c , True, False)&lt;/code&gt; and email alert: 'Send Email to Account Owner'.&lt;/li&gt;
&lt;/ol&gt;
&lt;p&gt;The idea is that if I keep uploading the same &lt;code&gt;Last Login&lt;/code&gt; date via data loader, the &lt;code&gt;Last Login Target date&lt;/code&gt; will stay the same until a different date in &lt;code&gt;Last Login&lt;/code&gt; is updated. &lt;/p&gt;
&lt;p&gt;However, today, when &lt;code&gt;TODAY ()&lt;/code&gt; did, in fact, equal &lt;code&gt;Last Login Target Date&lt;/code&gt; no email alert went out. &lt;/p&gt;
&lt;p&gt;I'm wondering why the workflow rule isn't firing when the WFR for the email alert is = TRUE. &lt;/p&gt;
&lt;p&gt;Screen Shot for ref: 
&lt;a href="https://i.stack.imgur.com/HbLX4.png" rel="nofollow noreferrer"&gt;&lt;img src="https://i.stack.imgur.com/HbLX4.png" alt="enter image description here"&gt;&lt;/a&gt;
Any help would be greatly appreciated, and I'm happy to explain in more detail if needed. &lt;/p&gt;
&lt;p&gt;Thanks!&lt;/p&gt;
</t>
  </si>
  <si>
    <t xml:space="preserve">&lt;p&gt;I am creating an app with 3 screens -&lt;/p&gt;
&lt;ol&gt;
&lt;li&gt;Home screen - normal text based screen with two buttons - 
View All-All Records Gallery. The items for this gallery are coming from SP List1 
FormScreen - Form which submits data into SP List2 &lt;/li&gt;
&lt;li&gt;ViewAll Screen - This contains gallery with Title, Subtitle, Body and
Navigation arrow. Data for this gallery is coming from SP List2.
Clicking on the arrow should navigate to FormScreen &lt;/li&gt;
&lt;li&gt;FormScreen - This has data source as SP List2&lt;/li&gt;
&lt;/ol&gt;
&lt;p&gt;I wanted to pass "Title" value from ViewAll screen and set it as default for dropdown on FormScreen once I click on the Navigate arrow.&lt;/p&gt;
&lt;p&gt;I do not have EditScreen/EditForm. If I directly come from HomeScreen to the FormScreen the form should open in new mode with no defaults set for the dropdown but if I am coming from ViewAll screen to the FormScreen then it should pick up the Title value and set it as a default for one of the dropdown control on FormScreen.&lt;/p&gt;
&lt;p&gt;So far I have tried setting the global variables but no luck -&lt;/p&gt;
&lt;pre&gt;&lt;code&gt;Navigate(FormScreen, transition.fade, {myValue:ThisItem.Title})
&lt;/code&gt;&lt;/pre&gt;
&lt;p&gt;To debug this issue I added a temporary text input on the FormScreen and have set its Text property to myValue and it works fine but with dropdown it is not showing anything.&lt;/p&gt;
&lt;p&gt;Please help! Thank you.&lt;/p&gt;
</t>
  </si>
  <si>
    <t xml:space="preserve">&lt;p&gt;I assume that you got Title value in your DropDown, if you want to add this to  DropDown you have to use collection.&lt;/p&gt;
&lt;p&gt;&lt;strong&gt;Home Screen&lt;/strong&gt; - &lt;strong&gt;&lt;em&gt;OnVisible&lt;/em&gt;&lt;/strong&gt; event: &lt;code&gt;Set(myDefaultDropDownValue, "")&lt;/code&gt;  &lt;/p&gt;
&lt;p&gt;&lt;strong&gt;Navigation arrow&lt;/strong&gt; &lt;strong&gt;&lt;em&gt;OnSelect&lt;/em&gt;&lt;/strong&gt; event: &lt;code&gt;Set(myDefaultDropDownValue, Title.Text)&lt;/code&gt;  &lt;/p&gt;
&lt;p&gt;&lt;strong&gt;DropDown&lt;/strong&gt; on &lt;strong&gt;FormScreen&lt;/strong&gt; Default value: &lt;code&gt;myDefaultDropDownValue&lt;/code&gt;&lt;/p&gt;
</t>
  </si>
  <si>
    <t xml:space="preserve">&lt;p&gt;I want to do the same in app maker
&lt;a href="https://codepen.io/Seba951/pen/siapk" rel="nofollow noreferrer"&gt;https://codepen.io/Seba951/pen/siapk&lt;/a&gt;&lt;/p&gt;
&lt;p&gt;&lt;a href="https://i.stack.imgur.com/TkzGn.png" rel="nofollow noreferrer"&gt;Character counter_appmaker&lt;/a&gt;&lt;/p&gt;
&lt;p&gt;&lt;img src="https://i.stack.imgur.com/TkzGn.png" alt=""&gt;&lt;/p&gt;
&lt;p&gt;I was advancing this.&lt;/p&gt;
&lt;pre&gt;&lt;code&gt;function caracteres(){
    var cadena = app.pages.Archivos.descendants.txtCaracteres.value;
    var x = cadena.length;
    console.log(x);
    return x;
}
onAttach: widget.getElement().addEventListener('keypress', caracteres);
&lt;/code&gt;&lt;/pre&gt;
</t>
  </si>
  <si>
    <t xml:space="preserve">&lt;p&gt;Is there any way to get all referenced pages where i used my custom lightning component using salesforce api.&lt;/p&gt;
&lt;p&gt;Example: I created a &lt;strong&gt;custom lightning component page&lt;/strong&gt; 'Reminder' and used into &lt;strong&gt;custom tab&lt;/strong&gt; view in Record Page or replace existing record view using &lt;strong&gt;Edit Page&lt;/strong&gt; option.&lt;/p&gt;
&lt;p&gt;I need to find all page information where my custom lightning component referenced.&lt;/p&gt;
&lt;p&gt;Please share if any helpful SOQL query or rest api exist for that . &lt;/p&gt;
&lt;p&gt;Any guidance would be appreciated. Thanks&lt;/p&gt;
</t>
  </si>
  <si>
    <t xml:space="preserve">&lt;p&gt;Personally, I use Linux, so I like to pull down the metadata definitions and then grep through them. &lt;/p&gt;
&lt;p&gt;You would first need to retrieve the relevant metadata with a metadata api retrieve call using your tool of choice. Here's a sample package manifest for performing a retrieval of the lightning definitions and related resources:&lt;/p&gt;
&lt;blockquote&gt;
&lt;pre&gt;&lt;code&gt;$ cat package.xml 
&amp;lt;?xml version="1.0" encoding="UTF-8"?&amp;gt;
&amp;lt;Package xmlns="http://soap.sforce.com/2006/04/metadata"&amp;gt;
    &amp;lt;types&amp;gt;
        &amp;lt;members&amp;gt;*&amp;lt;/members&amp;gt;
        &amp;lt;name&amp;gt;AuraDefinitionBundle&amp;lt;/name&amp;gt;
    &amp;lt;/types&amp;gt;
    &amp;lt;version&amp;gt;43.0&amp;lt;/version&amp;gt;
&amp;lt;/Package&amp;gt;
&lt;/code&gt;&lt;/pre&gt;
&lt;/blockquote&gt;
&lt;p&gt;Then find the files that contain the text string indicating the component in question, in this case, &lt;code&gt;c:myCmp&lt;/code&gt;:&lt;/p&gt;
&lt;blockquote&gt;
&lt;pre&gt;&lt;code&gt;$ grep c:myCmp -R .
./aura/myApp/myApp.app:    &amp;lt;c:myCmp /&amp;gt;
&lt;/code&gt;&lt;/pre&gt;
&lt;/blockquote&gt;
&lt;p&gt;Assuming that I haven't commented that section out, this would show that &lt;code&gt;myCmp&lt;/code&gt; is being used in &lt;code&gt;myApp&lt;/code&gt;. &lt;/p&gt;
&lt;p&gt;I would imagine most of the IDE's out there would provide a similar type of search function. &lt;/p&gt;
&lt;hr&gt;
&lt;p&gt;Another option, if you know for sure the component is being referenced, would be to attempt to delete the component and look at the resulting errors. &lt;/p&gt;
&lt;p&gt;For example, a deployment with a &lt;code&gt;destructiveChanges.xml&lt;/code&gt; file that attempted to delete the &lt;code&gt;myCmp&lt;/code&gt; lightning component failed because the component was being referenced by &lt;code&gt;myApp&lt;/code&gt;: &lt;/p&gt;
&lt;p&gt;&lt;a href="https://i.stack.imgur.com/vWtoA.png" rel="nofollow noreferrer"&gt;&lt;img src="https://i.stack.imgur.com/vWtoA.png" alt="Deployment error"&gt;&lt;/a&gt;&lt;/p&gt;
&lt;p&gt;And you don't need to use the metadata api for this trick either, an attempt to delete a referenced component in the developer console will also show the error: &lt;/p&gt;
&lt;p&gt;&lt;a href="https://i.stack.imgur.com/YEfYD.png" rel="nofollow noreferrer"&gt;&lt;img src="https://i.stack.imgur.com/YEfYD.png" alt="enter image description here"&gt;&lt;/a&gt;&lt;/p&gt;
</t>
  </si>
  <si>
    <t xml:space="preserve">&lt;p&gt;I am really new to PowerApps.
What I want to ask is how to navigate the screen from table to another table, I have 2 tables named &lt;code&gt;table3&lt;/code&gt; and &lt;code&gt;table2&lt;/code&gt;&lt;/p&gt;
&lt;p&gt;When I launch the apps for the first time, the datasource using &lt;code&gt;table3&lt;/code&gt;
&lt;a href="https://i.stack.imgur.com/Ltte5.png" rel="nofollow noreferrer"&gt;&lt;img src="https://i.stack.imgur.com/Ltte5.png" alt="enter image description here"&gt;&lt;/a&gt;&lt;/p&gt;
&lt;p&gt;When I click the button I want to navigate to another table &lt;code&gt;table&lt;/code&gt;, but it failed
&lt;a href="https://i.stack.imgur.com/kPo09.png" rel="nofollow noreferrer"&gt;&lt;img src="https://i.stack.imgur.com/kPo09.png" alt="enter image description here"&gt;&lt;/a&gt;&lt;/p&gt;
&lt;p&gt;The code I am using for when clicking the arrow button&lt;/p&gt;
&lt;pre&gt;&lt;code&gt;Filter(Table3,Code in Table2.Club);Navigate(DetailScreen2, ScreenTransition.Fade)
&lt;/code&gt;&lt;/pre&gt;
&lt;p&gt;and for code for displaying the second screen is this &lt;/p&gt;
&lt;pre&gt;&lt;code&gt;BrowseGallery1.Selected
&lt;/code&gt;&lt;/pre&gt;
&lt;p&gt;Here's my data for the datasource(using excel)
&lt;a href="https://i.stack.imgur.com/xnpY5.png" rel="nofollow noreferrer"&gt;&lt;img src="https://i.stack.imgur.com/xnpY5.png" alt="enter image description here"&gt;&lt;/a&gt;&lt;/p&gt;
&lt;p&gt;&lt;strong&gt;UPDATE&lt;/strong&gt;
&lt;a href="https://i.stack.imgur.com/cJM8L.png" rel="nofollow noreferrer"&gt;&lt;img src="https://i.stack.imgur.com/cJM8L.png" alt="enter image description here"&gt;&lt;/a&gt;
&lt;a href="https://i.stack.imgur.com/ZYVHk.png" rel="nofollow noreferrer"&gt;&lt;img src="https://i.stack.imgur.com/ZYVHk.png" alt="enter image description here"&gt;&lt;/a&gt;&lt;/p&gt;
</t>
  </si>
  <si>
    <t xml:space="preserve">&lt;p&gt;I believe you are getting confused with some terminology in PowerApps. An app in that platform consists of many &lt;em&gt;screens&lt;/em&gt;, and you can &lt;em&gt;Navigate&lt;/em&gt; from one screen to another. Each screen can have controls that displays data from (possibly) one or more tables. If you want to "navigate from one table to another", you need to create a couple of screens, one containing one of the tables, and another containing the other table, and navigate between them.&lt;/p&gt;
&lt;p&gt;Another issue that I could find is your expression for the &lt;code&gt;OnSelect&lt;/code&gt; property of the arrow:&lt;/p&gt;
&lt;pre&gt;&lt;code&gt;Filter(Table3,Code in Table2.Club);Navigate(DetailScreen2, ScreenTransition.Fade)
&lt;/code&gt;&lt;/pre&gt;
&lt;p&gt;The first part of that expression is not doing anything - a &lt;a href="https://docs.microsoft.com/powerapps/maker/canvas-apps/functions/function-filter-lookup" rel="nofollow noreferrer"&gt;&lt;code&gt;Filter&lt;/code&gt;&lt;/a&gt; function doesn't change any of its parameters; instead it &lt;em&gt;returns&lt;/em&gt; a new table (not stored anywhere, just something that can be used as an input for another expression or a control).&lt;/p&gt;
&lt;p&gt;If I understand correctly your scenario, you have two tables, and you want the user to select (in the browse screen) items from the first table (&lt;code&gt;table3&lt;/code&gt;), and on the second (browse screen) you want to edit a single item from the second table (&lt;code&gt;table2&lt;/code&gt;) - using the code from the first selection to find the item you want to display on the second table.&lt;/p&gt;
&lt;p&gt;If this is the case, there are a few ways you can go about it. You can have in the &lt;code&gt;OnSelect&lt;/code&gt; property of the arrow (in the gallery displaying data from &lt;code&gt;table3&lt;/code&gt;) the following expression:&lt;/p&gt;
&lt;pre&gt;&lt;code&gt;Navigate(DetailScreen2, ScreenTransition.Fade, { selectedCode: ThisItem.Code })
&lt;/code&gt;&lt;/pre&gt;
&lt;p&gt;The &lt;a href="https://docs.microsoft.com/powerapps/maker/canvas-apps/functions/function-navigate" rel="nofollow noreferrer"&gt;&lt;code&gt;Navigate&lt;/code&gt; function&lt;/a&gt; can take an optional third parameter, a &lt;em&gt;context&lt;/em&gt; that will be passed to the next screen. This way, in the screen &lt;code&gt;DetailScreen2&lt;/code&gt; you can reference the context variable &lt;code&gt;code&lt;/code&gt;, and configure the display form with the following properties:&lt;/p&gt;
&lt;pre&gt;&lt;code&gt;DataSource: table2
Item: LookUp(table2, Code = selectedCode)
&lt;/code&gt;&lt;/pre&gt;
&lt;p&gt;The &lt;a href="https://docs.microsoft.com/powerapps/maker/canvas-apps/functions/function-filter-lookup" rel="nofollow noreferrer"&gt;&lt;code&gt;Lookup&lt;/code&gt; function&lt;/a&gt; will return an item from the second table, which then can be displayed in the form for that screen.&lt;/p&gt;
</t>
  </si>
  <si>
    <t xml:space="preserve">&lt;p&gt;I'm trying to use the &lt;a href="https://www.zoho.com/crm/help/api/v2/#ra-insert-or-update" rel="nofollow noreferrer"&gt;Record Upsert API&lt;/a&gt; and am running into problems with how to specify the proper duplicate check fields.&lt;/p&gt;
&lt;p&gt;I'm using cURL, and can't figure out where you want me to include the &lt;code&gt;duplicate_check_fields&lt;/code&gt; parameters&lt;/p&gt;
&lt;p&gt;I tried putting it in the URL:&lt;/p&gt;
&lt;p&gt;&lt;code&gt;https://www.zohoapis.com/crm/v2/contacts/upsert?duplicate_check_fields=Contacts-Email,Last_name&lt;/code&gt;&lt;/p&gt;
&lt;p&gt;And in the data, both inside and outside of the data array:&lt;/p&gt;
&lt;pre&gt;&lt;code&gt;{  
   "data":[  
      {  
         "Company":"&amp;lt;COMPANY&amp;gt;",
         "Last_Name":"&amp;lt;LAST_NAME&amp;gt;",
         "First_Name":"&amp;lt;FIRST_NAME&amp;gt;",
         "Phone":"&amp;lt;PHONE NUMBER&amp;gt;"
      }
   ],
   "duplicate_check_fields":"Contacts - Email,Last_Name"
}
&lt;/code&gt;&lt;/pre&gt;
&lt;p&gt;or&lt;/p&gt;
&lt;pre&gt;&lt;code&gt;{  
   "data":[  
      {  
         "Company":"CTM",
         "Last_Name":"&amp;lt;LAST_NAME&amp;gt;",
         "First_Name":"&amp;lt;FIRST_NAME&amp;gt;",
         "Phone":"&amp;lt;PHONE NUMBER&amp;gt;",
         "duplicate_check_fields":"Contacts - Email,Last_Name"
      }
   ]
}
&lt;/code&gt;&lt;/pre&gt;
&lt;p&gt;When I place it in either location in JSON the server responds with:&lt;/p&gt;
&lt;p&gt;&lt;code&gt;{"code":"INVALID_DATA","details":{"expected_data_type":"jsonobject"},"message":"body","status":"error"}&lt;/code&gt;&lt;/p&gt;
&lt;p&gt;I am stumped as to what I'm missing with what should be a fairly straight forward task.&lt;/p&gt;
</t>
  </si>
  <si>
    <t xml:space="preserve">&lt;p&gt;I have been searching all over the internet for a way to export a database table in google app maker by email in HTML format. Ideally, I'm looking for a simple solution like a button that you can click and confirm. It doesn't have to be good looking just has to work.&lt;/p&gt;
&lt;ul&gt;
&lt;li&gt;Note this will be utilized on an inventory table.&lt;/li&gt;
&lt;/ul&gt;
&lt;p&gt;Best,
Grant&lt;/p&gt;
</t>
  </si>
  <si>
    <t xml:space="preserve">&lt;p&gt;You will have to format the HTML table yourself and then use the &lt;code&gt;MailApp.sendEmail()&lt;/code&gt; function using the &lt;code&gt;htmlBody&lt;/code&gt; parameter.&lt;/p&gt;
&lt;p&gt;It is possible to write some generic function which accepts an array of records and a header array (or a model object) and generates a HTML table.  I have not written such a function but below is a quick and dirty example for generating an HTML table and sending through email.&lt;/p&gt;
&lt;p&gt;You would ideally have some event attached to an export button which passes &lt;code&gt;widget.datasource.items&lt;/code&gt; to that HTML formatting function.  &lt;/p&gt;
&lt;pre class="lang-js prettyprint-override"&gt;&lt;code&gt;// Array of records to send
var records = [
  {name:'Foo', owner:'Bob', date: new Date()}, 
  {name:'Bar', owner:'Max', date: new Date()}
]; 
// Instantiate table string
var table = '&amp;lt;table cellspacing="0" border="1" cellpadding="15" width="400"&amp;gt;';
// Add header
table += '&amp;lt;tr&amp;gt;&amp;lt;th&amp;gt;Name&amp;lt;/th&amp;gt;&amp;lt;th&amp;gt;Owner&amp;lt;/th&amp;gt;&amp;lt;th&amp;gt;Date&amp;lt;/th&amp;gt;';
for(var i in records){
  var record = records[i];
  table += '&amp;lt;tr&amp;gt;&amp;lt;td&amp;gt;' + record.name + '&amp;lt;/td&amp;gt;&amp;lt;td&amp;gt;' + 
           record.owner + '&amp;lt;/td&amp;gt;&amp;lt;td&amp;gt;' + 
           record.date.toLocaleString() + '&amp;lt;/td&amp;gt;&amp;lt;/tr&amp;gt;';
}
table += '&amp;lt;/table&amp;gt;';
// Send via MailApp service
var message = {
  to: 'me@gmail.com', 
  subject: 'Your HTML Table', 
  htmlBody: table, 
  body: 'Sorry, your mail client does not support HTML emails.'
};
MailApp.sendEmail(message);
&lt;/code&gt;&lt;/pre&gt;
&lt;p&gt;And the output:&lt;/p&gt;
&lt;p&gt;&lt;img src="https://i.imgur.com/AOYPOso.png" alt="Some sample output"&gt;&lt;/p&gt;
&lt;p&gt;As an aside, if you have pagination enabled on your datasource your function will only include that many records.  Either disable pagination or load the records server side using &lt;code&gt;var records = app.models.myModel.newQuery().run()&lt;/code&gt;.  You can also filter the returned records by way of normal query filters.&lt;/p&gt;
</t>
  </si>
  <si>
    <t xml:space="preserve">&lt;p&gt;I have created two app maker apps for different purposes. However, there are some data which is common between two apps.&lt;/p&gt;
&lt;p&gt;How can I access/connect data between those app maker apps?&lt;/p&gt;
</t>
  </si>
  <si>
    <t xml:space="preserve">&lt;p&gt;You will need to setup a &lt;a href="https://developers.google.com/appmaker/models/cloudsql#custom" rel="nofollow noreferrer"&gt;Custom Google Cloud SQL&lt;/a&gt; instance. Then you can point both apps at the instance in &lt;code&gt;Settings&lt;/code&gt; &gt; &lt;code&gt;Database&lt;/code&gt; &gt; &lt;code&gt;Switch to a Custom Cloud SQL Database&lt;/code&gt;&lt;/p&gt;
&lt;p&gt;&lt;strong&gt;EDIT:&lt;/strong&gt;&lt;/p&gt;
&lt;p&gt;The other option is setting up a calculated reference to a model in another app.&lt;/p&gt;
&lt;ol&gt;
&lt;li&gt;Grant access to App2 in App1's Google Cloud SQL Instance Authorization Settings (see above link).&lt;/li&gt;
&lt;li&gt;Create a Calculated model in App2.&lt;/li&gt;
&lt;li&gt;&lt;p&gt;In the Datasource query:&lt;/p&gt;
&lt;pre&gt;&lt;code&gt;var conn = Jdbc.getCloudSqlConnection('jdbc:google:mysql://INSTANCE_CONNECTION_NAME/DATABASE_NAME', 'USERNAME', 'PASSWORD');
var stmt = conn.prepareStatement("SELECT * from TABLE_NAME");
var res = stmt.executeQuery();
var records = [];
while(res.next()) {
  var record = app.models.MODEL_NAME.newRecord();
  record.FIELD_1 = res.getString(1);
  record.FIELD_2 = res.getString(2);
  record.FIELD_3 = res.getString(3);
  records.push(record);
}
res.close();
stmt.close();
conn.close();
return records;
&lt;/code&gt;&lt;/pre&gt;&lt;/li&gt;
&lt;/ol&gt;
</t>
  </si>
  <si>
    <t xml:space="preserve">&lt;p&gt;I am trying to use a hyperlink within an nextArrow object in PowerApps.
The intended outcome is that when a user clicks the arrow the user will be directed to an external web page.&lt;/p&gt;
&lt;p&gt;Any help of insight into this would be much appreciated!&lt;/p&gt;
</t>
  </si>
  <si>
    <t xml:space="preserve">&lt;p&gt;&lt;strong&gt;OnSelect&lt;/strong&gt; Action:&lt;/p&gt;
&lt;pre&gt;&lt;code&gt;Launch("www.stackoverflow.com")
&lt;/code&gt;&lt;/pre&gt;
</t>
  </si>
  <si>
    <t xml:space="preserve">&lt;p&gt;I have a situation where salesforce is connected with third party application and from Salesforce Community portal when a user clicks on a button we need to send session ID of that community user. &lt;/p&gt;
&lt;p&gt;With that session ID the third part should make a REST call to the salesforce and an REST Apex class should run the HTTP GET method and return Contact details in the JSON response. IS this possible ? &lt;/p&gt;
&lt;p&gt;Note: we won't be having all the community users Username and password for any sort of authentication , when any of the community user login and click the button, at that time we are just sending the Session ID  of that user to that third party app in the REST API  body.   and the third party will only have session ID related to that user and with that session ID they should be able to GET contact details of that community user as response. &lt;/p&gt;
</t>
  </si>
  <si>
    <t xml:space="preserve">&lt;p&gt;Is there some API available for microsecond accurate timing?  Some jitter is acceptable.  Something equivalent to &lt;code&gt;performance.now()&lt;/code&gt; is preferable. &lt;/p&gt;
&lt;p&gt;In my 5 minutes of research I found the &lt;code&gt;console&lt;/code&gt; object which does log times accurately enough but there is no easy way to retrieve those logged entries.  Additionally I may call this timing function thousands of times which would clutter logs.&lt;/p&gt;
</t>
  </si>
  <si>
    <t xml:space="preserve">&lt;p&gt;I want to create a SQL connection and import data from an app (Shoutouts template) to SQL database. I created a SQL connection and tried to import the data in there but I got this error.&lt;/p&gt;
&lt;blockquote&gt;
  &lt;p&gt;CreatedOnDateTime: The specified column is generated by the server and can't be specified&lt;/p&gt;
&lt;/blockquote&gt;
&lt;p&gt;I do have the &lt;code&gt;CreatedOnDateTime&lt;/code&gt; column created but I guess it's datatype is not the same or something else. &lt;/p&gt;
&lt;p&gt;Where can I look and see what fields and datatypes are being imported from PowerApps to SQL table in PowerApps via SQL connection?&lt;/p&gt;
&lt;p&gt;Thank you for your help!&lt;/p&gt;
</t>
  </si>
  <si>
    <t xml:space="preserve">&lt;p&gt;Our Salesforce Lead object has multiple Record Types.&lt;br&gt;
Leads are created via Segment.io.&lt;br&gt;
I'm unable to programmatically set what Record Type the Lead is via Segment.&lt;/p&gt;
&lt;p&gt;&lt;code&gt;RecordTypeId&lt;/code&gt; is one of the fields on the Lead object, with a data type of &lt;code&gt;Record Type&lt;/code&gt;.&lt;br&gt;
I've tried setting &lt;code&gt;RecordTypeId&lt;/code&gt; to both the &lt;code&gt;Record Type Name&lt;/code&gt; which is found via &lt;code&gt;setup -&amp;gt; object manager -&amp;gt; lead -&amp;gt; record types&lt;/code&gt; as well as using the id in the url &lt;code&gt;lightning/setup/ObjectManager/Lead/RecordTypes/${id}/view&lt;/code&gt;.&lt;/p&gt;
&lt;p&gt;One assumption I have is that segment thinks that &lt;code&gt;RecordTypeId&lt;/code&gt; is a custom field, and it is appending &lt;code&gt;__c&lt;/code&gt; to the field name.&lt;/p&gt;
</t>
  </si>
  <si>
    <t xml:space="preserve">&lt;p&gt;Spoke with the Segment team and they aren't passing &lt;code&gt;RecordTypeId&lt;/code&gt; to Salesforce calls.  It is on their product roadmap with no ETA.&lt;/p&gt;
</t>
  </si>
  <si>
    <t xml:space="preserve">&lt;p&gt;Good Day!&lt;/p&gt;
&lt;p&gt;We are building web apps with Google App Maker, How can we publish the web app with custom domain?&lt;/p&gt;
&lt;p&gt;Thanks.&lt;/p&gt;
&lt;p&gt;Heart&lt;/p&gt;
</t>
  </si>
  <si>
    <t xml:space="preserve">&lt;p&gt;I have a probably very basic question on Google AppMaker. A number input field in a form only accepts numbers with "dot" decimal separator. Yet the users normally use a "comma" as decimal separator. So I am trying to catch the entered value during validation and to format it correctly. I use the onValidate event and format the newValue. So far so good. I just cannot figure out how to write the corrected value back to the original form field so the record can be written. Can anyone direct me on the syntax of how to assign the new Value back to the form field? Thx.&lt;/p&gt;
&lt;p&gt;&lt;a href="https://i.stack.imgur.com/Nva3M.png" rel="nofollow noreferrer"&gt;This is the "code" situation...&lt;/a&gt;&lt;/p&gt;
</t>
  </si>
  <si>
    <t xml:space="preserve">&lt;p&gt;I have a filtered list as shown on the screenshot below &lt;/p&gt;
&lt;p&gt;&lt;a href="https://i.stack.imgur.com/Z34dN.png" rel="nofollow noreferrer"&gt;screenshot of the filtered list&lt;/a&gt;&lt;/p&gt;
&lt;p&gt;I would like to calculate to total of "Km" in a separate field.&lt;/p&gt;
&lt;p&gt;Can you help me ? &lt;/p&gt;
&lt;p&gt;Here is the screen shot with the structure of the widget : &lt;/p&gt;
&lt;p&gt;&lt;a href="https://i.stack.imgur.com/Z34dN.png" rel="nofollow noreferrer"&gt;Structure Admin View&lt;/a&gt;&lt;/p&gt;
</t>
  </si>
  <si>
    <t xml:space="preserve">&lt;p&gt;Something like the following will work:&lt;/p&gt;
&lt;pre&gt;&lt;code&gt;TableListWidget.children._values
  .map(function(obj){ 
    return parseInt(obj.descendants.nameOfYourKMField.value);
  })
  .reduce(function(accumulator, currentValue){ 
    return accumulator + currentValue; 
  });
&lt;/code&gt;&lt;/pre&gt;
&lt;p&gt;&lt;code&gt;TableListWidget.children._vaues&lt;/code&gt; contains an array of all your table rows, the &lt;code&gt;descendants&lt;/code&gt; property of each row will contain the widget which has your KM value.  We map the &lt;code&gt;_values&lt;/code&gt; array to an array of KM field values and then use the &lt;code&gt;reduce&lt;/code&gt; function to add them.&lt;/p&gt;
</t>
  </si>
  <si>
    <t xml:space="preserve">&lt;p&gt;Can anyone provide an example showing how to use the Pentaho REST transformation
to connect to the Quickbase API?  Thanks!&lt;/p&gt;
</t>
  </si>
  <si>
    <t xml:space="preserve">&lt;p&gt;I have what is essentially a questionnaire in the form of a SQL model.&lt;/p&gt;
&lt;p&gt;User answers the questions, creates the item. With the item loaded, how can I loop through the values? I'm new to JS and GAM, but I've tried the below and can only seem to get the name of the fields, not its value. &lt;/p&gt;
&lt;pre&gt;&lt;code&gt;function generateScore(){
  ds = app.datasources.Checklist.item;
  for (var x in ds){
    if (ds.x === 'Safe'){
      console.log("Passed");
    } else {
      console.log("Failed"); 
    }
  }
}
&lt;/code&gt;&lt;/pre&gt;
&lt;p&gt;Output will be 'Fail' as 'ds.x' is only returning the name of the field and not its value. &lt;/p&gt;
&lt;p&gt;It's probably really simple, but can somebody guide me in the right direction? 
Thanks&lt;/p&gt;
</t>
  </si>
  <si>
    <t xml:space="preserve">&lt;p&gt;&lt;strong&gt;Short answer: In your function change ds.x to ds[x]:&lt;/strong&gt;&lt;/p&gt;
&lt;pre&gt;&lt;code&gt;function generateScore(){
  ds = app.datasources.Checklist.item;
  for (var x in ds){
    if (ds[x] === 'Safe'){
      console.log("Passed");
    } else {
      console.log("Failed"); 
    }
  }
}
&lt;/code&gt;&lt;/pre&gt;
&lt;p&gt;&lt;strong&gt;TL;DR&lt;/strong&gt;&lt;/p&gt;
&lt;p&gt;There are &lt;strong&gt;Other ways&lt;/strong&gt; of looping through the values of an object.
Let's assume the following object:&lt;/p&gt;
&lt;pre&gt;&lt;code&gt;const obj = {
    "key1": "value1",
    "key2": "value2",
    "key3": "value3"
};
&lt;/code&gt;&lt;/pre&gt;
&lt;p&gt;You can use the Object.keys syntax.&lt;/p&gt;
&lt;p&gt;&lt;strong&gt;JS ES6 answer:&lt;/strong&gt;&lt;/p&gt;
&lt;pre&gt;&lt;code&gt;Object.keys(obj).map(key =&amp;gt; obj[key]) // returns an array of values --&amp;gt; ["value1", "value2", "value3"]
Object.keys(obj).map(key =&amp;gt; {
  console.log(obj[key])
}) 
// logs all values one by one --&amp;gt; "value1" "value2" "value3"
&lt;/code&gt;&lt;/pre&gt;
&lt;p&gt;&lt;strong&gt;JS ES5 answer:&lt;/strong&gt;&lt;/p&gt;
&lt;pre&gt;&lt;code&gt;Object.keys(obj).map(function(key) { 
   console.log(obj[key])
});
&lt;/code&gt;&lt;/pre&gt;
</t>
  </si>
  <si>
    <t xml:space="preserve">&lt;p&gt;I want to use a custom label inside a list that I then bind to a multi picklist.&lt;/p&gt;
&lt;pre&gt;&lt;code&gt;   &amp;lt;aura:attribute name="genderOptions" type="List"
                default="[
                         {'label': {!$Label.c.DM_Gender_Male},'Value': 
                                     'Male'},
                         {'label': {!$Label.c.DM_Gender_Female}, 'value': 
                                    'Female'}
                         ]"
                /&amp;gt;
&lt;/code&gt;&lt;/pre&gt;
&lt;p&gt;When I try to save the component, then I get the following exception (FIELD INTEGRITY EXCEPTION)
  &lt;strong&gt;Failed to save DMSegmentation.cmp: Cannot mix expression and literal string in attribute value, try rewriting like {!'foo' + v.bar}: Source&lt;/strong&gt;&lt;/p&gt;
&lt;p&gt;Can someone help me to resolve this ?&lt;/p&gt;
</t>
  </si>
  <si>
    <t xml:space="preserve">&lt;p&gt;Actually it is possible to create this inside the component. The two things you were missing are:&lt;/p&gt;
&lt;ol&gt;
&lt;li&gt;&lt;p&gt;Quotes &lt;code&gt;"&lt;/code&gt; need to be represented as XML escape entities.&lt;/p&gt;&lt;/li&gt;
&lt;li&gt;&lt;p&gt;Open and closing braces &lt;code&gt;{&lt;/code&gt; &lt;code&gt;}&lt;/code&gt;  need to be represented as custom labels.&lt;/p&gt;&lt;/li&gt;
&lt;/ol&gt;
&lt;hr&gt;
&lt;p&gt;The component:&lt;/p&gt;
&lt;pre&gt;&lt;code&gt;&amp;lt;aura:component &amp;gt;
    &amp;lt;aura:attribute 
     name="genderOptions"
     type="List"
     default="{! ' [ ' 
               + $Label.c.LEFT_CURLY_BRACKET 
                       + '&amp;amp;quot;' + 'label'                   + '&amp;amp;quot;' 
               + ' : ' + '&amp;amp;quot;' + $Label.c.DM_Gender_Male   + '&amp;amp;quot;' 
               + ' , ' + '&amp;amp;quot;' + 'value'                   + '&amp;amp;quot;'
               + ' : ' + '&amp;amp;quot;' + 'Male'                    + '&amp;amp;quot;'
               + $Label.c.RIGHT_CURLY_BRACKET 
               + ' , ' 
               + $Label.c.LEFT_CURLY_BRACKET 
                       + '&amp;amp;quot;' + 'label'                   + '&amp;amp;quot;' 
               + ' : ' + '&amp;amp;quot;' + $Label.c.DM_Gender_Female + '&amp;amp;quot;' 
               + ' , ' + '&amp;amp;quot;' + 'value'                   + '&amp;amp;quot;'
               + ' : ' + '&amp;amp;quot;' + 'Female'                  + '&amp;amp;quot;'
               + $Label.c.RIGHT_CURLY_BRACKET 
               + ' ] '
              }"
    /&amp;gt;
    &amp;lt;aura:handler name="init" value="{!this}" action="{!c.doInit}" /&amp;gt;
&amp;lt;/aura:component&amp;gt;
&lt;/code&gt;&lt;/pre&gt;
&lt;p&gt;The custom labels:&lt;/p&gt;
&lt;pre&gt;&lt;code&gt;&amp;lt;?xml version="1.0" encoding="UTF-8"?&amp;gt;
&amp;lt;CustomLabels xmlns="http://soap.sforce.com/2006/04/metadata"&amp;gt;
    &amp;lt;labels&amp;gt;
        &amp;lt;fullName&amp;gt;LEFT_CURLY_BRACKET&amp;lt;/fullName&amp;gt;
        &amp;lt;language&amp;gt;en_US&amp;lt;/language&amp;gt;
        &amp;lt;protected&amp;gt;false&amp;lt;/protected&amp;gt;
        &amp;lt;shortDescription&amp;gt;LEFT CURLY BRACKET&amp;lt;/shortDescription&amp;gt;
        &amp;lt;value&amp;gt;{&amp;lt;/value&amp;gt;
    &amp;lt;/labels&amp;gt;
    &amp;lt;labels&amp;gt;
        &amp;lt;fullName&amp;gt;RIGHT_CURLY_BRACKET&amp;lt;/fullName&amp;gt;
        &amp;lt;language&amp;gt;en_US&amp;lt;/language&amp;gt;
        &amp;lt;protected&amp;gt;false&amp;lt;/protected&amp;gt;
        &amp;lt;shortDescription&amp;gt;RIGHT CURLY BRACKET&amp;lt;/shortDescription&amp;gt;
        &amp;lt;value&amp;gt;}&amp;lt;/value&amp;gt;
    &amp;lt;/labels&amp;gt;
    &amp;lt;labels&amp;gt;
        &amp;lt;fullName&amp;gt;DM_Gender_Male&amp;lt;/fullName&amp;gt;
        &amp;lt;language&amp;gt;en_US&amp;lt;/language&amp;gt;
        &amp;lt;protected&amp;gt;false&amp;lt;/protected&amp;gt;
        &amp;lt;shortDescription&amp;gt;DM_Gender_Male&amp;lt;/shortDescription&amp;gt;
        &amp;lt;value&amp;gt;♂&amp;lt;/value&amp;gt;
    &amp;lt;/labels&amp;gt;
    &amp;lt;labels&amp;gt;
        &amp;lt;fullName&amp;gt;DM_Gender_Female&amp;lt;/fullName&amp;gt;
        &amp;lt;language&amp;gt;zh_CN&amp;lt;/language&amp;gt;
        &amp;lt;protected&amp;gt;false&amp;lt;/protected&amp;gt;
        &amp;lt;shortDescription&amp;gt;DM_Gender_Female&amp;lt;/shortDescription&amp;gt;
        &amp;lt;value&amp;gt;♀&amp;lt;/value&amp;gt;
    &amp;lt;/labels&amp;gt;
&amp;lt;/CustomLabels&amp;gt;
&lt;/code&gt;&lt;/pre&gt;
&lt;p&gt;A client-side controller to get the value of the attribute and log it in the console:&lt;/p&gt;
&lt;pre&gt;&lt;code&gt;({
    doInit : 
    function( component , event , helper ){
        var list = component.get("v.genderOptions")
        console.log( list )
        console.log( JSON.parse( list ) ) 
    }
,   f :
    function(){
    }
})
&lt;/code&gt;&lt;/pre&gt;
&lt;p&gt;The logged result: &lt;/p&gt;
&lt;p&gt;&lt;a href="https://i.stack.imgur.com/QmvV8.png" rel="nofollow noreferrer"&gt;&lt;img src="https://i.stack.imgur.com/QmvV8.png" alt="enter image description here"&gt;&lt;/a&gt;&lt;/p&gt;
</t>
  </si>
  <si>
    <t xml:space="preserve">&lt;p&gt;I have created a sample app for saleforce SDK implementation using &lt;code&gt;forcedroid create&lt;/code&gt; in terminal. It create an app which works perfectly. Only the issue is that I cannot back press when login UI is present. On backpress it reloads the UI again and again. After login I can back press without any issue.&lt;/p&gt;
&lt;p&gt;I have only one Activity which extends Saleforce activity. I have not made any code changes, all the codes are added by &lt;code&gt;forcedroid create&lt;/code&gt; command &lt;/p&gt;
</t>
  </si>
  <si>
    <t xml:space="preserve">&lt;p&gt;The poeple who developed Powerapps thought it would be a cool idea to force functions to be static for certain properties. They even said that it is by design (msft- person on the Powerapps forums). My question is why. &lt;a href="https://i.stack.imgur.com/bupA6.png" rel="nofollow noreferrer"&gt;&lt;img src="https://i.stack.imgur.com/bupA6.png" alt="complete foresight"&gt;&lt;/a&gt;&lt;/p&gt;
&lt;p&gt;I don't work at Microsoft, and I don't even condsider my self to be an average developer, but I cannot grasp the concept of forcing fuctions, which are meant to be dynamic to resolve. Imagine if you had a table in Excel where you had a sum function that took two cells A1 and B1 , but resolved the function and set it to a string at the next run, .. what could go wrong?&lt;/p&gt;
&lt;p&gt;What is the reason for this madness?&lt;/p&gt;
&lt;p&gt;EDIT: Okay, seems confirmed this is &lt;strong&gt;not&lt;/strong&gt; by design, which I'm relieved to hear. &lt;/p&gt;
</t>
  </si>
  <si>
    <t xml:space="preserve">&lt;p&gt;I don't know who said that this is by design - this is wrong. If you have an expression in the DisplayName property (and I was able to reproduce the same issue updating the data table control, so I'm guessing you're using the same). I work on the PowerApps team, and we'll have a fix for it coming out in a couple of weeks.&lt;/p&gt;
&lt;p&gt;As far as we could tell, this only affects the Data Table control, please let us know if this is not the case.&lt;/p&gt;
</t>
  </si>
  <si>
    <t xml:space="preserve">&lt;p&gt;I am facing problem when implementing this &lt;a href="https://github.com/maidmaid/zoho" rel="nofollow noreferrer"&gt;https://github.com/maidmaid/zoho&lt;/a&gt; in magento2. rest all dependies are resolved but from composer it is not reading only GuzzleHttp\Client class and giving error "Uncaught Error: Class 'GuzzleHttp\Client' not found" in /vendor/Maidmaid/Zoho/Client.php on line 24&lt;/p&gt;
&lt;p&gt;autoload_static.php define this&lt;/p&gt;
&lt;pre&gt;&lt;code&gt;'GuzzleHttp\\' =&amp;gt; 
        array (
            0 =&amp;gt; __DIR__ . '/..' . '/guzzlehttp/guzzle/src',
        ),
&lt;/code&gt;&lt;/pre&gt;
&lt;p&gt;and in autoload_psr4 defined this&lt;/p&gt;
&lt;pre&gt;&lt;code&gt;'Maidmaid\\Zoho\\' =&amp;gt; array($vendorDir . '/maidmaid/zoho/src'),
    'GuzzleHttp\\Psr7\\' =&amp;gt; array($vendorDir . '/guzzlehttp/psr7/src'),
    'GuzzleHttp\\Promise\\' =&amp;gt; array($vendorDir . '/guzzlehttp/promises/src'),
    'GuzzleHttp\\' =&amp;gt; array($vendorDir . '/guzzlehttp/guzzle/src'),
&lt;/code&gt;&lt;/pre&gt;
&lt;p&gt;Please if anyone can help me in fixing this issue.&lt;/p&gt;
&lt;p&gt;Thanks&lt;/p&gt;
</t>
  </si>
  <si>
    <t xml:space="preserve">&lt;p&gt;I'm having some trouble getting App Maker to respect the order of a many-to-many relation.&lt;/p&gt;
&lt;p&gt;Let's say I have two models: &lt;/p&gt;
&lt;p&gt;Model 1 has an ID and a many-to-many relation to model 2 which also has an ID.&lt;/p&gt;
&lt;p&gt;App maker generates three tables:&lt;/p&gt;
&lt;pre&gt;&lt;code&gt;DESCRIBE model_1;
+--------------------+--------------+------+-----+---------+----------------+
| Field              | Type         | Null | Key | Default | Extra          |
+--------------------+--------------+------+-----+---------+----------------+
| Id                 | int(11)      | NO   | PRI | NULL    | auto_increment |
+--------------------+--------------+------+-----+---------+----------------+
DESCRIBE model_2;
+--------------------+--------------+------+-----+---------+----------------+
| Field              | Type         | Null | Key | Default | Extra          |
+--------------------+--------------+------+-----+---------+----------------+
| Id                 | int(11)      | NO   | PRI | NULL    | auto_increment |
+--------------------+--------------+------+-----+---------+----------------+
DESCRIBE model_1_Has_model_2;
+------------------+---------+------+-----+---------+-------+
| Field            | Type    | Null | Key | Default | Extra |
+------------------+---------+------+-----+---------+-------+
| parentModel1_fk  | int(11) | NO   | MUL | NULL    |       |
| childModel2_fk   | int(11) | NO   | MUL | NULL    |       |
+------------------+---------+------+-----+---------+-------+
&lt;/code&gt;&lt;/pre&gt;
&lt;p&gt;Now let's say I have a model_1 object with ID &lt;code&gt;1&lt;/code&gt; and three model_2 objects with IDs &lt;code&gt;1, 2, 3&lt;/code&gt;.  If I assign &lt;code&gt;model_1.childModel_2&lt;/code&gt; to &lt;code&gt;[model_2_ID_1, model_2_ID_2]&lt;/code&gt; the &lt;code&gt;model_1_Has_model_2&lt;/code&gt; table will contain:&lt;/p&gt;
&lt;pre&gt;&lt;code&gt;parentModel1_fk | childModel2_fk
--------------------------------
1               | 1
1               | 2
&lt;/code&gt;&lt;/pre&gt;
&lt;p&gt;Now let's say I splice &lt;code&gt;model_1.childModel_2&lt;/code&gt; using &lt;code&gt;model_1.childModel_2.splice(0, 1)&lt;/code&gt; and then insert model_2 ID 3 in index 0 using &lt;code&gt;model_1.childModel_2.splice(0, 0, model_2_ID_3)&lt;/code&gt;.  I would expect my table to contain the following: &lt;/p&gt;
&lt;pre&gt;&lt;code&gt;parentModel1_fk | childModel2_fk
--------------------------------
1               | 3
1               | 1
&lt;/code&gt;&lt;/pre&gt;
&lt;p&gt;However it contains the opposite:&lt;/p&gt;
&lt;pre&gt;&lt;code&gt;parentModel1_fk | childModel2_fk
--------------------------------
1               | 1
1               | 3
&lt;/code&gt;&lt;/pre&gt;
&lt;p&gt;Is there any way I can stop this behavior short of clearing the entire relation and then setting it to my new expected order?&lt;/p&gt;
</t>
  </si>
  <si>
    <t xml:space="preserve">&lt;p&gt;I've created a SQL Server Express instance and setup a Data Gateway within powerapps. &lt;/p&gt;
&lt;p&gt;The Gateway appears properly in the SQL Server dialog window, but when I add the credentials it pauses for a minute then returns a &lt;code&gt;DMTS_EncryptClusterCredentialsErrorCode&lt;/code&gt; error message. &lt;/p&gt;
&lt;p&gt;After looking at this with a Server Admin for ~1 hour we were unable to figure out what the issue is. We have TCP/IP enabled and are able to connect to the Database in question properly from our desktops, so it shouldn't be an issue with the db setup. &lt;/p&gt;
&lt;p&gt;Anyone have experience with connecting SQL Server 2017 Express to Powerapps or know anything about this error message? &lt;/p&gt;
</t>
  </si>
  <si>
    <t xml:space="preserve">&lt;p&gt;I ended up submitting a ticket to MS regarding this issue and after working with the rep for a while, it came down to toggling the https switch. &lt;/p&gt;
&lt;p&gt;Hope this saves someone the hassle of going through MS support. &lt;/p&gt;
</t>
  </si>
  <si>
    <t xml:space="preserve">&lt;p&gt;When creating new MySQL fields in Google App Maker, I have attempted to mark them as 'required' and I am receiving the below error:&lt;/p&gt;
&lt;blockquote&gt;
  &lt;p&gt;Data truncation: Invalid use of NULL value&lt;/p&gt;
&lt;/blockquote&gt;
&lt;p&gt;This only occurs for some fields, and not others. I can't seem to figure out why Google App Maker won't allow the change. &lt;/p&gt;
&lt;p&gt;Has anybody had a similar issue? How can I troubleshoot the problem? &lt;/p&gt;
</t>
  </si>
  <si>
    <t xml:space="preserve">&lt;p&gt;When you mark a field as Required, App Maker is trying to modify the MySQL table schema by adding a NOT NULL constraint to that column. If there is already data in the table, including some NULL values, then MySQL will throw &lt;code&gt;SQL Error (1138): Invalid use of NULL value&lt;/code&gt;. &lt;/p&gt;
&lt;p&gt;You need to replace all NULL values in that column first.&lt;/p&gt;
</t>
  </si>
  <si>
    <t xml:space="preserve">&lt;p&gt;New to Google App Maker. I created a Tab Widget with multiple tabs which had exceeded my panels width. It seems that I can't navigate to that tab which is out of sight. Am I missing any layout settings?&lt;/p&gt;
&lt;p&gt;&lt;img src="https://i.stack.imgur.com/aEHmk.png" alt="enter image description here"&gt;&lt;/p&gt;
</t>
  </si>
  <si>
    <t xml:space="preserve">&lt;p&gt;I am creating case comment using Apex. I am using the following code to add comment:&lt;/p&gt;
&lt;pre&gt;&lt;code&gt;CaseComment cc=new CaseComment();
cc.ParentId=obj.Id;
cc.CreatedById='12323re';
cc.CommentBody='test comment';
insert cc;
&lt;/code&gt;&lt;/pre&gt;
&lt;p&gt;I am getting the following error on compile time :
Field is not writeable: CaseComment.CreatedById&lt;/p&gt;
&lt;p&gt;How can i change the Created by of a Case comment?&lt;/p&gt;
</t>
  </si>
  <si>
    <t xml:space="preserve">&lt;p&gt;Case Comment cannot be created by the different user as CreatedById is not a writable field. Salesforce does not allow this for some security reasons.
Temporarily, I have stored the commenter information in the comment body and used the information from the comment body for further use.&lt;/p&gt;
</t>
  </si>
  <si>
    <t xml:space="preserve">&lt;p&gt;I've been working on an AppMaker project for about a week, and starting today the console that usually appears at the bottom of the window is missing when I enter preview mode.&lt;/p&gt;
&lt;p&gt;I've checked the URL and the "Console=1" parameter is there. Changing the value to a 0, and back again has no effect.&lt;/p&gt;
&lt;p&gt;Is there a common cause of this?&lt;/p&gt;
</t>
  </si>
  <si>
    <t xml:space="preserve">&lt;p&gt;The console is probably just resized down to the bottom of the window so you can't see it (it remembers the position from previous sessions). If you can't grab the handle near the bottom of the screen to enlarge it you can follow these instructions (in Chrome):&lt;/p&gt;
&lt;ol&gt;
&lt;li&gt;Right click on the App Maker page and click inspect.&lt;/li&gt;
&lt;li&gt;In the panel that pops up, click on the Console tab.&lt;/li&gt;
&lt;li&gt;&lt;p&gt;Paste this code into the console and hit enter.&lt;/p&gt;
&lt;pre&gt;&lt;code&gt;var console = app.currentPage.getElement().parentElement.parentElement.parentElement.parentElement.parentElement.children;
console.item(1).style.bottom = '159px';
console.item(2).style.bottom = '163px';
console.item(3).style.height = '159px';
&lt;/code&gt;&lt;/pre&gt;&lt;/li&gt;
&lt;/ol&gt;
&lt;p&gt;That should resize the App Maker console back to it's default position.&lt;/p&gt;
</t>
  </si>
  <si>
    <t xml:space="preserve">&lt;p&gt;I'm currently following some steps in youtube, I'm making datatable in excel named &lt;code&gt;Employee&lt;/code&gt; and &lt;code&gt;Department&lt;/code&gt; save it to the onedrive.&lt;/p&gt;
&lt;p&gt;I'm creating an app, by &lt;code&gt;start with your data&lt;/code&gt;
&lt;a href="https://i.stack.imgur.com/cv7vG.png" rel="nofollow noreferrer"&gt;&lt;img src="https://i.stack.imgur.com/cv7vG.png" alt="enter image description here"&gt;&lt;/a&gt;&lt;/p&gt;
&lt;p&gt;after following the wizard,my app's screen is blank
&lt;a href="https://i.stack.imgur.com/zT3pB.png" rel="nofollow noreferrer"&gt;&lt;img src="https://i.stack.imgur.com/zT3pB.png" alt="enter image description here"&gt;&lt;/a&gt;&lt;/p&gt;
&lt;p&gt;my data in excel is 
&lt;a href="https://i.stack.imgur.com/nyA4b.png" rel="nofollow noreferrer"&gt;&lt;img src="https://i.stack.imgur.com/nyA4b.png" alt="enter image description here"&gt;&lt;/a&gt;&lt;/p&gt;
&lt;p&gt;&lt;strong&gt;What went wrong ?&lt;/strong&gt;
I have search it, but can't seem to find exact problem and solution for it.&lt;/p&gt;
</t>
  </si>
  <si>
    <t xml:space="preserve">&lt;p&gt;I want to copy &amp;amp; paste groupped items. 
When I click on a button, I want that the groupped items will be created/ copy pasted is there any possibility ?&lt;/p&gt;
&lt;p&gt;Exp:
I have a orginal 1x textinputbox, 1x dateinput, 1x numberinput, 1x label. I want to copy and paste the copys under the orginals when I click on a button.
Is there any possibility to create these elements with a button somehow?&lt;/p&gt;
</t>
  </si>
  <si>
    <t xml:space="preserve">&lt;p&gt;I don't think PowerApps supports copy/paste of grouped items today. You can copy/paste a control. There are some known limitations with this functionality: copying screens, data sources, and referenced controls is not supported. To read more, please refer to &lt;a href="https://powerapps.microsoft.com/en-us/blog/copy-and-paste-controls-across-canvas-apps-available/" rel="nofollow noreferrer"&gt;https://powerapps.microsoft.com/en-us/blog/copy-and-paste-controls-across-canvas-apps-available/&lt;/a&gt;&lt;/p&gt;
</t>
  </si>
  <si>
    <t xml:space="preserve">&lt;p&gt;((82125.49845) / (0 + 1)) * ((1 + ((2.84*1)/100)) / (1 + ((2.84*1)/100) + 0.005))^(14.083)
&lt;br/&gt;
The above calculation gives me the correct value 76 703.2452
&lt;br/&gt;
&lt;br/&gt;
 But when i does this stuff in salesforce using the Math.pow it doesn't gives me the exact result and help me to sort it out and below are the options which i used in salesforce apex class
&lt;br/&gt;
&lt;br/&gt;
1) System.debug('&gt;&gt;&gt; pow=' + Math.pow((82125.49845 / (0 + 1)) * ((1 + ((2.84*1)/100)) / (1 + ((2.84*1)/100) + 0.005).doubleValue(),14.0832.doubleValue());
&lt;br/&gt;
&lt;br/&gt;
2) System.debug('&gt;&gt;&gt; final=' +(82125.49845 / (0 + 1)) * ((1 + ((2.84*1)/100)) / (1 + ((2.84*1)/100) + 0.005)).pow(14.0832));
&lt;br/&gt;&lt;/p&gt;
</t>
  </si>
  <si>
    <t xml:space="preserve">&lt;p&gt;im trying to automate a login to Zoho CRM. I'm trying to Log In using my data in a http call but looks like it doesn't work. I would like to know if anyone has achieved this.&lt;/p&gt;
&lt;p&gt;What I tried:&lt;/p&gt;
&lt;p&gt;POST to &lt;a href="https://accounts.zoho.com/login" rel="nofollow noreferrer"&gt;https://accounts.zoho.com/login&lt;/a&gt;&lt;/p&gt;
&lt;p&gt;with body:&lt;/p&gt;
&lt;pre&gt;&lt;code&gt;{
 LOGIN_ID: "username", 
PASSWORD: "password", 
IS_AJAX: "true", 
remember :-1,  
servicename: "ZohoCRM"
}
&lt;/code&gt;&lt;/pre&gt;
&lt;p&gt;The response I get:
Status 200 &lt;/p&gt;
&lt;pre&gt;&lt;code&gt;showErrorAndReload('Please\x20reload\x20the\x20page\x20and\x20try\x20again.');
&lt;/code&gt;&lt;/pre&gt;
</t>
  </si>
  <si>
    <t xml:space="preserve">&lt;p&gt;I am trying to use Salesforce component from external page. 
I proceed this manual:
&lt;a href="https://developer.salesforce.com/docs/atlas.en-us.lightning.meta/lightning/lightning_out_public_apps.htm" rel="nofollow noreferrer"&gt;https://developer.salesforce.com/docs/atlas.en-us.lightning.meta/lightning/lightning_out_public_apps.htm&lt;/a&gt;
but still have errors and nothing rendered. I have 404 for inline.js and bootstrap.css.&lt;/p&gt;
&lt;p&gt;My code:&lt;/p&gt;
&lt;pre&gt;&lt;code&gt;&amp;lt;!DOCTYPE html&amp;gt;
 &amp;lt;html lang="en"&amp;gt;
 &amp;lt;head&amp;gt;
     &amp;lt;meta charset="UTF-8"&amp;gt;
     &amp;lt;meta name="viewport" content="width=device-width, initial-scale=1.0"&amp;gt;
     &amp;lt;meta http-equiv="X-UA-Compatible" content="ie=edge"&amp;gt;
     &amp;lt;title&amp;gt;LIG Boilerplate&amp;lt;/title&amp;gt;
     &amp;lt;script src="https://custom-salesforce-domain/externalApps/lightning/lightning.out.js"&amp;gt;&amp;lt;/script&amp;gt;
     &amp;lt;script&amp;gt;
    let inputVariables = [];
    $Lightning.use("c:SGMVAOutside", function() {
        $Lightning.createComponent("lightning:flow", {},
            "container",
            function (component) {
                component.startFlow("SG_MVA_Triage_Flow_Lightning_Out", inputVariables);
            })
        ;},
        'https://custom-salesforce-domain/externalApps'
    );
&amp;lt;/script&amp;gt;
&amp;lt;/head&amp;gt;
 &amp;lt;body&amp;gt;
    &amp;lt;p&amp;gt;It works !!!&amp;lt;/p&amp;gt;
     &amp;lt;div id='container'&amp;gt;
     &amp;lt;/div&amp;gt;
 &amp;lt;/body&amp;gt;
 &amp;lt;/html&amp;gt;
&lt;/code&gt;&lt;/pre&gt;
&lt;p&gt;Community is created.
Community is public.
Comunity has access to app.&lt;/p&gt;
&lt;p&gt;What can be a problem source?&lt;/p&gt;
</t>
  </si>
  <si>
    <t xml:space="preserve">&lt;p&gt;Try the following:&lt;/p&gt;
&lt;p&gt;First and foremost, You to need implement a mechanism to fire the script on page load. Use the following, &lt;/p&gt;
&lt;p&gt;&lt;div class="snippet" data-lang="js" data-hide="false" data-console="true" data-babel="false"&gt;
&lt;div class="snippet-code"&gt;
&lt;pre class="snippet-code-html lang-html prettyprint-override"&gt;&lt;code&gt;&amp;lt;script&amp;gt;
function init(){
    let inputVariables = [];
    $Lightning.use("c:SGMVAOutside", function() {
        $Lightning.createComponent("lightning:flow", {},
            "container",
            function (component) {
                component.startFlow("SG_MVA_Triage_Flow_Lightning_Out", inputVariables);
            })
        ;},
        'https://custom-salesforce-domain/externalApps'
    );
}
&amp;lt;/script&amp;gt;
&amp;lt;/head&amp;gt;
 &amp;lt;body onload="init()"&amp;gt;
    &amp;lt;p&amp;gt;It works !!!&amp;lt;/p&amp;gt;
     &amp;lt;div id='container'&amp;gt;
     &amp;lt;/div&amp;gt;
 &amp;lt;/body&amp;gt;&lt;/code&gt;&lt;/pre&gt;
&lt;/div&gt;
&lt;/div&gt;
&lt;/p&gt;
&lt;p&gt;For line #8, verify that you're using the correct domain format, see examples below.  &lt;/p&gt;
&lt;p&gt;FOR SANDOXES USE:&lt;br/&gt;
&lt;code&gt;&amp;lt;script src="https://[custom-salesforce-domain-without-instance-number].lightning.force.com/lightning/lightning.out.js"&amp;gt;&lt;/code&gt;&lt;/p&gt;
&lt;p&gt;I.E. &lt;br/&gt;
&lt;code&gt;&amp;lt;script src="https://FictiousCompany--SandboxName.lightning.force.com/lightning/lightning.out.js"&amp;gt;&lt;/code&gt;&lt;/p&gt;
&lt;p&gt;FOR PRODUCTION USE: &lt;br/&gt;
&lt;code&gt;&amp;lt;script src="https://login.salesforce.com/lightning/lightning.out.js"&amp;gt;&lt;/code&gt;&lt;/p&gt;
&lt;p&gt;Line #17(Excluding blank lines), verify that you're using the correct format, see examples below.&lt;/p&gt;
&lt;p&gt;FOR SANDOXES &amp;amp; PRODUCTION USE: 
&lt;code&gt;'https://[custom-salesforce-domain-with-instance-info]/[CommunityName]', [If applicable, AuthToken]);&lt;/code&gt; &lt;/p&gt;
&lt;p&gt;I.E. Without AuthToken&lt;br/&gt; 
&lt;code&gt;'https://Domain.cs59.force.com/DemoCommunity', );
&lt;/code&gt;&lt;/p&gt;
&lt;p&gt;I.E. With AuthToken&lt;br/&gt; 
&lt;code&gt;'https://Domain.cs59.force.com/DemoCommunity', 12345789ABCDEF );
&lt;/code&gt;&lt;/p&gt;
&lt;p&gt;I hope this helps!&lt;/p&gt;
</t>
  </si>
  <si>
    <t xml:space="preserve">&lt;p&gt;I'm working on an performance evaluation app in Google App Maker. One of the challenges we have with our current tool is that it doesn't sync with our G Suite directory when a person's manager changes or when a person has a name change -- their existing evaluations are linked to the person's old name and we have to change manually.&lt;/p&gt;
&lt;p&gt;In my new app, I have an Employees datasource that includes a relation to the evaluation itself that was initially populated via the Directory API. Reading the documentation &lt;a href="https://developers.google.com/admin-sdk/directory/v1/guides/push" rel="nofollow noreferrer"&gt;here&lt;/a&gt;, it seems as though I should be able to set up a watch on the Users resource to look for user updates and parse through them to make the appropriate name and manager changes in my Employees datasource. What I can't figure out, though, is what the receiving URL should be for the watch request.&lt;/p&gt;
&lt;p&gt;If anyone has done this successfully within Google App Maker, or even solely within a Google Apps Script, I'd love to know how you did it.&lt;/p&gt;
&lt;p&gt;EDITED TO ADD:&lt;/p&gt;
&lt;p&gt;I created a silly little GAS test function to see if I can get @dimu-designs solution below to work. Unfortunately, I just get a Bad Request error. Here's what I have:&lt;/p&gt;
&lt;pre&gt;&lt;code&gt;function setUserWatch() {
  var optionalArgs = {
    "event": "update"
  };
  var resource = {
    "id": "10ff4786-4363-4681-abc8-28166022425b",
    "type": "web_hook",
    "address": "https://script.google.com/a/.../...hXlw/exec"
  };
  AdminDirectory.Users.watch(resource);
}
&lt;/code&gt;&lt;/pre&gt;
&lt;p&gt;Address is the current web app URL.&lt;/p&gt;
&lt;p&gt;EDITED TO ADD MORE:
The (in)ability to use GAS to receive web hooks has been an active issue/feature request since Sep 2014 -- &lt;a href="https://issuetracker.google.com/issues/36761910" rel="nofollow noreferrer"&gt;https://issuetracker.google.com/issues/36761910&lt;/a&gt; -- which has been @dimu-designs on top of for some time.&lt;/p&gt;
</t>
  </si>
  <si>
    <t xml:space="preserve">&lt;p&gt;This is a more comprehensive answer.&lt;/p&gt;
&lt;p&gt;Google supports push notifications across many of their APIs. However there are many subtle (and not so subtle) differences between them. Some that leverage webhooks send their data payloads primarily as HTTP headers; for example Drive API and Calendar API. Others mix their payloads across HTTP headers and a POST body(ex: AdminDirectory API). And its gets even crazier, with some APIs utilizing different mechanisms altogether (ex: GMail API leverages Cloud PubSub).&lt;/p&gt;
&lt;p&gt;There are nuances to each but your goal is to leverage AdminDirectory push notifications in a GAS app. To do that you need a GAS Web App whose URL can serve as a web-hook endpoint.&lt;/p&gt;
&lt;hr&gt;
&lt;h2&gt;STEP 1 - Deploy A Stand-Alone Script As A Web App&lt;/h2&gt;
&lt;p&gt;Let's start with the following template script and deploy it as a Web App from the Apps Script Editor menu &lt;strong&gt;&lt;code&gt;Publish &amp;gt; Deploy As Web App&lt;/code&gt;&lt;/strong&gt;:&lt;/p&gt;
&lt;pre&gt;&lt;code&gt;/** HTTP GET request handler */
function doGet(e) {
    return ContentService.createTextOutput("GET message");
}
/** HTTP POST request handler */
function doPost(e) {
    return ContentService.createTextOutput("POST message");
}
&lt;/code&gt;&lt;/pre&gt;
&lt;hr&gt;
&lt;h2&gt;STEP 2 - Verify/Validate Domain Ownership And Add/Register Domain&lt;/h2&gt;
&lt;blockquote&gt;
  &lt;p&gt;&lt;strong&gt;NOTE:&lt;/strong&gt; &lt;em&gt;As of August 2019, GAS Web App URLs can no longer be verified using this method. Google Cloud Functions may be a viable&lt;/em&gt;
  &lt;em&gt;alternative&lt;/em&gt;.&lt;/p&gt;
&lt;/blockquote&gt;
&lt;p&gt;With the web app deployed you now have to verify and register the domain of the receiving url, which in this case is also the web app url. This url takes the following form:&lt;/p&gt;
&lt;p&gt;&lt;code&gt;https://script.google.com/macros/s/xxxxxxxxxxxxxxxxxxxxxxxxxxxxxxxxxxxxxxxxxxxxxxxxxxxxxxxx/exec&lt;/code&gt;&lt;/p&gt;
&lt;p&gt;Technically you cannot own a GAS web app url's domain. Thankfully the App Script Gods at Google do provide a mechanism to verify and register a GAS web app url.&lt;/p&gt;
&lt;p&gt;From the Apps Script Editor menu select &lt;strong&gt;&lt;code&gt;Publish &amp;gt; Register in Chrome Web Store&lt;/code&gt;&lt;/strong&gt;. Registering a published web app with the Chrome Web Store also validates the URL's domain (no need to fiddle with the search console). &lt;/p&gt;
&lt;p&gt;Once validated you need to &lt;a href="https://console.developers.google.com/apis/credentials/domainverification" rel="nofollow noreferrer"&gt;add the "domain" via the Domain verification page in the API Console&lt;/a&gt;. The "domain" is everything in the url sans the 'exec', so you'll add a string that looks like this:&lt;/p&gt;
&lt;p&gt;&lt;code&gt;https://script.google.com/macros/s/xxxxxxxxxxxxxxxxxxxxxxxxxxxxxxxxxxxxxxxxxxxxxxxxxxxxxxxx/&lt;/code&gt;&lt;/p&gt;
&lt;hr&gt;
&lt;h2&gt;STEP 3 - Make a watch request&lt;/h2&gt;
&lt;p&gt;For this step the AdminSDK/Directory API service should be enabled both for your App Script project and in the API Console. &lt;/p&gt;
&lt;p&gt;Create a function that generates a watch request (this can be retooled for other event types):&lt;/p&gt;
&lt;pre&gt;&lt;code&gt;function startUpdateWatch() {
    var channel = AdminDirectory.newChannel(),
        receivingURL = "https://script.google.com/macros/s/xxxxxxxxxxxxxxxxxxxxxxxxxxxxxxxxxxxxxxxxxxxxxxxxxxxxxxxx/exec",
        gSuiteDomain = "[business-name].com",
        event = "update";
    channel.id = Utilities.getUuid();
    channel.type = "web_hook";
    channel.address = receivingURL + "?domain=" + gSuiteDomain + "&amp;amp;event=" + event;
    channel.expiration = Date.now() + 21600000; // max of 6 hours in the future; Note: watch must be renew before expiration to keep sending notifications
    AdminDirectory.Users.watch(
        channel, 
        {
            "domain":gSuiteDomain,
            "event":event
        }
    );
}
&lt;/code&gt;&lt;/pre&gt;
&lt;p&gt;Note that Directory API push notifications have an expiration, the max being 6 hours from starting the watch so it must be renewed periodically to ensure notifications are sent to the endpoint URL. Typically you can use a time-based trigger to call this function every 5 hours or so.&lt;/p&gt;
&lt;hr&gt;
&lt;h2&gt;STEP 4 - Update doPost(e) trigger to handle incoming notifications&lt;/h2&gt;
&lt;p&gt;Unlike the push mechanisms of other APIs, the Directory API sends a POST body along with its notifications, so the doPost(e) method is guaranteed to be triggered when a notification is sent. Tailor the doPost(e) trigger to handle incoming events and re-deploy the web app:&lt;/p&gt;
&lt;pre&gt;&lt;code&gt;function doPost(e) {
    switch(e.parameter.event) {
        case "update":
            // do update stuff
            break;
        case "add":
            break;
        case "delete":
            break;
    }
    return ContentService.createTextOutput("POST message");
}
&lt;/code&gt;&lt;/pre&gt;
&lt;p&gt;There is one caveat to keep in mind. Push notifications for update events only tell you that the user's data was updated, it won't tell you exactly what was changed. But that's a problem for another question.&lt;/p&gt;
&lt;p&gt;Note that there are a ton of details I left out but this should be enough to get you up and running.&lt;/p&gt;
</t>
  </si>
  <si>
    <t xml:space="preserve">&lt;p&gt;Nodemailer was working correctly for a few months with exactly the same configuration.&lt;/p&gt;
&lt;p&gt;&lt;code&gt;var smtpTransport = nodemailer.createTransport({
     service: "Zoho",
     auth: {
         user: environment.smtp.email,
         password: environment.smtp.password
     },
     secure: false,
     tls: {
       rejectUnauthorized: false
     }
 });
&lt;/code&gt;&lt;/p&gt;
&lt;p&gt;&lt;code&gt;var mailOptions = {
      from: environment.smtp.email,
      to: 'some@email.com', 
      subject: 'Subject',
      html: "Mail content here."
  }&lt;/code&gt;&lt;/p&gt;
&lt;p&gt;&lt;code&gt;smtpTransport.sendMail(mailOptions, function(error, response){
     console.log(error)
  });&lt;/code&gt;&lt;/p&gt;
&lt;p&gt;It throw " Missing credentials for "PLAIN" ". I have used this config in many places in the app and now it throw this error everywhere. But was working well when I have write the code first time.&lt;/p&gt;
&lt;blockquote&gt;
  &lt;p&gt;"nodemailer": "^4.0.1"&lt;/p&gt;
&lt;/blockquote&gt;
</t>
  </si>
  <si>
    <t xml:space="preserve">&lt;p&gt;Here is the config settings. The 'host' field was missing and it seems to be mandatory in the Nodemailer V3 and above.&lt;/p&gt;
&lt;p&gt;&lt;a href="https://nodemailer.com/smtp/" rel="nofollow noreferrer"&gt;https://nodemailer.com/smtp/&lt;/a&gt;&lt;/p&gt;
&lt;p&gt;&lt;code&gt;var smtpTransport = nodemailer.createTransport({
     host: "smtp.zoho.com",
     service: "Zoho",
     port: 25,
     secure: false,
     auth: {
         user: 'some@email.com',
         pass: "123456"
     },
     tls: {
         rejectUnauthorized: false
     }
});
&lt;/code&gt;&lt;/p&gt;
</t>
  </si>
  <si>
    <t xml:space="preserve">&lt;p&gt;We have an OutSystems subscription and we like to convert/ export that code into C#. Is there a "reverse-converter" or any other export tool?&lt;/p&gt;
&lt;p&gt;I am unable to define the approach and any help in this direction will be most useful.&lt;/p&gt;
&lt;p&gt;Thanks in advance.&lt;/p&gt;
</t>
  </si>
  <si>
    <t xml:space="preserve">&lt;p&gt;I am unfamiliar with Outsystem as I was very recently and I want to create a basic timer that counts up. The problem is that i'm not sure what to call to allow the program to execute 1 second in real time. I am planning to use a for or if-else loop to create a basic timer for my program.&lt;/p&gt;
</t>
  </si>
  <si>
    <t xml:space="preserve">&lt;p&gt;I have signed in to &lt;a href="https://web.powerapps.com/environments/Default-b456ad3c-9a28-4fb9-af04-826556948104/home" rel="nofollow noreferrer"&gt;https://web.powerapps.com/environments/Default-b456ad3c-9a28-4fb9-af04-826556948104/home&lt;/a&gt; through my work account. But when I tried to create an app, I was asked to Sign in and it's just stuck in that step. When I click "More" in the window, I got:
Unable to obtain access token for resource '&lt;a href="https://service.powerapps.com/" rel="nofollow noreferrer"&gt;https://service.powerapps.com/&lt;/a&gt;'. Error from ADAL.js: login_required (AADSTS50058: A silent sign-in request was sent but no user is signed in.
My browser is Microsoft Edge and cookies are enabled.&lt;/p&gt;
</t>
  </si>
  <si>
    <t xml:space="preserve">&lt;p&gt;I tried in salesforce softphone.&lt;/p&gt;
&lt;pre&gt;&lt;code&gt;var createAcountContactEvent = $A.get("e.force:createRecord");
createAcountContactEvent.setParams({
      "entityApiName": "contact",
      "defaultFieldValues": {
            'Phone' : '415-240-6590',
            'Mobile' : '001xxxxxxxxxxxxxxx'
       }
});
createAcountContactEvent.fire();
&lt;/code&gt;&lt;/pre&gt;
&lt;p&gt;I have created the component in my salesforce arc. How can i use the component in visualforce page?&lt;/p&gt;
&lt;pre&gt;&lt;code&gt;$A.get("e.force:createRecord") // Its return nothing.
&lt;/code&gt;&lt;/pre&gt;
&lt;p&gt;how to solve the issue?
The below is displayed.&lt;/p&gt;
&lt;blockquote&gt;
  &lt;p&gt;This page has an error. You might just need to refresh it. Action
  failed: c:MyContactList$controller$createAccount [Cannot read property
  'setParams' of undefined] Failing descriptor:
  {c:MyContactList$controller$createAccount}&lt;/p&gt;
&lt;/blockquote&gt;
</t>
  </si>
  <si>
    <t xml:space="preserve">&lt;p&gt;I have client and server scripts, server scripts are called by client scripts and client scripts are called from UI elements. So, I need to hide server script methods to make my data more secure. How can I do that? In the documentation they say we can hide it by appending an underscore to the methods' name, this is called utility function but if we do that they can be called from only other server scripts instead of client scripts. In my case, they should be called from client script's methods.&lt;/p&gt;
</t>
  </si>
  <si>
    <t xml:space="preserve">&lt;p&gt;I'm having a problem seeing certain picklist fields from a Standard Salesforce table called Lead in my Devart Entity Developer Model. &lt;/p&gt;
&lt;p&gt;I am unable to see the below item in the Model I generate using Devart.&lt;/p&gt;
&lt;ul&gt;
&lt;li&gt;Lead.Status_Reason is a Picklist and IS NOT a Global Value Set. It IS
a Required Field&lt;/li&gt;
&lt;/ul&gt;
&lt;p&gt;I am able to see the below item in the Model I generate using Devart.&lt;/p&gt;
&lt;ul&gt;
&lt;li&gt;Lead.Status is a Picklist and IS a Global Value Set. It IS a Required Field&lt;/li&gt;
&lt;li&gt;Account.Sub_Source is a Picklist and IS a Global Value Set. It IS NOT a Required Field&lt;/li&gt;
&lt;li&gt;Account.ApprovedStates is a Multi-Select Picklist and IS a Global
Value Set but IS NOT Required&lt;/li&gt;
&lt;li&gt;User.DigestFrequency Appears to be a System Generated Picklist so I
would assume that it is a Global Value Set and it IS Required&lt;/li&gt;
&lt;/ul&gt;
&lt;p&gt;The common denominator appears to be that Lead.Status_Reason is not a Global Value Set. Can anyone confirm that hypothesis?&lt;/p&gt;
</t>
  </si>
  <si>
    <t xml:space="preserve">&lt;p&gt;&lt;a href="https://i.stack.imgur.com/gspJc.png" rel="nofollow noreferrer"&gt;Link to table&lt;/a&gt;&lt;/p&gt;
&lt;p&gt;Hi All,&lt;/p&gt;
&lt;p&gt;I am trying mimic the behaviour of Report using Apex and Lightning component. I am able to get subtotal and grandtotal result using GROUP BY ROLLUP(). However I cannot query more that 3 field which are not aggregated. I have 8-9 other fields to show along with subtotal and grandtotal of 4 columns.&lt;/p&gt;
&lt;p&gt;I have created a map of records which I have to show on page and there is an aggregated query. Could anybody suggest how to get all these in a wrapper class?
I cannot use Report Builder for this because I have to divide the subtotal with a fix value and show below the subtotal.&lt;/p&gt;
</t>
  </si>
  <si>
    <t xml:space="preserve">&lt;p&gt;I have a long form in a panel with lots of controls, however the Canvas/panel editor has a limited height of about 1000px and refuses to scroll to allow adding more controls.
I am able to make the panel 2000px and enable overflow to get the panel itself to scroll once the app is deployed, but how do I manage to drag/drop new controls/widgets?
TIA&lt;/p&gt;
</t>
  </si>
  <si>
    <t xml:space="preserve">&lt;p&gt;I have a table with filtered results.&lt;/p&gt;
&lt;p&gt;I need to update all rows "Payé" of the table in a client script.&lt;/p&gt;
&lt;p&gt;I know how to update the first active row of the field "Payé". But I need to update all the row of that field in one time (in a call back function)&lt;/p&gt;
&lt;p&gt;Can you help me. &lt;/p&gt;
&lt;p&gt;&lt;a href="https://i.stack.imgur.com/0MaCv.png" rel="nofollow noreferrer"&gt;Here is the screen shot of what I need&lt;/a&gt;&lt;/p&gt;
&lt;p&gt;Thanks&lt;/p&gt;
</t>
  </si>
  <si>
    <t xml:space="preserve">&lt;p&gt;This should do the trick:&lt;/p&gt;
&lt;pre&gt;&lt;code&gt;var rows = app.datasources.TABLE_NAME.items;
for(var i = 0; i &amp;lt; rows.length; i++){
   rows[i].Paye = true;
}
&lt;/code&gt;&lt;/pre&gt;
</t>
  </si>
  <si>
    <t xml:space="preserve">&lt;p&gt;I am using Zoho Reports wherein I have two tables with respective columns as under:&lt;/p&gt;
&lt;p&gt;&lt;strong&gt;GL Master Table (This consists of Opening Balances of respective GL Account Codes as on April 01, 2017 which is start of the Financial Year).&lt;/strong&gt;&lt;/p&gt;
&lt;p&gt;&lt;img src="https://i.stack.imgur.com/HrUqr.jpg" alt="GL Master Table"&gt;&lt;/p&gt;
&lt;p&gt;&lt;strong&gt;Trial Balance Group (This consists of date wise Debit &amp;amp; Credit amounts of respective GL Account Codes)&lt;/strong&gt;&lt;/p&gt;
&lt;p&gt;&lt;img src="https://i.stack.imgur.com/jItM1.jpg" alt="Trial Balance Group"&gt;&lt;/p&gt;
&lt;p&gt;Based on the above, I now want to calculate Date wise Closing Balance for respective GL accounts wherein the Closing Balance of a particular date shall be Opening Balance for next transaction Date. I would like to have resultant data in below fashion.&lt;/p&gt;
&lt;p&gt;&lt;img src="https://i.stack.imgur.com/4Wzz5.jpg" alt="Trial Balance Result"&gt;&lt;/p&gt;
&lt;p&gt;Note that as I am using Zoho Reports, it has limitations of developing Query Table only by way of "SELECT" statements.&lt;/p&gt;
&lt;p&gt;For the above requirement, currently I have created 3 separate Query Tables in Zoho Reports with Queries as under:&lt;/p&gt;
&lt;p&gt;1st Table : Q1_AM&lt;/p&gt;
&lt;pre&gt;&lt;code&gt;SELECT
     "GL Account Code",
     "Opening Date",
     "Opening Balance",
     0 as acc_amt
FROM  "GL Master Account" 
UNION ALL
SELECT
     "GL Account Code",
     "Document Date",
     0,
     sum("Debit Amount" + "Credit Amount")
FROM  "Trial Balance 1617" 
GROUP BY 1,2,3 
&lt;/code&gt;&lt;/pre&gt;
&lt;p&gt;2nd Table: Q2_AM&lt;/p&gt;
&lt;pre&gt;&lt;code&gt;SELECT
     "GL Account Code",
     "Opening Date",
     sum("Opening Balance") as op_bal,
     sum("acc_amt") as acc_amt
FROM  "Q1_AM" 
GROUP BY 1,2 
&lt;/code&gt;&lt;/pre&gt;
&lt;p&gt;3rd Table: TB Group_Op.Db.Cr.Cl_AM (This is the final output table that I am desiring, but values are not that correct. Not able to figure out if there is any issue with the Queries created.).&lt;/p&gt;
&lt;pre&gt;&lt;code&gt;SELECT
     t1."GL Account Code" as "GL Account Code",
     t1."opening date" as "Opening Date",
     sum(if(t1.acc_amt  &amp;gt; 0, t1.acc_amt, 0)) as "Debit Amount",
     sum(if(t2.acc_amt  &amp;lt; 0, t1.acc_amt, 0)) as "Credit Amount",
     sum(if(t1."Opening Date"  &amp;gt; t2."Opening Date", t2."op_bal" + t2."acc_amt", t2."op_bal")) as "Opening Balance",
     sum(t2."op_bal" + t2."acc_amt") as "Cum. Closing"
FROM  "Q1_AM" t1 JOIN "Q2_AM" t2 ON t1."GL Account Code"  = t2."GL Account Code"
AND t1."opening date"  &amp;gt;= t2."Opening Date"  
GROUP BY 1,2 
&lt;/code&gt;&lt;/pre&gt;
</t>
  </si>
  <si>
    <t xml:space="preserve">&lt;p&gt;How to get the email address from user roles in AppMaker? I understand that &lt;code&gt;app.user.role&lt;/code&gt; return a boolean whether the email address was assigned to that role or not. But how do we get the role email address then? &lt;/p&gt;
</t>
  </si>
  <si>
    <t xml:space="preserve">&lt;p&gt;I have made an app with two tables to datasources A and B.&lt;/p&gt;
&lt;p&gt;B is a relation to A (via common Id field).&lt;/p&gt;
&lt;p&gt;So I want to display table A, and below it, Table B.&lt;/p&gt;
&lt;p&gt;Ideally, just clicking on a row in A should&lt;/p&gt;
&lt;p&gt;a) select that row, and then 
b) update table B to show the related items in datasource B.&lt;/p&gt;
&lt;p&gt;I have not been able to have this done automagically by appmaker, but I could add code for onload on table A like this:&lt;/p&gt;
&lt;pre&gt;&lt;code&gt;app.datasources.A.query.filters.B.Id._equals = widget.datasource.item.Id;
app.datasources.B.load();
&lt;/code&gt;&lt;/pre&gt;
&lt;p&gt;and on the onClick Event in the tableARow itself, I also added:&lt;/p&gt;
&lt;pre&gt;&lt;code&gt;app.datasources.A.selectIndex(widget.parent.childIndex);
app.datasources.B.query.filters.B.Id._equals = widget.datasource.item.Id;
app.datasources.CurrentValuation.load();
&lt;/code&gt;&lt;/pre&gt;
&lt;p&gt;That mostly works, except for the fact that TableA will not actually select the row I clicked on in the UI (selected row is always the second one). The datasource selects the right item for tableB, but the UI shows the wrong row selected in TableA.&lt;/p&gt;
&lt;p&gt;I suspect I either need to call another method, or maybe there is an altogether better approach and I'm a bonehead. Either way, thanks for any answers!&lt;/p&gt;
</t>
  </si>
  <si>
    <t xml:space="preserve">&lt;p&gt;Part of my html form's action is the following:&lt;/p&gt;
&lt;ul&gt;
&lt;li&gt;the form data is posted to a CRM (Zoho) via php Curl, where a new contact is created&lt;/li&gt;
&lt;/ul&gt;
&lt;p&gt;When the data is successfully inserted and the contact is created, my browser returns the following response:&lt;/p&gt;
&lt;p&gt;&lt;em&gt;Record(s) added successfully34425260000003590072018-08-24 14:44:482018-08-24 14:44:48 1&lt;/em&gt;&lt;/p&gt;
&lt;p&gt;Amon other things, the response echoes the contact's recordId (an 18 digit number): &lt;em&gt;3442526000000359007&lt;/em&gt;&lt;/p&gt;
&lt;p&gt;Subsequently, I want to execute the following action:&lt;/p&gt;
&lt;ul&gt;
&lt;li&gt;upload a .docx file to the newly created contact&lt;/li&gt;
&lt;/ul&gt;
&lt;p&gt;I have code, which uses php Curl as well, which is able to upload files to specific contacts based on their record-Ids, however there is one flaw. Each time a new contact is created, a unique record-Id is assigned to that contact by the CRM.&lt;/p&gt;
&lt;p&gt;I can't figure out how to modify my code so that it fetches the record-Id of the newly created contact (which can be used to upload the file to the correct contact (based on its record-Id) upon execution).&lt;/p&gt;
&lt;p&gt;This is the piece of code that uploads the file to the contact:&lt;/p&gt;
&lt;pre&gt;&lt;code&gt;&amp;lt;?php
    $recordId = "3442526000000328222";
    $auth   = "abcdefghijklmnopQRSTU";
    $module = "Contacts";
    $file_name="./../kundenanfragen/'.$firstname.' '.$lastname.'.docx";
    $theurl = "https://crm.zoho.com/crm/private/xml/$module/uploadFile?authtoken=$auth&amp;amp;scope=crmapi";
    $ch=curl_init();
    curl_setopt($ch,CURLOPT_HEADER,0);
    curl_setopt($ch,CURLOPT_VERBOSE,0);
    curl_setopt($ch,CURLOPT_RETURNTRANSFER,true);
    curl_setopt($ch, CURLOPT_SSL_VERIFYPEER, false);
    curl_setopt($ch, CURLOPT_SSL_VERIFYHOST, 2);
    curl_setopt($ch,CURLOPT_URL,$theurl);
    curl_setopt($ch,CURLOPT_POST,true);
    $post=array("id"=&amp;gt;$recordId,"content"=&amp;gt;curl_file_create($file_name,'image/jpeg' , basename( $file_name)));
    curl_setopt($ch,CURLOPT_POSTFIELDS,$post);
    $response=curl_exec($ch);
    /* RESPONSE SHOWN ON PAGE */
    echo "&amp;lt;hr /&amp;gt;RESPONSE&amp;lt;pre&amp;gt;"; print_r($response); echo "&amp;lt;/pre&amp;gt;";
    curl_close($ch);
&lt;/code&gt;&lt;/pre&gt;
&lt;p&gt;Before that, the following code posts the html form data and creates the contact:&lt;/p&gt;
&lt;pre&gt;&lt;code&gt;&amp;lt;?php
$auth = "abcdefghijklmnopQRSTU";
$xml = "
    &amp;lt;Contacts&amp;gt;
        &amp;lt;row no=\"1\"&amp;gt;
            &amp;lt;FL val=\"First Name\"&amp;gt;".$firstname."&amp;lt;/FL&amp;gt;
            &amp;lt;FL val=\"Last Name\"&amp;gt;".$lastname."&amp;lt;/FL&amp;gt;
        &amp;lt;/row&amp;gt;
    &amp;lt;/Contacts&amp;gt;
";
$result = insert($auth,$xml);
print_r($result);
function insert($auth,$xml)
{
    $curl_url = "https://crm.zoho.com/crm/private/xml/Contacts/insertRecords?";
    $curl_post_fields = "authtoken=". $auth ."&amp;amp;scope=crmapi&amp;amp;xmlData=". $xml ."";
    $ch = curl_init();
    curl_setopt($ch, CURLOPT_URL, $curl_url);
    curl_setopt($ch, CURLOPT_FOLLOWLOCATION, true);
    curl_setopt($ch, CURLOPT_TIMEOUT, 60);
    curl_setopt($ch, CURLOPT_POST, 1);
    curl_setopt($ch, CURLOPT_SSL_VERIFYPEER, true);
    curl_setopt($ch, CURLOPT_POSTFIELDS, $curl_post_fields);
    $response = curl_exec($ch);
    curl_close($ch);
    return $response;
}
&lt;/code&gt;&lt;/pre&gt;
&lt;p&gt;Do you have any tips on how to retrieve the record-Id when the contact is created?&lt;/p&gt;
&lt;p&gt;I read somewhere that the response from when the contact is created (&lt;em&gt;Record(s) added successfully34425260000003590072018-08-24 14:44:482018-08-24 14:44:48 1&lt;/em&gt;) is stored in an XML file, which can be accessed to extract the record-Id from it and insert it in the &lt;em&gt;'upload file'&lt;/em&gt; piece of code:&lt;/p&gt;
&lt;pre&gt;&lt;code&gt;$recordId = "Record-Id which was fetched from XML file right here";
&lt;/code&gt;&lt;/pre&gt;
&lt;p&gt;I didn't find any leads on how to do this.&lt;/p&gt;
&lt;p&gt;I would appreciate any tips on how to extract the record-Id. If you can point into a good direction, that would be great.&lt;/p&gt;
&lt;p&gt;Thanks!&lt;/p&gt;
</t>
  </si>
  <si>
    <t xml:space="preserve">&lt;p&gt;I am new on using the powerapps, I tried to make a app from the sample Data as Asset Checkout.&lt;/p&gt;
&lt;p&gt;After the all done, I tried to run App Checker but it showed errors "Missing Accessible Label". Trying to find the solutions from the Search Engine but unfortunately I can't find it (AccessibleLabel filled &lt;code&gt;""&lt;/code&gt;).&lt;/p&gt;
&lt;p&gt;Anyone know how to fix this, thanks for any advice.&lt;/p&gt;
</t>
  </si>
  <si>
    <t xml:space="preserve">&lt;p&gt;These missing accessible label errors do not interfere with running app. To fix that errors you have to put some text that describes the item into &lt;strong&gt;&lt;em&gt;AccessibleLabel&lt;/em&gt;&lt;/strong&gt; field of your control. People who can’t see the screen can understand what is in controls.&lt;/p&gt;
</t>
  </si>
  <si>
    <t xml:space="preserve">&lt;p&gt;I want to set a view on a page so that user don't need to scroll down the page to see the table data list and I did it as on the picture. The page won't scroll down even the amount of data exceed what a page can hold. Hence, the table list provides a scrolling on the right of the table (circled in red) .. yet the problem is with the table alignment. As you can see the table column doesn't align with their respective data anymore due to the presence of the scrolling bar.&lt;/p&gt;
&lt;p&gt;&lt;a href="https://i.stack.imgur.com/tUjVj.png" rel="nofollow noreferrer"&gt;&lt;img src="https://i.stack.imgur.com/tUjVj.png" alt="enter image description here"&gt;&lt;/a&gt;&lt;/p&gt;
&lt;p&gt;Below is the page view when I zoomed out the page and as you can see when there is no scroll bar on the right .. the table alignment work just fine between the column and their data.&lt;/p&gt;
&lt;p&gt;&lt;a href="https://i.stack.imgur.com/x33LJ.png" rel="nofollow noreferrer"&gt;&lt;img src="https://i.stack.imgur.com/x33LJ.png" alt="enter image description here"&gt;&lt;/a&gt;&lt;/p&gt;
&lt;p&gt;Can anyone suggest me how to adjust the alignment so that in any case the column with their data will always align? Or if there is a way that Google AppMaker can freeze the table column header will be great too. Any advice?&lt;/p&gt;
</t>
  </si>
  <si>
    <t xml:space="preserve">&lt;p&gt;I'm trying to make an app on App Maker that reports on all deleted calendar events, and who the organiser was when they were deleted. I've managed to get all events using the calendar API by simply calling "CalendarApp" in the serverside script:&lt;/p&gt;
&lt;pre&gt;&lt;code&gt;var calendars = CalendarApp.getAllCalendars(); 
&lt;/code&gt;&lt;/pre&gt;
&lt;p&gt;However this API doesn't have the functionality I need. (Checking for deleted events)&lt;/p&gt;
&lt;p&gt;I need to use the reports API to get all of the deleted calendar events, however 
how i would normally call it in apps script - &lt;/p&gt;
&lt;pre&gt;&lt;code&gt;var response = AdminReports.Activities.list(userKey, applicationName, optionalArgs);
&lt;/code&gt;&lt;/pre&gt;
&lt;p&gt;Doesn't work on the App Maker script. The console returns this error:&lt;/p&gt;
&lt;blockquote&gt;
  &lt;p&gt;AdminReports is not defined&lt;/p&gt;
&lt;/blockquote&gt;
&lt;p&gt;I've also taken a look on this answer below, however the solution doesnt seem to work for me. &lt;/p&gt;
&lt;p&gt;&lt;a href="https://stackoverflow.com/questions/47442099/access-admin-sdk-with-google-app-maker"&gt;Access Admin SDK with Google App Maker&lt;/a&gt;&lt;/p&gt;
&lt;p&gt;So the bottom line is, can I easily access the Reports API on App Maker? And if so, what would be the easiest way to do it?&lt;/p&gt;
&lt;p&gt;EDIT: when trying to enable the reports API, it switches straight to the directory API. These are not the same thing. Is this a bug?&lt;/p&gt;
</t>
  </si>
  <si>
    <t xml:space="preserve">&lt;p&gt;This is probably a dumb thing, but it drives me absolutely crazy that in the midst of my beautiful Material-themed data entry page in my App Maker app, the font for the text editor widget shows up as Times New Roman. It hurts me!&lt;/p&gt;
&lt;p&gt;I've tried adding font-family styling for both &lt;code&gt;.app-TextEditor&lt;/code&gt; and &lt;code&gt;.app-TextEditor-Body&lt;/code&gt;, but it doesn't seem to touch it (see below). Has anyone figured this out?&lt;/p&gt;
&lt;p&gt;&lt;a href="https://i.stack.imgur.com/JWi74.png" rel="nofollow noreferrer"&gt;&lt;img src="https://i.stack.imgur.com/JWi74.png" alt="enter image description here"&gt;&lt;/a&gt;&lt;/p&gt;
&lt;p&gt;Edited to Add: I know the user can set the font in the text editor window itself; I want a way to set the default as something other than Times.&lt;/p&gt;
</t>
  </si>
  <si>
    <t xml:space="preserve">&lt;p&gt;Currently, I have a button in my form with action (generate title for the document, change some fields values, write histories...) and then SubmitForm(MyForm).&lt;/p&gt;
&lt;p&gt;But, I have three required fields, and if they are empty, my SubmitForm generate errors. What I need, is to check these fieds before submit.
I can use IfBlank, but in this case, I don't have the error named below my fields.
How can I do the same check than the submitform, before to submit my forms ?&lt;/p&gt;
&lt;p&gt;Thanks !&lt;/p&gt;
</t>
  </si>
  <si>
    <t xml:space="preserve">&lt;p&gt;DataCardValue1, DataCardValue2, DataCardValue3 - your required fields&lt;/p&gt;
&lt;p&gt;To disable button:&lt;br&gt;
&lt;strong&gt;Button &lt;em&gt;DisplayMode&lt;/em&gt;&lt;/strong&gt; : &lt;code&gt;If(IsBlank(DataCardValue1.Text) || IsBlank(DataCardValue2.Text) || IsBlank(DataCardValue3.Text), DisplayMode.Disabled, DisplayMode.Edit)&lt;/code&gt;&lt;/p&gt;
&lt;p&gt;To display warning when fields are empty:&lt;/p&gt;
&lt;p&gt;&lt;strong&gt;DataCardValue1,2,3&lt;/strong&gt; &lt;strong&gt;&lt;em&gt;Fill&lt;/em&gt;&lt;/strong&gt; : &lt;code&gt;If(IsBlank(DataCardValue1.Text), RGBA(220, 72, 80, 1),RGBA(255, 255, 255, 1))&lt;/code&gt;&lt;br&gt;
&lt;strong&gt;DataCardValue1,2,3 &lt;em&gt;HintText&lt;/em&gt;&lt;/strong&gt; : &lt;code&gt;If(IsBlank(DataCardValue1.Text), "field shouldn't be empty" ,"")&lt;/code&gt;&lt;/p&gt;
</t>
  </si>
  <si>
    <t xml:space="preserve">&lt;p&gt;I have a JSON string with multiple layers that I need to convert to CSV. I already have that JSON deserialized into inner classes.&lt;/p&gt;
&lt;p&gt;JSON Structure Example:&lt;/p&gt;
&lt;pre&gt;&lt;code&gt;{  
   "Layer1":{  
       "Layer2":{"value"},
       "Layer2":{  
         "Layer3":{  
            "Layer4":"value",
            "Layer4":"value"
         },
         "Layer3":"value",
         "Layer3":"value",
         "Layer3":"value",
         "Layer3":"value",
         "Layer3":"value",
         "Layer3":"value"
      },
      "Layer2":"value",
      "Layer2":"value"
    }
}
&lt;/code&gt;&lt;/pre&gt;
&lt;p&gt;I need all "Layers" as Keys: as the CSV headers and their corresponding values&lt;/p&gt;
</t>
  </si>
  <si>
    <t xml:space="preserve">&lt;p&gt;I'm using powerapps to manage a budget. When an user submit a budget, I send a link to the person who validate budgets. How can I use the form link, to allowed validator to click and open form ?&lt;/p&gt;
&lt;p&gt;Example :&lt;/p&gt;
&lt;pre&gt;&lt;code&gt;Office365.SendEmail(
    LookUp(
        'DI - Portefeuilles';
        Title = DataCardValue11.Selected.Title;
        Controleur.Email
    );
    Concatenate(
        "Budget n°";
        Titre.Text
    );
    Concatenate(
        "Le budget n°";
        Titre.Text;
        "(";
        SharePointIntegration.Selected.'{Link}';
        ")";
        " attend votre validation."
    )
)
&lt;/code&gt;&lt;/pre&gt;
&lt;p&gt;I tried "SharePointIntegration.Selected." and "ThisItem." with {Link} or {Path} but nothing is working.&lt;/p&gt;
&lt;p&gt;My question is : is it possible, and if yes, how?&lt;/p&gt;
&lt;p&gt;EDIT : I found that {Link} works if I submit my form before then reopen it and send the mail. Is there a way to do what I want at the first submit ?
I try to use the OnSucess, but I can't succeed.&lt;/p&gt;
</t>
  </si>
  <si>
    <t xml:space="preserve">&lt;p&gt;Hey guys I am new to Symfony 4 , I am trying to use the Zoho 2.0 SDK to connect to their API &amp;amp; push data from another site to a custom field. &lt;/p&gt;
&lt;p&gt;I installed the Zoho SDK using:&lt;/p&gt;
&lt;pre&gt;&lt;code&gt;composer require zohocrm/php-sdk
&lt;/code&gt;&lt;/pre&gt;
&lt;p&gt;It installed successfully into my vendors folder.&lt;/p&gt;
&lt;p&gt;I added it to my controller &lt;/p&gt;
&lt;pre&gt;&lt;code&gt;&amp;lt;?php
namespace App\Controller;
use Symfony\Bundle\FrameworkBundle\Controller\AbstractController;
use Symfony\Component\Routing\Annotation\Route;
use zohocrm\php-sdk;
class HomeController extends AbstractController
{
    /**
     * @Route("/", name="home")
     */
    public function index()
    {
        return $this-&amp;gt;render('home/index.html.twig', [
            'controller_name' =&amp;gt; 'HomeController',
        ]);
    }
}
&lt;/code&gt;&lt;/pre&gt;
&lt;p&gt;But it gives me an error saying it cannot find the file. &lt;/p&gt;
&lt;p&gt;Does any one know or have used the Zoho php sdk with Symfony? &lt;/p&gt;
&lt;p&gt;This is the guide I am following:
&lt;a href="https://www.zoho.com/crm/help/developer/server-side-sdks/php.html" rel="nofollow noreferrer"&gt;https://www.zoho.com/crm/help/developer/server-side-sdks/php.html&lt;/a&gt;&lt;/p&gt;
</t>
  </si>
  <si>
    <t xml:space="preserve">&lt;p&gt;You cannot use hyphen &lt;code&gt;-&lt;/code&gt; in namespace. That is why &lt;code&gt;use zohocrm\php-sdk;&lt;/code&gt; is invalid. For more info about this &lt;a href="https://stackoverflow.com/questions/38245337/how-do-i-use-hyphen-in-namespacing?answertab=active#tab-top"&gt;click here&lt;/a&gt;.&lt;/p&gt;
&lt;blockquote&gt;
  &lt;p&gt;But it gives me an error saying it cannot find the file.&lt;/p&gt;
&lt;/blockquote&gt;
&lt;p&gt;I don't think this is the error you get. You clearly get the following error:&lt;/p&gt;
&lt;pre&gt;&lt;code&gt;(1/1) ParseError
syntax error, unexpected '-', expecting ',' or ';'
in HomeController.php line 6
&lt;/code&gt;&lt;/pre&gt;
&lt;p&gt;The main problem is you are not using classes correctly. Refer to &lt;a href="https://www.zoho.com/crm/help/developer/server-side-sdks/php.html#Class_Hierarchy" rel="nofollow noreferrer"&gt;classes Hierarchy&lt;/a&gt; to import the appropriate class for use. &lt;/p&gt;
&lt;p&gt;For example, I want to use &lt;code&gt;ZCRMProfileCategory&lt;/code&gt;. Find below working controller code with this class imported.&lt;/p&gt;
&lt;pre&gt;&lt;code&gt;&amp;lt;?php
namespace App\Controller;
use Symfony\Bundle\FrameworkBundle\Controller\AbstractController;
use Symfony\Component\Routing\Annotation\Route;
use ZCRMProfileCategory;
class HomeController extends AbstractController
{
    /**
     * @Route("/", name="home")
     */
    public function index()
    {
        return $this-&amp;gt;render('home/index.html.twig', [
            'controller_name' =&amp;gt; 'HomeController',
        ]);
    }
}
&lt;/code&gt;&lt;/pre&gt;
</t>
  </si>
  <si>
    <t xml:space="preserve">&lt;p&gt;I've used App Maker for several small projects since the launch of the EAP.  Coming from TDD with PHP and hot reloading with Node, I'm frustrated by how long it takes to see changes and debug.  I'm now wondering if I'm missing some critical piece of knowledge, because it seems too tedious.  &lt;/p&gt;
&lt;p&gt;Here's an example: &lt;/p&gt;
&lt;p&gt;I have a form field that's bound to a client-side function.  The function returns a calculated number based on the value of other form fields (some of which are also calculated).  When I click preview and fill out the form, of course, there's going to be a console error or the calculation will be off.  So I tweak the function, hit preview, and try again - repeatedly, until I get the expected output.&lt;/p&gt;
&lt;p&gt;Since it takes 10-15 seconds for my preview to render each time, I'm spending a ton of dev time staring at a rotating circle. &lt;/p&gt;
&lt;p&gt;I've had some success composing and debugging some of the scripts in another environment (Google Apps Scripts, local IDE, etc), then cutting and pasting them into App Maker.  That doesn't work well when the function references App Maker models and widgets though.&lt;/p&gt;
&lt;p&gt;Is there something I'm missing here, or is repetitive previewing really the only way to design and debug within App Maker?&lt;/p&gt;
</t>
  </si>
  <si>
    <t xml:space="preserve">&lt;p&gt;I'm stuck on how to do this relation. &lt;/p&gt;
&lt;p&gt;I have two mySQL models. One named 'Vehicles' and another named 'Checklist'. Evidently, Checklist contains a list of questions and a date field that is automatically generated. &lt;/p&gt;
&lt;p&gt;I am making a reporting page, where I'm trying to list each vehicle vertically and then have 12 checkbox widgets horizontally across from each vehicle with a month label above.&lt;/p&gt;
&lt;p&gt;I'm trying to get the checkbox's to only be to ticked if a checklist exists with the corresponding date field.&lt;/p&gt;
&lt;p&gt;i.e.&lt;/p&gt;
&lt;pre&gt;&lt;code&gt;&amp;gt; Vehicles -- January - February - March - April - May ...  
&amp;gt; Vehicle A -   []    -    []    -  []   -  []   - [] ...
&amp;gt; Vehicle B -   []    -    []    -  []   -  []   - [] ...
&amp;gt; Vehicle C -   []    -    []    -  []   -  []   - [] ...
&lt;/code&gt;&lt;/pre&gt;
&lt;p&gt;I've read the relations reference but I've hit a wall, not sure how to get this working. &lt;/p&gt;
&lt;p&gt;Can somebody put me in the right direction? &lt;/p&gt;
</t>
  </si>
  <si>
    <t xml:space="preserve">&lt;p&gt;For the value attribute of each checkbox widget, enter this code:&lt;/p&gt;
&lt;pre&gt;&lt;code&gt;(@datasource.item.Checklist..Date || []).some(d =&amp;gt; d.getMonth() === #)
&lt;/code&gt;&lt;/pre&gt;
&lt;p&gt;Where Date is the name of the date field in the checklist table and change the # to the corresponding month of the checkbox (January = 0, February = 1, etc). &lt;/p&gt;
&lt;p&gt;&lt;strong&gt;EDIT:&lt;/strong&gt;&lt;/p&gt;
&lt;p&gt;If you want to be able to check other aspects of the Checklist record, you could do something like this:&lt;/p&gt;
&lt;pre&gt;&lt;code&gt;(@datasource.item.Checklist || []).some(c =&amp;gt; c.Date.getMonth() === # &amp;amp;&amp;amp; c.Status === 'Approved')
&lt;/code&gt;&lt;/pre&gt;
</t>
  </si>
  <si>
    <t xml:space="preserve">&lt;p&gt;I am using Google AppMaker to build a project management tool. &lt;/p&gt;
&lt;p&gt;I have a table for 'projects', with the ability to add G-Drive attachments and team members to each instance of a project. I would also like to prepopulate a list of tasks for every new project being created. &lt;/p&gt;
&lt;p&gt;Any ideas on how to achieve this?
Thank you&lt;/p&gt;
</t>
  </si>
  <si>
    <t xml:space="preserve">&lt;p&gt;We have automation test scripts (Around 70) written using selenium web driver for Salesforce classic and able to execute without any error. &lt;/p&gt;
&lt;p&gt;Now we are moving into Salesforce lightning, when I am trying to execute same automation test scripts (Around 70) on lightning throws error with respect to finding elements .&lt;/p&gt;
&lt;p&gt;After investigating the error came to know that elements html tags are different in lightning compared to classic.&lt;/p&gt;
&lt;p&gt;Please find below information.&lt;/p&gt;
&lt;p&gt;Eg :In New LEAD Object ,&lt;/p&gt;
&lt;p&gt;In Salesforce classic - LastName field
Xpath is -- &gt;input[@id='name_lastlea2']&lt;/p&gt;
&lt;p&gt;In Salesforce lightning - LastName field
Xpath is -- &gt;  //input[@id='450:2948;a']&lt;/p&gt;
&lt;p&gt;Please let me know what approach I should do now to execute all my 70 test cases without any errors in Salesforce lightning. &lt;/p&gt;
&lt;p&gt;My scripts should run in both Salesforce classic and lightning. &lt;/p&gt;
&lt;p&gt;Thanks in advance . &lt;/p&gt;
</t>
  </si>
  <si>
    <t xml:space="preserve">&lt;p&gt;The App settings page has a resources tab that I can upload images to. Great, so I uploaded an image. Now I can get the link (e.g. &lt;/p&gt;
&lt;pre&gt;&lt;code&gt;resources/google-apps-script-xxx-yyy-zzz-aaa-1234565789.png
&lt;/code&gt;&lt;/pre&gt;
&lt;p&gt;and create image widgets on pages with that link.&lt;/p&gt;
&lt;p&gt;That looks great in the editor, but the moment I publish a deployment, I only see a broken imagelink.&lt;/p&gt;
&lt;p&gt;Interestingly, I can right click on the broken image placeholder and "open image in new tab", which then opens the image without any problems.&lt;/p&gt;
&lt;p&gt;Now, I can totally work around this by uploading the image to drive and paste a link from there, but it's nicer to put all the resources into the app itself.&lt;/p&gt;
&lt;p&gt;Any suggestion on how to properly paste the link into the image url field ?&lt;/p&gt;
&lt;p&gt;Many thanks in advance&lt;/p&gt;
</t>
  </si>
  <si>
    <t xml:space="preserve">&lt;p&gt;Have a data table in AppMaker and would like to do conditional formatting (Green to Red) in several columns based on the field value. &lt;/p&gt;
&lt;p&gt;For example if ROI is over 40% give the number a dark green bg, 20% light green, &amp;lt; 0% red, etc. &lt;/p&gt;
&lt;p&gt;Ideally I want to do a gradient like excel but that might be too complicated. Any help would be appreciated.&lt;/p&gt;
</t>
  </si>
  <si>
    <t xml:space="preserve">&lt;p&gt;Couple of assumptions, I am guessing your column is a vertical/horizontal/fixed panel or some other type of widget that you can edit in App Maker's property editor and that ROI is a field in your datasource. You can get this accomplished by setting 3 style classes in your 'Style Editor' like this:&lt;/p&gt;
&lt;pre&gt;&lt;code&gt;.dark-green {
  background: linear-gradient(to bottom, darkgreen, green);
}
.light-green {
  background: linear-gradient(to bottom, green, lightgreen);
}
.red {
  background: linear-gradient(to bottom, darkred, red);
}
&lt;/code&gt;&lt;/pre&gt;
&lt;p&gt;Then in the property editor for your widget go to 'Display' - 'styles' and bind your styles as follows:&lt;/p&gt;
&lt;pre&gt;&lt;code&gt;@datasource.item.Percent === 0 ? 'red' : @datasource.item.Percent &amp;gt; 0 &amp;amp;&amp;amp; @datasource.item.Percent &amp;lt;= 0.2 ? 'light-green' : @datasource.item.Percent &amp;gt; 0.2 ? 'dark-green' : ''
&lt;/code&gt;&lt;/pre&gt;
&lt;p&gt;You can play around with the CSS for the background and such once you have your classes and binding for the styles accomplished to find a visual look that you like.&lt;/p&gt;
&lt;p&gt;To apply this concept to the entire table row and still include the 'app-ListTableRow' and 'hoverAncestor' styling you would bind your table row styles as follows:&lt;/p&gt;
&lt;pre&gt;&lt;code&gt;@datasource.item.Percent === 0 ? ['red','app-ListTableRow','hoverAncestor'] : @datasource.item.Percent &amp;gt; 0 &amp;amp;&amp;amp; @datasource.item.Percent &amp;lt;= 0.2 ? ['light-green','app-ListTableRow','hoverAncestor'] : @datasource.item.Percent &amp;gt; 0.2 ? ['dark-green','app-ListTableRow','hoverAncestor'] : ['app-ListTableRow','hoverAncestor']
&lt;/code&gt;&lt;/pre&gt;
</t>
  </si>
  <si>
    <t xml:space="preserve">&lt;p&gt;I'd like to display a table of long text strings, say for an issue tracker.&lt;/p&gt;
&lt;pre&gt;&lt;code&gt;user1 data1 comment1
user2 date2 comment2
...
userN dateN commentN
&lt;/code&gt;&lt;/pre&gt;
&lt;p&gt;The commentX is in a textarea widget. I'd like each row to be high enough to show the entire comment without scrolling within each comment's textarea (there's no indication that the comment is bigger than the textarea so it's easy to overloook something). However, I cannot use the "fit to content" height for the tablerow, just "fill parent" and "fixed".&lt;/p&gt;
&lt;p&gt;Is there a way to do what I want ?&lt;/p&gt;
&lt;p&gt;Many thanks in advance!&lt;/p&gt;
</t>
  </si>
  <si>
    <t xml:space="preserve">&lt;p&gt;I have created a Power app in the Power apps portal. This power app communicates to one of my databases via an on-premises gateway. On a button click on the power app embedded in the Power BI Desktop, few selected data is passed as a parameter to a procedure which runs in my database.&lt;/p&gt;
&lt;p&gt;I am using this power app embedded in my Power BI Desktop template. &lt;/p&gt;
&lt;p&gt;Power BI Desktop -&gt; Power Apps -&gt; DB (via on Premises Gateway)&lt;/p&gt;
&lt;p&gt;Power app works only with the internet.&lt;/p&gt;
&lt;p&gt;Is it possible to make power app communicate to my local database without any network connections? (without on-premises or cloud databases) &lt;/p&gt;
&lt;p&gt;If no, then is it possible to redirect the power app communication to the appropriate db gateway by passing the parameter(gateway name) from Power BI Desktop from which the request originated?&lt;/p&gt;
&lt;p&gt;Thanks in advance&lt;/p&gt;
</t>
  </si>
  <si>
    <t xml:space="preserve">&lt;p&gt;Unfortunately, PowerApps doesn't work offline today. It won't be able to talk to your local database without network connection. &lt;/p&gt;
&lt;p&gt;You can direct PowerApps to talk to the appropriate data gateway. Make sure you install the gateway from PowerApps portal first. Then create a connection using that gateway to your local database. Then use that connection in your PowerApps to talk to your database (read/write to your local database). &lt;/p&gt;
&lt;p&gt;Hope this helps!&lt;/p&gt;
</t>
  </si>
  <si>
    <t xml:space="preserve">&lt;p&gt;I'm trying to implement a web-worker thread in Salesforce Lightning UI but I got to know that &lt;strong&gt;"According to the Locker Service API SecureWindow, ServiceWorker currently has a status of "Not To Be Supported". While this would be pretty cool to have, it's of pretty limited use in typical scenarios. Perhaps they'll review this in the future."&lt;/strong&gt;&lt;/p&gt;
&lt;p&gt;&lt;em&gt;Is there any other alternative for this. I just need a background process to run which includes a for loop. As I'm using omni-channel I need the worker to be in the scope of lightning.&lt;/em&gt;&lt;/p&gt;
</t>
  </si>
  <si>
    <t xml:space="preserve">&lt;p&gt;I am trying to send an email by using Zoho Custom Function. Now need to insert line breaks in my email.
I try by &lt;code&gt;\n&lt;/code&gt; but it dose not work &lt;/p&gt;
&lt;pre&gt;&lt;code&gt;sendmail
    [
        from: "email@gmail.com"
        to: "email@gmail.com"
        subject: Subject
        message: "Hello, \nThe Name has been updated to the stage. Below is a link to the record for more details:\n link \nRegards, \nBRKTHRU"
    ]
&lt;/code&gt;&lt;/pre&gt;
&lt;p&gt;Thank's&lt;/p&gt;
</t>
  </si>
  <si>
    <t xml:space="preserve">&lt;p&gt;I am trying to send an email by using Zoho Custom Function.&lt;/p&gt;
&lt;p&gt;&lt;strong&gt;My Code&lt;/strong&gt; :&lt;/p&gt;
&lt;pre&gt;&lt;code&gt;sendmail
    [
        from: "email@gmail.com"
        to: "email@gmail.com"
        subject: "Test Email"
        message: "This is mail Body"
    ]
&lt;/code&gt;&lt;/pre&gt;
&lt;p&gt;&lt;strong&gt;Give this error :&lt;/strong&gt;&lt;/p&gt;
&lt;p&gt;In cases where From: address is not a zoho.adminuserid or zoho.loginuserid, the To: address can only be zoho.adminuserid and the sendmail task cannot have any CC: or BCC: address. &lt;/p&gt;
</t>
  </si>
  <si>
    <t xml:space="preserve">&lt;p&gt;In my main data input in my Google App Maker app, I have relation data that's displayed in a list. I want the entries in that list to be able to be null until the user takes a specific action by clicking on a particular button, but at that point, I want the existence of values to be validated.&lt;/p&gt;
&lt;p&gt;For the life of me, I couldn't figure out how to access iterate through the rows in the list and check the value of a specific field. But after a TON of trial and error, I figured it out -- see below. &lt;/p&gt;
</t>
  </si>
  <si>
    <t xml:space="preserve">&lt;p&gt;Starting with the list widget (&lt;code&gt;MyList&lt;/code&gt;), get the rows contained in it:&lt;/p&gt;
&lt;p&gt;&lt;code&gt;var rows = MyList.children._values;&lt;/code&gt;&lt;/p&gt;
&lt;p&gt;To access the widgets in an individual row, identify them as an array first:&lt;/p&gt;
&lt;p&gt;&lt;code&gt;var widgets = rows[0].children._values;&lt;/code&gt;&lt;/p&gt;
&lt;p&gt;Then get the value of the widget you want by identifying by index:&lt;/p&gt;
&lt;p&gt;&lt;code&gt;var value = widgets[0].value;&lt;/code&gt;&lt;/p&gt;
</t>
  </si>
  <si>
    <t xml:space="preserve">&lt;p&gt;I am using PHP Curl to push html form data to a CRM (Zoho), where a record is created.&lt;/p&gt;
&lt;p&gt;Response after creating the record (echo $response;):&lt;/p&gt;
&lt;p&gt;*Record(s) added successfully*3442526000000497019*2018-09-04 11:32:312018-09-04 11:32:31*&lt;/p&gt;
&lt;p&gt;I want to parse/decode this response ($response), to extract the record-Id (&lt;em&gt;3442526000000497019&lt;/em&gt;).&lt;/p&gt;
&lt;p&gt;In thre CRM API SDK, it says something about responses being in json format.&lt;/p&gt;
&lt;p&gt;Therefore, I tried to decode the response with json_decode fucntion:&lt;/p&gt;
&lt;pre&gt;&lt;code&gt;var_dump(json_decode($responser));
var_dump(json_decode($responser, true));
&lt;/code&gt;&lt;/pre&gt;
&lt;p&gt;However, this returns a NULL (NULL is returned if the json cannot be decoded or if the encoded data is deeper than the recursion limit.) and not an array.&lt;/p&gt;
&lt;p&gt;I would appreciate any tip, hint, fingerpoint to a good direction. Do I have to decode it in some other way?&lt;/p&gt;
&lt;p&gt;The following extract of my script shows how the form data is inserted (as XML data to the CRM via php Curl):&lt;/p&gt;
&lt;pre&gt;&lt;code&gt;&amp;lt;?php
$xml =  "&amp;lt;?xml version=\"1.0\" encoding=\"UTF-8\"?&amp;gt;
    &amp;lt;Leads&amp;gt;
        &amp;lt;row no=\"1\"&amp;gt;
            &amp;lt;FL val=\"Uhrzeit\"&amp;gt;".$uhrzeit."&amp;lt;/FL&amp;gt;       
            &amp;lt;FL val=\"Datum\"&amp;gt;".$datum."&amp;lt;/FL&amp;gt;
            &amp;lt;FL val=\"First Name\"&amp;gt;'Mad'&amp;lt;/FL&amp;gt;
            &amp;lt;FL val=\"Last Name\"&amp;gt;'Dog'&amp;lt;/FL&amp;gt;
            &amp;lt;FL val=\"Phone\"&amp;gt;".$phone."&amp;lt;/FL&amp;gt;
            &amp;lt;FL val=\"Email\"&amp;gt;".$email."&amp;lt;/FL&amp;gt;
            &amp;lt;FL val=\"Zip Code\"&amp;gt;".$postcode."&amp;lt;/FL&amp;gt;
            &amp;lt;FL val=\"fuerwen\"&amp;gt;".$fuerwen."&amp;lt;/FL&amp;gt;
            &amp;lt;FL val=\"pflegegrad\"&amp;gt;".$pflegegrad."&amp;lt;/FL&amp;gt;
            &amp;lt;FL val=\"mobilitaet\"&amp;gt;".$mobilitaet."&amp;lt;/FL&amp;gt;
            &amp;lt;FL val=\"sprache\"&amp;gt;".$sprache."&amp;lt;/FL&amp;gt;
            &amp;lt;FL val=\"betreuungsbeginn\"&amp;gt;".$zeitpunkt."&amp;lt;/FL&amp;gt;
        &amp;lt;/row&amp;gt;
    &amp;lt;/Leads&amp;gt;";
$auth="fewfwefwe";
    $url ="https://crm.zoho.com/crm/private/xml/Leads/insertRecords";
    $query="authtoken=".$auth."&amp;amp;scope=crmapi&amp;amp;newFormat=1&amp;amp;xmlData=".$xml;
    $ch = curl_init();
    /* set url to send post request */
    curl_setopt($ch, CURLOPT_URL, $url);
    /* allow redirects */
    curl_setopt($ch, CURLOPT_FOLLOWLOCATION, 1);
    /* return a response into a variable */
    curl_setopt($ch, CURLOPT_RETURNTRANSFER, 1);
    /* times out after 30s */
    curl_setopt($ch, CURLOPT_TIMEOUT, 30);
    /* set POST method */
    curl_setopt($ch, CURLOPT_POST, 1);
    /* add POST fields parameters */
    curl_setopt($ch, CURLOPT_POSTFIELDS, $query);// Set the request as a POST FIELD for curl.
    //Execute cUrl session
    $responser = curl_exec($ch);
    curl_close($ch);
    echo $responser;
    var_dump(json_decode($responser));
    var_dump(json_decode($responser, true));
&lt;/code&gt;&lt;/pre&gt;
&lt;p&gt;Kind regards
Leonore&lt;/p&gt;
</t>
  </si>
  <si>
    <t xml:space="preserve">&lt;p&gt;CRM API SDK is implemented to deal with ZOHO CRM API Version 2 and the code you referenced is calling API Version 1.&lt;/p&gt;
&lt;p&gt;You are posting to the XML API so, you should be expecting to receive XML response.&lt;/p&gt;
&lt;p&gt;If you want to have a json response consider changing the XML part to JSON in the API URL like this: &lt;a href="http://#" rel="nofollow noreferrer"&gt;https://crm.zoho.com/crm/private/json/Leads/insertRecords&lt;/a&gt; and it should be accepting the exactly same parameters as the XML API.&lt;/p&gt;
&lt;p&gt;Here is a sample response:&lt;/p&gt;
&lt;pre&gt;&lt;code&gt;{"response":{"result":{"recorddetail":{"FL":[{"val":"Id","content":"3442526888888888888"},{"val":"Created Time","content":"2018-09-11 14:21:31"},{"val":"Modified Time","content":"2018-09-11 14:21:31"},{"val":"Created By","content":"Jon Deo"},{"val":"Modified By","content":"Jon Deo"}]},"message":"Record(s) added successfully"},"uri":"/crm/private/json/Leads/insertRecords"}}
&lt;/code&gt;&lt;/pre&gt;
&lt;p&gt;Please, consider removing the authtoken from your question as it is public now!&lt;/p&gt;
</t>
  </si>
  <si>
    <t xml:space="preserve">&lt;p&gt;I want to insert a lightning component to a visualforce page after a button click is done in the visualforce page. So I want to do some vf-controller functions and then open a lightning component in the apex controller of the vf page.&lt;/p&gt;
</t>
  </si>
  <si>
    <t xml:space="preserve">&lt;p&gt;I am running into an issue where I have 3 SQL Datasources (&lt;code&gt;Employee&lt;/code&gt;, &lt;code&gt;Course&lt;/code&gt;, &lt;code&gt;Overview&lt;/code&gt;).&lt;/p&gt;
&lt;p&gt;I have created a page inherited from the &lt;code&gt;Overview Datasource&lt;/code&gt;, where i have created a drop down (options based on the &lt;code&gt;Employee Datasource&lt;/code&gt; &lt;em&gt;Employee.items.Name._equals, value set to Overview.Item.Name&lt;/em&gt;). When i select his name in the drop down, I want to dynamically fill in a text field where it selects the email field from the &lt;code&gt;Employee Datasource&lt;/code&gt; based on the person selection in the drop-down.&lt;/p&gt;
&lt;p&gt;Is this possible? If so, how do I proceed? If further information is required please feel free to ask.&lt;/p&gt;
</t>
  </si>
  <si>
    <t xml:space="preserve">&lt;p&gt;I have a combobox that allows me to select more than one option, but I don't know how to test the value.  I can select Cat or Dog, and test it with an IF statement.  But how do I test for both Cat and Dog? &lt;/p&gt;
&lt;p&gt;&lt;a href="https://i.stack.imgur.com/cTZM9.png" rel="nofollow noreferrer"&gt;&lt;img src="https://i.stack.imgur.com/cTZM9.png" alt="enter image description here"&gt;&lt;/a&gt;&lt;/p&gt;
&lt;p&gt;How would I test this in an IF statement?&lt;/p&gt;
&lt;p&gt;Kindest,&lt;/p&gt;
&lt;p&gt;Zorn&lt;/p&gt;
</t>
  </si>
  <si>
    <t xml:space="preserve">&lt;p&gt;You can use the &lt;a href="https://docs.microsoft.com/en-us/powerapps/maker/canvas-apps/functions/function-logicals" rel="nofollow noreferrer"&gt;PowerApps &lt;strong&gt;And&lt;/strong&gt; function&lt;/a&gt; (equivalent to a logical AND operator) inside your &lt;a href="https://docs.microsoft.com/en-us/powerapps/maker/canvas-apps/functions/function-if" rel="nofollow noreferrer"&gt;PowerApps &lt;strong&gt;If&lt;/strong&gt; function&lt;/a&gt;. For example:&lt;/p&gt;
&lt;p&gt;&lt;code&gt;If(And(check for cat selected, check for dog selected), then-statement, else-statement)&lt;/code&gt;&lt;/p&gt;
</t>
  </si>
  <si>
    <t xml:space="preserve">&lt;p&gt;I have a Calculated Model in the Google App Maker project. Where the date field is set as follows.&lt;/p&gt;
&lt;pre&gt;&lt;code&gt;  calculatedModelRecord.PullDate = new Date('December 17, 1995 03:24:00');
&lt;/code&gt;&lt;/pre&gt;
&lt;p&gt;However when I display this calculated model in a Table or a Table Chart, only the Date part is displayed. The Time is missing. See screenshot below:&lt;/p&gt;
&lt;p&gt;&lt;a href="https://i.stack.imgur.com/v0IKe.png" rel="nofollow noreferrer"&gt;&lt;img src="https://i.stack.imgur.com/v0IKe.png" alt="enter image description here"&gt;&lt;/a&gt;&lt;/p&gt;
&lt;p&gt;How do I make the Table/Table to display the Time as well?&lt;/p&gt;
</t>
  </si>
  <si>
    <t xml:space="preserve">&lt;p&gt;Date fields automatically come with an option to format the date according to preset choices or a custom property. To do this, you have to click on the text field in the editor, if you already set the text value to your datasource item, then on the dropdown click 'More Options' and then choose a format as described in the attached image.&lt;/p&gt;
&lt;p&gt;&lt;a href="https://i.stack.imgur.com/2uUQG.png" rel="nofollow noreferrer"&gt;&lt;img src="https://i.stack.imgur.com/2uUQG.png" alt="Date Field Format"&gt;&lt;/a&gt;&lt;/p&gt;
</t>
  </si>
  <si>
    <t xml:space="preserve">&lt;p&gt;I am trying to load Here maps library in lightning component but on load page is throwing below error.&lt;/p&gt;
&lt;p&gt;[Cannot read property 'Object' of undefined]
eval()@&lt;a href="https://wellmanage--onbdev.lightning.force.com/resource/GRG_Leaflet/GRG_Leaflet/Here-mapsjs-core.js:6:1666" rel="nofollow noreferrer"&gt;https://wellmanage--onbdev.lightning.force.com/resource/GRG_Leaflet/GRG_Leaflet/Here-mapsjs-core.js:6:1666&lt;/a&gt;
Proxy.eval()@&lt;a href="https://wellmanage--onbdev.lightning.force.com/resource/GRG_Leaflet/GRG_Leaflet/Here-mapsjs-core.js:320:26" rel="nofollow noreferrer"&gt;https://wellmanage--onbdev.lightning.force.com/resource/GRG_Leaflet/GRG_Leaflet/Here-mapsjs-core.js:320:26&lt;/a&gt;&lt;/p&gt;
</t>
  </si>
  <si>
    <t xml:space="preserve">&lt;p&gt;According to the stack trace and error, it looks like the HERE scripts are loaded in an environment which doesn't have access to the JavaScript &lt;code&gt;window&lt;/code&gt; object, and therefore cannot be evaluated properly.&lt;/p&gt;
&lt;p&gt;I'm not familiar with Salesforce Lightning, but it should be possible to execute JavaScript code as their &lt;a href="https://developer.salesforce.com/docs/atlas.en-us.lightning.meta/lightning/js_intro.htm" rel="nofollow noreferrer"&gt;documentation&lt;/a&gt; states:&lt;/p&gt;
&lt;blockquote&gt;
  &lt;p&gt;A component bundle can contain JavaScript code in a client-side controller, helper, or renderer. Client-side controllers are the most commonly used of these JavaScript resources.&lt;/p&gt;
&lt;/blockquote&gt;
&lt;p&gt;However, it seems there is a peculiar way to load external scripts, which is described on &lt;a href="https://developer.salesforce.com/docs/atlas.en-us.lightning.meta/lightning/js_libs_platform.htm" rel="nofollow noreferrer"&gt;this page&lt;/a&gt;. In particular:&lt;/p&gt;
&lt;blockquote&gt;
  &lt;p&gt;The framework’s content security policy mandates that external JavaScript libraries must be uploaded to Salesforce static resources. For more information on static resources, see “Static Resources” in the Salesforce online help.&lt;/p&gt;
&lt;/blockquote&gt;
</t>
  </si>
  <si>
    <t xml:space="preserve">&lt;p&gt;I had some troubles on form loading. Here, I will show 2 examples, 1 label and 1 button.&lt;/p&gt;
&lt;p&gt;Label.Text code : &lt;/p&gt;
&lt;pre&gt;&lt;code&gt;If(
DataCardValue13.Text = Concatenate(
    'Utilisateursd''Office365_1'.MyProfile().Surname;
    " ";
    'Utilisateursd''Office365_1'.MyProfile().GivenName
);
"true";
"false"
)
&lt;/code&gt;&lt;/pre&gt;
&lt;p&gt;And Button.OnVisible code :&lt;/p&gt;
&lt;pre&gt;&lt;code&gt;If(
ThisItem.Etat = "Validé" || ThisItem.Etat = "Refusé";
false;
If(
    DataCardValue13.Text = Concatenate(
        'Utilisateursd''Office365_1'.MyProfile().Surname;
        " ";
        'Utilisateursd''Office365_1'.MyProfile().GivenName
    );
    true;
    If(
        ThisItem.Author.DisplayName = Concatenate(
            'Utilisateursd''Office365_1'.MyProfile().Surname;
            " ";
            'Utilisateursd''Office365_1'.MyProfile().GivenName
        );
        true;
        If(
            etat = "Nouveau";
            true;
            false
        )
    )
)
)
&lt;/code&gt;&lt;/pre&gt;
&lt;p&gt;My trouble : if I load my form ten times, I will sometimes have false, sometimes true to the Label.Text. And, it's the same for the button. Sometimes it's visible, sometimes not.
And DataCardValue13.Text = Concatenate()...&lt;/p&gt;
&lt;p&gt;Maybe I'm doing it wrong, and code should be somewhere else to be load before the screen is show ?&lt;/p&gt;
&lt;p&gt;And, subsidiary question : I had to use&lt;/p&gt;
&lt;pre&gt;&lt;code&gt;DataCardValue13.Text = Concatenate(
        'Utilisateursd''Office365_1'.MyProfile().Surname;
        " ";
        'Utilisateursd''Office365_1'.MyProfile().GivenName
    )
&lt;/code&gt;&lt;/pre&gt;
&lt;p&gt;to test if my connected user is the same as DataCardValue13.Text. This DataCardValue13 come from &lt;/p&gt;
&lt;pre&gt;&lt;code&gt;`LookUp('DI - Portefeuilles';Title = DataCardValue11.Selected.Title;Controleur de gestio.DisplayName)`
&lt;/code&gt;&lt;/pre&gt;
&lt;p&gt;which is MEYER Damien and User().FullName is Damien MEYER.&lt;/p&gt;
&lt;p&gt;Thanks a lot for answering :)&lt;/p&gt;
</t>
  </si>
  <si>
    <t xml:space="preserve">&lt;p&gt;There are performance issues with connections such as User() and Office365Users(), in that each time the function is used it makes a new call to the server.  This can cause delays or missing information.&lt;/p&gt;
&lt;p&gt;One solution is to cache the User() or Office365Users() values in a global variable that can be used throughout the app without needing to make further calls to the server.&lt;/p&gt;
&lt;p&gt;&lt;a href="https://baizini-it.com/blog/index.php/2017/08/29/powerapps-user-function-cache-current-user-onstart/" rel="nofollow noreferrer"&gt;Here is a reference&lt;/a&gt;&lt;/p&gt;
</t>
  </si>
  <si>
    <t xml:space="preserve">&lt;p&gt;I used the following command from shell to export the schema of the database:&lt;/p&gt;
&lt;pre&gt;&lt;code&gt;mysqldump -u username -p -no-data database_name&amp;gt; gs://test.sql
&lt;/code&gt;&lt;/pre&gt;
&lt;p&gt;I got the following error:&lt;/p&gt;
&lt;p&gt;&lt;code&gt;mysqldump: unknown option '-o'&lt;/code&gt;. &lt;/p&gt;
&lt;p&gt;Then instead I used this:&lt;/p&gt;
&lt;p&gt;&lt;code&gt;mysqldump -u username -p -d database_name&lt;/code&gt;, ( -d instead of -no-data flag)&lt;/p&gt;
&lt;p&gt;I got this error:&lt;/p&gt;
&lt;p&gt;&lt;code&gt;Can't connect to local MySQL server through socket '/var/run/mysqld/mysqld.sock' (2 "No such file or directory")&lt;/code&gt;&lt;/p&gt;
&lt;p&gt;When trying to connect.
Any idea how to export only table definitions in the schema and not all the database.&lt;/p&gt;
</t>
  </si>
  <si>
    <t xml:space="preserve">&lt;p&gt;Is there a way to share source code between the Client side and Server side on Appmaker ?&lt;/p&gt;
&lt;p&gt;The use-cases are plenty: error message list, message code translation, permissions list etc.&lt;/p&gt;
&lt;p&gt;Without this capability, one needs to duplicate which is of course tedious and error prone.&lt;/p&gt;
&lt;p&gt;Thanks!&lt;/p&gt;
</t>
  </si>
  <si>
    <t xml:space="preserve">&lt;p&gt;My google search to find an example of a CloudSQL transaction code on AppMaker yielded 0 results.&lt;/p&gt;
&lt;p&gt;Could somebody share an example please ?&lt;/p&gt;
&lt;p&gt;REF: &lt;a href="https://developers.google.com/appmaker/scripting/api/server#transaction" rel="nofollow noreferrer"&gt;https://developers.google.com/appmaker/scripting/api/server#transaction&lt;/a&gt; &lt;/p&gt;
</t>
  </si>
  <si>
    <t xml:space="preserve">&lt;p&gt;Here is an example published on AppMaker site: &lt;a href="https://developers.google.com/appmaker/scripting/server#controlling_cloudsql_transactions" rel="nofollow noreferrer"&gt;https://developers.google.com/appmaker/scripting/server#controlling_cloudsql_transactions&lt;/a&gt;&lt;/p&gt;
</t>
  </si>
  <si>
    <t xml:space="preserve">&lt;p&gt;How can I iterate all grid-cell panels in currentPage from the top of panel widget object?&lt;/p&gt;
&lt;p&gt;I cannot understand how to get cell-panel collections from grid object.&lt;/p&gt;
&lt;pre&gt;&lt;code&gt;for (var cell in widget.decendants.MyGridWidget.???) {
    cell.decendants.somethingOperation;
}
&lt;/code&gt;&lt;/pre&gt;
</t>
  </si>
  <si>
    <t xml:space="preserve">&lt;p&gt;The setup to hide all detail panels for a grid would be as follows:&lt;/p&gt;
&lt;p&gt;GridPanel
Cell (i.e. children):&lt;/p&gt;
&lt;ol&gt;
&lt;li&gt;&lt;p&gt;Header panel with a label widget and button widget (name: Button3).
Set Button3 text to 'expand_less' initially.&lt;/p&gt;&lt;/li&gt;
&lt;li&gt;&lt;p&gt;Detail panel with three label widgets.&lt;/p&gt;&lt;/li&gt;
&lt;/ol&gt;
&lt;p&gt;Code for onClick event for Button3:&lt;/p&gt;
&lt;pre&gt;&lt;code&gt;var grid = widget.parent.parent.parent;
var cells = grid.children._values;
cells.forEach(function(i) {
  if(i.descendants.Button3.text === 'expand_less') {
    i.descendants.Button3.text = 'expand_more';
  } else {
    i.descendants.Button3.text = 'expand_less';
  }
});
&lt;/code&gt;&lt;/pre&gt;
&lt;p&gt;Detail Panel visibility binding:&lt;/p&gt;
&lt;pre&gt;&lt;code&gt;@widget.parent.descendants.Button3.text === 'expand_less'
&lt;/code&gt;&lt;/pre&gt;
&lt;p&gt;Hope something like this will work for your specific use case.&lt;/p&gt;
</t>
  </si>
  <si>
    <t xml:space="preserve">&lt;p&gt;At some point in the powerapps application im am getting a collection like this:
&lt;code&gt;Collect(emailAdressenA,Admin1_Email.Text,Admin2_email.Text,Fiatteur1_email.Text,Fiatteur2_email.Text,Fiatteur3_email.Text)&lt;/code&gt;
This way i create a collection of email adresses.&lt;/p&gt;
&lt;p&gt;Then at another point in the application, i want to set an email to all of these adresses, so i tought of using the forAll option here:&lt;/p&gt;
&lt;pre&gt;&lt;code&gt;Set(mailTitle, "Form ready"); 
Set (mailBody, "Remarks: " + AOpmerkingPar1);
ForAll(emailAdressenA,Office365.SendEmail(Value,mailTitle, mailBody))
&lt;/code&gt;&lt;/pre&gt;
&lt;p&gt;obviously this doenst work as &lt;code&gt;Value&lt;/code&gt; for &lt;code&gt;SendEmail&lt;/code&gt; has no real value now.
is there any way to pass in the values from the collection as if this were an foreach statement (c#)? i noticed there is no foreach statements in powerapps though&lt;/p&gt;
</t>
  </si>
  <si>
    <t xml:space="preserve">&lt;p&gt;I have a PowerApp that is a gallery showing a list from SharePoint and also an input mask for said list in SharePoint. The input part works flawlessly for me and my collegues, but the gallery part which should be showing the data from the SharePoint list is giving me a headache.&lt;/p&gt;
&lt;p&gt;I can see the data from the SP list in the App. My colleagues with whom I shared the App only see a blank list. &lt;/p&gt;
&lt;p&gt;When they first open the shared app they have to accept a prompt from the SharePoint connector &amp;amp; I have given them all access to the specific SharePoint list. Yet they still don't see anything in the PowerApp gallery that should show the SP data.&lt;/p&gt;
&lt;p&gt;I checked the connections in the App setting and the SharePoint connection works. Also I can see the data. Although the connector is showing my personal SharePoint account, but afaik by granting the SharePoint access on the first opening of the App this should take care of that.&lt;/p&gt;
&lt;p&gt;TLDR: 
PowerApp has a gallery that shows SP data and that works for me but not for the users whom I shared the App with. They only see a blank gallery. How do I fix that?&lt;/p&gt;
&lt;p&gt;BR
Thomas&lt;/p&gt;
</t>
  </si>
  <si>
    <t xml:space="preserve">&lt;p&gt;I thankfully found the issue myself after some digging around in the settings. In the Advanced List setting the following option was not set to read all: &lt;/p&gt;
&lt;p&gt;Item-level Permissions
Specify which items users can read and edit. &lt;/p&gt;
&lt;p&gt;With this option correctly set everyone is now able to see the list items.&lt;/p&gt;
&lt;p&gt;Have a great day and I hope this might help someone!&lt;/p&gt;
</t>
  </si>
  <si>
    <t xml:space="preserve">&lt;p&gt;I am working on Powerapp and need to create an application where on basis of user's selection, we will choose a word document and then populate user's input value in it. For example. If a user chooses year as 2018 then a document belonging to this year will be selected and the user will fill a form whose values will get populated inside the word document. I know we have quick parts for this but I need to achieve it through PowerApp. &lt;/p&gt;
</t>
  </si>
  <si>
    <t xml:space="preserve">&lt;p&gt;We have a PowerApps form with several fields that must be completed before the form can be submitted to the Sharepoint List.&lt;/p&gt;
&lt;p&gt;We can't make them required or mandatory on the Content-Type and List because we want the users to be able tosave their data, and come back to it to edit it before Submitting... &lt;/p&gt;
&lt;p&gt;So we need to disable/hide the Submit button until these fields are completed by the user.&lt;/p&gt;
&lt;p&gt;In our Submit Button control we are using a formula to control the Visibility property of the button, or it's container which is the footer.&lt;/p&gt;
&lt;p&gt;So we have tried this kind of thing: &lt;/p&gt;
&lt;pre&gt;&lt;code&gt;If(
    And(
        TitleField.Text &amp;lt;&amp;gt; "",DescOfInitiativeField.Text &amp;lt;&amp;gt; "", DateRaisedField.SelectedDate &amp;lt;&amp;gt; Date(
            1900,
            01,
            01
        ),
        Not IsEmpty(PersonalDataChoiceField.SelectedItems.Value),
        Not IsEmpty(SpecialCatChoiceField.SelectedItems.Value),
        Not IsEmpty(ChildrensDataChoiceField.SelectedItems.Value),
        Not IsEmpty(CriminalChoiceDataField),
    Not IsEmpty(SourcesOfDataChoiceField.SelectedItems.Value),
&lt;/code&gt;&lt;/pre&gt;
&lt;p&gt;but we are not having any luck..&lt;/p&gt;
&lt;p&gt;So what's the correct way to go about this? How can we test that at least one of the options in each of our combo-box fields is selected?&lt;/p&gt;
</t>
  </si>
  <si>
    <t xml:space="preserve">&lt;p&gt;I don't know why you add &lt;code&gt;.Value&lt;/code&gt; after &lt;code&gt;.Selecteditems&lt;/code&gt;&lt;/p&gt;
&lt;pre&gt;&lt;code&gt;If(IsEmpty(ComboBox.SelectedItems),false,true)
&lt;/code&gt;&lt;/pre&gt;
&lt;p&gt;It returns false when nothing is selected  &lt;/p&gt;
&lt;p&gt;Try something like this in your &lt;strong&gt;&lt;em&gt;Visible&lt;/em&gt;&lt;/strong&gt; function of your button:&lt;/p&gt;
&lt;pre&gt;&lt;code&gt;If(IsBlank(TitleField.Text) Or IsBlank(DescOfInitiativeField.Text) 
    Or DateRaisedField.SelectedDate = Date(1900,01,01) 
    Or IsEmpty(PersonalDataChoiceField.SelectedItems) 
    Or IsEmpty(SpecialCatChoiceField.SelectedItems) 
    Or IsEmpty(ChildrensDataChoiceField.SelectedItems) 
    Or IsBlank(CriminalChoiceDataField) 
    Or IsEmpty(SourcesOfDataChoiceField.SelectedItems), false, true)
&lt;/code&gt;&lt;/pre&gt;
</t>
  </si>
  <si>
    <t xml:space="preserve">&lt;p&gt;I have a Salesforce lightning application which uses AWS services to run NLP algorithm. Is there a way to move the algorithm to Force.com and run it without using Heroku and Einstein services. &lt;/p&gt;
</t>
  </si>
  <si>
    <t xml:space="preserve">&lt;p&gt;I get this questions title when trying to update a record in Microsoft PowerApps + SQL server. This particular table happens to have 3 out of four fields as keys. I can confirm that I have permissions on my user to update the record. New records can be created just fine, just not updating ones. Very confused on how to correct this issue as it was working fine prior to the weekend.&lt;/p&gt;
</t>
  </si>
  <si>
    <t xml:space="preserve">&lt;p&gt;I'm working on a Support Ticket system with AppMaker and was wondering if there was a way to create tickets from emails.  For example, if I connected our support email to AppMaker and it captures the sender, subject and body of the email to create the new ticket record.  I have been doing some research but can't seem to find what I'm looking for...&lt;/p&gt;
</t>
  </si>
  <si>
    <t xml:space="preserve">&lt;p&gt;I'm trying to format the output of an expression as a percentage to be shown in a table. With a normal cell, appmaker lets you select the dropdown to #formatNumber. I can't figure out how to do this with a longer expression:&lt;/p&gt;
&lt;p&gt;@datasource.item.ROI_Percent * (365/(@datasource.item.Sale_Date - @datasource.item.PO_Date))&lt;/p&gt;
&lt;p&gt;I've tried throwing the whole thing in parens and adding #formatNumber but that doesn't seem to work. Is there another function I'm missing? I want this to be a rounded percentage (704%)&lt;/p&gt;
&lt;p&gt;Thanks&lt;/p&gt;
</t>
  </si>
  <si>
    <t xml:space="preserve">&lt;p&gt;Once you break away from a single bound output, App Maker can no longer determine the result type and thus doesn't allow you to use their helper functions. You'll have to use plain old javascript.&lt;/p&gt;
&lt;p&gt;Here's one way to format as a percentage:&lt;/p&gt;
&lt;pre&gt;&lt;code&gt;(@datasource.item.ROI_Percent * (365/(@datasource.item.Sale_Date - @datasource.item.PO_Date))).toLocaleString("en", {style: "percent"})
&lt;/code&gt;&lt;/pre&gt;
</t>
  </si>
  <si>
    <t xml:space="preserve">&lt;p&gt;I have few assessment records that have to be created. I have written a validation where they can create new record with the minimum due date of 7 days from the created date.&lt;/p&gt;
&lt;p&gt;AND( 
OR( 
ISPICKVAL( Assessment_Request_Type__c , "priority") 
), 
LEN(WorkType.Name) &gt; 12 , 
Assessment_Due_Date__c &amp;lt;= ( DATEVALUE( CreatedDate) + 7) 
) &lt;/p&gt;
&lt;p&gt;The problem is, this validation is also firing when i am trying to update the existing assessment records.&lt;/p&gt;
&lt;p&gt;How can I make sense to have the validation rule check and say that it's ok if the existing record (Using ISNEW() ) &amp;amp; the Assessment Due Date isn't changing. (Using ISCHANGED).&lt;/p&gt;
</t>
  </si>
  <si>
    <t xml:space="preserve">&lt;blockquote&gt;
  &lt;p&gt;SortByColumns(Search('[dbo].[Efftronics Systems Pvt Ltd_,$Sales Header]', TextSearchBox1.Text, "Applies-to Doc_ No_","Applies-to ID","Area"), "Applies-to Doc_ No_", If(SortDescending1, Descending, Ascending))&lt;/p&gt;
&lt;/blockquote&gt;
&lt;p&gt;&lt;a href="https://i.stack.imgur.com/vPYSK.png" rel="nofollow noreferrer"&gt;&lt;img src="https://i.stack.imgur.com/vPYSK.png" alt="These are the columns in the table"&gt;&lt;/a&gt;&lt;/p&gt;
&lt;p&gt;I am connect to SQLServer from powerApps. Then I have connected to one table. Then PowerAPPS Building App itself.&lt;/p&gt;
&lt;p&gt;In the first page It is for Searching. But It is showing Error.&lt;/p&gt;
&lt;blockquote&gt;
  &lt;p&gt;Inner Exception: Syntax Error at position 8 in Applies-to Doc_ No desc&lt;/p&gt;
&lt;/blockquote&gt;
&lt;p&gt;I am very new to PowerApps.&lt;/p&gt;
&lt;p&gt;I Want to search only with No_ column values. How to write search command for this.&lt;/p&gt;
&lt;p&gt;I am new to PowerApps. This is my first App.&lt;/p&gt;
&lt;p&gt;Any help would be Appreciated.&lt;/p&gt;
</t>
  </si>
  <si>
    <t xml:space="preserve">&lt;p&gt;You need to put sort order after every column, you got this error because after &lt;code&gt;"Applies-to Doc_ No_"&lt;/code&gt; you got &lt;code&gt;"Applies-to ID"&lt;/code&gt; instead of &lt;code&gt;If(SortDescending1, Descending, Ascending)&lt;/code&gt;&lt;/p&gt;
&lt;p&gt;&lt;strong&gt;SortByColumns&lt;/strong&gt;( Table, ColumnName1 &lt;em&gt;[, SortOrder1, ColumnName2, SortOrder2, ... ]&lt;/em&gt; )&lt;/p&gt;
</t>
  </si>
  <si>
    <t xml:space="preserve">&lt;p&gt;&lt;a href="https://i.stack.imgur.com/6Orex.png" rel="nofollow noreferrer"&gt;&lt;img src="https://i.stack.imgur.com/6Orex.png" alt="Here I am getting the searching results. But I want to Apply filter on Searching Results."&gt;&lt;/a&gt;&lt;/p&gt;
&lt;p&gt;Here I am getting the searching results. But I want to Apply filter on Searching Results.&lt;/p&gt;
&lt;p&gt;I have a another column name &lt;code&gt;Sale Order Created&lt;/code&gt;. I want to show results only if this column value is 0.&lt;/p&gt;
&lt;p&gt;How to achieve this?&lt;/p&gt;
&lt;p&gt;I am new to power Apps. This is my First Application.&lt;/p&gt;
&lt;p&gt;Any Help would be appreciated.&lt;/p&gt;
&lt;p&gt;Thank you&lt;/p&gt;
</t>
  </si>
  <si>
    <t xml:space="preserve">&lt;p&gt;In PowerApps most functions that operate on tables (such as &lt;a href="https://docs.microsoft.com/powerapps/maker/canvas-apps/functions/function-filter-lookup" rel="nofollow noreferrer"&gt;Search&lt;/a&gt;, &lt;a href="https://docs.microsoft.com/powerapps/maker/canvas-apps/functions/function-sort" rel="nofollow noreferrer"&gt;SortByColumns&lt;/a&gt; and &lt;a href="https://docs.microsoft.com/powerapps/maker/canvas-apps/functions/function-filter-lookup" rel="nofollow noreferrer"&gt;Filter&lt;/a&gt;) return the searches / sorted / filtered table, so you can compose them together, by applying one function to the result of the other. For example, in your case, you can &lt;a href="https://docs.microsoft.com/powerapps/maker/canvas-apps/functions/function-filter-lookup" rel="nofollow noreferrer"&gt;Filter&lt;/a&gt; the result of the &lt;a href="https://docs.microsoft.com/powerapps/maker/canvas-apps/functions/function-filter-lookup" rel="nofollow noreferrer"&gt;Search&lt;/a&gt;, by using the latter's result as the first parameter of the former, as shown below.&lt;/p&gt;
&lt;pre&gt;&lt;code&gt;SortByColumns(
    Filter(
        Search(
            '[dbo].[Efftronics Systems Pbt Ltd_,$Sales Header]',
            TextSearchBox1.Text,
            "No_"),
        'Sale Order Created' = 0),
    "No_",
    If(SortDescending1, Descending, Ascending))
&lt;/code&gt;&lt;/pre&gt;
</t>
  </si>
  <si>
    <t xml:space="preserve">&lt;p&gt;I created two form in powerapps. In SharePointIntegration.OnNew, I used NewForm(BudgetForm). Now, I want to open the other forms. So I change BudgetForm to Form1 (my new one).&lt;/p&gt;
&lt;p&gt;But, when I create a new document, it still opens BudgetForm.
How can I open a different form ?&lt;/p&gt;
&lt;p&gt;Thanks! &lt;/p&gt;
</t>
  </si>
  <si>
    <t xml:space="preserve">&lt;p&gt;I'm integrating the ZohoCRM PHP SDK with our Laravel 5 app (&lt;a href="https://github.com/zoho/zcrm-php-sdk" rel="nofollow noreferrer"&gt;https://github.com/zoho/zcrm-php-sdk&lt;/a&gt;) but I'm having trouble performing a simple update on a record.&lt;/p&gt;
&lt;p&gt;I'm using this code to retrieve the record, and update it -&lt;/p&gt;
&lt;pre&gt;&lt;code&gt;$record = \ZCRMRecord::getInstance('Products', $entityId);
$data = $record-&amp;gt;getData();
if (count($data) &amp;gt; 0) {
       $record-&amp;gt;setFieldValue('Product_Name', 'Test Update');
       $response = $record-&amp;gt;update();
}
&lt;/code&gt;&lt;/pre&gt;
&lt;p&gt;However, &lt;code&gt;$data&lt;/code&gt; is always an empty array.&lt;/p&gt;
&lt;p&gt;I have retrieved the &lt;code&gt;$entityId&lt;/code&gt; variable by fetching records from the 'Products' module and storing the value from the &lt;code&gt;$record-&amp;gt;getEntityId()&lt;/code&gt; method e.g.&lt;/p&gt;
&lt;pre&gt;&lt;code&gt;$records = \ZCRMModule::getInstance('Products')-&amp;gt;getRecords()-&amp;gt;getData();
if (count($records) &amp;gt; 0) {
       foreach ($records as $record) {
           $id = $record-&amp;gt;getEntityId();
           // store id in RDS...
       }
}
&lt;/code&gt;&lt;/pre&gt;
&lt;p&gt;I'm not sure if my method of fetching the record to update is incorrect or if my method of retrieving the record ID is incorrect.&lt;/p&gt;
&lt;p&gt;Kind regards,&lt;/p&gt;
&lt;p&gt;Phil&lt;/p&gt;
</t>
  </si>
  <si>
    <t xml:space="preserve">&lt;p&gt;I wonder if it's possible to create a column in a sharepoint list, and put data in it, without "show" the datacard on my form.
Example : I want my column "AGE" to be fill with my user name. But I don't want to put the datacard on my form. &lt;/p&gt;
&lt;p&gt;Currently, I have to put the datacard on my form, with Visible at false. But it's disturbing when I want to manage my form.&lt;/p&gt;
&lt;p&gt;Of course, if you don't understand me, I can try to explain better :D&lt;/p&gt;
&lt;p&gt;Thanks !&lt;/p&gt;
</t>
  </si>
  <si>
    <t xml:space="preserve">&lt;p&gt;If you want to fill column with data that you got in your application, you need to add this in your form.
Also you can use calculated value option in your share point list where you can use data from other columns
&lt;a href="https://i.stack.imgur.com/luwUS.png" rel="nofollow noreferrer"&gt;&lt;img src="https://i.stack.imgur.com/luwUS.png" alt="SP List calculated value"&gt;&lt;/a&gt;&lt;/p&gt;
&lt;p&gt;&lt;a href="https://docs.microsoft.com/en-us/previous-versions/office/developer/sharepoint-2010/bb862071(v%3Doffice.14)" rel="nofollow noreferrer"&gt;More about calculated value...&lt;/a&gt;&lt;/p&gt;
</t>
  </si>
  <si>
    <t xml:space="preserve">&lt;p&gt;I am extremely new to Powerapps in fact this is my first project with it. What I want to do is link to a web-page that contains a Knowledge base the body of the hyperlink stays as it is the only thing that changes is the ID it needs to look for.&lt;/p&gt;
&lt;p&gt;I have created an app and each article contains its own KB# and i need that KB# to be inserted into the hyperlink. The Text I marked in bold below is the only change in the link. I have created a button that should run the Hyperlink once click and in the OnSelect area I add the below but that is just a static link.&lt;/p&gt;
&lt;p&gt;If(Rule2, Launch("&lt;a href="https://placeholder.com/nav_to.do?uri=%2Fkb_view.do%3Fsysparm_article%3D||" rel="nofollow noreferrer"&gt;https://placeholder.com/nav_to.do?uri=%2Fkb_view.do%3Fsysparm_article%3D||&lt;/a&gt;&lt;strong&gt;KB0010007&lt;/strong&gt;||%26sysparm_stack%3D%26sysparm_view%3D")
, Launch("&lt;a href="https://placeholder.com/nav_to.do?uri=%2Fkb_view.do%3Fsysparm_article%3DKB0011526%26sysparm_stack%3D%26sysparm_view%3D" rel="nofollow noreferrer"&gt;https://placeholder.com/nav_to.do?uri=%2Fkb_view.do%3Fsysparm_article%3DKB0011526%26sysparm_stack%3D%26sysparm_view%3D&lt;/a&gt;")
)&lt;/p&gt;
</t>
  </si>
  <si>
    <t xml:space="preserve">&lt;p&gt;I have a calendar report. when i click on a date, i want a different form to open, not the form that the calendar report is based on. Then i want the date value from the first form to be passed to the second form. So far, I have this code, on load of the Calendar Form:&lt;/p&gt;
&lt;pre&gt;&lt;code&gt;MyDate = input.Departure_Date_Time;
//return same window to calendar report
openUrl("https://app.zohocreator.com/ccimailzoho/interhof-travel- 
calendar#Calendar","same window");
//open trip form in popup
openurl("#Form:Trip_Form","popup window");
//Trip_Form.Departure_Date_Time = MyDate;
&lt;/code&gt;&lt;/pre&gt;
&lt;p&gt;But it doesn't work; MyDate variable does not hold the value between the two forms. Any ideas?&lt;/p&gt;
</t>
  </si>
  <si>
    <t xml:space="preserve">&lt;p&gt;how should I reproduce audio encoded in base64 within a lightning component?
at the moment I get this error message :&lt;/p&gt;
&lt;p&gt;Refused to load media from 'data:audio/ogg;base64, ' because it violates the following Content Security Policy directive: "media-src 'self' *.na53.visual.force.com https://.na53.content.force.com".&lt;/p&gt;
&lt;p&gt;The media resource is retrieved on the fly that way I can not have a static url which can be config as CSP Trusted Site. &lt;/p&gt;
</t>
  </si>
  <si>
    <t xml:space="preserve">&lt;p&gt;I have published a deployment that runs with the developer account. In the deployment settings I have a role called "Supervisors". I have assigned a google group to that role, directorssupervisors@domain.com. &lt;/p&gt;
&lt;p&gt;&lt;a href="https://i.stack.imgur.com/KpA2n.png" rel="nofollow noreferrer"&gt;&lt;img src="https://i.stack.imgur.com/KpA2n.png" alt="enter image description here"&gt;&lt;/a&gt;&lt;/p&gt;
&lt;p&gt;When the deployment runs with the developer account, everythings works fine. But when the deployment is ran by any other user, I get the following error:&lt;/p&gt;
&lt;blockquote&gt;
  &lt;p&gt;appmaker.application.permission.GroupsPermission: Error reading group directorssupervisors@domain.com. Note: The deployer developeraccount@domain.com must have access to this group.
  Exception:
  Exception: You do not have permission to view the member list for the group: directorssupervisors@domain.com&lt;/p&gt;
&lt;/blockquote&gt;
&lt;p&gt;The group settings are configured so that everyone in the domain can view the membership; moreover, the developer account is a member of the group. &lt;/p&gt;
&lt;p&gt;I have checked the information provided &lt;a href="https://stackoverflow.com/questions/51431318/appmaker-group-access-permissions-for-developer-to-add-group-to-role"&gt;in this post&lt;/a&gt; and also &lt;a href="https://stackoverflow.com/questions/49573392/adding-google-groups-to-roles/51430901#51430901"&gt;in this post&lt;/a&gt; but none of them seem to help. The developer account was added to the group more than 72 hours ago and the deployment was published more than 48 hours ago. &lt;/p&gt;
&lt;p&gt;So far, everything is leading me to believe this is a bug. Before I open a support ticket with the G Suite AppMaker team, I would like to know if anyone has had the same issue and if there was a solution to it.&lt;/p&gt;
&lt;p&gt;Thanks in advance for your help!&lt;/p&gt;
&lt;p&gt;&lt;strong&gt;UPDATE&lt;/strong&gt;:
Now it is also showing the error when the app is ran by the developer account!&lt;/p&gt;
</t>
  </si>
  <si>
    <t xml:space="preserve">&lt;p&gt;It so happens that the AppMaker team corrected a buggy behavior that allowed the reading of email addresses from groups without having the permission properly set up in the group settings. To make the app work again I had to make sure the group permission had the proper access for viewing email addresses; &lt;strong&gt;Group Settings -&gt; Permissions -&gt; Access permissions -&gt; View Email Addresses&lt;/strong&gt;.&lt;/p&gt;
&lt;p&gt;Once I changed the permission to &lt;strong&gt;All members of the group&lt;/strong&gt;, I proceeded to republish the app and then it worked again. &lt;/p&gt;
&lt;hr&gt;
&lt;p&gt;&lt;strong&gt;Update 12/31/2019&lt;/strong&gt;&lt;/p&gt;
&lt;p&gt;On top of the already mentioned above, you also need to make sure that the group is visible to all members in the organization: &lt;/p&gt;
&lt;p&gt;&lt;strong&gt;Group Settings -&gt; Permissions -&gt; Basic permissions -&gt; Group Visibility&lt;/strong&gt;.&lt;/p&gt;
</t>
  </si>
  <si>
    <t xml:space="preserve">&lt;p&gt;How do I allow a normal gmail user access to use on the Google App Maker apps I've made. Is this possible ? 
If you have to have a separate gsuite account for each user using the app then how viable is it ?&lt;/p&gt;
&lt;p&gt;Anyway any help would be much appreciated.&lt;/p&gt;
&lt;p&gt;Many thanks&lt;/p&gt;
&lt;p&gt;Samuel&lt;/p&gt;
</t>
  </si>
  <si>
    <t xml:space="preserve">&lt;p&gt;I know this is an old question, but I just spent too much time to get the answer.
So &lt;a href="https://developers.google.com/appmaker/getting-started/faq#app_sharing" rel="nofollow noreferrer"&gt;here&lt;/a&gt; there is google's answer:  &lt;/p&gt;
&lt;blockquote&gt;
  &lt;p&gt;&lt;strong&gt;Can I share my apps with users outside my organization?&lt;/strong&gt;&lt;br&gt;
  No. Only users in your G Suite organization can use your app. For some apps,
  you can work around this limitation by using Google Forms to collect
  user input in Google Sheets, then import the data from the sheet.&lt;/p&gt;
&lt;/blockquote&gt;
&lt;p&gt;I don't think that the form "hack" is going to help a lot of people, but it's nice they mentioned it.   &lt;/p&gt;
</t>
  </si>
  <si>
    <t xml:space="preserve">&lt;p&gt;I am completely new to Power Apps. Please help me.&lt;/p&gt;
&lt;p&gt;I have a google sheet excel. In that sheet only one column(text values) is available. I need to add that cto dropdown. How can I add?&lt;a href="https://i.stack.imgur.com/g2vUW.png" rel="nofollow noreferrer"&gt;&lt;img src="https://i.stack.imgur.com/g2vUW.png" alt="enter image description here"&gt;&lt;/a&gt; &lt;/p&gt;
</t>
  </si>
  <si>
    <t xml:space="preserve">&lt;p&gt;If you have a sheet like this one:&lt;/p&gt;
&lt;p&gt;&lt;a href="https://i.stack.imgur.com/jl5E9.png" rel="nofollow noreferrer"&gt;&lt;img src="https://i.stack.imgur.com/jl5E9.png" alt="Sheet with names"&gt;&lt;/a&gt;&lt;/p&gt;
&lt;p&gt;Then you can add a connection to that sheet, and reference it in the &lt;code&gt;Items&lt;/code&gt; property of your control.&lt;/p&gt;
&lt;p&gt;The screen capture below shows how you can do that.
&lt;a href="https://i.stack.imgur.com/36Opg.gif" rel="nofollow noreferrer"&gt;&lt;img src="https://i.stack.imgur.com/36Opg.gif" alt="enter image description here"&gt;&lt;/a&gt;&lt;/p&gt;
</t>
  </si>
  <si>
    <t xml:space="preserve">&lt;p&gt;I have a datacard with a HTML text in it. I use this label to trace activities on my form. I want to label to grow when I add too much text.&lt;/p&gt;
&lt;p&gt;Is it possible ?&lt;/p&gt;
&lt;p&gt;Thanks !&lt;/p&gt;
</t>
  </si>
  <si>
    <t xml:space="preserve">&lt;p&gt;Yes, you can set the &lt;code&gt;AutoHeight&lt;/code&gt; property of the HTML Text control, and if it's inside a data card (in a form), it will grow to fit the content inside of it, and the containing data card will also grow accordingly. See the screen capture below for an example (the border shows the limits of the data card).&lt;/p&gt;
&lt;p&gt;&lt;a href="https://i.stack.imgur.com/1VfGr.gif" rel="nofollow noreferrer"&gt;&lt;img src="https://i.stack.imgur.com/1VfGr.gif" alt="Growing HTML Text control"&gt;&lt;/a&gt;&lt;/p&gt;
</t>
  </si>
  <si>
    <t xml:space="preserve">&lt;p&gt;Is there a way to get "User Google Id" from the session in App Maker. In the documentation its only mentioned how to retrieve the email of the logged in user &lt;code&gt;Session.getActiveUser().getEmail()&lt;/code&gt; but no where it says how to get the id. I need this because the user email might sometimes changes. So I need the user id to keep track of users and related permission tasks. Or is there something I'm missing out here in how this should be implemented. &lt;/p&gt;
</t>
  </si>
  <si>
    <t xml:space="preserve">&lt;p&gt;A team member has figured it out. This should be done using Apps Script - which works within App Maker environment using server side script.&lt;/p&gt;
&lt;pre&gt;&lt;code&gt;var GoogleUser = (function (){
    /**
     * 
     * @param {string} email
     */
    function getUserObjByEmail(email){
        // Same as using AdminDirectory class.
        var apiUrl = "https://www.googleapis.com/admin/directory/v1/users/"+email+"?fields=id";
        var token = ScriptApp.getOAuthToken();
        var header = {"Authorization":"Bearer " + token};
        var options = {
            "method": "GET",
            "headers": header
        };
        var response = JSON.parse(UrlFetchApp.fetch(apiUrl, options));
        return response;
    }
    /**
     * 
     * @param {string} email - User email.
     */
    function getIdByEmail(email){
        return getUserObjByEmail(email)['id'];
    }
    var publicApi = {
        getIdByEmail: getIdByEmail
    };
    return publicApi;
})();
&lt;/code&gt;&lt;/pre&gt;
&lt;p&gt;Note that using &lt;code&gt;var apiUrl = "https://www.googleapis.com/admin/directory/v1/users/"+email+"?fields=id";&lt;/code&gt; is not going to be asynchronously called because its already happening in the server.&lt;/p&gt;
</t>
  </si>
  <si>
    <t xml:space="preserve">&lt;p&gt;I have my first app working off a Sharepoint list, I have two filters and a search box, the filters are working fine but the search is not working.
Basically what I am looking for is if they use the search function that it does not matter what filters is in place and it searches all the data.&lt;/p&gt;
&lt;p&gt;below is the code I have but this just pulls the filtered data not the searched:&lt;/p&gt;
&lt;pre&gt;&lt;code&gt;Search(Filter('KB Import',kb_category = 
Dropdown2.Selected.Result||Dropdown2.Selected.Result = "*All",workflow_state 
= Dropdown1.Selected.Result || Dropdown1.Selected.Result = 
"*All"),TextSearchBox1.Text,"short_description","text")
&lt;/code&gt;&lt;/pre&gt;
</t>
  </si>
  <si>
    <t xml:space="preserve">&lt;p&gt;I am new to SFDC, I have a program where I'm passing the values and I need to compare these values with a custom object field where it is present or not.&lt;/p&gt;
&lt;p&gt;Here is my code,&lt;/p&gt;
&lt;pre&gt;&lt;code&gt;public class CheckUtility {
    public static ID determineFeature(ID defaultPersonaID, String Email, String Industry, String Title, Decimal Revenue, Integer EmployeeCount) {
        ID fetrID = defaultFeatureID;
        String emailDomain = Email.split('@').get(1);           
        Feature__c[] features = new Feature__c[]{};
        features = [Select id, Industries__c, Title_Tags__c, Email_Domains__c, Company_Revenue_From__c, Company_Revenue_To__c, Employee_Count_From__c, Employee_Count_To__c FROM Feature__c ORDER BY lastModifiedDate DESC];
        Integer industriesFound = 0;
        for (feature__c p: features) {
     // checking if there is a matching feature based on email    
        System.debug('Email Domains = ' + p.email_domains__c);        
             if (p.Email_Domains__c != null &amp;amp;&amp;amp;     
        p.Email_Domains__c.contains(emailDomain)) {
                 fetrID = p.ID;
                break;
             }
             if(p.Industries__c != null){ 
  //I am stuck compare the industry is present or not in the p.Industries__c (picklistdatatype)
               System.debug('Industries' + p.Industries__c);        
                 fetrID = p.ID;
                break;
             }
        }                
        return fetrID;      
    }      
}
&lt;/code&gt;&lt;/pre&gt;
&lt;p&gt;No. 
I have Feature__c is a custom object. Feature__c.Industries__c custom field can have one value or multiple values.&lt;/p&gt;
&lt;p&gt;ex:  Feature__c (object)&lt;/p&gt;
&lt;pre&gt;&lt;code&gt;id                | Industries__c
a010b00000eERj4   | technology
a010b00000eEYu4   | finance, biotechology
a010b00000eHJj8   | chemical, healthcare
&lt;/code&gt;&lt;/pre&gt;
&lt;p&gt;I want to check whether Industry (which is coming via value passed in determineFeature  ) is equal with how many Industries__c in Feature__c and send their fetrID's in response.&lt;/p&gt;
</t>
  </si>
  <si>
    <t xml:space="preserve">&lt;p&gt;I created a non-paginated table from my datasource, but there are rows missing.&lt;/p&gt;
&lt;p&gt;For example, say I have rows 1 to 200, I scroll the table all the way to the bottom and it shows me rows 1 to 150.
If I click the Coloumn Header to sort them descending, then it shows me rows 200 to 50.&lt;/p&gt;
</t>
  </si>
  <si>
    <t xml:space="preserve">&lt;p&gt;I am looking to do an integration of Zoho CRM and Moodle, and have the following questions:&lt;/p&gt;
&lt;ol&gt;
&lt;li&gt;Are there any APIs or plugins that already exist, which make the integration simple?&lt;/li&gt;
&lt;li&gt;Can actions be triggered on flow of data from CRM to Moodle? Ex: If I create a student record on Zoho CRM, can I automatically create a student login and pswd on Moodle and trigger a mail with this information to the student?&lt;/li&gt;
&lt;/ol&gt;
</t>
  </si>
  <si>
    <t xml:space="preserve">&lt;p&gt;I'm new to powerapps and have encountered a problem. I'm creating a "Shopping cart" and want to the user to be able to add or substract 1, by pressing the two icons. &lt;/p&gt;
&lt;p&gt;I have tried using a variable, but when i press the green "+", it adds 1 to the entire gallery, and not just the selected item. How can I isolate the variables to only operate within the item, in which i press the button? I hope it makes sens.&lt;a href="https://i.stack.imgur.com/lCbAL.jpg" rel="nofollow noreferrer"&gt;&lt;img src="https://i.stack.imgur.com/lCbAL.jpg" alt="enter image description here"&gt;&lt;/a&gt;&lt;/p&gt;
</t>
  </si>
  <si>
    <t xml:space="preserve">&lt;p&gt;I am trying to create a table in a google docs, from a table in App Maker. So far I have:&lt;/p&gt;
&lt;pre&gt;&lt;code&gt;function updateDoco() {  
var check = {};  
var projectItemQuery = app.models.ProjectItem.newQuery();
var values = projectItemQuery.run(); 
    values.forEach(function(item){
    if(!check.hasOwnProperty(item.Project)){
      check[item.Project] = true; 
var docId = agResponse.id;                 
var activityGuide = DocumentApp.openById(docId);
var actvityGuideBody = activityGuide.getBody();                  
for (var i = 0; i&amp;lt;values.length; i++) {
var name = values[i].Name;  
var docTitle = actvityGuideBody.insertParagraph(i, name); 
    docTitle.setHeading(DocumentApp.ParagraphHeading.HEADING1); 
}
var steps = app.models.Steps.newQuery();
var activity = steps.run();      
    activity.forEach(function(steps){
     if(!check.hasOwnProperty(steps.Function)){
         check[steps.Functions] = true; 
var table = actvityGuideBody.appendTable();
  for(var n=0; n&amp;lt;activity; n++){
    var step = activity[n].Step;
    var data = [n, step, ''];
    var tr = table.appendTableRow(data);
     }      
   }     
 });
doc.saveAndClose();   
&lt;/code&gt;&lt;/pre&gt;
&lt;p&gt;How do I get the results from the query into the table in a google doc?   &lt;/p&gt;
&lt;p&gt;Thanks for any help you can give!   &lt;/p&gt;
</t>
  </si>
  <si>
    <t xml:space="preserve">&lt;p&gt;Ok, here is my best attempt at a solution for you. I would certainly suggest prefetching your ProjectItem steps instead of running a separate query in the for loop. However from there with your code edits it was somewhat lost if you wanted many tables in the same document or otherwise. However here is a potential code solution for you:&lt;/p&gt;
&lt;pre&gt;&lt;code&gt;function updateDoco() {
  var check = {};  
  var projectItemQuery = app.models.ProjectItem.newQuery();
  projectItemQuery.prefetch.Function._add(); //prefetch for project item to 
    function relation (many-to-many)
  projectItemQuery.prefetch.Function.Steps._add();  //prefetch for function 
    to steps relation (one-to-many)
  var values = projectItemQuery.run();
  for (var i in values) {
    if(!check.hasOwnProperty(values[i].Project)) {
      check[values[i].Project] = true;
    }
    var docId = agResponse.id;                 
    var activityGuide = DocumentApp.openById(docId);
    var activityGuideBody = activityGuide.getBody();
    var name = values[i].Name;  
    var docTitle = activityGuideBody.insertParagraph(i, name);
    docTitle.setHeading(DocumentApp.ParagraphHeading.HEADING1);
    var functions = values[i].Function;
    //loop to run through each function relation on your current ProjectItem
    for (var j in functions) {
      var rowsdata = [['Step','Description']];
      var steps = functions[j].Steps;
      //another loop to run through each step to function relation
      for (var k in steps) {
        rowsdata.push([steps[k].Step,steps[k].Description]);
      }
      activityGuideBody.appendTable(rowsdata);
    }
    doc.saveAndClose();
  }
}
&lt;/code&gt;&lt;/pre&gt;
</t>
  </si>
  <si>
    <t xml:space="preserve">&lt;p&gt;I'm trying to turn a JSON result into a CSV file, however, I keep getting trying to get property of non-object&lt;/p&gt;
&lt;p&gt;&lt;strong&gt;Here is the code&lt;/strong&gt; &lt;/p&gt;
&lt;pre&gt;&lt;code&gt;$url = file_get_contents('https://crm.zoho.com/crm/private/json/Contacts/getRecords?authtoken=myAPIkey&amp;amp;scope=crmapi');
$data = json_decode($url);
$r = $data-&amp;gt;response-&amp;gt;result-&amp;gt;Contacts-&amp;gt;row-&amp;gt;no[1];
//Give our CSV file a name.
$csvFileName = 'example.csv';
//Open file pointer.
fopen($csvFileName,'a');
//Loop through the associative array.
foreach($r as $row) {
    $values = array_column($row['columns'], 'value');
    fputcsv($fp, $values);
} 
//Finally, close the file pointer.
fclose($fp);
&lt;/code&gt;&lt;/pre&gt;
&lt;p&gt;Here is a sample of the JSON response&lt;/p&gt;
&lt;pre&gt;&lt;code&gt;{
  "response": {
    "result": {
      "Contacts": {
        "row": [
          {
            "no": "1",
            "FL": [
              {
                "val": "CONTACTID",
                "content": "3508588000000206016"
              },
              {
                "val": "SMOWNERID",
                "content": "3508588000000176021"
              },
              {
                "val": "Contact Owner",
                "content": "Chris Yates"
              },
              {
                "val": "First Name",
                "content": "Bob"
&lt;/code&gt;&lt;/pre&gt;
&lt;p&gt;Naturally, I'd like it to go through each row and save to the CSV&lt;/p&gt;
&lt;p&gt;Thanks in advance, I've looked through a few solutions on SO but none seem to work for me&lt;/p&gt;
</t>
  </si>
  <si>
    <t xml:space="preserve">&lt;p&gt;Let's check the below code.&lt;/p&gt;
&lt;pre&gt;&lt;code&gt;&amp;lt;?php
$json = '{"response":{"result":{"Contacts":{"row":[{"no":"1","FL": 
[{"val":"CONTACTID","content":"3508588000000206016"}, 
{"val":"SMOWNERID","content":"3508588000000176021"},{"val":"Contact 
Owner","content":"Chris Yates"},{"val":"First Name","content":"Bob"}]}]}}}}';
$data = json_decode($json,true);
$rows = $data['response']['result']['Contacts']['row'];
$csvFileName = 'example.csv';
$fp = fopen($csvFileName,'a');
foreach($rows as $row) {
foreach($row['FL'] as $fls) {
    fputcsv($fp, $fls);
}
}
fclose($fp);
?&amp;gt;
&lt;/code&gt;&lt;/pre&gt;
</t>
  </si>
  <si>
    <t xml:space="preserve">&lt;p&gt;I've been trying to add another dropdown and a datepicker filter on my gallery&lt;/p&gt;
&lt;p&gt;what's the best approach to achieve this?&lt;/p&gt;
&lt;p&gt;whenever I add the ticket closed filter, it just doesn't work&lt;/p&gt;
&lt;p&gt;here's my code&lt;/p&gt;
&lt;pre&gt;&lt;code&gt;SortByColumns(
    Filter(
        PortfolioAPP,
        userddown.Selected.Value = CollectorName &amp;amp;&amp;amp; StartsWith(
            TitanCompanyName,
            SearchComp_1.Text
        ) &amp;amp;&amp;amp; StartsWith(
            TitanCompanyContactName,
            SearchContact_1.Text
        ) &amp;amp;&amp;amp; StartsWith(
            Title,
            SearchTicket.Text
        ) &amp;amp;&amp;amp; StartsWith(
            ResolutionType,
            ResoTypeDDown_1.Selected.Value
        )
    ),
    "TotalDebtGBP",
    Ascending
&lt;/code&gt;&lt;/pre&gt;
</t>
  </si>
  <si>
    <t xml:space="preserve">&lt;p&gt;Could someone please help me how to display error message when I am submitting form and validating whether all the required fields are filled with data or not in Google App Maker, I have tried by using regular expressions but it didn't work:&lt;/p&gt;
&lt;p&gt;&lt;img src="https://i.stack.imgur.com/fNtu7.jpg" alt="Image of form"&gt;&lt;/p&gt;
</t>
  </si>
  <si>
    <t xml:space="preserve">&lt;p&gt;I've been working on an app with Google App Maker for a bit and I'm trying to restrict access to a certain page via a script in the Security part of my page:&lt;/p&gt;
&lt;blockquote&gt;
  &lt;p&gt;&lt;img src="https://i.stack.imgur.com/v0AQd.png" alt="Security part of my page"&gt;&lt;/p&gt;
&lt;pre&gt;&lt;code&gt;canViewDas (user, userRoles)
&lt;/code&gt;&lt;/pre&gt;
&lt;/blockquote&gt;
&lt;p&gt;Even though my script returns false, I can still access to the page (in preview and published).&lt;/p&gt;
&lt;ul&gt;
&lt;li&gt;Is it because I'm the owner of the app?&lt;/li&gt;
&lt;li&gt;Is this some kind of bug?&lt;/li&gt;
&lt;li&gt;Am I using this feature wrong?&lt;/li&gt;
&lt;/ul&gt;
&lt;p&gt;I tried just putting "false" instead of my script and I still have access to the page.&lt;/p&gt;
</t>
  </si>
  <si>
    <t xml:space="preserve">&lt;p&gt;My query today relates to iOS devices - and the PowerApps and OneDrive Apps.&lt;/p&gt;
&lt;p&gt;We're developing a little PowerApps App, so we have access to some of our data on mobile devices.&lt;/p&gt;
&lt;p&gt;Our job files are in a OneDrive shared folder.
Each Job has a known subfolder, ie:
 \Jobs\J100\, \Jobs\J101\, \Jobs\J102\, etc&lt;/p&gt;
&lt;p&gt;I'd love to be able to click a button in the PowerApp, that launches to the correct job folder in the OneDrive App.&lt;/p&gt;
&lt;p&gt;I can launch to the root shared folder ok. That's working fine. The link contains data that looks like this: 
/EqzFfbCPh1EqnyExz9_Z8BAmSG_BtsmvQ2crbqMO-6w?e=fZ4jaM&lt;/p&gt;
&lt;p&gt;But I'm having trouble composing a link to a subfolder, so the OneDrive app launches straight to the correct subfolder.&lt;/p&gt;
&lt;p&gt;Any ideas?
Thanks :) &lt;/p&gt;
</t>
  </si>
  <si>
    <t xml:space="preserve">&lt;p&gt;I have selected a user name from dropdown list values are from Directory, I would like to get that user's email address from the directory, I have tried in this way but it didn't work, could someone please help.
&lt;a href="https://i.stack.imgur.com/J0xPt.jpg" rel="nofollow noreferrer"&gt;Image&lt;/a&gt;&lt;/p&gt;
&lt;p&gt;`\\ client script&lt;/p&gt;
&lt;pre&gt;&lt;code&gt;function getEmailAddress(Name)
{
 var Email =  EmailAddress(Name);
 return Email;
}
&lt;/code&gt;&lt;/pre&gt;
&lt;p&gt;\\Server Script&lt;/p&gt;
&lt;pre&gt;&lt;code&gt;function EmailAddress(Name)
{
var query = app.models.Directory.newQuery();
 query.filters.PrimaryEmail._contains.substring(Name);
 return query.run();
}`
&lt;/code&gt;&lt;/pre&gt;
</t>
  </si>
  <si>
    <t xml:space="preserve">&lt;p&gt;In our PowerApps form we have the DisplayMode of our submit button determined by a formula that checks all the mandatory fields have been completed.&lt;/p&gt;
&lt;pre&gt;&lt;code&gt;If (
    And(
        Or(DPIAForm.Mode=FormMode.Edit,DPIAForm.Mode=FormMode.New),
        Not IsBlank(TitleField.Text),
        Not IsBlank(DescOfInitiativeField.Text),
        DateRaisedField.SelectedDate &amp;lt;&amp;gt; Date(
            1900,
            01,
            01
        ),
        Not IsEmpty(PersonalDataChoiceField.SelectedItems.Value),
        Not IsEmpty(SpecialCatChoiceField.SelectedItems.Value),
        Not IsEmpty(ChildrensDataChoiceField.SelectedItems.Value),
        Not IsEmpty(CriminalChoiceDataField.SelectedItems.Value),
        Not IsEmpty(SourcesOfDataChoiceField.SelectedItems.Value),
        Not IsEmpty(NumberOfIndividualDataSubjectsChoiceField.SelectedItems.Value),
        Not IsEmpty(LawfulBasisChoiceField.SelectedItems.Value),
        Not IsBlank(ProviderField.Text),
        Not IsEmpty(NewTechnologyChoiceField.SelectedItems.Value),
        Not IsEmpty(DataEvaluatedOrScoredChoiceField.SelectedItems.Value),
        Not IsEmpty(DecisionsMadeAutomaticallyChoiceField.SelectedItems.Value),
        //Not IsBlank(KindofDecisionsMadeAutomaticallyField.Text),
        If(DecisionsMadeAutomaticallyChoiceField.SelectedItems.Value ="Yes", Not IsBlank(KindofDecisionsMadeAutomaticallyField.Text), "" ),
        Not IsEmpty(IndividualNotAwareOfPersonalDataCaptureChoiceField.SelectedItems.Value),
        Not IsEmpty(DataTransferredOutsideEEAChoiceField.SelectedItems.Value),
        Not IsBlank(WhoWillHaveAccessToDataField.Text),
        Not IsEmpty(MonitoringIndividualsChoiceField.SelectedItems.Value),
        Not IsEmpty(CriminalChoiceDataField.SelectedItems.Value),
        Not IsEmpty(MonitoringIndividualsChoiceField.SelectedItems.Value),
        Not IsEmpty(DataRetentionPlanChoiceField.SelectedItems.Value),
        Not IsBlank(RetentionPlanForPersonalDataField.Text),
        Not IsBlank(RetentionPlanForSensitiveDataField.Text),
        Not IsBlank(RetentionPlanForChildrensDataField.Text),
        Not IsBlank(RetentionPlanForCriminalConvictionDataField.Text),
        Not IsEmpty(SupplierDueDiligenceDoneChoiceField.SelectedItems.Value),
        Not IsEmpty(GDPRCompliantContractWithAll3rdPartiesChoiceField.SelectedItems.Value),
        StatusDataField.Text = "Draft"
        ),
    DisplayMode.Edit,
    DisplayMode.Disabled)
&lt;/code&gt;&lt;/pre&gt;
&lt;p&gt;the part we are having trouble with is the formula in the middle:&lt;/p&gt;
&lt;pre&gt;&lt;code&gt;    If(DecisionsMadeAutomaticallyChoiceField.SelectedItems.Value ="Yes", Not IsBlank(KindofDecisionsMadeAutomaticallyField.Text), "" ),
&lt;/code&gt;&lt;/pre&gt;
&lt;p&gt;here I want to test that if the user has selected "Yes" in the drop-down/choice field &lt;code&gt;ecisionsMadeAutomaticallyChoiceField&lt;/code&gt; and if so, then the field &lt;code&gt;KindofDecisionsMadeAutomaticallyField&lt;/code&gt; must not be blank/empty in order for the &lt;strong&gt;Submit&lt;/strong&gt; button to be enabled...&lt;/p&gt;
&lt;p&gt;But I am getting an error &lt;em&gt;Invalid argument type&lt;/em&gt; on &lt;code&gt;If(DecisionsMadeAutomaticallyChoiceField.SelectedItems.Value ="Yes"&lt;/code&gt;&lt;/p&gt;
&lt;p&gt;I have also tried:&lt;/p&gt;
&lt;pre&gt;&lt;code&gt;If(DecisionsMadeAutomaticallyChoiceField.SelectedItems(1)
&lt;/code&gt;&lt;/pre&gt;
&lt;p&gt;so what's the correct way to do this in our formula?&lt;/p&gt;
</t>
  </si>
  <si>
    <t xml:space="preserve">&lt;p&gt;I found the answer is to check that &lt;em&gt;Yes&lt;/em&gt; is selected in the following way:&lt;/p&gt;
&lt;pre&gt;&lt;code&gt;if("Value" in ComboBox.SelectedItems.Value, 
Not IsBlank(TextDataField.Text), IsBlank(TextDataField.Text) ),
&lt;/code&gt;&lt;/pre&gt;
&lt;p&gt;so in my case the correct formula is:&lt;/p&gt;
&lt;pre&gt;&lt;code&gt;if("Yes" in DecisionsMadeAutomaticallyChoiceField.SelectedItems.Value, 
Not IsBlank(KindofDecisionsMadeAutomaticallyField.Text), 
IsBlank(KindofDecisionsMadeAutomaticallyField.Text) ),
&lt;/code&gt;&lt;/pre&gt;
</t>
  </si>
  <si>
    <t xml:space="preserve">&lt;p&gt;Scenario:
I have a calculated SQL that returns 100 results.
Added a table (from this calculated SQL) and limited the size of the page by 25 results.
This will generate 4 pages.
Pager form AppMaker works well (navigates between pages) but i need a button that navigates directly from page 1 to the page 4.
is this possible?
Anyone got a solution for this?&lt;/p&gt;
&lt;p&gt;Regards&lt;/p&gt;
</t>
  </si>
  <si>
    <t xml:space="preserve">&lt;p&gt;If you need to know how many entries your table has (in your case it's seems fixed to 100, but maybe it could grow), you can still do what you want:&lt;/p&gt;
&lt;p&gt;E.g. say your table on &lt;code&gt;YOURPAGE&lt;/code&gt; depends on a datasource called &lt;code&gt;Customers&lt;/code&gt;.&lt;/p&gt;
&lt;ol&gt;
&lt;li&gt;&lt;p&gt;Create a new Data item called &lt;code&gt;CustomerCount&lt;/code&gt;, with just one field, called &lt;code&gt;Count&lt;/code&gt; (integer).&lt;/p&gt;&lt;/li&gt;
&lt;li&gt;&lt;p&gt;Its data source would be a sql query script:&lt;/p&gt;&lt;/li&gt;
&lt;/ol&gt;
&lt;p&gt;&lt;code&gt;Select count(CustomerName) as Count from Customers&lt;/code&gt;&lt;/p&gt;
&lt;ol start="3"&gt;
&lt;li&gt;&lt;p&gt;on the page you are having the table on, add a custom property (say called 
&lt;code&gt;Count&lt;/code&gt; of type integer)&lt;/p&gt;&lt;/li&gt;
&lt;li&gt;&lt;p&gt;In the page attach event, set the property asynchronously with this custom action:&lt;/p&gt;&lt;/li&gt;
&lt;/ol&gt;
&lt;p&gt;&lt;code&gt;app.datasources.CustomerCount.load(function() {
        app.pages.YOURPAGE.properties.Count = app.datasources.CustomerCount.count; 
        app.datasources.Customers.query.pageIndex = @properties.Count / 25;
        app.datasources.Customers.datasource.load();
    });&lt;/code&gt;&lt;/p&gt;
&lt;p&gt;I tried similar things successfully in the past.&lt;/p&gt;
</t>
  </si>
  <si>
    <t xml:space="preserve">&lt;p&gt;In the top right of every sample App Maker project, they have this:&lt;/p&gt;
&lt;p&gt;&lt;a href="https://i.stack.imgur.com/8LaLo.png" rel="nofollow noreferrer"&gt;&lt;img src="https://i.stack.imgur.com/8LaLo.png" alt="Top right of App Header Bar"&gt;&lt;/a&gt;&lt;/p&gt;
&lt;p&gt;It's fairly easy to bind the email string to &lt;code&gt;@user.email&lt;/code&gt;, but how would one go about populating the avatar image? Do I need access to the Directory API and/or Google Cloud SQL, just for this functionality? I'm not currently using either of those things in this project.&lt;/p&gt;
&lt;p&gt;Thanks!&lt;/p&gt;
</t>
  </si>
  <si>
    <t xml:space="preserve">&lt;p&gt;I'm trying to upload attachments to Zoho CRM contacts using RestSharp but not able to do it. Every time I get response "Bad Request: the request doesn't contain any file". I'm able to upload files to zoho crm contacts using postman but no success through C#.Net application. &lt;/p&gt;
&lt;p&gt;I'm using the following code for my C#.Net application. Can you please guide me what wrong I'm doing.&lt;/p&gt;
&lt;pre&gt;&lt;code&gt;var client = new RestClient("https://www.zohoapis.com/crm/v2/contacts/{contactID}/Attachments");
var request = new RestRequest(Method.POST);
request.AddHeader("Cache-Control", "no-cache");
request.AddHeader("Authorization", "Zoho-oauthtoken &amp;lt;access-token&amp;gt;");
request.AddHeader("content-type", "multipart/form-data; boundary=----WebKitFormBoundary7MA4YWxkTrZu0gW");
request.AddParameter("multipart/form-data; boundary=----WebKitFormBoundary7MA4YWxkTrZu0gW", "------`enter code here`WebKitFormBoundary7MA4YWxkTrZu0gW\r\nContent-Disposition: form-data; name=\"file\"; path=\"E:\\10.jpg\"\r\nContent-Type: image/jpeg\r\n\r\n\r\n------WebKitFormBoundary7MA4YWxkTrZu0gW--", ParameterType.RequestBody);
IRestResponse response = client.Execute(request);
&lt;/code&gt;&lt;/pre&gt;
&lt;p&gt;Thanks in advance.&lt;/p&gt;
</t>
  </si>
  <si>
    <t xml:space="preserve">&lt;h2&gt;(Apologies in advance for the poorly worded question.)&lt;/h2&gt;
&lt;p&gt;Not sure if this is even possible - Have not been able to find any documentation regarding this...&lt;/p&gt;
&lt;ul&gt;
&lt;li&gt;I have a datasource whose records contain fields of information on certificates.&lt;/li&gt;
&lt;li&gt;For each record in the data source I want to create a label widget on a specified panel. (The panel has been already been created on an app maker page.)&lt;/li&gt;
&lt;/ul&gt;
&lt;p&gt;Going to put some pseudo code below to show what I am hoping to achieve:&lt;/p&gt;
&lt;pre&gt;&lt;code&gt;var length = app.datasources.Certificates.items.length;
var records = app.datasources.Certificates.items;
for (var i =0; i &amp;lt;length; i++){
app.pages.A_Edit_Certificate_Requirements.descendants.Panel1.createNewWidget(label,text = records[i].Certificate_Name) 
}
&lt;/code&gt;&lt;/pre&gt;
&lt;p&gt;.newWidget(type of widget, property of widget to configure) is the pseudo portion.&lt;/p&gt;
&lt;p&gt;Anyone know if something like this is even possible?
Reason I am looking to do it via this method is to keep the page as dynamic as possible. &lt;/p&gt;
</t>
  </si>
  <si>
    <t xml:space="preserve">&lt;p&gt;If you do want to proceed with creating the labels dynamically yourself here would be some sample code to get the same accomplished. In order for this to work your panel datasource would need to be set to 'Certificates' and the code would need to be attached to the panel's onDataLoad event:&lt;/p&gt;
&lt;pre&gt;&lt;code&gt;widget.datasource.items.forEach(function(item) {
  var node = document.createElement('div');
  node.className = 'app-Label';
  node.style.margin = '8px';
  node.textContent = item.Certificate_Name;
  widget.getElement().appendChild(node);
});
&lt;/code&gt;&lt;/pre&gt;
</t>
  </si>
  <si>
    <t xml:space="preserve">&lt;p&gt;I have 73 methods to execute in one test case[This is test to verify Auto merge rules in Salesforce]
As of now i am calling in the below manner :&lt;/p&gt;
&lt;pre&gt;&lt;code&gt;SFHomePage rule_Test = new SFHomePage(driver, test);
PageFactory.initElements(driver, rule_Test);
test.log(LogStatus.INFO, "About to start validation of Rule 1");
rule_Test.verifyRule1();   // Calling the method to verify Rule 1
test.log(LogStatus.INFO, "Verification for Rule 1 is completed");
&lt;/code&gt;&lt;/pre&gt;
&lt;p&gt;as mentioned in the above code i have to call all the 73 rules dynamically.&lt;/p&gt;
&lt;p&gt;All the rules have separate methods to maintain the accountability.
I just tried the below manner but i know this will not work :&lt;/p&gt;
&lt;pre&gt;&lt;code&gt;for(int i=1;i&amp;lt;43;i++)
    {
            test.log(LogStatus.INFO, "About to start validation of Rule "+i);
            rule_Test.verifyRule+i();   // Calling the method to verify Rule
            test.log(LogStatus.INFO, "Verification for Rule"+i+" is completed");
    }
&lt;/code&gt;&lt;/pre&gt;
&lt;p&gt;Is there any way to call these methods dynamically ?&lt;/p&gt;
</t>
  </si>
  <si>
    <t xml:space="preserve">&lt;p&gt;When I use the updateRecords method, to put new data into the fields in the zoho, some fields not updated. These fields have symbols in the title like '?' '/' '(' &lt;br&gt;
How to solve this problem? &lt;br&gt;
Fields: "Date/Time" and "email_confirmed_?" empty, but "Last_Name" and  "User_group" was updated and has data.&lt;br&gt;&lt;/p&gt;
&lt;pre&gt;&lt;code&gt;$header = array("Authorization:Zoho-oauthtoken $token", 'Content-Type: application/json');
$fields =  ["data"=&amp;gt; ["Last_Name" =&amp;gt; "User Name",
                      "Date/Time"=&amp;gt;"2018-09-25T13:23:39+02:00",
                      "email_confirmed_?"=&amp;gt;"yes",
                      "User_group"=&amp;gt;"new user"]];
        $fields = json_encode($fields);
        $ch = curl_init();
        curl_setopt($ch, CURLOPT_URL, $url);
        curl_setopt($ch, CURLOPT_HTTPHEADER, $header);
        curl_setopt($ch, CURLOPT_CUSTOMREQUEST, $method);
        curl_setopt($ch, CURLOPT_POSTFIELDS, $fields);
        $result =curl_exec($ch);
        curl_close($ch);
&lt;/code&gt;&lt;/pre&gt;
</t>
  </si>
  <si>
    <t xml:space="preserve">&lt;p&gt;I integrate Zoho CRM Vendor with Zoho Books Contacts. I want to get zoho books &lt;strong&gt;Contacts&lt;/strong&gt; by &lt;code&gt;zcrm_vendor_id&lt;/code&gt;.&lt;/p&gt;
&lt;p&gt;&lt;strong&gt;Request URL:&lt;/strong&gt;&lt;/p&gt;
&lt;pre&gt;&lt;code&gt;https://books.zoho.com/api/v3/contacts?organization_id=*******&amp;amp;newFormat=1&amp;amp;authtoken=*********&amp;amp;scope=ZohoBooks%2Fbooksapi&amp;amp;zcrm_vendor_id=688642000031071170
&lt;/code&gt;&lt;/pre&gt;
&lt;p&gt;I execute this request url by curl.&lt;/p&gt;
&lt;p&gt;&lt;strong&gt;Response:&lt;/strong&gt;
Showing all contacts from Zoho Books.&lt;/p&gt;
</t>
  </si>
  <si>
    <t xml:space="preserve">&lt;p&gt;I have a table in Google App Maker, I am wondering is it possible to apply conditional formatting to rows of the table.&lt;/p&gt;
&lt;p&gt;Example:
If the value of a drop down is "Yes" set that row's background colour to be red.&lt;/p&gt;
&lt;p&gt;The documentation regarding this is useless as always and wasn't able to find any questions regarding this.&lt;/p&gt;
&lt;p&gt;Image:
&lt;a href="https://i.stack.imgur.com/53MnU.png" rel="nofollow noreferrer"&gt;&lt;img src="https://i.stack.imgur.com/53MnU.png" alt="enter image description here"&gt;&lt;/a&gt;&lt;/p&gt;
&lt;p&gt;Greyed out Image:&lt;/p&gt;
&lt;p&gt;&lt;a href="https://i.stack.imgur.com/Dz0WN.png" rel="nofollow noreferrer"&gt;&lt;img src="https://i.stack.imgur.com/Dz0WN.png" alt="enter image description here"&gt;&lt;/a&gt;&lt;/p&gt;
</t>
  </si>
  <si>
    <t xml:space="preserve">&lt;p&gt;The secret is in your bindings. If you wish to retain the regular assigned styles like 'app-ListTableRow' and 'hoverAncestor' then do the following:&lt;/p&gt;
&lt;p&gt;Add a class in your Style Editor like this for example:&lt;/p&gt;
&lt;pre&gt;&lt;code&gt;.red {
  background: linear-gradient(to bottom, darkred, red);
}
&lt;/code&gt;&lt;/pre&gt;
&lt;p&gt;On your table row 'Display' - styles enter the following binding:&lt;/p&gt;
&lt;pre&gt;&lt;code&gt;@datasource.item.CertificateisRequired === 'Yes' ? ['red','app-ListTableRow','hoverAncestor'] : ['app-ListTableRow','hoverAncestor']
&lt;/code&gt;&lt;/pre&gt;
&lt;p&gt;That will do it.&lt;/p&gt;
&lt;p&gt;If you have a dropdown in each row I would suggest to call it 'CertificateisRequired' instead of leaving a default name like 'DropDown1' or whatever App Maker assigns to it. Then adjust the binding in the row Display - styles to:&lt;/p&gt;
&lt;pre&gt;&lt;code&gt;@widget.descendants.CertificateisRequired.value === 'Yes' ? ['red','app-ListTableRow','hoverAncestor'] : ['app-ListTableRow','hoverAncestor']
&lt;/code&gt;&lt;/pre&gt;
</t>
  </si>
  <si>
    <t xml:space="preserve">&lt;p&gt;&lt;strong&gt;I am searching for how a dynamic UI (or input form to submit user inputs) can be created in &lt;em&gt;OutSystems&lt;/em&gt; (for my mobile application) depending upon the response of some API; that tells what kind of input elements are to be included in the form, in some order like TextView, EditText, Button, ImageView, Button and so on.&lt;/strong&gt; This is because in my application a scenario is being raised in which there are several companies that provide forms to be filled by several employees and the employees can fill the form of the company in which they are interested (they may or may not be working in the same company) &lt;em&gt;and each form is different (with different input elements respectively)&lt;/em&gt; and the API is hit with the logged-in access token (of the employee) and the company name whose form he has opted to fill with the form number/name that he has selected to fill (as each company may offer different variants of forms to be filled respectively). Any help would be greatly appreciated, thanks in advance.&lt;/p&gt;
&lt;p&gt;&lt;strong&gt;Note: I am specifically talking about building the above scenario in an application that is developed using the &lt;em&gt;OutSystems Platform&lt;/em&gt;.&lt;/strong&gt;&lt;/p&gt;
</t>
  </si>
  <si>
    <t xml:space="preserve">&lt;p&gt;I'm trying to use an express/node application to make an api call to the salesforce api and return me data according to the records I have with the account. &lt;/p&gt;
&lt;p&gt;But it is returning this: &lt;/p&gt;
&lt;pre&gt;&lt;code&gt;[{"errorCode":"NOT_FOUND","message":"The requested resource does not exist"}] 
&lt;/code&gt;&lt;/pre&gt;
&lt;p&gt;Currently my code looks like this &lt;/p&gt;
&lt;pre&gt;&lt;code&gt;  const express  = require('express')
  const app = express();
  var request = require('request');
  app.get('/',(req,res, next) =&amp;gt;{
    request({
      url: 'https://nav4.lightning.force.com/services/data"',
    }).pipe(res);
  });
})
const port = process.env.PORT || 3000; app.listen(3000, ()=&amp;gt; 
console.log(`listening on port ${port}`))
&lt;/code&gt;&lt;/pre&gt;
&lt;p&gt;I think my URL is wrong and might need authentication also.&lt;/p&gt;
</t>
  </si>
  <si>
    <t xml:space="preserve">&lt;p&gt;I'm trying to get the JSON text results, e.g. &lt;/p&gt;
&lt;pre&gt;&lt;code&gt;[
    {
        "TABLE_NAME": "UpdatePlanning"
    },
    {
        "TABLE_NAME": "StoreInfo"
    },
    {
        "TABLE_NAME": "InSiteTxPerHourPerDay"
    },
    {
        "TABLE_NAME": "inSiteTaskRecordsLocal"
    },
    {
        "TABLE_NAME": "InSiteStoreInformation"
    },
    {
        "TABLE_NAME": "InSiteLogExtractionTest"
    },
    {
        "TABLE_NAME": "InSiteDailySalesPerDay"
    },
    {
        "TABLE_NAME": "FredOfficeLogAlerts"
    },
    {
        "TABLE_NAME": "DPTestAutoScaleTable"
    },
    {
        "TABLE_NAME": "DPGenHoldTable"
    },
    {
        "TABLE_NAME": "DPDailyTopSellerItems"
    },
    {
        "TABLE_NAME": "DPDailyTierSales"
    },
    {
        "TABLE_NAME": "DPDailySales"
    },
    {
        "TABLE_NAME": "DPDailyAvgBasketSize"
    },
    {
        "TABLE_NAME": "ASGInSiteStoreInformation"
    }
]
&lt;/code&gt;&lt;/pre&gt;
&lt;p&gt;From a web API I have wrapped in a 'custom connector' to use in PowerApps. My custom connector works great, and I can test it within the custom connector screen OK, but I can't figure out how to access that JSON data within Power Apps to - for example - populate a data table, or populate a list, or gallery, or even just a label? Bear in mind the JSON schema returned from some of the GET methods aren't fixed, e.g. the JSON structure can be different depending on the type of object queried etc, but no matter what I can't get it working. &lt;/p&gt;
&lt;p&gt;Example: 
I've tried this in my OnStart method for the first screen in the PowerApps app&lt;/p&gt;
&lt;pre&gt;&lt;code&gt;Set(myTable,InSiteConnector.gettables())
&lt;/code&gt;&lt;/pre&gt;
&lt;p&gt;With the assumption my JSON would be stored in the variable myTable.. but if I reference myTable in a lable, or anywhere, it doesn't produce anything. Using the same method for a data table or chart or list is the same, no results. What am I missing here? I've scoured the web, but nothing I try syntax wise seems to work. &lt;/p&gt;
&lt;p&gt;Similarly, if I create a data table and try to select my custom connector as the data source, e.g. it is in the list of data sources&lt;/p&gt;
&lt;p&gt;&lt;a href="https://i.stack.imgur.com/RLb7P.png" rel="noreferrer"&gt;&lt;img src="https://i.stack.imgur.com/RLb7P.png" alt="enter image description here"&gt;&lt;/a&gt;&lt;/p&gt;
&lt;p&gt;But adding it just causes it to show up again and again in this list... &lt;/p&gt;
&lt;p&gt;&lt;a href="https://i.stack.imgur.com/t8j6r.png" rel="noreferrer"&gt;&lt;img src="https://i.stack.imgur.com/t8j6r.png" alt="enter image description here"&gt;&lt;/a&gt;&lt;/p&gt;
&lt;p&gt;but I can't click it, or do anything with it that seems obvious in so far as getting data from it? (e.g. being able to choose fields from my JSON, or even manipulating the raw BODY back from the GET method(s)) &lt;/p&gt;
&lt;p&gt;I have started a bounty for someone to please show me a working and replicable example of getting the JSON from this web API into a PowerApps app for use in a gallery or similar. Thank you!&lt;/p&gt;
</t>
  </si>
  <si>
    <t xml:space="preserve">&lt;p&gt;I am using Zoho OAuth 2.0 and I have followed the steps in &lt;a href="https://www.zoho.com/crm/help/api/v2/#oauth-request" rel="nofollow noreferrer"&gt;https://www.zoho.com/crm/help/api/v2/#oauth-request&lt;/a&gt; to get the access token and refresh token. However I have some problems.&lt;/p&gt;
&lt;p&gt;Here is a scenario:&lt;/p&gt;
&lt;pre&gt;&lt;code&gt;1. Get authorization token
2. From authorization token, get  access token and refresh token.
3. After one hour, I use the refresh token. (then I receive a new access token) - As stated here https://www.zoho.com/crm/help/api/v2/#refreshing-tokens
4. After that, another hour, how is it possible for me to get another access token? As refresh token expires in an hour (similar to access token I assume).
5. When I refresh token, only a new access token is given but not a new refresh token. So after one hour I cannot do another refresh again.
&lt;/code&gt;&lt;/pre&gt;
&lt;p&gt;Anyone have any idea how can this be accomplished?&lt;/p&gt;
</t>
  </si>
  <si>
    <t xml:space="preserve">&lt;p&gt;I have a table in page A, and can by clicking on entries in the table jump on a new page B for detailed editing.&lt;/p&gt;
&lt;p&gt;Right now, when I navigate back to the table on page A, the table reloads on page 1. This can be painful when editing a number of entries in the middle of a large table.&lt;/p&gt;
&lt;p&gt;I would like the UI to remember which page I was on. Is there a painless way of doing it ?&lt;/p&gt;
&lt;p&gt;&lt;strong&gt;Update&lt;/strong&gt;: I get the reload when navigate back through the browser back button OR the window.history.back() method.&lt;/p&gt;
&lt;p&gt;Yes, I probably reload the datasource. For a reason, since I have some selectors on page A that fiddle with query filters), but I'll see if I can avoid the reload. I don't really know how to do it without remembering my previous state.&lt;/p&gt;
</t>
  </si>
  <si>
    <t xml:space="preserve">&lt;p&gt;I'm working on some little app using Google App Maker and I want to load the users who are in the same department as me on the application start up.&lt;/p&gt;
&lt;p&gt;I created a datasource named "Person" which goes to the directory, then I created another one called "DepartmentMembers" and inside that I put a script to query the directory based on the email of the active user in the session and find his department name. Then using another query I wanted to list the users based on that department name.&lt;/p&gt;
&lt;p&gt;However I'm getting the following error when previewing the application:&lt;/p&gt;
&lt;pre&gt;&lt;code&gt;E Fri Sep 28 19:26:53 GMT+300 2018 AssertionError: Assertion failed: DirectoryDao.isFilterSupported: Filtering on 'PrimaryOrganizationDepartment' is not supported.
E Fri Sep 28 19:26:53 GMT+300 2018 Executing query for datasource DepartmentMembers: (Error) : Assertion failed: DirectoryDao.isFilterSupported: Filtering on 'PrimaryOrganizationDepartment' is not supported.
E Fri Sep 28 19:26:53 GMT+300 2018 Executing query for datasource DepartmentMembers failed.
&lt;/code&gt;&lt;/pre&gt;
&lt;p&gt;Here is the code I have:&lt;/p&gt;
&lt;pre&gt;&lt;code&gt;function getUserDeptWorkers()
{
  var result = [];
  var dept;
  var email = Session.getActiveUser().getEmail();
  var newQuery = app.models.Person.newQuery();
  newQuery.filters.PrimaryEmail._equals = email;
  var userRecords = newQuery.run();
  if (userRecords.length === 0) {
    // got no information for this user
      return [];
  } else {
    var user = userRecords[0];
    dept = user.PrimaryOrganizationDepartment;
  }
  var deptQuery = app.models.Person.newQuery();
  deptQuery.filters.PrimaryOrganizationDepartment._equals = dept;
  var coWorkers = deptQuery.run();
  if (coWorkers.length === 0)
  {
    return [];
  }
  result.push(coWorkers);
  return result;
}
&lt;/code&gt;&lt;/pre&gt;
</t>
  </si>
  <si>
    <t xml:space="preserve">&lt;p&gt;I am brand new to PowerApps and am evaluating it. In some reading I've done, it seemed to be possible to create browser and mobile apps with PowerApps. However, when I went into the PowerApps studio and created a new app, the only two choices I had was to use a phone template or tablet template. So it appears you can only create apps that run on a device and not within a browser as a true browser app. Is this correct?&lt;/p&gt;
</t>
  </si>
  <si>
    <t xml:space="preserve">&lt;p&gt;I am struggling with the invoicing API.
So I am using the following Python script to create invoices, however it appears to be erroneous:&lt;/p&gt;
&lt;pre&gt;&lt;code&gt;import urllib.parse
import requests
import json
data = {     "customer_id": 982000000567001, "contact_persons": [ "982000000870911", "982000000870915" ], "invoice_number": "INV-00003", "reference_number": " ", "place_of_supply": "TN", "gst_treatment": "business_gst", "gst_no": "22AAAAA0000A1Z5", "template_id": 982000000000143, "date": "2013-11-17", "payment_terms": 15, "payment_terms_label": "Net 15", "due_date": "2013-12-03", "discount": 0, "is_discount_before_tax": "true", "discount_type": "item_level", "is_inclusive_tax": "false", "exchange_rate": 1, "recurring_invoice_id": " ", "invoiced_estimate_id": " ", "salesperson_name": " ", "custom_fields": [ { "label": "Record Number", "value": 23 } ], "project_id": " ", "line_items": [ { "item_id": 982000000030049, "project_id": " ", "time_entry_ids": [ {} ], "expense_id": " ", "name": "Hard Drive", "product_type": "goods", "hsn_or_sac": 80540, "item_order": 1, "rate": 120, "quantity": 1, "unit": " ", "discount": 0, "tax_id": 982000000557028, "tax_exemption_id": 11149000000061054, "tax_name": "VAT", "tax_type": "tax", "tax_percentage": 12.5, "item_total": 120 } ], "payment_options": { "payment_gateways": [ { "configured": "true", "additional_field1": "standard", "gateway_name": "paypal" } ] }, "allow_partial_payments": "true", "custom_body": " ", "custom_subject": " ", "notes": "Looking forward for your business.", "terms": "Terms &amp;amp; Conditions apply", "shipping_charge": 0, "adjustment": 0, "adjustment_description": " ", "reason": " ", "tax_authority_id": 11149000000061052, "tax_exemption_id": 11149000000061054 }
headers = {"content-type": "application/x-www-form-urlencoded;charset=UTF-8","Authorization":"Zoho-authtoken &amp;lt;MY_TOKEN&amp;gt;","X-com-zoho-invoice-organizationid": "&amp;lt;MY_ORGANIZATION_ID&amp;gt;"}
url = "https://invoice.zoho.com/api/v3/invoices"
r = requests.post(url, data=json.dumps(data), headers=headers)
print(r.json())
&lt;/code&gt;&lt;/pre&gt;
&lt;p&gt;What I get is: {"code":1038,"message":"JSON is not well formed»}&lt;/p&gt;
&lt;p&gt;Can you help me and tell me how should I encode my data? &lt;/p&gt;
</t>
  </si>
  <si>
    <t xml:space="preserve">&lt;p&gt;I know it is possible to use blob storage as a data source in PowerApps, but  is it possible to get data from e.g Excel that is stored in a blob and show it on a form? &lt;/p&gt;
</t>
  </si>
  <si>
    <t xml:space="preserve">&lt;p&gt;I have an app that's running as a developer. I'm currently reaching Gmail quota due to notifications sent to users, it's an approval app which sends the status to all approvers. Is there a way that I can either increase Gmail quota via GCP or use another email platform to send emails such as Amazon SES within appmaker? Need your advice on this, thanks in advance.&lt;/p&gt;
</t>
  </si>
  <si>
    <t xml:space="preserve">&lt;p&gt;Hopefully, someone can straight up my PowerApps connectors understanding. Apparently, I have 3 connection options.&lt;/p&gt;
&lt;ul&gt;
&lt;li&gt;Common data service - this connection type only allows me to connect to CDS 1.0 databases, but I want to connect to an existing D365 v9 instance.&lt;/li&gt;
&lt;li&gt;Common data service (experimental) - this connection type asked me for a D365 v9 instance ID, but everything is grey out after the step, i.e. it didn't show me any entity after connecting successfully.&lt;/li&gt;
&lt;li&gt;D365 data source - this one works but I was told MS has stopped working on this connector. Also, I will have to update the connection after deployment to a different environment manually.&lt;/li&gt;
&lt;/ul&gt;
&lt;p&gt;What is the best practice if I want to use a CDS connector? Or I will be stuck with the old D365 connector for now?&lt;/p&gt;
&lt;p&gt;Thanks.&lt;/p&gt;
&lt;p&gt;==11/1/2018 update==
I have a better understanding of my situation now. Every Dynamics 365 CE instance should have a PowerApp environment automatically, but one of my D365CE instances doesn't. I am suspecting it is because the D365CE instance is still version 8.2. &lt;/p&gt;
&lt;p&gt;My question above is because I created an empty PowerApp environment and tried to connect it to the D365CE instance (v8.2). I will give you guys another update after I upgrade the instance to v9.&lt;/p&gt;
&lt;p&gt;==11/30/2018 update==
Confirmed. By upgrading a D365CE instance from v8.2 to v9.0, the Power Platform generates an environment automatically and linked it to the D365CE/CDS. &lt;/p&gt;
</t>
  </si>
  <si>
    <t xml:space="preserve">&lt;p&gt;It turned out the problem is not with the connectors but with PowerApp environments. By upgrading a D365CE instance from v8.2 to v9.0, the Power Platform generates an environment automatically and linked it to the D365CE/CDS. So, it should just work for all v9+ instances.&lt;/p&gt;
</t>
  </si>
  <si>
    <t xml:space="preserve">&lt;p&gt;I have a Calculated Model which generates records based on a query. When I click the update button I want to pull the Certificate_ID Value in the same row as the Update Button.
First thing I have tried to do is return the index of the row using by attaching the following code to the Update Button's on click event. Tried using the below code, but not getting the desired result.&lt;/p&gt;
&lt;p&gt;Returns the position of the of the button in the row:&lt;/p&gt;
&lt;pre&gt;&lt;code&gt;var index = widget.childIndex;
&lt;/code&gt;&lt;/pre&gt;
&lt;p&gt;Returns blank on the first button and returns 1 for the second button:&lt;/p&gt;
&lt;pre&gt;&lt;code&gt;var index = widget.parent.childIndex;
&lt;/code&gt;&lt;/pre&gt;
&lt;h2&gt;Table in App:&lt;/h2&gt;
&lt;p&gt;&lt;a href="https://i.stack.imgur.com/ZYGdX.png" rel="nofollow noreferrer"&gt;&lt;img src="https://i.stack.imgur.com/ZYGdX.png" alt="enter image description here"&gt;&lt;/a&gt;&lt;/p&gt;
&lt;h2&gt;Table with Data:&lt;/h2&gt;
&lt;p&gt;&lt;a href="https://i.stack.imgur.com/WkUMG.png" rel="nofollow noreferrer"&gt;&lt;img src="https://i.stack.imgur.com/WkUMG.png" alt="enter image description here"&gt;&lt;/a&gt;&lt;/p&gt;
</t>
  </si>
  <si>
    <t xml:space="preserve">&lt;p&gt;For calculated datasources you are still able to use:&lt;/p&gt;
&lt;pre&gt;&lt;code&gt;widget.datasource.item.YourField
&lt;/code&gt;&lt;/pre&gt;
&lt;p&gt;in a button onClick event to get a value from the button click.&lt;/p&gt;
</t>
  </si>
  <si>
    <t xml:space="preserve">&lt;p&gt;I want to add thousand separators to the labels of the following picklist.
No change should be made to the values, instead displaying text should use thousand separators.&lt;/p&gt;
&lt;pre&gt;&lt;code&gt;     &amp;lt;aura:iteration items="{!v.myValues}" var="item"&amp;gt;
            &amp;lt;option text="{!item.label+ ' km'}" value="{!item.value}"/&amp;gt;
     &amp;lt;/aura:iteration&amp;gt;
&lt;/code&gt;&lt;/pre&gt;
&lt;p&gt;In the list "myValues", I have values such as "300000". These are texts not integers. &lt;/p&gt;
&lt;p&gt;Can someone help with this ?&lt;/p&gt;
</t>
  </si>
  <si>
    <t xml:space="preserve">&lt;p&gt;I have a feeling this can't be done easily, and would likely require some PowerShell scripting. but here goes:&lt;/p&gt;
&lt;p&gt;I'm looking for a way for line managers to be able to turn their direct reports' out of office on if they call in sick. Something I can add to the Sharepoint site would be great as everything is then in one place.&lt;/p&gt;
&lt;p&gt;Powerapps appear to offer a pretty good place to start, but it looks like the Office365 connector is linked to the user currently logged in, so getting the calendar ID using:&lt;/p&gt;
&lt;pre&gt;&lt;code&gt;LookUp(Office365.CalendarGetTables().value,DisplayName = "Calendar").Name
&lt;/code&gt;&lt;/pre&gt;
&lt;p&gt;will only ever return the user's own calendar id. CalendarGetTables() does not accept any parameters, so passing a user id or UPN results in an error.&lt;/p&gt;
&lt;p&gt;I can totally see the security issue that would be caused were it so simple.&lt;/p&gt;
&lt;p&gt;Does anyone know of a different solution? As the only admin here, I'd like to make this a self-service for managers to sort out their own direct reports.&lt;/p&gt;
</t>
  </si>
  <si>
    <t xml:space="preserve">&lt;p&gt;I am seeing a difference of date selected in form and table widget(where it is displayed.)
What steps will reproduce the problem?&lt;/p&gt;
&lt;ol&gt;
&lt;li&gt;Use sample app - Project Tracker&lt;/li&gt;
&lt;li&gt;Create a Project and fill Due Date as Apr, 1 2018&lt;/li&gt;
&lt;li&gt;Save the data&lt;/li&gt;
&lt;li&gt;Go to the dashboard and see the difference.&lt;/li&gt;
&lt;/ol&gt;
&lt;blockquote&gt;
  &lt;p&gt;Due date is selected as Apr, 1 2018 but It's showing as 2018-03-31.&lt;/p&gt;
&lt;/blockquote&gt;
&lt;p&gt;Please see the attached screenshot.&lt;/p&gt;
&lt;p&gt;&lt;a href="https://i.stack.imgur.com/PMBjV.png" rel="nofollow noreferrer"&gt;&lt;img src="https://i.stack.imgur.com/PMBjV.png" alt="Due date is selected as Apr, 1 2018"&gt;&lt;/a&gt;
&lt;a href="https://i.stack.imgur.com/huCSl.png" rel="nofollow noreferrer"&gt;&lt;img src="https://i.stack.imgur.com/huCSl.png" alt="It&amp;#39;s showing as 2018-03-31"&gt;&lt;/a&gt;&lt;/p&gt;
</t>
  </si>
  <si>
    <t xml:space="preserve">&lt;p&gt;There is no timer widget in Outystems that ticks like a digital clock:
00 : 00 : 00 being [hour][minutes][seconds].&lt;/p&gt;
&lt;p&gt;I want to make a time tracking app.&lt;/p&gt;
&lt;p&gt;Any help in the right direction will do. I can code and Im willing to put in the work. I just need a guide.&lt;/p&gt;
&lt;p&gt;I was able to make a sample timer but I want be able to manipulate the time data.&lt;/p&gt;
&lt;p&gt;For example 00hr 01min 20sec , I'd like to be able to use that data or print it. atleast&lt;/p&gt;
</t>
  </si>
  <si>
    <t xml:space="preserve">&lt;p&gt;I am setting up a saleforce DX project that needs me to enable 2GP. I am just curious if there are any drawbacks of enabling it? I read that there is no going back so I just want to make sure its worth it. I also want to know if anyone knows of any drawbacks of enabling expanded source tracking? &lt;/p&gt;
</t>
  </si>
  <si>
    <t xml:space="preserve">&lt;p&gt;I am attempting to convert an app I built in Google Forms + App Script to an App Maker app. This app interacts with Pagerduty via API. It will eventually edit the contact info for agents in Pagerduty, but this proof of concept I built should just be getting an agent's contact info. &lt;/p&gt;
&lt;p&gt;I keep getting an error when I'm attempting to add the headers and options to the URL in the same way I did in Apps Script.&lt;/p&gt;
&lt;p&gt;Error: Exception: Invalid argument: &lt;a href="https://api.pagerduty.com/users/PBQHZKE/contact_methods/P6Q90HR[object%20Object]" rel="nofollow noreferrer"&gt;https://api.pagerduty.com/users/PBQHZKE/contact_methods/P6Q90HR[object%20Object]&lt;/a&gt; at getPagerDutyContactInfo (ServerScript:21)&lt;/p&gt;
&lt;p&gt;I think I've got the wrong type of object after the URL, but I've been unable to find documentation on what this should be. At this point I am not looking for any help with the Pagerduty API. I just can't figure out how to correctly add the parameters onto the end of the URL in App Maker.&lt;/p&gt;
&lt;p&gt;Any help would be greatly appreciated. Thanks! &lt;/p&gt;
&lt;p&gt;&lt;div class="snippet" data-lang="js" data-hide="false" data-console="true" data-babel="false"&gt;
&lt;div class="snippet-code"&gt;
&lt;pre class="snippet-code-js lang-js prettyprint-override"&gt;&lt;code&gt;function getPagerDutyContactInfo() {
  var headers = {
    "Accept": "application/vnd.pagerduty+json;version=2",
    "Authorization": "Token token=&amp;lt;API KEY&amp;gt;",
  };
  var options =
    {
    "muteHttpExceptions" : true,
    "contentType" : "application/json",
    "method" : "get",
    "headers" : headers
//    "payload" : infoPD
  };
  console.log("test-gr");
  // Line below returns this error: Exception: Invalid argument: https://api.pagerduty.com/users/PBQHZKE/contact_methods/P6Q90HR[object%20Object] at getPagerDutyContactInfo (ServerScript:21)
  var url = "https://api.pagerduty.com/users/PBQHZKE/contact_methods/P6Q90HR" + options;
  console.log("after var URL, before fetch");
  // The line below returns a 404 error from Pagerduty
  // var url = "https://api.pagerduty.com/users/PBQHZKE/contact_methods/P6Q90HR";
  var response = UrlFetchApp.fetch(url);
  console.log("after fetch");
  return response.getContentText();
}&lt;/code&gt;&lt;/pre&gt;
&lt;/div&gt;
&lt;/div&gt;
&lt;/p&gt;
</t>
  </si>
  <si>
    <t xml:space="preserve">&lt;p&gt;I am trying to implement a Web Application using the HERE maps on the tool Outsystems.  &lt;/p&gt;
&lt;p&gt;On The application I have a web block that contains a Container (where the map will be drawn), an expression (with Escape Content as 'no', and the scripts below as value so it may be inserted on the html of the page) and a button that try to run the same script again (just for test measures and see if it was a problem of the script executing before the div was ready).&lt;/p&gt;
&lt;pre&gt;&lt;code&gt;&amp;lt;script src="http://js.api.here.com/v3/3.0/mapsjs-core.js"type="text/javascript" charset="utf-8"&amp;gt;&amp;lt;/script&amp;gt;
&amp;lt;script src="http://js.api.here.com/v3/3.0/mapsjs-service.js"
  type="text/javascript" charset="utf-8"&amp;gt;&amp;lt;/script&amp;gt;
&amp;lt;script type ="text/javascript"&amp;gt;
    // Initialize the platform object:
    var platform = new H.service.Platform({
        'app_id': '{APP_KEY}',
        'app_code': '{APP_CODE}'
    });
    // Obtain the default map types from the platform object
    var maptypes = platform.createDefaultLayers();
    // Instantiate (and display) a map object:
    var map = new H.Map(
        document.getElementById('" + MapContainer.Id + "'),
        maptypes.normal.map,
    );
    map.setBaseLayer(maptypes.satellite.traffic);
&amp;lt;/script&amp;gt;
&lt;/code&gt;&lt;/pre&gt;
&lt;p&gt;(MapContainer.Id returns the id of the container as in the HTML, since the tool automaticaly create the id of the elements)&lt;/p&gt;
&lt;p&gt;On the &lt;a href="https://i.stack.imgur.com/FoL8n.png" rel="nofollow noreferrer"&gt;image&lt;/a&gt; you can see the structure I am using on the web block:&lt;/p&gt;
&lt;p&gt;The problem is : this code I am using isn't working on the outsystems , leaving a &lt;a href="https://i.stack.imgur.com/0s08L.png" rel="nofollow noreferrer"&gt;blank screen webpage &lt;/a&gt;. But the same code on a HTML file works fine. No errors are listed on the browser console and upon inspecting the code with development tools (Chrome) I noticed that the canvas was being created, but has height = 0 (editing this value changes nothing).&lt;/p&gt;
&lt;p&gt;If someone know a way to work around these problems I would love to hear about. Thanks for the atention.&lt;/p&gt;
</t>
  </si>
  <si>
    <t xml:space="preserve">&lt;p&gt;It seems like the styles of the map container have not been computed and rendered, when the map is instantiated. Therefore, the map is there but has a height of zero pixels. This is probably related to how the view is created by Outsystems.&lt;/p&gt;
&lt;p&gt;Requesting the browser to resize the map at the next animation frame should help:&lt;/p&gt;
&lt;pre&gt;&lt;code&gt;requestAnimationFrame( () =&amp;gt; map.getViewPort().resize() );
&lt;/code&gt;&lt;/pre&gt;
</t>
  </si>
  <si>
    <t xml:space="preserve">&lt;p&gt;I have a button in a powerApps application that attempts to write data about selections (clients in this case) in a table for given users who've been selected.  I can select multiple users and select multiple clients. when they are selected they end up in a collection (appropriately named selectedClients, and SelectedUsers) with some supplemental information. I want the code to first check and see if the client/User combo already exists in the table, and if not, then write it to the table. Currently, the formula looks like this:&lt;/p&gt;
&lt;pre&gt;&lt;code&gt;ForAll(SelectedClients,
ForAll(selectedUsers,
If(LookUp('[dbo].[ClientAssignment]_2', UserPrincipalName in ADUserEmail || 
SelectedClient in ClientNameAssigned,"OK") &amp;lt;&amp;gt; "OK", Patch('[dbo]. 
[ClientAssignment]_2',Defaults('[dbo].[ClientAssignment]_2'), 
{ADUserEmail:UserPrincipalName},{Priority:1},{AddedDate:Today()}, 
{ClientNumberAssigned:SelectedClientNumber}, 
{ClientNameAssigned:SelectedClient}))));
&lt;/code&gt;&lt;/pre&gt;
&lt;p&gt;it works fine without the nested &lt;code&gt;if(lookup))&lt;/code&gt; piece it just writes an entry even if one already exists, which I need to avoid. running this code currently produces strange results that I can't really even find a pattern to. I wonder if it's my nesting, or if it's how the ForAlls function (I read in the documentation that delegation is an issue, and I don't know enough about what that means, but I understood it to be the order in which it checks the individual items in the loop). Also it could be just something small, as you all know what it's like to get nested deeper and deeper inside a formula, it's like a black hole of confusion. &lt;/p&gt;
&lt;p&gt;Any insight would be appreciated! let me know if I need to add more information. &lt;/p&gt;
</t>
  </si>
  <si>
    <t xml:space="preserve">&lt;p&gt;I am running into an issue where part of my component within the modal generated by lightning:overlayLib requires the user to scroll. I want the div that appears to display over the top of the footer component.  Is this possible?&lt;/p&gt;
&lt;p&gt;Current issue:
&lt;a href="https://i.stack.imgur.com/vrwvi.png" rel="nofollow noreferrer"&gt;&lt;img src="https://i.stack.imgur.com/vrwvi.png" alt="enter image description here"&gt;&lt;/a&gt;&lt;/p&gt;
&lt;p&gt;If I disable the two overflow attributes in css on the slds-modal__content (shown below):&lt;/p&gt;
&lt;p&gt;&lt;a href="https://i.stack.imgur.com/96JWW.png" rel="nofollow noreferrer"&gt;&lt;img src="https://i.stack.imgur.com/96JWW.png" alt="enter image description here"&gt;&lt;/a&gt;&lt;/p&gt;
&lt;p&gt;I get the desired result:&lt;/p&gt;
&lt;p&gt;&lt;a href="https://i.stack.imgur.com/RmHLH.png" rel="nofollow noreferrer"&gt;&lt;img src="https://i.stack.imgur.com/RmHLH.png" alt="enter image description here"&gt;&lt;/a&gt;&lt;/p&gt;
&lt;p&gt;BUT, I cannot for the life of me, get this to work. When I pass in the modified css class slds-modal__content, it fills the screen with white. (When I set overflow: visible)&lt;/p&gt;
&lt;p&gt;I am generating the component using the lightning:overlayLib using this code:&lt;/p&gt;
&lt;pre&gt;&lt;code&gt;var modalHeader, modalBody, modalFooter;
    $A.createComponents([
        ["c:UWB_modalHeader",{'label':'Approve'}],
        ["c:UWB_utilityModal",{'modalName':'approve', 'approvalId':data.proccessInstanceToPiwi[data.approvalHistory[0].ProcessInstanceId], 'relatedObject':recordData}],
        ["c:UWB_modalFooter",{'cancelLabel':'Cancel', 'submitLabel':'Approve'}]
    ],
                        function(components, status){
                            if (status === "SUCCESS") {
                                modalHeader=components[0];
                                modalBody = components[1];
                                modalFooter = components[2];
                                component.find('overlayLib').showCustomModal({
                                    header: modalHeader,
                                    body: modalBody, 
                                    footer: modalFooter,
                                    showCloseButton: false,
                                    cssClass: 'slds-modal__content'
                                })
                            }
                        }
                       );
&lt;/code&gt;&lt;/pre&gt;
&lt;p&gt;Where the css class 'slds-modal__content' is as follows:&lt;/p&gt;
&lt;pre&gt;&lt;code&gt;.THIS .slds-modal__content{
    overflow-y: visible !important;
    overflow-x: visible !important;
}
&lt;/code&gt;&lt;/pre&gt;
&lt;p&gt;Even after attempting to modify the class, the issue still persists. I have been successful with this method generating a standard modal without using lightning:overlayLib, but I'm not able to generate the modal in this way.&lt;/p&gt;
</t>
  </si>
  <si>
    <t xml:space="preserve">&lt;p&gt;I am using a for loop to iterate over 105 records in a Pupils model in App Maker.
For each record in the model, I am extracting a folder name from a field in the model.&lt;/p&gt;
&lt;p&gt;I am using the folder name as input to &lt;code&gt;DriveApp.createFolder()&lt;/code&gt;.&lt;/p&gt;
&lt;p&gt;Each folder is generated within the same root folder so that I end up with a root folder that has 105 newly created folders within it.&lt;/p&gt;
&lt;p&gt;For each created folder, I assign ownership of the folder to a specific user and remove editing rights from the folder creator.&lt;/p&gt;
&lt;p&gt;The root folder in this case has editing rights given to anyone in the domain with the link, so the created folder inherits this setting and this is why I remove the folder creator as an editor.&lt;/p&gt;
&lt;p&gt;To help with my debugging, I write to the console after each folder is created and indicate which record from the pupil model is being processed.&lt;/p&gt;
&lt;p&gt;What happens is that after about 25 to 30 folders have been created in the root folder the for loop seems to start again, but also continues from where it left off at the same time!&lt;/p&gt;
&lt;p&gt;Here is a snippet from the debug console...&lt;/p&gt;
&lt;p&gt;[&lt;img src="https://i.stack.imgur.com/EocUI.jpg" alt="1]"&gt;&lt;/p&gt;
&lt;p&gt;You can see that the loop seems to start again.&lt;/p&gt;
&lt;p&gt;Here is my code...&lt;/p&gt;
&lt;pre&gt;&lt;code&gt;    function createEvidenceFolder(){
    var person = Session.getActiveUser().getEmail();
    var pupils = app.models.Pupils.newQuery();
    pupils.filters.EvidenceFolder._equals = null;
    pupils.filters.Roll._equals = "Current";
    var pupil = pupils.run();
    var folder = "XXXThe Root Folder IDXXX";
    for (var x = 0; x &amp;lt; pupil.length; x++){
    var fname = pupil[x].Folder_Name;    
  console.log("Processing record "+x+" for "+fname);    
 var root = DriveApp.getFolderById(folder);
 var createdfolder = root.createFolder(fname).getId();
 Utilities.sleep(1000);
 DriveApp.getFolderById(createdfolder).setOwner("The email address of the User").removeEditor(person);
  pupil[x].EvidenceFolder = createdfolder;   
  }
  app.saveRecords(pupil);   
  console.log("Processed "+x+" evidence folders");
}
&lt;/code&gt;&lt;/pre&gt;
&lt;p&gt;I went back and added the &lt;code&gt;Utilities.sleep(1000)&lt;/code&gt; as I was hunting for answers.&lt;/p&gt;
&lt;p&gt;So why am I getting twice the number of folders that I should be?&lt;/p&gt;
&lt;p&gt;Why does the for loop seem to run concurrently?&lt;/p&gt;
&lt;p&gt;By the way, the script is triggered from an onclick event on a button.  The &lt;code&gt;onclick&lt;/code&gt; event immediately hides the button &lt;code&gt;(widget.visible = false)&lt;/code&gt; before calling the script with &lt;code&gt;google.script.run&lt;/code&gt; so I am hopefully removing the chance to actually click twice!&lt;/p&gt;
&lt;p&gt;I am at a loss to explain this, but I am also very new to App Maker and programing.&lt;/p&gt;
&lt;p&gt;Does anybody have any insights?&lt;/p&gt;
&lt;p&gt;Edit..  Misread the comment section after the reply from Morfinismo!&lt;/p&gt;
&lt;pre&gt;&lt;code&gt;widget.visible = false;
google.script.run.withFailureHandler(function(err,user){
  console.log("The error was "+err+" and the user was "+user);}).createEvidenceFolder();
&lt;/code&gt;&lt;/pre&gt;
&lt;p&gt;The above code is from the Button that handles triggering the server script.&lt;/p&gt;
</t>
  </si>
  <si>
    <t xml:space="preserve">&lt;p&gt;As far as I'm concerned, there should be no issue whatsoever if you decide to hide the button instead of disabling it. Without inspecting the app, it's almost impossible to tell what might be wrong. My best guess is that somewhere in the app there is some code triggering that behavior or less likely, a bug within appmaker's system. I believe the latter is very unlikely because I tried a set up similar to yours and nothing went wrong.&lt;/p&gt;
&lt;p&gt;Either or way, by trying to disable the widget instead of hiding might help:&lt;/p&gt;
&lt;pre&gt;&lt;code&gt;console.log("Starting process");
widget.enabled= false; 
google.script.run.withFailureHandler(function(err){
    console.log("The error was "+err);}
).withSuccessHandler(function(){
    widget.enabled=true; 
    console.log("Finished process");
}).createEvidenceFolder();
&lt;/code&gt;&lt;/pre&gt;
</t>
  </si>
  <si>
    <t xml:space="preserve">&lt;p&gt;I want to integrate a workflow done with Powerapp into a sharpoint online website, but when I follow the instructions displayed here -&gt; &lt;a href="https://support.office.com/en-ie/article/create-a-powerapp-for-a-list-in-sharepoint-online-9338b2d2-67ac-4b81-8e67-97da27e5e9ab" rel="nofollow noreferrer"&gt;https://support.office.com/en-ie/article/create-a-powerapp-for-a-list-in-sharepoint-online-9338b2d2-67ac-4b81-8e67-97da27e5e9ab&lt;/a&gt;
There is no drop-down list for Powerapp anywhere on the page when I look at my list. Do I make a mistake by following the instruction? Or is this an sharepoint  online limitation?&lt;/p&gt;
</t>
  </si>
  <si>
    <t xml:space="preserve">&lt;p&gt;I'm still quite new to AppMaker and struggling a bit getting my head wrapped around the Binding of datasources and manipulating the results.&lt;/p&gt;
&lt;p&gt;I would like to know if there's a way to display only filtered results from a datasource in each Tab. I'll explain better.
I have an EmailTemplate Data model with Subject, Body and Type fields.
In the UI I added a Tabs container and would like to display in each tab only the EmailTemplates that match the selected Tab (item.Type === selectedTab).&lt;/p&gt;
&lt;p&gt;I managed to do this with a Server side query filter with parameter linked to the onChangeTab event and that works fine BUT, it is server side so each time a new tab is selected it has to go back to the data and filter it and return the data which is taking a few seconds and makes the app look slow.&lt;/p&gt;
&lt;p&gt;I was wondering if there's a way to only display data in each tab filtered by the condition above. So, keep the entire list of results but only display the ones that match the tab. I noticed there's an option to filter the items returned from the datasource but it doesn't seem to be changing the displayed data.&lt;/p&gt;
&lt;p&gt;Any ideas?&lt;/p&gt;
&lt;p&gt;Thanks! &lt;/p&gt;
</t>
  </si>
  <si>
    <t xml:space="preserve">&lt;p&gt;I'm trying to get a FullCalendar to only allow &lt;code&gt;event Resize&lt;/code&gt; if two specific ids match, but I can't get it to work.&lt;/p&gt;
&lt;p&gt;Essentially, I'm loading FullCalendar within a component. This component has a unique ID represented as an event on the calendar. Once the calendar loads to the page, how can I make sure to only set &lt;code&gt;editable: true&lt;/code&gt; to that specific event? See below in &lt;code&gt;eventRender&lt;/code&gt; for my pseudo code of what I wish to achieve&lt;/p&gt;
&lt;pre&gt;&lt;code&gt;loadDataToCalendar: function(component, salesAppointments, resExceptions) {
    let myEventid;
    var ele = component.find('calendar').getElement();
    $(ele).fullCalendar({
        eventResize: function(event) {
            component.set("v.startTime", event.start._d);
            component.set("v.endTime", event.end._d);
            component.set("v.showSaveButton", true)
        },
        eventRender: function(event) {
            if (event.id === myUniqueIdHere) {
                event.editable = true // this is what I'm trying to achieve
            }
        },
        header: {
            left: 'prev, next, today',
            center: 'title',
            right: 'month,agendaWeek,agendaDay',
        },
        eventOverlap: false,
        defaultView: 'agendaWeek',
        editable: false,
        eventLimit: true,
        eventSources: [salesAppointments, resExceptions],
        timezone: 'local',
    });
},
&lt;/code&gt;&lt;/pre&gt;
&lt;p&gt;So by default, I want &lt;code&gt;editable&lt;/code&gt; to be false. When the calendar renders and has a matching ID, I need to set that specific event to editable: true. How would I achieve this? I've tried using &lt;code&gt;eventRender&lt;/code&gt; without 
 success.&lt;/p&gt;
</t>
  </si>
  <si>
    <t xml:space="preserve">&lt;p&gt;You should do the compare on the server side of where you are generating the event.&lt;/p&gt;
&lt;p&gt;Fullcalendar (and most all such programs) can't change things 'on the fly' as you are trying to do - you often will have to set things on the server first and these programs can render, etc. as per the settings you give.&lt;/p&gt;
&lt;p&gt;So, in your event, you should set editable = true for the one(s) you want. &lt;a href="https://fullcalendar.io/docs/event-object" rel="nofollow noreferrer"&gt;https://fullcalendar.io/docs/event-object&lt;/a&gt;&lt;/p&gt;
&lt;p&gt;You can't (well, not easily - there might be a very round-about way but I don't think it worthy of trying) do this in the 'render' but is simple if you do the check on the server side.&lt;/p&gt;
&lt;p&gt;When I say 'server side', I mean 'the data coming into fullcalendar'.  As you have these in "salesAppointments" and "resExceptions", you may be able to manipulate this a bit in javascript - but, again, not in the fullcalendar section - something like:&lt;/p&gt;
&lt;pre&gt;&lt;code&gt; loadDataToCalendar: function(component, salesAppointments, resExceptions) {
    let myEventid;
    $(salesAppointments).each(function(event)){
        if (event.id === myUniqueIdHere) {
            event.editable = true;
        }    
    }
    $(resExceptions).each(function(event)){
        if (event.id === myUniqueIdHere) {
            event.editable = true;
        }    
    }
    var ele = component.find('calendar').getElement();
        $(ele).fullCalendar({
            eventResize: function(event) {
                component.set("v.startTime", event.start._d);
                component.set("v.endTime", event.end._d);
                component.set("v.showSaveButton", true)
        },
        header: {
            left: 'prev, next, today',
            center: 'title',
            right: 'month,agendaWeek,agendaDay',
        },
        eventOverlap: false,
        defaultView: 'agendaWeek',
        editable: false,
        eventLimit: true,
        eventSources: [salesAppointments, resExceptions],
        timezone: 'local',
    });
},
&lt;/code&gt;&lt;/pre&gt;
</t>
  </si>
  <si>
    <t xml:space="preserve">&lt;p&gt;I have something like this to enter staff details list. Above is the table list. User click button below the table to add new list record. Then fill in the list details on the form beneath it. &lt;/p&gt;
&lt;p&gt;&lt;a href="https://i.stack.imgur.com/pXHvv.png" rel="nofollow noreferrer"&gt;&lt;img src="https://i.stack.imgur.com/pXHvv.png" alt="enter image description here"&gt;&lt;/a&gt;&lt;/p&gt;
&lt;p&gt;My question is how can I just allow user to enter/fill in the list details directly on the table itself. Not only that, also user able edit record whenever the user clicks the records and wanted to change them.&lt;/p&gt;
</t>
  </si>
  <si>
    <t xml:space="preserve">&lt;p&gt;The example I am providing is specifically for a datasource in autosave mode, so you will need to make some adjustments since it appears that your datasource is in manualsave mode. First you will either want to recreate your table and in the table creator choose 'Editable' which will automatically place inputs in your table row vs labels. Alternatively you can just replace all your labels with Textboxes, Dropdowns, or whatever your input should be. See the image of the table creator below:&lt;/p&gt;
&lt;p&gt;&lt;a href="https://i.stack.imgur.com/2e23d.png" rel="nofollow noreferrer"&gt;&lt;img src="https://i.stack.imgur.com/2e23d.png" alt="Table Creator Editable Fields"&gt;&lt;/a&gt;&lt;/p&gt;
&lt;p&gt;Since in my example I used a 'Insert Only' form I moved my 'Create Button' and my 'Clear Changes' button inside the formbody, then set the flow direction of the formbody to horizontal and then matched the spacing of the form fields to the same as my table row and dragged the formbody to be between the tableheader and the tablebody(list) element. See the image below:
&lt;a href="https://i.stack.imgur.com/cFtJR.png" rel="nofollow noreferrer"&gt;&lt;img src="https://i.stack.imgur.com/cFtJR.png" alt="Table with Form layout"&gt;&lt;/a&gt;&lt;/p&gt;
&lt;p&gt;Again you will want to make adjustments to fit your needs such as rearranging where your 'Save' and 'Reset' buttons appear and in manualsave mode you may be able to skip the formbody entirely since your 'Add Details' button should automatically create a new table row anyways which you will then be able to edit directly in the table, you may just need to find it first but generally new rows should just be added on the bottom of your current datasource page.&lt;/p&gt;
</t>
  </si>
  <si>
    <t xml:space="preserve">&lt;p&gt;I'm trying to automate a flow. The trigger action is done when a new email arrives in the outlook 365. I'm trying to read new email. But unfortunately the flow is not getting started. &lt;/p&gt;
&lt;p&gt;Gone through many online articles but not able to find a solution.&lt;/p&gt;
</t>
  </si>
  <si>
    <t xml:space="preserve">&lt;p&gt;The issue is, my inbox had some rules. After removing, it worked.&lt;/p&gt;
</t>
  </si>
  <si>
    <t xml:space="preserve">&lt;p&gt;I am not sure how to embed this code within Google App Maker. 
I need help creating a "client script" that I can call using an HTML block to display the widget. &lt;/p&gt;
&lt;pre&gt;&lt;code&gt;&amp;lt;!-- TradingView Widget BEGIN --&amp;gt;
&amp;lt;div class="tradingview-widget-container"&amp;gt;
&amp;lt;div class="tradingview-widget-container__widget"&amp;gt;&amp;lt;/div&amp;gt;
&amp;lt;div class="tradingview-widget-copyright"&amp;gt;&amp;lt;a 
href="https://www.tradingview.com/symbols/NASDAQ-AAPL/technicals/" 
rel="noopener" target="_blank"&amp;gt;&amp;lt;span class="blue-text"&amp;gt;Technical Analysis 
for AAPL&amp;lt;/span&amp;gt;&amp;lt;/a&amp;gt; by TradingView&amp;lt;/div&amp;gt;
&amp;lt;script type="text/javascript" src="https://s3.tradingview.com/external- 
embedding/embed-widget-technical-analysis.js" async&amp;gt;
{
"width": 425,
"height": 410,
"symbol": "NASDAQ:AAPL",
"locale": "en",
"interval": "1D"
}
&amp;lt;/script&amp;gt;
&amp;lt;/div&amp;gt;
&amp;lt;!-- TradingView Widget END --&amp;gt;
&lt;/code&gt;&lt;/pre&gt;
</t>
  </si>
  <si>
    <t xml:space="preserve">&lt;p&gt;I'm trying to create an app with app maker but i keep running into blocking issues. Mostly due to the fact that I'm very new to this environment.&lt;/p&gt;
&lt;p&gt;What I'm trying to create is an app that allows our administration to connect Teachers to courses they are teaching.
Keeping in mind that one course can be connected to several teachers and that teachers can have multiple courses connected to them.
Also there is a percentage that a course is given, while a teacher gets a certain amount of percentage (e.g. course A has a percentage of 60% and Teachers one gives this for 13%, teacher 2 for 27% and teacher 3 for 20%).&lt;/p&gt;
&lt;p&gt;A teachers has the following info:&lt;/p&gt;
&lt;ul&gt;
&lt;li&gt;Name&lt;/li&gt;
&lt;li&gt;Email&lt;/li&gt;
&lt;li&gt;Teaching percentage ( a total percentage set at creating the teaching info)&lt;/li&gt;
&lt;/ul&gt;
&lt;p&gt;A course has the following info:&lt;/p&gt;
&lt;ul&gt;
&lt;li&gt;Code&lt;/li&gt;
&lt;li&gt;Name&lt;/li&gt;
&lt;li&gt;Percentage ( a total percentage set at creating the course info)&lt;/li&gt;
&lt;/ul&gt;
&lt;p&gt;Once these courses/teachers are created i need to connect a course to a teacher with a specific percentage ( not the total teaching percentage of the teacher and not the total percentage of the course, but a specific percentage for this course for this teacher)&lt;/p&gt;
&lt;p&gt;Also I need to be able to have a page where I select a course and then get all the teachers connected to this course with the specific percentage ( not the total).&lt;/p&gt;
&lt;p&gt;Can someone help me with the setup of the datasources? Up until now i created 2 datasource (Teachers and Courses, with a many-to-many relation between them, but I can't get it working.)&lt;/p&gt;
&lt;p&gt;If additional information is required, please feel free to ask. &lt;/p&gt;
</t>
  </si>
  <si>
    <t xml:space="preserve">&lt;p&gt;I want to integrate Bootstrap in an App Maker application. I have seen that there is an option to add external resources in the App Settings where we can add resources via cdn. &lt;/p&gt;
&lt;p&gt;&lt;a href="https://i.stack.imgur.com/vs5Uk.png" rel="nofollow noreferrer"&gt;&lt;img src="https://i.stack.imgur.com/vs5Uk.png" alt="enter image description here"&gt;&lt;/a&gt;&lt;/p&gt;
&lt;p&gt;As you can see I have tried to add Bootstrap but it's not working... 
I have created an html panel where I want to put the bootstrap style.   &lt;/p&gt;
&lt;p&gt;&lt;a href="https://i.stack.imgur.com/Mf9aW.png" rel="nofollow noreferrer"&gt;&lt;img src="https://i.stack.imgur.com/Mf9aW.png" alt="enter image description here"&gt;&lt;/a&gt;&lt;/p&gt;
&lt;p&gt;&lt;a href="https://i.stack.imgur.com/aX5Co.png" rel="nofollow noreferrer"&gt;&lt;img src="https://i.stack.imgur.com/aX5Co.png" alt="enter image description here"&gt;&lt;/a&gt;&lt;/p&gt;
&lt;p&gt;Can anybody help me? Thanks! &lt;/p&gt;
</t>
  </si>
  <si>
    <t xml:space="preserve">&lt;p&gt;It does work without any problem so far on my testing. What you are required to do is to &lt;code&gt;allowUnsafeHtml&lt;/code&gt; on the HTML widget.&lt;/p&gt;
&lt;p&gt;&lt;a href="https://i.stack.imgur.com/ZdhlY.png" rel="nofollow noreferrer"&gt;&lt;img src="https://i.stack.imgur.com/ZdhlY.png" alt="enter image description here"&gt;&lt;/a&gt;&lt;/p&gt;
&lt;p&gt;The bootstrapped button will show only after you preview the app:&lt;/p&gt;
&lt;p&gt;&lt;a href="https://i.stack.imgur.com/xfGkv.png" rel="nofollow noreferrer"&gt;&lt;img src="https://i.stack.imgur.com/xfGkv.png" alt="enter image description here"&gt;&lt;/a&gt;&lt;/p&gt;
</t>
  </si>
  <si>
    <t xml:space="preserve">&lt;p&gt;I get a SQL INSERT error when trying to use the Patch function in PowerApps on a table, which has a foreign key that relies on the primary key of a second table that hasn't been Patched yet. &lt;/p&gt;
&lt;p&gt;Which makes sense. How could I be allowed Patch a table with a blank dependency? So how can it be done?&lt;/p&gt;
&lt;p&gt;Here are the FK/PK dependencies of all 5 tables:&lt;/p&gt;
&lt;p&gt;&lt;a href="https://i.stack.imgur.com/rOjr8.png" rel="nofollow noreferrer"&gt;&lt;img src="https://i.stack.imgur.com/rOjr8.png" alt="enter image description here"&gt;&lt;/a&gt;&lt;/p&gt;
&lt;p&gt;So far I've tried: &lt;/p&gt;
&lt;ul&gt;
&lt;li&gt;Allow NULL on the FK column&lt;/li&gt;
&lt;li&gt;Removed CASCADE from FK UPDATE and DELETE&lt;/li&gt;
&lt;/ul&gt;
&lt;p&gt;Any further ideas? I specifically need example Functions.
Thank you&lt;/p&gt;
</t>
  </si>
  <si>
    <t xml:space="preserve">&lt;p&gt;The &lt;a href="https://docs.microsoft.com/powerapps/maker/canvas-apps/functions/function-patch" rel="nofollow noreferrer"&gt;Patch function&lt;/a&gt; will return the updated (or inserted) object with any fields from the server filled out, so you can use store it and use later to retrieve the server-generated id. Using &lt;a href="https://docs.microsoft.com/powerapps/maker/canvas-apps/functions/function-first-last" rel="nofollow noreferrer"&gt;Last&lt;/a&gt; will work for most of the time, but may fail if you have two users in the app at the same time, or if the table starts getting too big (and not all of it will be cached locally at once).&lt;/p&gt;
&lt;pre&gt;&lt;code&gt;Set(
    patchResult,
    Patch(
        '[dbo].[dateTable]',
        Defaults('[dbo].[dateTable]'),
        {
            siteId: varSiteID,
            readingDate: Now()
        }));
//Patch values into readingTable
Patch(
    '[dbo].[readingTable]',
    Defaults('[dbo].[readingTable]'),
    {
        dateId: patchResult.dateId,
        unitNum: 1, 
        xzyName: 1,
        avgJJk: 1,
        prevLLk: 1,
        readingNotes: "This is awesome"
    }
);
&lt;/code&gt;&lt;/pre&gt;
</t>
  </si>
  <si>
    <t xml:space="preserve">&lt;p&gt;I'm not sure if I'm taking the right approach here; I have two data models, CoursesFiled and TraineesFiled. They both have a field called CourseName. Each Trainee record will have a CourseName field that also appears in CoursesFiled.&lt;/p&gt;
&lt;p&gt;The end product needs to be two pages. On the first, there is a table with all the courses. One is selected, and this takes the user to the next page, where a table displays all the Trainees in the selected course.&lt;/p&gt;
&lt;p&gt;I'm somewhat new to this and figured the easiest would be to set up a query datasource on the TraineesFiled model, with a query script that looks like this:&lt;/p&gt;
&lt;pre&gt;&lt;code&gt;var courseName = "Register-2012-10-02(xxxxxxxxx).xml";//hardcoded for now, to be replaced with variable being passed from UI for app.datasources.CoursesFiled.item.CourseName;
var query = app.models.TraineesFiled.newQuery();
query.filters.CourseName._equals = courseName ;
query.run();
&lt;/code&gt;&lt;/pre&gt;
&lt;p&gt;When I create a new table with the query-datasouce as it's datasource, it loads with the following error:&lt;/p&gt;
&lt;pre&gt;&lt;code&gt;Fri Oct 12 10:59:46 GMT+200 2018
The function queryRecords returned undefined, please make sure a value was 
explicitly returned. Error: The function queryRecords returned undefined, 
please make sure a value was explicitly returned.
E
Fri Oct 12 10:59:46 GMT+200 2018
Executing query for datasource TraineesFiled1: (Error) : The function 
queryRecords returned undefined, please make sure a value was explicitly 
returned.
E
Fri Oct 12 10:59:46 GMT+200 2018
Executing query for datasource TraineesFiled1 failed.
&lt;/code&gt;&lt;/pre&gt;
&lt;p&gt;Where am I going wrong? Am I completely going about this in the wrong way?&lt;/p&gt;
</t>
  </si>
  <si>
    <t xml:space="preserve">&lt;p&gt;Would like to ask if it is possible to create a dropdown with icons (similar to the image below) in salesforce lightning component?&lt;/p&gt;
&lt;p&gt;&lt;a href="https://i.stack.imgur.com/LnycP.jpg" rel="nofollow noreferrer"&gt;&lt;img src="https://i.stack.imgur.com/LnycP.jpg" alt="enter image description here"&gt;&lt;/a&gt;&lt;/p&gt;
</t>
  </si>
  <si>
    <t xml:space="preserve">&lt;p&gt;Maybe these:&lt;/p&gt;
&lt;ol&gt;
&lt;li&gt;&lt;code&gt;menu&lt;/code&gt; slds styles: &lt;a href="https://www.lightningdesignsystem.com/components/menus/#Icon-on-the-Left" rel="nofollow noreferrer"&gt;Menus - Icon on the Left&lt;/a&gt;&lt;/li&gt;
&lt;li&gt;&lt;code&gt;lightning:buttonMenu&lt;/code&gt; component: &lt;a href="https://developer.salesforce.com/docs/component-library/bundle/lightning:buttonMenu/example#lightningcomponentdemo:exampleButtonMenuSingleIcon" rel="nofollow noreferrer"&gt;lightning:buttonMenu&lt;/a&gt;&lt;/li&gt;
&lt;/ol&gt;
</t>
  </si>
  <si>
    <t xml:space="preserve">&lt;p&gt;Hi I am developing a little app to move files around google drive using google Appmaker.&lt;/p&gt;
&lt;p&gt;I have the code working to select the file and the destination directory all fine. The problem is to call the server function to run DriveApp functions as follows:&lt;/p&gt;
&lt;pre&gt;&lt;code&gt;function onClickbtnMove(widget, event){
   var props = widget.root.properties;     
   fileids=props.FileIdList;
 //fileids is a list object of fileIDs, in the following text i removed the loop and just try with one fileID
   var i=0;
   google.script.run
    .withSuccessHandler (function (result) {
      console.log (result);
      })
    .withFailureHandler (function (error) {
     console.log (error);
      })
    .moveFiles_(fileids[i], props.FolderDestinationId);
      } 
&lt;/code&gt;&lt;/pre&gt;
&lt;p&gt;The server script is:&lt;/p&gt;
&lt;pre&gt;&lt;code&gt;function moveFiles_(sourceFileId, targetFolderId) {
   var file = DriveApp.getFileById(sourceFileId);
  // file.getParents().next().removeFile(file); // removed until i get it working!!
  DriveApp.getFolderById(targetFolderId).addFile(file);
  return "1";
 }
&lt;/code&gt;&lt;/pre&gt;
&lt;p&gt;i am sure there is something totally obvious but i am getting:&lt;/p&gt;
&lt;pre&gt;&lt;code&gt; google.script.run.withSuccessHandler(...)
.withFailureHandler(...).moveFiles_ is not a function`
&lt;/code&gt;&lt;/pre&gt;
&lt;p&gt;any guidance very welcome. thanks in advance.&lt;/p&gt;
</t>
  </si>
  <si>
    <t xml:space="preserve">&lt;p&gt;I just started with Google AppMaker and I'm having some trouble understanding how the query builder works.&lt;/p&gt;
&lt;p&gt;Here is my scenario:&lt;/p&gt;
&lt;p&gt;I have three data sources:&lt;/p&gt;
&lt;ol&gt;
&lt;li&gt;Customer:
&lt;ul&gt;
&lt;li&gt;Name&lt;/li&gt;
&lt;/ul&gt;&lt;/li&gt;
&lt;li&gt;Project
&lt;ul&gt;
&lt;li&gt;Name&lt;/li&gt;
&lt;li&gt;Customer&lt;/li&gt;
&lt;/ul&gt;&lt;/li&gt;
&lt;li&gt;Milestone
&lt;ul&gt;
&lt;li&gt;Name&lt;/li&gt;
&lt;li&gt;Customer&lt;/li&gt;
&lt;li&gt;Project&lt;/li&gt;
&lt;/ul&gt;&lt;/li&gt;
&lt;/ol&gt;
&lt;p&gt;Now, I have set up relationships between these models, so that:
One Project has one Customer (but one Customer can have many Projects)
One Milestone has one Project and one Customer&lt;/p&gt;
&lt;p&gt;Now, when creating a Milestone I want the user to first select a Customer and then, when they select a Project, I want the dropdown for the Project to only show Projects belonging to the Customer.&lt;/p&gt;
&lt;p&gt;My current approach is as follows:
I have created a page called "MilestonePage" that has the Milestone data model set. That page contains a table (non-editable) and a (create) form. The form has two drop downs (Customer, Project) and one text field (Name).
My thinking is that the dropdown for Project needs to have its options modified so that the list of available Projects is filtered by the selected Customer.
I have looked at the documentation but honestly I can't find a proper explanation of how to use the editor. I have also looked at the Projects Tracker and Project List examples but neither has the configuration I need.
My best guess was setting the options to something like:&lt;/p&gt;
&lt;pre&gt;&lt;code&gt;@datasources.Project.query.filters.Customer._equals
&lt;/code&gt;&lt;/pre&gt;
&lt;p&gt;or somehow make use of the relationship by using something like:&lt;/p&gt;
&lt;pre&gt;&lt;code&gt;@datasources.Project.relations.Customer.item.Project
&lt;/code&gt;&lt;/pre&gt;
&lt;p&gt;Needless to say, none of these worked. The last one always gives me the Projects assigned to the first Customer in the table and I have no idea why...&lt;/p&gt;
&lt;p&gt;I am willing to use other controls and / or scripts to achieve this but it feels like the solution should be simpler.&lt;/p&gt;
&lt;p&gt;Any help would be greatly appreciated.&lt;/p&gt;
</t>
  </si>
  <si>
    <t xml:space="preserve">&lt;p&gt;Based on your problem description, this is what I've done: &lt;br&gt;&lt;br&gt;&lt;/p&gt;
&lt;p&gt;First, I have set up the models as follows:&lt;/p&gt;
&lt;ol&gt;
&lt;li&gt;&lt;p&gt;Customer: &lt;/p&gt;
&lt;ul&gt;
&lt;li&gt;Name&lt;/li&gt;
&lt;/ul&gt;&lt;/li&gt;
&lt;li&gt;&lt;p&gt;Project: &lt;/p&gt;
&lt;ul&gt;
&lt;li&gt;Name&lt;/li&gt;
&lt;/ul&gt;&lt;/li&gt;
&lt;li&gt;&lt;p&gt;Milestone:&lt;/p&gt;
&lt;ul&gt;
&lt;li&gt;Name&lt;/li&gt;
&lt;/ul&gt;&lt;/li&gt;
&lt;/ol&gt;
&lt;p&gt;&lt;br&gt;Second, I establish the relations as follows:&lt;/p&gt;
&lt;ol&gt;
&lt;li&gt;&lt;p&gt;Customer&lt;/p&gt;
&lt;ul&gt;
&lt;li&gt;&lt;p&gt;(customer) ONE to MANY (milestone)&lt;/p&gt;&lt;/li&gt;
&lt;li&gt;&lt;p&gt;(customer) ONE to MANY (project)&lt;/p&gt;&lt;/li&gt;
&lt;/ul&gt;&lt;/li&gt;
&lt;li&gt;&lt;p&gt;Milestone&lt;/p&gt;
&lt;ul&gt;
&lt;li&gt;&lt;p&gt;(milestone) MANY to ONE (customer)&lt;/p&gt;&lt;/li&gt;
&lt;li&gt;&lt;p&gt;(milestone) MANY to ONE (project)&lt;/p&gt;&lt;/li&gt;
&lt;/ul&gt;&lt;/li&gt;
&lt;li&gt;&lt;p&gt;Project&lt;/p&gt;
&lt;ul&gt;
&lt;li&gt;&lt;p&gt;(project) MANY to ONE (customer)&lt;/p&gt;&lt;/li&gt;
&lt;li&gt;&lt;p&gt;(project) ONE to MANY (milestone)&lt;/p&gt;&lt;/li&gt;
&lt;/ul&gt;&lt;/li&gt;
&lt;/ol&gt;
&lt;p&gt;&lt;br&gt; Third, I created a page, "milestonePage", that has the Milestone data model set. Inside that page, I inserted a &lt;strong&gt;table&lt;/strong&gt;, and an &lt;strong&gt;insert&lt;/strong&gt; form. The page looks like this: &lt;/p&gt;
&lt;p&gt;&lt;a href="https://i.stack.imgur.com/Ev6pT.png" rel="nofollow noreferrer"&gt;&lt;img src="https://i.stack.imgur.com/Ev6pT.png" alt="enter image description here"&gt;&lt;/a&gt;&lt;/p&gt;
&lt;p&gt;From here, the only thing left to do is to make sure that the bindings of the &lt;strong&gt;Customer&lt;/strong&gt; dropdown and the &lt;strong&gt;Project&lt;/strong&gt; dropdown are correct. By default, the &lt;strong&gt;Customer&lt;/strong&gt; dropdown should have the following bindings:&lt;/p&gt;
&lt;ul&gt;
&lt;li&gt;&lt;p&gt;Options: &lt;code&gt;@datasources.customer.items&lt;/code&gt;&lt;/p&gt;&lt;/li&gt;
&lt;li&gt;&lt;p&gt;Value: &lt;code&gt;@datasource.item.customer&lt;/code&gt; &lt;/p&gt;&lt;/li&gt;
&lt;/ul&gt;
&lt;p&gt;Finally, the tricky one is the &lt;strong&gt;Project&lt;/strong&gt; dropdown. Since you want to display the projects that belong to the selected customer, then you have to do this:&lt;/p&gt;
&lt;ol&gt;
&lt;li&gt;Delete the bindings for the &lt;strong&gt;Options&lt;/strong&gt; and &lt;strong&gt;Value&lt;/strong&gt;&lt;/li&gt;
&lt;li&gt;&lt;p&gt;Make sure the new bindings are as follows:&lt;/p&gt;
&lt;ul&gt;
&lt;li&gt;&lt;p&gt;Options: &lt;code&gt;@widget.parent.descendants.Field2.value.project&lt;/code&gt; (where &lt;strong&gt;Field2&lt;/strong&gt; is the &lt;strong&gt;Customer dropdwon&lt;/strong&gt;)&lt;/p&gt;&lt;/li&gt;
&lt;li&gt;&lt;p&gt;Value: &lt;code&gt;@datasource.item.project&lt;/code&gt;&lt;/p&gt;&lt;/li&gt;
&lt;/ul&gt;&lt;/li&gt;
&lt;/ol&gt;
&lt;p&gt;&lt;strong&gt;BONUS:&lt;/strong&gt; To avoid any confusion, add this to the &lt;strong&gt;onValueChange&lt;/strong&gt; handler of the &lt;strong&gt;customer&lt;/strong&gt; dropdown
&lt;code&gt;widget.parent.descendants.Field3.value = null;&lt;/code&gt; (where &lt;strong&gt;Field3&lt;/strong&gt; is the &lt;strong&gt;Project&lt;/strong&gt; dropdown.)&lt;/p&gt;
&lt;p&gt;&lt;strong&gt;P.S.&lt;/strong&gt; Pay attention to what Markus Malessa mentioned, about setting up the prefetches since it will be necessary.&lt;/p&gt;
</t>
  </si>
  <si>
    <t xml:space="preserve">&lt;p&gt;I have a one to many relationship between user and userTitle where the title of the user is accessed using the relation like this: &lt;code&gt;user.Title;&lt;/code&gt; 
Comparing the new and old records is not working because although the title of the user has definitely changed &lt;code&gt;record.Title._key is in fact equal to oldRecord.Title._key&lt;/code&gt; inside onBeforeSave user model. However checking the foreign key &lt;code&gt;record.title_fk and oldRecord.title_fk&lt;/code&gt; produces an expected result ( that is they are different ). &lt;/p&gt;
&lt;p&gt;What to do if I want to track history of records?&lt;/p&gt;
</t>
  </si>
  <si>
    <t xml:space="preserve">&lt;p&gt;I have a requirement where i need to pull all the records between 2 datetime custom fields;. &lt;/p&gt;
&lt;p&gt;For example: &lt;/p&gt;
&lt;p&gt;custo_Field_1__c  = Oct 10th 12:00pm  (DateTime Field)
custo_Field_2__c  = Oct 15th 10:00pm  (DateTime Field)&lt;/p&gt;
&lt;p&gt;Now i need to pull all the records between those custom dates, with date LITERALS ( No apex coding ) ....  &lt;/p&gt;
&lt;p&gt;SELECT Id 
from Object__c 
where id = '000000000000' AND
custo_Field_1__c &amp;lt;= TODAY  AND  custo_Field_2__c &gt;= TODAY &lt;/p&gt;
&lt;p&gt;From the above query i am able to retrieve the records between that two dates  but it they are not specific to time, even on Oct 10th 10am I m able to see those records where as i need to see those records between oct 10th &lt;strong&gt;12:00pm&lt;/strong&gt; - 15th oct &lt;strong&gt;10:00 PM&lt;/strong&gt;&lt;/p&gt;
&lt;p&gt;PLease help me out to resolve this&lt;/p&gt;
</t>
  </si>
  <si>
    <t xml:space="preserve">&lt;p&gt;sorry. stuck again. I have a driveapp fileid and folderid. all correct i am sure about that. trying to just move fileid into the folderid (server-side script):&lt;/p&gt;
&lt;pre&gt;&lt;code&gt;function moveFiles(sourceFileId, targetFolderId, role) {
  var file = DriveApp.getFileById(sourceFileId);   
  file.getParents().next().removeFile(file);
  DriveApp.getFolderById(targetFolderId).addFile(file);
  return "1";
    }
&lt;/code&gt;&lt;/pre&gt;
&lt;p&gt;The line that crashes is the &lt;code&gt;DriveApp.getFolderById()&lt;/code&gt; line, with the error message above (&lt;code&gt;No item with the given ID could be found, or you do not have permission to access it&lt;/code&gt;)&lt;/p&gt;
&lt;p&gt;these are files and folders that i own with my account. i cant see that it would be a permissions issue&lt;/p&gt;
</t>
  </si>
  <si>
    <t xml:space="preserve">&lt;p&gt;I intend to invoke the onbeforeunload event when the browser tab of appmaker app closes, for saving a manual-save mode datasouce's changes.&lt;/p&gt;
&lt;p&gt;I write the code below in onAppStartScript.&lt;/p&gt;
&lt;pre&gt;&lt;code&gt;window.addEventListener('beforeunload', function(e) {
  app.datasources.mydatasources.saveChanges();
}, false);
&lt;/code&gt;&lt;/pre&gt;
&lt;p&gt;I preview my app in Chrome 69.0.3497.100 for PC, and make a change for mydatasources.
Then I close browser tab, but the change doesn't apply mydatasource.&lt;/p&gt;
&lt;p&gt;When I keydown F5 in appmaker app, then beforeunload event is occured.&lt;/p&gt;
&lt;p&gt;How can I save mydatasource changes, even if app-users close browser tab suddenly.&lt;/p&gt;
</t>
  </si>
  <si>
    <t xml:space="preserve">&lt;p&gt;I've created a new google app through their app maker interface. I've added "Google Admin Directory API" as a service and "Directory" as a data source. I created a page that will hold 2 tables, one that list all users within my domain (this is already working) and another table that lists all of the groups within my domain (not working). How can I achieve this? Can this be done through their widgets or do I have to create a script and programmatically call the admin API to then bind the data to the table?&lt;/p&gt;
</t>
  </si>
  <si>
    <t xml:space="preserve">&lt;p&gt;Since you already enabled the Admin Directory API when using the directory model, all you have to do now is to call the sample code from the server script. In a server script, add the sample code:&lt;/p&gt;
&lt;pre&gt;&lt;code&gt;function listAllGroups() {
  var pageToken;
  var page;
  do {
    page = AdminDirectory.Groups.list({
      domain: 'example.com',
      maxResults: 100,
      pageToken: pageToken
    });
    var groups = page.groups;
    if (groups) {
      for (var i = 0; i &amp;lt; groups.length; i++) {
        var group = groups[i];
        Logger.log('%s (%s)', group.name, group.email);
      }
    } else {
      Logger.log('No groups found.');
    }
    pageToken = page.nextPageToken;
  } while (pageToken);
}
&lt;/code&gt;&lt;/pre&gt;
&lt;p&gt;Then you can simply call the server script by using the following in the client scripting:&lt;/p&gt;
&lt;pre&gt;&lt;code&gt;google.script.run.withSuccessHandler(function(response){
    console.log(response);
}).withFailureHandler(function(err){
    console.log(err);
}).listAllGroups();
&lt;/code&gt;&lt;/pre&gt;
&lt;p&gt;You can check the reference &lt;strong&gt;&lt;a href="https://developers.google.com/appmaker/scripting/client#call_a_server_script" rel="nofollow noreferrer"&gt;here&lt;/a&gt;&lt;/strong&gt;. I hope this helps!&lt;/p&gt;
</t>
  </si>
  <si>
    <t xml:space="preserve">&lt;p&gt;I'm creating a POC using google app maker. I plan on using a JS library that has a dependency on Jquery. I've listed JQuery as an "external resource" to start with and added an H1 element on my html with the following code as part of a client script:&lt;/p&gt;
&lt;pre&gt;&lt;code&gt;$(document).ready(function(){
   $("h1").click(function(){
      console.log("jquery works");
   });
});
&lt;/code&gt;&lt;/pre&gt;
&lt;p&gt;When I preview my app and click on the element, nothing is logged. When I inspect the elements, I can see both the Jquery library and the code above, but the event is not triggering when I click on the element. Any suggestions? The ultimate goal is to be able to use &lt;a href="https://querybuilder.js.org/" rel="nofollow noreferrer"&gt;https://querybuilder.js.org/&lt;/a&gt; within the app I'm creating.&lt;/p&gt;
</t>
  </si>
  <si>
    <t xml:space="preserve">&lt;p&gt;My best guess is that when you say that you added the code: &lt;/p&gt;
&lt;pre&gt;&lt;code&gt;$(document).ready(function(){
   $("h1").click(function(){
      console.log("jquery works");
   });
});
&lt;/code&gt;&lt;/pre&gt;
&lt;p&gt;to the client script, what you did was created a client script under the &lt;strong&gt;SCRIPTS&lt;/strong&gt; section of App Maker and then added the code there. If that is so, that is why it's not working.&lt;/p&gt;
&lt;p&gt;What you need to do is to use client scripting in the widget event handlers. Each widget has event handlers and the &lt;strong&gt;HTML&lt;/strong&gt; widget is not an exception. What I recommend is to add the code to the &lt;strong&gt;onAttach&lt;/strong&gt; event handler of the &lt;strong&gt;HTML&lt;/strong&gt; widget:&lt;/p&gt;
&lt;p&gt;&lt;a href="https://i.stack.imgur.com/FCGjy.png" rel="nofollow noreferrer"&gt;&lt;img src="https://i.stack.imgur.com/FCGjy.png" alt="enter image description here"&gt;&lt;/a&gt;}&lt;/p&gt;
&lt;p&gt;Also, you can get rid of the &lt;code&gt;document.ready&lt;/code&gt; part and just use the code you see in the image above. That should do the trick.&lt;/p&gt;
&lt;p&gt;&lt;strong&gt;BONUS:&lt;/strong&gt; If you will be using &lt;em&gt;classes&lt;/em&gt; and &lt;em&gt;ids&lt;/em&gt;, for it to work you will need to use the &lt;strong&gt;allowUnsafeHtml&lt;/strong&gt; option:&lt;/p&gt;
&lt;p&gt;&lt;a href="https://i.stack.imgur.com/oQlmH.png" rel="nofollow noreferrer"&gt;&lt;img src="https://i.stack.imgur.com/oQlmH.png" alt="enter image description here"&gt;&lt;/a&gt;&lt;/p&gt;
&lt;p&gt;I hope this helps for now. If you need something else, I'll be happy to help you.&lt;/p&gt;
</t>
  </si>
  <si>
    <t xml:space="preserve">&lt;p&gt;I'm making a budget app. When I choose new, I create a budget, with name like "BUXXX". Then, I can make a invest demand, with name like "DIXXX".
For this, I have two screens, and two forms, BudgetForm and DemandeForm. Of course, I use the first for a budget, and the second for a demande.&lt;/p&gt;
&lt;p&gt;Then, I open a budget line in my sharepoint library, and it open with BudgetForm, and everything is good. But when I open a demande line... it use BudgetForm, and it's not working.&lt;/p&gt;
&lt;p&gt;I tried this in "OnView" on SharePointIntegration :&lt;/p&gt;
&lt;pre&gt;&lt;code&gt;    //ViewForm(BudgetForm);;
If(
    "DI" in SharePointIntegration.Selected.Title;
    ViewForm(DemandeForm);
    ViewForm(BudgetForm)
)
&lt;/code&gt;&lt;/pre&gt;
&lt;p&gt;But it's not working. I tried the same code with ThisItem.Title in a button, after opening my app, and it works.
But I can't use ThisItem.Title in the OnView menu.&lt;/p&gt;
&lt;p&gt;How can I use BudgetForm when title is like "BUXXX" and DemandeForm when it's "DIXXX" ?&lt;/p&gt;
&lt;p&gt;Thanks !&lt;/p&gt;
</t>
  </si>
  <si>
    <t xml:space="preserve">&lt;p&gt;I'm creating an App using PowerApps and i have a flow that uses data from my PowerApps SQL database.&lt;/p&gt;
&lt;p&gt;This flow creates a .lbl file which i can then print as and when necessary.&lt;/p&gt;
&lt;p&gt;The issue i have is that the data passed to the flow to create the file includes a Photo (Image) that's stored in an Image data type field within my SQL table.&lt;/p&gt;
&lt;p&gt;The Photo doesn't print on the label, I've used Labelary viewer as an example, this is attached.&lt;/p&gt;
&lt;p&gt;Any ideas where I'm going wrong?&lt;/p&gt;
&lt;p&gt;&lt;a href="https://i.stack.imgur.com/dBr5s.png" rel="nofollow noreferrer"&gt;&lt;img src="https://i.stack.imgur.com/dBr5s.png" alt="Screenshot of the label"&gt;&lt;/a&gt;&lt;/p&gt;
</t>
  </si>
  <si>
    <t xml:space="preserve">&lt;p&gt;I've been playing with the training hub template. I've installed it, deployed it. Everything works.&lt;/p&gt;
&lt;p&gt;I just can't successfully create any new courses usings Google docs/slides. I publish them to the web, grab the embedded &lt;code&gt;iframe&lt;/code&gt; code, chuck that in and it just seems to break when I view the course. &lt;/p&gt;
&lt;p&gt;This is how it displays: &lt;/p&gt;
&lt;p&gt;and this is the iframe I'm copying from my published doc:&lt;/p&gt;
&lt;pre&gt;&lt;code&gt;&amp;lt;iframe src="https://docs.google.com/presentation/d/e/2PACX-1vQ6PBb1PToXsfLtX9cAxC3KpCGQwdp0HLKZi5-DG2wVAPkmWa-VPvFzn-ZuYMMl5t_D5xqTK9ZtytQE/embed?start=false&amp;amp;loop=false&amp;amp;delayms=3000" frameborder="0" width="960" height="569" allowfullscreen="true" mozallowfullscreen="true" webkitallowfullscreen="true"&amp;gt;&amp;lt;/iframe&amp;gt;
&lt;/code&gt;&lt;/pre&gt;
&lt;p&gt;I've tried it without &lt;code&gt;frameboarder= width= height=&lt;/code&gt; etc.... just the most basic &lt;code&gt;iframe&lt;/code&gt; and it still throws the same error. &lt;/p&gt;
&lt;p&gt;I'm not convinced it's a permission issue as it's accessible on the internet. Obviously this isn't ideal or long term but has made it easy to rule out permission issues.&lt;/p&gt;
&lt;p&gt;I can confirm the &lt;code&gt;iframe&lt;/code&gt; works if it is embedded into a Google site or used else where.&lt;/p&gt;
&lt;p&gt;What am I doing wrong? &lt;/p&gt;
&lt;p&gt;It throws the&lt;/p&gt;
&lt;blockquote&gt;
  &lt;p&gt;"frameborder="0" class="content-iframe"&gt;&lt;/p&gt;
&lt;/blockquote&gt;
&lt;p&gt;error whether that is in the &lt;code&gt;iframe&lt;/code&gt; or not:&lt;/p&gt;
&lt;p&gt;&lt;a href="https://i.stack.imgur.com/s08gp.png" rel="nofollow noreferrer"&gt;&lt;img src="https://i.stack.imgur.com/s08gp.png" alt="screenshot of the issue"&gt;&lt;/a&gt;&lt;/p&gt;
</t>
  </si>
  <si>
    <t xml:space="preserve">&lt;p&gt;Here is the scenario... I'm trying to create a link, within a lightning:card footer section, to a list view based on the current user.&lt;/p&gt;
&lt;p&gt;So, basically, if a field on the user's record is set to one value, I want the link to point to one list view, if it's set to another value I want the link to point to another list view.&lt;/p&gt;
&lt;p&gt;I'm having a hard time using the lightning:navigation to make it dynamic, as it looks like force:navigateToList is no longer supported.&lt;/p&gt;
&lt;p&gt;I couldn't find any samples online.&lt;/p&gt;
&lt;p&gt;Any help?&lt;/p&gt;
</t>
  </si>
  <si>
    <t xml:space="preserve">&lt;p&gt;I try to get application information with the LifeTime Deployment API. According to this page, I have to create a service account to get a token.&lt;/p&gt;
&lt;p&gt;&lt;a href="https://success.outsystems.com/Documentation/10/Reference/OutSystems_APIs/LifeTime_Deployment_API/REST_API_Authentication" rel="nofollow noreferrer"&gt;https://success.outsystems.com/Documentation/10/Reference/OutSystems_APIs/LifeTime_Deployment_API/REST_API_Authentication&lt;/a&gt;&lt;/p&gt;
&lt;p&gt;But I am a trial user (free account for testing outsystems), so cannot create a service account.&lt;/p&gt;
&lt;p&gt;Does Anyone know any other way to test the LifeTime Deployment API?&lt;/p&gt;
&lt;p&gt;Sorry, I'm asking the same question at the outsystems official community.
&lt;a href="https://www.outsystems.com/forums/discussion/41274/life-time-api-authorization/#Post148428" rel="nofollow noreferrer"&gt;https://www.outsystems.com/forums/discussion/41274/life-time-api-authorization/#Post148428&lt;/a&gt;&lt;/p&gt;
</t>
  </si>
  <si>
    <t xml:space="preserve">&lt;p&gt;I can't manage to make a CORS request from my electron app.
I have set the required &lt;em&gt;webSecurity&lt;/em&gt;&lt;/p&gt;
&lt;pre&gt;&lt;code&gt;mainWindow = new BrowserWindow({
    width: 1024, 
    height: 768,
    show: false,
    webPreferences: { webSecurity: false }
  });
&lt;/code&gt;&lt;/pre&gt;
&lt;p&gt;then trying to get data from zoho servers&lt;/p&gt;
&lt;pre&gt;&lt;code&gt;fetch('https://books.zoho.com/api/v3/contacts\\?organization_id\\=12345',
            {
                method: 'get',
                headers: {
                    'Authorization': "Zoho-authtoken 984fe68e7f564c6bs01ee9ffb1dsa140",
                    'Content-Type': 'application/x-www-form-urlencoded;charset=UTF-8'
                }
            })
            .then(_result =&amp;gt;{
                console.info("_result",_result);
            })
&lt;/code&gt;&lt;/pre&gt;
&lt;p&gt;Headers I'm sending (from network tab), response is &lt;strong&gt;400&lt;/strong&gt;&lt;/p&gt;
&lt;pre&gt;&lt;code&gt;GET /api/v3/contacts/?organization_id\=12345 HTTP/1.1
Host: books.zoho.com
Connection: keep-alive
Pragma: no-cache
Cache-Control: no-cache
authorization: Zoho-authtoken 987984fe68e7f564c6bs01ee9ffb1dsa140
X-DevTools-Request-Id: 21105.4
User-Agent: Mozilla/5.0 (Macintosh; Intel Mac OS X 10_13_6) AppleWebKit/537.36 (KHTML, like Gecko) basic-electron-react-boilerplate/0.7.0 Chrome/59.0.3071.115 Electron/1.8.8 Safari/537.36
content-type: application/x-www-form-urlencoded;charset=UTF-8
Accept: */*
Referer: http://localhost:8080/index.html
Accept-Encoding: gzip, deflate
Accept-Language: en-GB
&lt;/code&gt;&lt;/pre&gt;
&lt;p&gt;this request works when I &lt;strong&gt;curl&lt;/strong&gt;&lt;/p&gt;
&lt;blockquote&gt;
  &lt;p&gt;curl &lt;a href="https://books.zoho.com/api/v3/contacts" rel="nofollow noreferrer"&gt;https://books.zoho.com/api/v3/contacts&lt;/a&gt;\?organization_id\=12345 
  -H  'Authorization: Zoho-authtoken 984fe68e7f564c6bs01ee9ffb1dsa140' -H "Content-Type: application/x-www-form-urlencoded;charset=UTF-8"&lt;/p&gt;
&lt;/blockquote&gt;
</t>
  </si>
  <si>
    <t xml:space="preserve">&lt;p&gt;OMG
Just as i go to deploy an app, i start getting this message :&lt;/p&gt;
&lt;p&gt;&lt;code&gt;Error publishing application: could not access deployment (File may have been deleted in drive or you may no longer have permission to access it).&lt;/code&gt;&lt;/p&gt;
&lt;p&gt;&lt;a href="https://i.stack.imgur.com/EGg11.png" rel="nofollow noreferrer"&gt;screenshot&lt;/a&gt;&lt;/p&gt;
&lt;p&gt;So i am the admin of my gsuite account and the owner of the file. tried turning off and on the appmaker in the admin page of gsuite.&lt;/p&gt;
&lt;p&gt;Just before i got this message i deleted a bunch of defunct scripts from my drive. could this be related? could it be related to the projects in the cloud platform?&lt;/p&gt;
&lt;p&gt;i have 'deployed' the app using the [PUBLISH] button which works fine!&lt;/p&gt;
&lt;p&gt;thanks for anyone who can help&lt;/p&gt;
</t>
  </si>
  <si>
    <t xml:space="preserve">&lt;p&gt;I have one dropdown, DataCardValue9, with "Fournisseur" in Items. I can choose which "Fournisseur" I want. Working.
I have several labels, with :&lt;/p&gt;
&lt;pre&gt;&lt;code&gt;LookUp(Fournisseur;DataCardValue9.Selected.Title in Fournisseur.Title;Ville)
&lt;/code&gt;&lt;/pre&gt;
&lt;p&gt;So, I'm trying to find address, city, numbers... from my fournisseur in the dropdown. 
Title are unique in Fournisseur. So, why the result is always the first line, instead of the line with "DataCardValue9.Selected.Title in Fournisseur.Title" ?&lt;/p&gt;
&lt;p&gt;Thanks.&lt;/p&gt;
</t>
  </si>
  <si>
    <t xml:space="preserve">&lt;p&gt;You probably want to have this expression:&lt;/p&gt;
&lt;pre&gt;&lt;code&gt;LookUp(Fournisseur; Title = DataCardValue9.Selected.Title; Ville)
&lt;/code&gt;&lt;/pre&gt;
&lt;p&gt;The expression inside the &lt;code&gt;LookUp&lt;/code&gt; function works in the context of the data source of the first parameter. If you want to compare with the Title column in a single row, you just specify &lt;code&gt;Title&lt;/code&gt;.&lt;/p&gt;
&lt;p&gt;When you specify &lt;code&gt;Fournisseur.Title&lt;/code&gt;, since there's no &lt;code&gt;Fournisseur&lt;/code&gt; column in your &lt;code&gt;Fournisseur&lt;/code&gt; table, that expression is interpreted as "all values of the Title column in the Fournisseur table. And since the selected title from the dropdown comes from the same data source, that expression will be true for all items in the table. When &lt;code&gt;LookUp&lt;/code&gt; results in multiple items, it will take the first one, which is what you're observing.&lt;/p&gt;
</t>
  </si>
  <si>
    <t xml:space="preserve">&lt;p&gt;I'd like to pause a deployment while I do some offline data maintenance. However, I have found no way to do so. &lt;/p&gt;
&lt;p&gt;I can temporarily revoke all access rights from the deployment, but it's a bit of a crutch. Is there a switch somewhere that I overlooked ?&lt;/p&gt;
</t>
  </si>
  <si>
    <t xml:space="preserve">&lt;p&gt;I've created a google app maker app and added a server script in order to access the Admin SDK API. When I preview my app I see the following error "GoogleJsonResponseException: Not Authorized to access this resource/api at listAllGroups". My understanding is that google app maker uses the account of the current user to access resources, which means I need to grant myself API access to the Admin SDK. How can I achieve this? Btw, I'm logged in as a super admin&lt;/p&gt;
&lt;p&gt;Here is the server script I'm using: &lt;/p&gt;
&lt;pre&gt;&lt;code&gt;function listAllGroups() {
  var pageToken;
  var page;
  do {
    page = AdminDirectory.Groups.list({
      domain: 'test.domain.com',
      maxResults: 100,
      pageToken: pageToken
    });
    var groups = page.groups;
    if (groups) {
      for (var i = 0; i &amp;lt; groups.length; i++) {
        var group = groups[i];
        Logger.log('%s (%s)', group.name, group.email);
      }
    } else {
      Logger.log('No groups found.');
    }
    pageToken = page.nextPageToken;
    } while (pageToken);
}
&lt;/code&gt;&lt;/pre&gt;
</t>
  </si>
  <si>
    <t xml:space="preserve">&lt;p&gt;If you are using a super admin account, chances are that the &lt;strong&gt;domain&lt;/strong&gt; parameter is giving you the problem. Try this instead:&lt;/p&gt;
&lt;pre&gt;&lt;code&gt;function listAllGroups() {
  var pageToken;
  var page;
  do {
    page = AdminDirectory.Groups.list({
      customer: 'my_customer',
      maxResults: 100,
      pageToken: pageToken
    });
    var groups = page.groups;
    if (groups) {
      for (var i = 0; i &amp;lt; groups.length; i++) {
        var group = groups[i];
        Logger.log('%s (%s)', group.name, group.email);
      }
    } else {
      Logger.log('No groups found.');
    }
    pageToken = page.nextPageToken;
    } while (pageToken);
}
&lt;/code&gt;&lt;/pre&gt;
&lt;p&gt;Please note that here we are using the parameter &lt;strong&gt;customer&lt;/strong&gt; with the value &lt;strong&gt;my_customer&lt;/strong&gt; instead of the parameter &lt;strong&gt;domain&lt;/strong&gt;. If these does not fix the issue, then make sure that the app runs as the user and not as the developer. If it runs as the developer, then make sure the developer is a super admin account. Hope it helps!&lt;/p&gt;
</t>
  </si>
  <si>
    <t xml:space="preserve">&lt;p&gt;Primary Name field is by default "Required". How to fill this field by GUID or random number on save?&lt;/p&gt;
</t>
  </si>
  <si>
    <t xml:space="preserve">&lt;p&gt;There is a many to many relationship between two records namely countries and clients. When I fetch some records from the clients ( an array of clients ) and I try to assign them problematically to a country( record ) like this &lt;code&gt;record[clientsRelationName] = clients&lt;/code&gt; I get the following bazaar error, &lt;code&gt;TypeError: Cannot read property "data" from undefined.&lt;/code&gt; I know for sure that the variable &lt;code&gt;clientsRelationName&lt;/code&gt; is actually a string that corresponds to the name of the relation which is simply just called clients. And it has nothing to do with a variable called data. In fact data does't exist. And I know for sure that &lt;code&gt;record&lt;/code&gt; is a defined variable.&lt;/p&gt;
&lt;p&gt;Any idea why this is happening? Is it a bug?&lt;/p&gt;
</t>
  </si>
  <si>
    <t xml:space="preserve">&lt;p&gt;After a lot of trail and error, I finally found a way to make it work using a rather very simple solution and its the only way I could make it work. Basically to a void getting this strange error when when modifying an association on a record &lt;code&gt;TypeError: Cannot read property "data" from undefined&lt;/code&gt; , I did the following:&lt;/p&gt;
&lt;p&gt;Loop through the record relation(array) and and popup every record in side it. Then loop through the other records that you want to assign the record relation to ( modify the association ) pushing every element to the record relation. &lt;/p&gt;
&lt;pre&gt;&lt;code&gt;var length = record[relationNameAsVariable].length;
for(var i=0; i&amp;lt;length; i++){
  record[relationNameAsVariable].pop();
}
&lt;/code&gt;&lt;/pre&gt;
&lt;p&gt;now &lt;code&gt;record[relationNameAsVariable]&lt;/code&gt; is empty so do the following:&lt;/p&gt;
&lt;pre&gt;&lt;code&gt;for(var i=0; i &amp;lt; clientsArray.length; i++ ){
  record[relationNameAsVariable].push(clientsArray[i]);
}
&lt;/code&gt;&lt;/pre&gt;
&lt;p&gt;It could be a bug or something else that I'm doing wrong when trying to replace the whole association. I'm not sure. But this works like a champ.&lt;/p&gt;
</t>
  </si>
  <si>
    <t xml:space="preserve">&lt;p&gt;I am trying to make a contract in Google App Maker. This contract features text boxes for people to enter their names. The issue I ran into is that it's not enough to just add the person to a SQL database, but there needs to be solid digital evidence of the person signing the contract.&lt;/p&gt;
&lt;p&gt;Using 'ctrl' + 'p' on the appmaker script messes up the formatting of the page. &lt;/p&gt;
&lt;p&gt;I see that there is an &lt;a href="https://developers.google.com/appmaker/samples/email-pdf" rel="nofollow noreferrer"&gt;appmaker sample of how to create a PDF&lt;/a&gt;, however, this just creates a new document and then adds text to it. There is a lot of text in the contract and it is specifically formatted, so typing that up in a Google Doc through javascript would take hours.&lt;/p&gt;
&lt;p&gt;Does anyone with experience with appmaker know of an easier method? Or is the one I found really the best?&lt;/p&gt;
</t>
  </si>
  <si>
    <t xml:space="preserve">&lt;p&gt;Here is what I ended up doing...&lt;/p&gt;
&lt;ol&gt;
&lt;li&gt;&lt;p&gt;Create a template google document with a certain identifier {} in places where information must be loaded into (ex. name, address, phone number...)&lt;/p&gt;&lt;/li&gt;
&lt;li&gt;&lt;p&gt;In appmaker, create a script which read the contract and filled out all the identifiers {} with the relevant information&lt;/p&gt;&lt;/li&gt;
&lt;li&gt;&lt;p&gt;In appmaker, there run the command to turn a google document into a pdf&lt;/p&gt;&lt;/li&gt;
&lt;li&gt;&lt;p&gt;In appmaker, email that pdf to the relevant person&lt;/p&gt;&lt;/li&gt;
&lt;/ol&gt;
</t>
  </si>
  <si>
    <t xml:space="preserve">&lt;p&gt;Below are the stages of my Opportunity in the Salesforce system.&lt;/p&gt;
&lt;ul&gt;
&lt;li&gt;Identified&lt;/li&gt;
&lt;li&gt;Qualified &lt;/li&gt;
&lt;li&gt;Specified&lt;/li&gt;
&lt;li&gt;Proposal&lt;/li&gt;
&lt;li&gt;Follow Up&lt;/li&gt;
&lt;li&gt;Close&lt;/li&gt;
&lt;/ul&gt;
&lt;p&gt;I need to mark my opportunities which are on HOLD. I felt adding HOLD as a stage is not a good idea as at any point Opportunity can go on hold. Is there some other way to mark projects which are on hold? I am new to Salesforce. Please help.&lt;/p&gt;
&lt;p&gt;Thanks
Niki&lt;/p&gt;
</t>
  </si>
  <si>
    <t xml:space="preserve">&lt;p&gt;If "HOLD" is a truly state of your opportunity there is no problem to create this new Status value. Otherwise, if you're not comfortable with this approach, you can create a new Checkbox field named "On Hold". If you decide for this approach, considerer one of the bellow:&lt;/p&gt;
&lt;ol&gt;
&lt;li&gt;create a validation rule to avoid change the Opportunity Status while the opportunity "On Hold" checkbox is selected or;&lt;/li&gt;
&lt;li&gt;create a workflow (or Process Builder) to assign Unchecked (false) to "On Hold" field always the opportunity status is changed.&lt;/li&gt;
&lt;/ol&gt;
</t>
  </si>
  <si>
    <t xml:space="preserve">&lt;p&gt;I am creating an app to store schedules and I do not want two schedules with the same date. To combat this I added this code (javascript) to the &lt;code&gt;onBeforeCreate()&lt;/code&gt; and &lt;code&gt;onBeforeSave()&lt;/code&gt; events.&lt;/p&gt;
&lt;p&gt;&lt;div class="snippet" data-lang="js" data-hide="false" data-console="true" data-babel="false"&gt;
&lt;div class="snippet-code"&gt;
&lt;pre class="snippet-code-js lang-js prettyprint-override"&gt;&lt;code&gt;var query = app.models.DataSource.newQuery(); // New query
query.filters.date._equals = record.date; //Search for a record that has the same 
if (query.run().length) {
  throw new Error("There is already a schedule on that date"); // Throw an error
}&lt;/code&gt;&lt;/pre&gt;
&lt;/div&gt;
&lt;/div&gt;
&lt;/p&gt;
&lt;p&gt;This works great to prevent the duplicate entries, but how would I go about detecting this on the client side and reporting it to the user?&lt;/p&gt;
&lt;p&gt;Its probably a quick fix but any input would be greatly appreciated :)&lt;/p&gt;
&lt;p&gt;Thanks!!&lt;/p&gt;
</t>
  </si>
  <si>
    <t xml:space="preserve">&lt;p&gt;First, you need to modify the datasource field to be unique. &lt;br&gt;
You'll need to go to &lt;strong&gt;ModelName &gt; FieldName &gt; Advanced&lt;/strong&gt;:&lt;/p&gt;
&lt;p&gt;&lt;a href="https://i.stack.imgur.com/QA7OW.png" rel="nofollow noreferrer"&gt;&lt;img src="https://i.stack.imgur.com/QA7OW.png" alt="enter image description here"&gt;&lt;/a&gt;&lt;/p&gt;
&lt;p&gt;Then, when creating the item on the client side, let's say, for example, using a button widget which its datasource is set in &lt;strong&gt;create mode&lt;/strong&gt;, then on the &lt;strong&gt;onClick&lt;/strong&gt; event handler, use the following:&lt;/p&gt;
&lt;pre&gt;&lt;code&gt;widget.datasource.createItem({
  success: function(record){
    console.log(record._key);
  },
  failure: function(error){
    var err = error.toString();
    if(err.indexOf("Duplicate entry") &amp;gt; -1){
      alert("There is already a schedule on that date");
    } else {
      alert(error.toString());
    }
  }    
});
&lt;/code&gt;&lt;/pre&gt;
&lt;p&gt;For more information, I recommend you to consult the &lt;a href="https://developers.google.com/appmaker/scripting/client#types_of_callbacks" rel="nofollow noreferrer"&gt;&lt;strong&gt;official documentation&lt;/strong&gt;&lt;/a&gt;.&lt;/p&gt;
</t>
  </si>
  <si>
    <t xml:space="preserve">&lt;p&gt;I have a list group that holds a bunch of attributes, but when I clarify that the last element within that group hold a margin of 0, the output doesn't match.&lt;/p&gt;
&lt;p&gt;The Salesforce HTML:&lt;/p&gt;
&lt;pre&gt;&lt;code&gt;&amp;lt;aura:iteration items="{!v.IdeasList}" var="idea"&amp;gt;
            &amp;lt;li class="list-group-item"&amp;gt;
                &amp;lt;a href="{!v.ideaDetailPath + idea.Id }" class="anchorLink"&amp;gt; 
                    &amp;lt;div class="prodname"&amp;gt;{!idea.Title}&amp;lt;/div&amp;gt;
                &amp;lt;/a&amp;gt;
                &amp;lt;div class="ideaInfo"&amp;gt; 
                    &amp;lt;span class="points"&amp;gt;{!idea.VoteTotal} points &amp;lt;/span&amp;gt;
                    &amp;lt;span style="padding-right:24px;"&amp;gt;
                    &amp;lt;span class="status"&amp;gt;
                        {!idea.Status}
                    &amp;lt;/span&amp;gt; 
                    &amp;lt;/span&amp;gt;
                    &amp;lt;span class="createdDate"&amp;gt;&amp;lt;ui:outputDate value="{!idea.CreatedDate}"/&amp;gt;&amp;lt;/span&amp;gt;
                    &amp;lt;!--span class="slds-avatar slds-avatar_circle slds-avatar_small"&amp;gt;
                        &amp;lt;img src='{!idea.CreatorSmallPhotoUrl}'/&amp;gt;{!idea.CreatorName}&amp;lt;/span&amp;gt;
                    &amp;lt;span class="slds-text-title_bold"&amp;gt;
                        &amp;lt;a class="profileName" href="javascript:void(0)" 
                           id="profile-link"
                           data-createdByValue="{!idea.CreatedById}" 
                           onclick="{!c.openProfileWindow}"&amp;gt;
                          {!idea.CreatorName}&amp;lt;/a&amp;gt;&amp;lt;/span--&amp;gt;
                   &amp;lt;a class="slds-text-title_bold profileName" id="profile-link" data-createdByValue="{!idea.CreatedById}" href="javascript:void(0);" onclick="{!c.openProfileWindow}"&amp;gt;
                       &amp;lt;span class="slds-avatar slds-avatar_circle slds-avatar_small slds-m-right_x-small"&amp;gt;
                           &amp;lt;img src="{!idea.CreatorSmallPhotoUrl}"/&amp;gt;
                       &amp;lt;/span&amp;gt;{!idea.CreatorName}
                    &amp;lt;/a&amp;gt;
                &amp;lt;/div&amp;gt;
                &amp;lt;div class="slds-border_bottom"&amp;gt;
                &amp;lt;/div&amp;gt;
            &amp;lt;/li&amp;gt;
        &amp;lt;/aura:iteration&amp;gt;
&lt;/code&gt;&lt;/pre&gt;
&lt;p&gt;The Salesforce CSS:&lt;/p&gt;
&lt;pre class="lang-css prettyprint-override"&gt;&lt;code&gt;.THIS .list-group-item {
    font-size: 12px;
    list-style: none;
    width: 100%;
    margin-bottom:24px;
}
.THIS .list-group-item:last-child{
    margin-bottom:0;
}
&lt;/code&gt;&lt;/pre&gt;
&lt;p&gt;Does that mean pseudo elements (specifically last-child in this case) don't work in Salesforce Lightning CSS?&lt;/p&gt;
</t>
  </si>
  <si>
    <t xml:space="preserve">&lt;p&gt;It seems that the only thing that works is &lt;code&gt;:nth-last-child(2)&lt;/code&gt; - because for some reason, &lt;code&gt;:last-child&lt;/code&gt; doesn't acknowledge that the last item is actually the last item.&lt;/p&gt;
&lt;p&gt;I did a search within the HTML to check that there was no other element after the element I was hoping to edit via CSS, but there wasn't. Seems as though this is a salesforce bug? Anyway,s &lt;code&gt;:nth-last-child(2)&lt;/code&gt; worked instead of &lt;code&gt;:last-child&lt;/code&gt;&lt;/p&gt;
</t>
  </si>
  <si>
    <t xml:space="preserve">&lt;p&gt;I have an app where users need to upload pictures (preferably add the same time) and then it is added to a gallery.
But whenever I do media&gt;add picture, it creates a box, and when I test the app and press the add image button that I created, I can only select one image.&lt;/p&gt;
&lt;p&gt;Is it possible to upload multiple images at once using that add image thing?&lt;/p&gt;
</t>
  </si>
  <si>
    <t xml:space="preserve">&lt;p&gt;I have a Zoho form embedded on a Squarespace site and I need to populate some fields with URL parameters in Javescript. I'm using the following code to get the parameters:&lt;/p&gt;
&lt;pre&gt;&lt;code&gt;&amp;lt;script&amp;gt;       function getUrlVars() {
    var vars = {};
    var parts = window.location.href.replace(/[?&amp;amp;]+([^=&amp;amp;]+)=([^&amp;amp;]*)/gi, function(m,key,value) {
        vars[key] = value;
    });
    return vars;
}
&amp;lt;/script&amp;gt;
&lt;/code&gt;&lt;/pre&gt;
&lt;p&gt;and then to set the parameters to variables:&lt;/p&gt;
&lt;pre&gt;&lt;code&gt;  var campaign1 = getUrlVars()["campaign"];
  alert(campaign1);
&lt;/code&gt;&lt;/pre&gt;
&lt;p&gt;So that gets the parameter named 'campaign' in the url and assigns it to 'campaign1'. The alert is just to show that it is working, and it is. Then I want to run this:&lt;/p&gt;
&lt;pre&gt;&lt;code&gt;&amp;lt;script type="text/javascript" src="https://forms.zohopublic.com/....j7Q?campaign="+campaign1 id="ZFScript"&amp;gt;  alert(campaign1); &amp;lt;/script&amp;gt;
&lt;/code&gt;&lt;/pre&gt;
&lt;p&gt;But no matter what I do I can't get that part to reference the variable in the 'src=' section, but I can reference it in the 'alert(campaign1);' immediately after.&lt;/p&gt;
&lt;p&gt;I also tried this, which was meant to save the whole URL to a variable named 'site' and just run 'src=site', but that didn't work either.&lt;/p&gt;
&lt;pre&gt;&lt;code&gt;&amp;lt;script&amp;gt;       function getUrlVars() {
    var vars = {};
    var parts = window.location.href.replace(/[?&amp;amp;]+([^=&amp;amp;]+)=([^&amp;amp;]*)/gi, function(m,key,value) {
        vars[key] = value;
    });
    return vars;
}
  var campaign1 = getUrlVars()["campaign"];
  var site = "https://forms.zohopublic.com....j7Q?campaign="+campaign1
&amp;lt;/script&amp;gt;
&amp;lt;script type="text/javascript"
 src=site id="ZFScript"&amp;gt; alert(site);&amp;lt;/script&amp;gt;
&lt;/code&gt;&lt;/pre&gt;
</t>
  </si>
  <si>
    <t xml:space="preserve">&lt;p&gt;Does anyone had tried to send a notification to Google Hangout from Google AppMaker? Usually, I use the &lt;code&gt;MailApp.sendEmail&lt;/code&gt; to send the notification to Gmail. But this time, I wanted to pop-up a notification directly to the user's Hangout. How can I achieve that using Google AppMaker? Is there any API to do so? &lt;/p&gt;
</t>
  </si>
  <si>
    <t xml:space="preserve">&lt;p&gt;OK so i have developed an app with appmaker which can move files from personal drives to team drives and vice versa. This is less trivial than it sounds since the  move/copy process is different with personal and team drives. It works fine except for files in google photos which are shown in drive.&lt;/p&gt;
&lt;p&gt;through the app we get FileId and FolderId. I test where the current file and target folder is with &lt;code&gt;file.teamDriveId&lt;/code&gt; which is false-y on personal drive files/folders and then direct the code to the correct function to actually do the move see &lt;code&gt;function moveFileToFolder&lt;/code&gt;.&lt;/p&gt;
&lt;p&gt;problem:
google photos drives test &lt;strong&gt;false&lt;/strong&gt; for &lt;code&gt;.teamDriveId&lt;/code&gt; (ie. in personal drive which is where they are shown in the regular google interface) but when handled by the &lt;code&gt;function D2T&lt;/code&gt; the code breaks and gives an error that it is a Team Drive file &lt;code&gt;Exception: Cannot use this operation on a Team Drive item&lt;/code&gt;.  however, the file doesnt have a &lt;code&gt;teamDriveId&lt;/code&gt;. checkmate!&lt;/p&gt;
&lt;p&gt;one idea i had was to obtain an teamDriveId for the google photos and add to the file inside google photos then copy but cant seem to get that to work. If anyone has an idea, would be grateful.. thanks.&lt;/p&gt;
&lt;pre&gt;&lt;code&gt;/* 
moveFiletoFolder first redirects to the correct function
Drive to Drive : D2D
Team to Team: T2T
Drive To team: D2T
team to drive: T2D
*/
function moveT2T(fileId, newFolderId, Description){
  var file = Drive.Files.get(fileId, {supportsTeamDrives: true});
  var folder=Drive.Files.get(newFolderId, {supportsTeamDrives: true});
  console.log(file.title +' moveT2T ' + folder.title); 
//first PATCH the file - moves it to the new folder 
  Drive.Files.patch(file, fileId, {
    removeParents: file.parents.map(function(f) { return f.id; }),
    addParents: [newFolderId],   //problem line for non-team drives
    supportsTeamDrives: true 
       });
  return (file.title + " moved to " + folder.title);
}
function moveD2D(sourceFileId, targetFolderId, Description) {
 var file = DriveApp.getFileById(sourceFileId);
 var targetfolder= DriveApp.getFolderById(targetFolderId);
 console.log(file.getName() +' moveD2D ' + targetfolder.getName());
 file.getParents().next().removeFile(file);
 DriveApp.getFolderById(targetFolderId).addFile(file);
 return (file.getName() + " moved to " + targetfolder.title);
}
function moveD2T(sourceFileId, targetFolderId, Description) {
 var file = DriveApp.getFileById(sourceFileId);
 var folder=Drive.Files.get(targetFolderId, {supportsTeamDrives: true});
 console.log(file.getName() +' moveD2T ' + folder.title);
  //file.getParents().next().removeFile(file); // this line was removed - 
  not needed when moving from personal to team drive!
    DriveApp.getFolderById(targetFolderId).addFile(file);
  return (file.getName() + " moved to " + folder.title);
}
function moveP2T(fileId, newFolderId, Description) {
/* doesnt work!
    var file = Drive.Files.get(fileId, {supportsTeamDrives: true});
    var folder=Drive.Files.get(newFolderId, {supportsTeamDrives: true});
    newId=Drive.Files.generateIds().ids[0];
  Drive.Files.insert(file, fileId,{
  "supportsTeamDrives": true    
  });
\\ this crashes but is the correct code for moving from personal to team drive:
 DriveApp.getFolderById(targetFolderId).addFile(file);  
  Drive.Files.patch(file, fileId, {
    removeParents: file.parents.map(function(f) { return f.id; }),
    addParents: [newFolderId],   //problem line for non-team drives
    supportsTeamDrives: true 
       });
  */
}
function moveFileToFolder(fileId, newFolderId, Description) {  
  var file = Drive.Files.get(fileId, {supportsTeamDrives: true});
  var folder=Drive.Files.get(newFolderId, {supportsTeamDrives: true});
  if (file.spaces.indexOf('photos')!= -1){
   //console.log(file.teamDriveId);
   // moveD2T(fileId, newFolderId, Description);  //Exception: Cannot use this operation on a Team Drive item. line 95 DriveApp.getFolderById(targetFolderId).addFile(file);
    moveP2T(fileId, newFolderId, Description);
return (file.title + " moved to " + folder.title) ;
  }
  if (file.teamDriveId ){   
    // file is in a Team Drive , it can be copied to Team 
 Folder or Drive Folder with moveT2T 
// i.e. moveT2T = moveT2D
moveT2T(fileId, newFolderId, Description);
return (file.title + " moved to " + folder.title) ;
  }
 if (!file.teamDriveId &amp;amp;&amp;amp; !folder.teamDriveId){
   //file is being copied between  Drive folders only
    moveD2D(fileId, newFolderId, Description);
    return (file.title + " moved to " + folder.title) ;
   }
  if (!file.teamDriveId &amp;amp;&amp;amp; folder.teamDriveId){
   //file is currently in Drive, needs to move to Team Drive folder
    moveD2T(fileId, newFolderId, Description);
    return (file.title + " moved to " + folder.title);
        }
   }
&lt;/code&gt;&lt;/pre&gt;
</t>
  </si>
  <si>
    <t xml:space="preserve">&lt;p&gt;Trying to teach myself Salesforce Development.&lt;/p&gt;
&lt;p&gt;I created a Lightning Component for a Communities page to create a Lead.  The component works fine, simply calls the Apex class to insert the Lead.&lt;/p&gt;
&lt;p&gt;However, I can't figure out how to write the test class required before this can be passed to production.&lt;/p&gt;
&lt;p&gt;Here is the Apex Class to create the Lead:&lt;/p&gt;
&lt;pre&gt;&lt;code&gt;public class LightningLeadCreatecls {
    @AuraEnabled
    public static void createLead(Lead leadObj){
        insert leadObj; 
    }
}
&lt;/code&gt;&lt;/pre&gt;
&lt;p&gt;I have written Apex Test Classes for Apex Classes that simply pull data with SELECT, but can't figure out how to create this test class.  It is at 0/2.&lt;/p&gt;
&lt;p&gt;Thanks.&lt;/p&gt;
</t>
  </si>
  <si>
    <t xml:space="preserve">&lt;p&gt;No different as the example found in Salesforce's official site, try &lt;/p&gt;
&lt;pre&gt;&lt;code&gt;@isTest 
private class LightningLeadCreateTest {
static testMethod void doTest() {
   // Insert Lead
   Lead l = new Lead(LastName='Test', Company='Test', Status='Open - Not Contacted');
   LightningLeadCreatecls.createLead(l);
   // Retrieve the Lead
   Lead verifyLead = [SELECT LastName FROM Lead LIMIT 1];
   // Test that Lead exist
   System.assertEquals('Test', verifyLead.LastName);
}
&lt;/code&gt;&lt;/pre&gt;
&lt;p&gt;}&lt;/p&gt;
</t>
  </si>
  <si>
    <t xml:space="preserve">&lt;p&gt;I have a table in Google App Maker, which is called Prerequisites. I have another one called courses. Basically, when I add a record to courses, I want it to automatically add the course name as a record to the prerequisites table. This is what i have in the onAfterCreate event in the courses table:&lt;/p&gt;
&lt;pre&gt;&lt;code&gt;var prereqs = app.models.Prerequisites.newRecord();
record.Course = prereqs.Prerequisites;
app.saveRecords([record]);
&lt;/code&gt;&lt;/pre&gt;
&lt;p&gt;Nothing is happening though. No error, but I am not getting a new record in the prerequisites table.&lt;/p&gt;
&lt;p&gt;Any ideas?&lt;/p&gt;
</t>
  </si>
  <si>
    <t xml:space="preserve">&lt;p&gt;I an trying to grab url parameters onto a Zoho form in Squarespace for Google tracking purposes. I made a custom function to get the parameter and add it to a url. The alerts at the end are just to show that it is getting set correctly. But I am unable to add the form with the variable 'site'. &lt;/p&gt;
&lt;pre&gt;&lt;code&gt;&amp;lt;script type="text/javascript"&amp;gt; 
    function getUrlVars() {
        var vars = {};
        var parts = window.location.href.replace(/[?&amp;amp;]+([^=&amp;amp;]+)=([^&amp;amp;]*)/gi, function(m,key,value) {
            vars[key] = value;
        });
        return vars;
    }
    var campaign = getUrlVars()["campaign"];
    var site = "https://forms.zohopublic.com/....wj7Q?campaign="+campaign;
      var scriptElement = document.createElement('script');
      scriptElement.type = "text/javascript";
      scriptElement.src = site;
      scriptElement.id = "ZFScript";
      document.head.appendChild(scriptElement);
      alert(decodeURI(campaign));
      alert(site);
      alert(scriptElement.src);
      alert(scriptElement.type);
      alert(scriptElement.id);
&amp;lt;/script&amp;gt;
&lt;/code&gt;&lt;/pre&gt;
&lt;p&gt;So at the end I just need to run&lt;/p&gt;
&lt;pre&gt;&lt;code&gt;&amp;lt;script type="text/javascript" src=site id="ZFScript"&amp;gt;&amp;lt;/script&amp;gt;
&lt;/code&gt;&lt;/pre&gt;
&lt;p&gt;But I can not get it to write a new script with src equaling the site variable. &lt;/p&gt;
</t>
  </si>
  <si>
    <t xml:space="preserve">&lt;p&gt;I read it; (&lt;a href="https://sheet.zoho.com/help/api/v2/#authorization" rel="nofollow noreferrer"&gt;https://sheet.zoho.com/help/api/v2/#authorization&lt;/a&gt;)&lt;/p&gt;
&lt;p&gt;&lt;a href="https://i.stack.imgur.com/YpG80.png" rel="nofollow noreferrer"&gt;&lt;img src="https://i.stack.imgur.com/YpG80.png" alt="enter image description here"&gt;&lt;/a&gt;&lt;/p&gt;
&lt;p&gt;Note: I know for a fact the URL is working. If I copy and paste it in the browser, everything is fine.&lt;/p&gt;
&lt;p&gt;How do I get this code(Authorization) on my server side?&lt;/p&gt;
&lt;p&gt;&lt;strong&gt;I'm trying this on my server (php-curl):&lt;/strong&gt;&lt;/p&gt;
&lt;pre&gt;&lt;code&gt;&amp;lt;?php
$uri = 'www.xxx.com/zoho_return.php';
$scope = 'ZohoSheet.dataAPI.UPDATE,ZohoSheet.dataAPI.READ';
$clientid = '1000.XXXXXXXXXXXXXXX';
$zoho_client_secret = 'XXXXXXXXXXXXXXXXXXXXX';
$accestype = 'offline';
$ch = curl_init();
$url = 'https://accounts.zoho.com/oauth/v2/auth?scope=' . 
       $scope . '&amp;amp;client_id=' . $clientid . '&amp;amp;response_type=code&amp;amp;access_type=' . 
       $accestype . '&amp;amp;redirect_uri=' . $uri . '';
$ch = curl_init($url);
curl_setopt($ch, CURLOPT_HEADER, true);
curl_setopt($ch, CURLOPT_USERAGENT,'Mozilla/5.0 (Windows; U; Windows NT 5.1; en-US; rv:1.8.1.13) Gecko/20080311 Firefox/2.0.0.13');
curl_setopt($ch, CURLOPT_RETURNTRANSFER, true);
curl_setopt($ch, CURLOPT_BINARYTRANSFER, true);
curl_setopt($ch, CURLOPT_SSL_VERIFYPEER, false);
curl_setopt($ch, CURLOPT_FOLLOWLOCATION, true);
curl_setopt($ch, CURLOPT_CONNECTTIMEOUT ,0);
curl_setopt($ch, CURLOPT_TIMEOUT, 0);
$html = curl_exec($ch);
$redirectURL = curl_getinfo($ch,CURLINFO_EFFECTIVE_URL );
curl_close($ch);
echo 'redirectURL: '.$redirectURL.'&amp;lt;br&amp;gt;&amp;lt;br&amp;gt;';
echo 'header: '.$html;
&lt;/code&gt;&lt;/pre&gt;
&lt;p&gt;&lt;strong&gt;Response on chrome:&lt;/strong&gt;&lt;/p&gt;
&lt;p&gt;&lt;strong&gt;redirectURL:&lt;/strong&gt; &lt;a href="https://accounts.zoho.com/oauth/v2/auth?scope=ZohoSheet.dataAPI.UPDATE,ZohoSheet.dataAPI.READ&amp;amp;client_id=1000.XXXXXXXXXXXXXXX&amp;amp;response_type=code&amp;amp;access_type=online&amp;amp;redirect_uri=www.xxx.com/zoho_return.php" rel="nofollow noreferrer"&gt;https://accounts.zoho.com/oauth/v2/auth?scope=ZohoSheet.dataAPI.UPDATE,ZohoSheet.dataAPI.READ&amp;amp;client_id=1000.XXXXXXXXXXXXXXX&amp;amp;response_type=code&amp;amp;access_type=online&amp;amp;redirect_uri=www.xxx.com/zoho_return.php&lt;/a&gt;&lt;/p&gt;
&lt;p&gt;&lt;strong&gt;header:&lt;/strong&gt; HTTP/1.1 302 Found Server: ZGS Date: Fri, 26 Oct 2018 22:48:43 GMT Content-Length: 0 Connection: keep-alive Set-Cookie: a8c61fa0dc=8db261d30d9c85a68e92e4f91ec8079a; Path=/; Secure; HttpOnly X-Content-Type-Options: nosniff X-XSS-Protection: 1 Set-Cookie: iamcsr=108a1f8a-29cf-4408-bbaf-113f8c42a3d7;path=/;Secure;priority=high Pragma: no-cache Cache-Control: no-cache Expires: Thu, 01 Jan 1970 00:00:00 GMT X-Frame-Options: SAMEORIGIN Location: &lt;a href="https://accounts.zoho.com/signin?servicename=AaaServer&amp;amp;serviceurl=%2Foauth%2Fv2%2Fauth%3Fscope%3DZohoSheet.dataAPI.UPDATE%252CZohoSheet.dataAPI.READ%26client_id%1000.XXXXXXXXXXXXXXX%26response_type%3Dcode%26access_type%3Donline%26redirect_uri%3Dhttp%253A%252F%252Fxxx.com%252Fzoho_return.php" rel="nofollow noreferrer"&gt;https://accounts.zoho.com/signin?servicename=AaaServer&amp;amp;serviceurl=%2Foauth%2Fv2%2Fauth%3Fscope%3DZohoSheet.dataAPI.UPDATE%252CZohoSheet.dataAPI.READ%26client_id%1000.XXXXXXXXXXXXXXX%26response_type%3Dcode%26access_type%3Donline%26redirect_uri%3Dhttp%253A%252F%252Fxxx.com%252Fzoho_return.php&lt;/a&gt; Strict-Transport-Security: max-age=15768000&lt;/p&gt;
</t>
  </si>
  <si>
    <t xml:space="preserve">&lt;p&gt;How can I display the contacts images along with the numbers as like the contact list  from the device.I tried to display the image from  URL "content://com.android.contacts/contacts/" by using the 'Contacts Plugin'.But I can't fetch the image from that URL.The type of image is set as 'External URL'.&lt;/p&gt;
</t>
  </si>
  <si>
    <t xml:space="preserve">&lt;p&gt;Does Mendix generates a source code in any particular language, which can be edited and reused?
I have never used Mendix&lt;/p&gt;
</t>
  </si>
  <si>
    <t xml:space="preserve">&lt;p&gt;I have 3 other members who are listed in the admin role. They have the ability to make edits in the UI for the application; however, when it comes to edit the deployment such as granting users access to the deployment, they do not have the option for edit. Is this the expected behavior?&lt;/p&gt;
</t>
  </si>
  <si>
    <t xml:space="preserve">&lt;p&gt;I am trying to add attachment url in crm. I am flowing this &lt;a href="https://www.zoho.com/crm/help/api/v2/#upload-an-attachment" rel="nofollow noreferrer"&gt;documentation&lt;/a&gt; . But i got error !&lt;/p&gt;
&lt;p&gt;&lt;strong&gt;This is my code :&lt;/strong&gt;&lt;/p&gt;
&lt;pre&gt;&lt;code&gt;$zoho_url = "https://www.zohoapis.com/crm/v2/$module/$id/Attachments";
$post['attachmentUrl'] = $url;
$ch=curl_init();
curl_setopt($ch, CURLOPT_VERBOSE, 1);
curl_setopt($ch, CURLOPT_SSL_VERIFYPEER, FALSE);
curl_setopt($ch, CURLOPT_SSL_VERIFYHOST, FALSE); 
curl_setopt($ch, CURLOPT_RETURNTRANSFER, 1);
curl_setopt($ch, CURLOPT_POST, 1);
curl_setopt($ch,CURLOPT_URL,$zoho_url);
curl_setopt($ch,CURLOPT_POSTFIELDS,$post);
$headers = array(); 
$headers[] = "Authorization: ".$authtoken; 
$headers[] = "Content-Type: multipart/form-data"; 
curl_setopt($ch, CURLOPT_HTTPHEADER, $headers); 
$response = curl_exec($ch); 
$err = curl_errno($ch);
curl_close ($ch);
if ($err) {
  $result = $err;
} else {
  $result = $response;
}
print_r($result);
&lt;/code&gt;&lt;/pre&gt;
&lt;p&gt;&lt;strong&gt;This is response :&lt;/strong&gt;&lt;/p&gt;
&lt;pre&gt;&lt;code&gt;{"code":"INVALID_REQUEST","details":{},"message":"unable to process your request. please verify whether you have entered proper method name, parameter and parameter values.","status":"error"}
&lt;/code&gt;&lt;/pre&gt;
</t>
  </si>
  <si>
    <t xml:space="preserve">&lt;p&gt;I'm trying to catch an error when creating a new record to a data source. (The data source is set to only accept unique values on one of the fields.)&lt;/p&gt;
&lt;p&gt;When attempting to force an error the client side script runs and displays the final popup stating that a new record was created successfully. Instead of displaying the popup to state an error creating the record has occurred.&lt;/p&gt;
&lt;p&gt;I spoke with one of our senior devs and he explained the issue is due to saveChanges running asynchronously. (The call to save changes runs without any error and only after it completes does it return an error.)&lt;/p&gt;
&lt;p&gt;So my question is how do I catch an error after saveChanges completes and display a popup. (If record created successfully or failed.)&lt;/p&gt;
&lt;p&gt;My Code:&lt;/p&gt;
&lt;pre&gt;&lt;code&gt;//Creates New Stores
function createNewStores() {  
var newCert = '{"ShopCertificates":[{"Certificate_ID":"","Certificate_Name":"","Valid_From":"","Valid_To":"","Renewal_Date":"","Date_Applied_For_Renewal":"","Date_Compliance_Received":"","Date_Compliance_Issues_Resolved":"","Compliance_Notice_Date":"","Certificate_URL":""}]}';
//Get the Datasource, set it to create mode and create a new blank item.
var createDatasource = app.datasources.Stores.modes.create;
var draft = createDatasource.item;
//Get the selected values from the page.
var brand = app.pages.A_Add_Store.descendants.Dropdown_Brand_Selector.value;
var division = app.pages.A_Add_Store.descendants.Dropdown_Division_Selector.value;
var storeName = app.pages.A_Add_Store.descendants.Dropdown_Stores_Selector.value;
//Set the values of the draft record to be the values entered in the form.
draft.StoreId = parseInt(storeName);
draft.Brand = brand;
draft.Division = division;
draft.Store_Name = storeName;
draft.Cert_JSON = newCert;
//Create the new record in the datasource and save changes to the datasource.
try{
createDatasource.createItem();
app.datasources.Stores.saveChanges();
}
catch(err){
app.popups.Error_Store_Already_Exists.visible = true;
}
//After record is created set values in form to null.
app.pages.A_Add_Store.descendants.Dropdown_Brand_Selector.value = null;
app.pages.A_Add_Store.descendants.Dropdown_Division_Selector.value = null;
app.pages.A_Add_Store.descendants.Dropdown_Stores_Selector.value = null;
//Display Popup stating store has been added.
app.popups.New_Store_Added.visible = true;
}
&lt;/code&gt;&lt;/pre&gt;
</t>
  </si>
  <si>
    <t xml:space="preserve">&lt;p&gt;Assuming that your Stores datasource is set to 'Manual Save' mode the following should work:&lt;/p&gt;
&lt;p&gt;Replace this section of code:&lt;/p&gt;
&lt;pre&gt;&lt;code&gt;try{
createDatasource.createItem();
app.datasources.Stores.saveChanges();
}
catch(err){
app.popups.Error_Store_Already_Exists.visible = true;
}
&lt;/code&gt;&lt;/pre&gt;
&lt;p&gt;With this:&lt;/p&gt;
&lt;pre&gt;&lt;code&gt;createDatasource.createItem();
app.datasources.Stores.saveChanges({
  success: function() {
    app.popups.New_Store_Added.visible = true;
  },
  failure: function() {
    app.popups.Error_Store_Already_Exists.visible = true;
  }
});
&lt;/code&gt;&lt;/pre&gt;
&lt;p&gt;If your datasource is set to auto save then the saveChanges() function will get ignored and you will not be able to pass a call back in that function. Please reference the asynchronous operations section in the documentation here &lt;a href="https://developers.google.com/appmaker/scripting/client#asynchronous_operations" rel="nofollow noreferrer"&gt;https://developers.google.com/appmaker/scripting/client#asynchronous_operations&lt;/a&gt;.&lt;/p&gt;
&lt;p&gt;If this doesn't work for you or you are unable to use this to figure out your code please let me know.&lt;/p&gt;
</t>
  </si>
  <si>
    <t xml:space="preserve">&lt;p&gt;I tried to integrate Laravel application with ZOHO SDK but it's not working, &lt;code&gt;zohocrm/php-sdk&lt;/code&gt; is for PHP not for Laravel. I have tried third parties packages but none is working.&lt;/p&gt;
&lt;ul&gt;
&lt;li&gt;Zoho API Version: 2.0 &lt;/li&gt;
&lt;li&gt;Laravel Version: 5.7&lt;/li&gt;
&lt;/ul&gt;
&lt;p&gt;I have tried these packages also&lt;/p&gt;
&lt;p&gt;&lt;a href="https://packagist.org/packages/atlasresults/zoho-laravel-crm-php" rel="nofollow noreferrer"&gt;https://packagist.org/packages/atlasresults/zoho-laravel-crm-php&lt;/a&gt;
&lt;a href="https://github.com/rahulreghunath/Zoho" rel="nofollow noreferrer"&gt;https://github.com/rahulreghunath/Zoho&lt;/a&gt;&lt;/p&gt;
&lt;p&gt;The issue with Official SDK is it could not find the class &lt;code&gt;ZCRMRestClient&lt;/code&gt; when generating grant-token.
&lt;a href="https://www.zoho.com/crm/help/developer/server-side-sdks/php.html" rel="nofollow noreferrer"&gt;https://www.zoho.com/crm/help/developer/server-side-sdks/php.html&lt;/a&gt;&lt;/p&gt;
&lt;pre&gt;&lt;code&gt;public function abc()
{
    ZCRMRestClient::initialize();
    $oAuthClient = ZohoOAuth::getClientInstance();
    $grantToken = “paste_the_self_authorized_grant_token_here”;
    $oAuthTokens = $oAuthClient-&amp;gt;generateAccessToken($grantToken);
}
&lt;/code&gt;&lt;/pre&gt;
&lt;p&gt;Any help would be appreciated.  &lt;/p&gt;
</t>
  </si>
  <si>
    <t xml:space="preserve">&lt;p&gt;I have 2 lists in SharePoint.... List 1: Request List &amp;amp; List 2: Approver List.
&lt;br&gt;
&lt;br&gt;
User selects new and PowerApps form displays where the employee enters his request.
&lt;br&gt;&lt;br&gt;
&lt;strong&gt;Request List&lt;/strong&gt; fields...&lt;br&gt;
Leave Date(Date field) &lt;br&gt; 
Employee(Person field)  &lt;br&gt;
Department (Text)&lt;br&gt;
Approver (Person field "AutoFill")*&lt;br&gt;
&lt;br&gt;
* Once employee enters their name in the Request form I want the form to lookup his Approver in List 2 and then prefill the Approver field.
&lt;br&gt;&lt;br&gt;
&lt;strong&gt;Approver List&lt;/strong&gt; fields.....&lt;br&gt;
Employee (Person field)&lt;br&gt;
Approving Manager (Person field)&lt;br&gt;
Department (Text)&lt;br&gt;
&lt;br&gt;&lt;br&gt;
Can someone suggest a good way to make this work.  Lookups and Cascading lookups not the solution.&lt;br&gt;&lt;br&gt;&lt;/p&gt;
&lt;h2&gt;Thanks for reading my post... any help is appreciated.&lt;/h2&gt;
&lt;p&gt;Carlos... 
Here are some screen shots of the configuration....&lt;/p&gt;
&lt;p&gt;&lt;a href="https://i.stack.imgur.com/vxHJ8.png" rel="nofollow noreferrer"&gt;PowerApps setup&lt;/a&gt;&lt;/p&gt;
&lt;p&gt;&lt;a href="https://i.stack.imgur.com/Qv4Z5.png" rel="nofollow noreferrer"&gt;Effects after adding suggested code&lt;/a&gt;&lt;/p&gt;
</t>
  </si>
  <si>
    <t xml:space="preserve">&lt;p&gt;I have bought a domain (E.g.: &lt;code&gt;MyCompany.com&lt;/code&gt;) from Google.
Setup all the accounts and users, &lt;code&gt;MX&lt;/code&gt; and &lt;code&gt;TXT&lt;/code&gt; parameters from Zoho and verified the email accounts on Zoho. Emails are getting delivered and received. Google domains were updated correctly so far so good.&lt;/p&gt;
&lt;p&gt;Now, I came to know first 10000 emails are free from Mailgun, I have setup &lt;code&gt;MX&lt;/code&gt; and &lt;code&gt;TXT&lt;/code&gt; and verified same domain (&lt;code&gt;MyCompany.com&lt;/code&gt;) on Mailgun too. 
I see mails getting delivered with the account name I mention in From (&lt;code&gt;support@MyDomain.com&lt;/code&gt;) field. But I do not see the emails in &lt;code&gt;Sent Box&lt;/code&gt; of Zoho mailbox (which is expected, I guess)&lt;/p&gt;
&lt;p&gt;My questions are:
1. Is that right approach?
2. I keep seeing the below error from Zoho.
&lt;strong&gt;&lt;code&gt;SPF entries in your domains DNS are not configured to match with Zoho. Please configure SPF to ensure better email delivery.&lt;/code&gt;&lt;/strong&gt;
Why is that error and what does that mean?
3. Is the error due to using same domain on Mailgun and Zoho?&lt;/p&gt;
</t>
  </si>
  <si>
    <t xml:space="preserve">&lt;p&gt;I'm having trouble correctly setting up a multiselect so that I can edit the data in my app. More specifically, I'm creating a form so that you can edit the details of a Client, including their favorite foods. I want to have a multiselect in that form where you can see the list of checked favorite foods across a list of allowable foods (as determined by one of the fields in the Food model). &lt;/p&gt;
&lt;p&gt;For my data model, I have a one-to-many relation between "Clients" (one, from the Client model) and "Favorite Foods" (many, from the Food model).&lt;/p&gt;
&lt;p&gt;The problem I'm having is that the &lt;code&gt;options&lt;/code&gt; field for a multiselect ends up being a &lt;code&gt;List&amp;lt;String&amp;gt;&lt;/code&gt; (&lt;code&gt;@model.Food.fields.Name.possibleValues&lt;/code&gt;). However, I can't figure out what I need to put in the &lt;code&gt;values&lt;/code&gt; field. My inclination is to want to be able to put &lt;code&gt;@datasource.item.FavoriteFoods&lt;/code&gt; but I can't end up choosing that, presumably because it's &lt;code&gt;List&amp;lt;Food record&amp;gt;&lt;/code&gt; and not a &lt;code&gt;List&amp;lt;String&amp;gt;&lt;/code&gt; result. (That assumption could be wrong, I don't know why I can't select that.)&lt;/p&gt;
&lt;p&gt;Anyone know how you're supposed to actually do this? I'm more sure my &lt;code&gt;options&lt;/code&gt; selection is the right way to put the list of options, so I think I just don't know what's normal to put in the &lt;code&gt;values&lt;/code&gt; section.&lt;/p&gt;
</t>
  </si>
  <si>
    <t xml:space="preserve">&lt;p&gt;Based on your problem description, this is what I've done...&lt;/p&gt;
&lt;p&gt;I created a model named &lt;strong&gt;clients&lt;/strong&gt; and a model named &lt;strong&gt;favoriteFoods&lt;/strong&gt;.&lt;br&gt;Then I set up the relation &lt;strong&gt;clients&lt;/strong&gt;(ONE) - (MANY) &lt;strong&gt;favoriteFoods&lt;/strong&gt;.&lt;br&gt;&lt;/p&gt;
&lt;p&gt;Next. I created some test &lt;strong&gt;favoriteFoods&lt;/strong&gt; records and some test &lt;strong&gt;clients&lt;/strong&gt; records. &lt;br&gt;
Then in a test page I inserted an edit form with the datasource being &lt;strong&gt;clients&lt;/strong&gt;. &lt;br&gt;
This is how it looks:&lt;/p&gt;
&lt;p&gt;&lt;a href="https://i.stack.imgur.com/aBQb2.png" rel="nofollow noreferrer"&gt;&lt;img src="https://i.stack.imgur.com/aBQb2.png" alt="enter image description here"&gt;&lt;/a&gt;&lt;/p&gt;
&lt;p&gt;I had to manually insert the &lt;strong&gt;multiselect&lt;/strong&gt; widget because it was not available by default. Then I set up the &lt;strong&gt;multiselect&lt;/strong&gt; bindings as follows:&lt;/p&gt;
&lt;p&gt;&lt;strong&gt;options&lt;/strong&gt;: &lt;em&gt;@datasources.favoriteFoods.items&lt;/em&gt;&lt;br&gt;
&lt;strong&gt;values&lt;/strong&gt;: &lt;em&gt;@datasource.item.favoriteFoods&lt;/em&gt;&lt;/p&gt;
&lt;p&gt;Finally, preview the app and you should be able to see the following behavior:&lt;/p&gt;
&lt;p&gt;&lt;a href="https://i.stack.imgur.com/ckrFN.gif" rel="nofollow noreferrer"&gt;&lt;img src="https://i.stack.imgur.com/ckrFN.gif" alt="enter image description here"&gt;&lt;/a&gt;&lt;/p&gt;
&lt;p&gt;P.S.  If the widget was already inserted before you created the relations or models, chances are that you need to delete the widget and insert it again. I hope this helps!&lt;/p&gt;
</t>
  </si>
  <si>
    <t xml:space="preserve">&lt;p&gt;I need to have a generic "Delete confirmation" pop up and dynamically bind data source to the pop up using event fired before pop-up is appeared.&lt;/p&gt;
&lt;p&gt;Popup will be appeared on clicking the delete icon on "Location" Page (screenshot bellow). I need to set the data source of the popup at the same time. (when user click on this delete icon) and record has to be deleted when user click on "Delete" button on the popup.&lt;/p&gt;
&lt;p&gt;&lt;a href="https://i.stack.imgur.com/RrpJB.png" rel="nofollow noreferrer"&gt;&lt;img src="https://i.stack.imgur.com/RrpJB.png" alt="enter image description here"&gt;&lt;/a&gt;&lt;/p&gt;
&lt;p&gt;This is the code I have currently for the onclick event of the delete icon above&lt;/p&gt;
&lt;pre&gt;&lt;code&gt;app.popups.ItemDeleteConfirmationDialog.descendants.Content.datasource = widget.datasource;
app.popups.ItemDeleteConfirmationDialog.descendants.ConfirmButton.datasource = widget.datasource;
app.popups.ItemDeleteConfirmationDialog.visible=true;
&lt;/code&gt;&lt;/pre&gt;
&lt;p&gt;And this is what I have for the onClick button of the pop-up&lt;/p&gt;
&lt;pre&gt;&lt;code&gt;widget.datasource.deleteItem();
&lt;/code&gt;&lt;/pre&gt;
&lt;p&gt;Please help me to get this resolved.
Thank you.&lt;/p&gt;
</t>
  </si>
  <si>
    <t xml:space="preserve">&lt;p&gt;The following was suggested by someone from the App Maker team at Google:&lt;/p&gt;
&lt;p&gt;In your Confirmation Popup set a custom property of type Dynamic. For the purposes of this example call the property CallbackFn.&lt;/p&gt;
&lt;p&gt;For the onClick event of your ConfirmButton in the popup set the following client script:&lt;/p&gt;
&lt;pre&gt;&lt;code&gt;if (typeof widget.root.properties.CallbackFn === 'function') {
  widget.root.properties.CallbackFn();
}
widget.root.visible = false;
&lt;/code&gt;&lt;/pre&gt;
&lt;p&gt;For the delete button in your datasource table set the following client script:&lt;/p&gt;
&lt;pre&gt;&lt;code&gt;deleteItem(widget.datasource);
&lt;/code&gt;&lt;/pre&gt;
&lt;p&gt;In your scripts section add a client script or insert the following function under an existing client script:&lt;/p&gt;
&lt;pre&gt;&lt;code&gt;function deleteItem(datasource) {
  var popup = app.popups.ItemDeleteConfirmationDialog;
  popup.properties.CallbackFn = function() {
    datasource.deleteItem();
  };
  popup.visible = true;
}
&lt;/code&gt;&lt;/pre&gt;
&lt;p&gt;Since your delete button in your table is within a table row, you may need to change the function variable that you pass to the deleteItem() function as follows:&lt;/p&gt;
&lt;pre&gt;&lt;code&gt;deleteItem(widget.parent.parent.datasource);
&lt;/code&gt;&lt;/pre&gt;
&lt;p&gt;If this doesn't work let me know. I have this set up in my own application with much more complex logic and I pass multiple variables in some cases to my deleteItem() function and it works great.&lt;/p&gt;
</t>
  </si>
  <si>
    <t xml:space="preserve">&lt;pre&gt;&lt;code&gt;createObjectDataadd: function(component, event) {
    var index = event.getParam("indexVar");
    console.log(index);
    var RowItemList1 = component.get("v.QuotelinitemList"); 
     RowItemList1.push({
        'sobjectType': 'Quote_Line_Item__c',
        'Name':'',
        'Client_P_N__c': ''
         });
     RowItemList1.splice(index+1,0,RowItemList1); 
    //  for (var i = index; i &amp;lt;RowItemList1.length; i++) { 
    //  RowItemList1.splice(index+1,0,rowli); 
    //    }              
    component.set("v.QuotelinitemList", RowItemList1);
    //RowItemList1.splice(index-1,0,RowItemList1); 
},
&lt;/code&gt;&lt;/pre&gt;
&lt;p&gt;Quote_Line_Item__c is an object. suppose it has three records. Every record has index value. Every record has button new quote_line_item button which it is pushing a new quote line item record at end of the array.&lt;/p&gt;
&lt;p&gt;My problem is it adding at the last index.I  want to add it on next index where the record new quote line item button is pressed.&lt;/p&gt;
&lt;p&gt;I tried many ways but it is not coming.&lt;/p&gt;
</t>
  </si>
  <si>
    <t xml:space="preserve">&lt;p&gt;For adding item at specified index in Array, you can use "&lt;a href="https://developer.mozilla.org/en-US/docs/Web/JavaScript/Reference/Global_Objects/Array/splice" rel="nofollow noreferrer"&gt;Array.splice&lt;/a&gt;" like below. It takes 3 arguments: index, number of items to remove from that index, new value(s) to add. So, trick is you can pass 0 as second argument which means you do not want to delete any item&lt;/p&gt;
&lt;p&gt;&lt;div class="snippet" data-lang="js" data-hide="false" data-console="true" data-babel="false"&gt;
&lt;div class="snippet-code"&gt;
&lt;pre class="snippet-code-js lang-js prettyprint-override"&gt;&lt;code&gt;let arr = [1,2,3,4]
function addItem(item, index) {
  arr.splice(index, 0, item)
}
addItem(10, 1)
console.log(arr)&lt;/code&gt;&lt;/pre&gt;
&lt;/div&gt;
&lt;/div&gt;
&lt;/p&gt;
</t>
  </si>
  <si>
    <t xml:space="preserve">&lt;p&gt;I wrote my first web app using Google App Maker, which edits a spreadsheet file to create a report customized for the user, and allows the user to download a copy of the report.  The program is really simple, it just:&lt;/p&gt;
&lt;ol&gt;
&lt;li&gt;enters the user's user account name into a certain cell of the Sheets document,&lt;/li&gt;
&lt;li&gt;flushes the spreadsheet (which dynamically updates it according to the user account name),&lt;/li&gt;
&lt;li&gt;creates a PDF of the updated spreadsheet - which is a test score report,&lt;/li&gt;
&lt;li&gt;and allows the user to download a pdf of their report.&lt;/li&gt;
&lt;/ol&gt;
&lt;p&gt;It all works fine, except when several students run the web app simultaneously.  If that happens, some of the students end up with another student's report.&lt;/p&gt;
&lt;p&gt;My understanding was that changes made to a Google Sheets document by the server script in my web app would not be saved to the document unless I saved them intentionally.  So my hope was that simultaneous users would not have any impact on each other.&lt;/p&gt;
&lt;p&gt;I'm really stuck as to how to resolve this issue.  Here's my code:&lt;/p&gt;
&lt;p&gt;App startup script (runs as soon as the app is loaded):&lt;/p&gt;
&lt;pre&gt;&lt;code&gt;downloadReport();
&lt;/code&gt;&lt;/pre&gt;
&lt;p&gt;Client script&lt;/p&gt;
&lt;pre&gt;&lt;code&gt;function showDownloadLink(downloadURL){
  console.log(downloadURL);
  var spinnerWidgets = app.pages.appPage.descendants.progressSpinner;
  spinnerWidgets.visible = false;
  var linkWidgets = app.pages.appPage.descendants.downloadPDFLink;
  linkWidgets.href = downloadURL;
  linkWidgets.visible = true;
}
function downloadReport() {
  var status = app.pages.appPage.descendants.downloadStatus;
  var user = app.user.username;
  var downloadLink = google.script.run.withSuccessHandler(showDownloadLink)
  .createDownload(user);
}
&lt;/code&gt;&lt;/pre&gt;
&lt;p&gt;Server script:&lt;/p&gt;
&lt;pre&gt;&lt;code&gt;// Spreadsheet file must have a tab called Report
function createDownload(user) {
///*
// SET SPREADSHEET FILE ID 
  var ssID = 'xxxxxxxxx_SHEETS_FILE_ID_GOES_HERE_xxxxxxxxxx';
  var ss = SpreadsheetApp.openById(ssID);
  SpreadsheetApp.setActiveSpreadsheet(ss);
  var sheet = ss.getSheetByName("Report");
  SpreadsheetApp.setActiveSheet(sheet);
// determines timezone
  var timeZone = Session.getScriptTimeZone();
// generates the timestamp and stores in variable formattedDate as year-month-date hour-minute-second
// gets the destination folder using spreadsheet location (folder)
  var ssFolder = DriveApp.getFileById(ssID).getParents();     
  var folder = ssFolder.next();
  var folderId = folder.getId();
  var destination = DriveApp.getFolderById(folderId);
//  Logger.log('destination name: ' + destination.getName());
// generates the timestamp and stores in variable formattedDate as year-month-date hour-minute-second
  var formattedDate = Utilities.formatDate(new Date(), timeZone , "yyyy-MM-dd' 'HH:mm:ss");
// gets the name of the original file and appends the ID and the timestamp stored in formattedDate
    var PDFfileName = ss.getName()+formattedDate+ "-" + user;
// inputs ID into daughter spreadsheet reference cell to personalize report
    ss.getSheetByName("Report").getRange(3, 1).setValue(user);      // Puts ID into cell A3
    SpreadsheetApp.flush();                                         // Updates the spreadsheet with changes and refreshes report
// Export URL
    var url = "https://docs.google.com/spreadsheets/d/SS_ID/export?".replace("SS_ID", ssID);
 var url_ext = 'exportFormat=pdf&amp;amp;format=pdf'     // export as pdf / csv / xls / xlsx
  + '&amp;amp;size=letter'                               // paper size legal / letter / A4
  + '&amp;amp;portrait=true'                             // orientation, false for landscape
  + '&amp;amp;top_margin=0.30'                           // sets top margin of pdf file  
  + '&amp;amp;bottom_margin=0.28'                        // sets bottom margin of pdf file
  + '&amp;amp;left_margin=0.43'                          // sets left margin of pdf file
  + '&amp;amp;right_margin=0.43'                         // sets right margin of pdf file
  + '&amp;amp;fitw=true'                                 // fit to page width, false for actual size
  + '&amp;amp;sheetnames=false&amp;amp;printtitle=false'         // hide optional headers and footers
  + '&amp;amp;pagenumbers=false&amp;amp;gridlines=false'         // hide page numbers and gridlines
  + '&amp;amp;fzr=false'                                 // do not repeat row headers (frozen rows) on each page
  + '&amp;amp;gid=';                                     // the sheet's Id
  var token = ScriptApp.getOAuthToken();
// Take snapshot and save to PDF
    var response = UrlFetchApp.fetch(url + url_ext + sheet.getSheetId(), {
      headers: {
        'Authorization': 'Bearer ' +  token
      }
    });
    //convert the response to a blob and store in our array
    var blob = response.getBlob().getAs('application/pdf').setName(PDFfileName + '.pdf'); 
    var newPDFFile = folder.createFile(blob);
    newPDFFile.setSharing(DriveApp.Access.ANYONE_WITH_LINK, DriveApp.Permission.VIEW);
// Link URL
    var downloadURL = "https://drive.google.com/uc?export=download&amp;amp;id="+newPDFFile.getId();
    return downloadURL;
}    
&lt;/code&gt;&lt;/pre&gt;
</t>
  </si>
  <si>
    <t xml:space="preserve">&lt;p&gt;I'm trying to copy text from a text area to the clipboard with a button that runs the following script. 
I do get the alert of the text copied, but when I try to paste it somewhere the value was not copied. &lt;/p&gt;
&lt;pre class="lang-js prettyprint-override"&gt;&lt;code&gt;function copmycomment() {
/*get the text area*/
  var copyCo = app.pages.NewPage.children.Panel2.children.tao;
  /*select the text area*/
  copyCo.focus();
    /*copy the value*/
    document.execCommand("copy");
 alert("copied the text:" + copyCo.value);
}
&lt;/code&gt;&lt;/pre&gt;
</t>
  </si>
  <si>
    <t xml:space="preserve">&lt;p&gt;In Google App Maker, the TextArea widget is an object composed of two HTML elements; The &lt;strong&gt;label&lt;/strong&gt; and the &lt;strong&gt;input&lt;/strong&gt;. When you execute this line: &lt;/p&gt;
&lt;pre&gt;&lt;code&gt;var copyCo = app.pages.NewPage.children.Panel2.children.tao;
&lt;/code&gt;&lt;/pre&gt;
&lt;p&gt;You are actually selecting an appmaker object and not an HTML element that contains the text; Therefore, when this line of code is executed: &lt;/p&gt;
&lt;pre&gt;&lt;code&gt;copyCo.focus();
&lt;/code&gt;&lt;/pre&gt;
&lt;p&gt;You are not focusing the text you would like to copy and as a result the &lt;code&gt;document.execCommand("copy");&lt;/code&gt; does not works.&lt;/p&gt;
&lt;p&gt;In order to achieve what you need, please follow the below steps:&lt;/p&gt;
&lt;p&gt;First, In a test page, insert a &lt;strong&gt;TextArea&lt;/strong&gt; widget and below it a &lt;strong&gt;Button&lt;/strong&gt; widget.&lt;br&gt;
It should resemble something similar to this:&lt;br&gt;
&lt;a href="https://i.stack.imgur.com/5lG6o.png" rel="nofollow noreferrer"&gt;&lt;img src="https://i.stack.imgur.com/5lG6o.png" alt="enter image description here"&gt;&lt;/a&gt;&lt;/p&gt;
&lt;p&gt;Then, add the following code to the &lt;strong&gt;onClick&lt;/strong&gt; event handler of the button:&lt;br&gt;&lt;/p&gt;
&lt;pre&gt;&lt;code&gt;var textField = widget.parent.descendants.TextArea1.getElement().children[1];
textField.select();
document.execCommand('copy');
window.getSelection().removeAllRanges();
&lt;/code&gt;&lt;/pre&gt;
&lt;p&gt;&lt;strong&gt;Please Note:&lt;/strong&gt;&lt;br&gt;
In the line &lt;code&gt;var textField = widget.parent.descendants.TextArea1.getElement().children[1];&lt;/code&gt; the part &lt;code&gt;widget.parent.descendants.TextArea1&lt;/code&gt; represents the path to the TextArea widget, so depending on how you do things, it might be different for you.&lt;/p&gt;
&lt;p&gt;That should be all. Preview your app and the text should be copied to the clipboard. I hope this helps!&lt;/p&gt;
</t>
  </si>
  <si>
    <t xml:space="preserve">&lt;p&gt;Do Google App Maker allows accessing Camera or Photos on iOS?&lt;/p&gt;
&lt;p&gt;I'm considering the use of App maker in a browser or embedding App maker inside WebView.&lt;/p&gt;
</t>
  </si>
  <si>
    <t xml:space="preserve">&lt;p&gt;App Maker has a Google Drive widget that allows you to upload files to a Google Drive. On iOS it allows you to select photos from your library or to take a photo or video to upload.&lt;/p&gt;
</t>
  </si>
  <si>
    <t xml:space="preserve">&lt;p&gt;I want to import excel/csv file from local pc to quickbase and update table without using third-party apps of quickbase connected services and update automatically whenever any change in excel/csv.&lt;/p&gt;
</t>
  </si>
  <si>
    <t xml:space="preserve">&lt;p&gt;I made a small app to generate provisioning scripts. It is using 2 related SharePoint lists like: sitemodule (moduleid, name) -&gt; (moduleid, powershell commands) For every module belongs multiple ps commands like create site, apply template, upload files etc. &lt;br/&gt;
I can fill a textbox with the generated scripts, and copy-paste from there, but would be nicer if I could save the box content as text file (local, sharepoint, onedrive, doesn't matter). The "export" control is not suitable for this, what other options do I have?&lt;/p&gt;
</t>
  </si>
  <si>
    <t xml:space="preserve">&lt;p&gt;You can use Flows for doing this, you can send to Flows the filename and the content of it to create it in Sharepoint.&lt;/p&gt;
&lt;p&gt;Take a look to this post that explains it very well:&lt;/p&gt;
&lt;p&gt;&lt;a href="https://www.c-sharpcorner.com/article/upload-a-file-to-sharepoint-from-powerapps-using-flow/" rel="nofollow noreferrer"&gt;https://www.c-sharpcorner.com/article/upload-a-file-to-sharepoint-from-powerapps-using-flow/&lt;/a&gt;&lt;/p&gt;
</t>
  </si>
  <si>
    <t xml:space="preserve">&lt;p&gt;In a create form, I want the textbox being filled with some default value :
For example 
- the date with the current date
- the price with the listprice outof the db, but so that the user can change it&lt;/p&gt;
&lt;p&gt;I was not able to figure out where to do that&lt;/p&gt;
</t>
  </si>
  <si>
    <t xml:space="preserve">&lt;p&gt;In the App maker, I have created a datasource with several items which I'm displaying on a table. When the user clicks on an item, a pop up comes up with the properties of the item the user clicked bound to the widget. Once the user clicks the save button on that pop up, I want to get the id of the current item in a server script. How can I achieve this?&lt;/p&gt;
</t>
  </si>
  <si>
    <t xml:space="preserve">&lt;p&gt;You will need to use an asynchronous operation. The &lt;a href="https://developers.google.com/appmaker/scripting/client#asynchronous_operations" rel="nofollow noreferrer"&gt;&lt;strong&gt;official documentation&lt;/strong&gt;&lt;/a&gt; explains how you can achieve this. Basically, you need to do something similar to this:&lt;/p&gt;
&lt;p&gt;Let's say that on a server script you have the following: &lt;/p&gt;
&lt;pre&gt;&lt;code&gt;function doSomething(id){
    //do something
    if(!id){
        throw Error("Id is missing");
    }        
    return "ID = " + id;
}
&lt;/code&gt;&lt;/pre&gt;
&lt;p&gt;Then on the &lt;strong&gt;SAVE&lt;/strong&gt; button you need to have something like this on the &lt;strong&gt;onClick&lt;/strong&gt; event handler:&lt;/p&gt;
&lt;pre&gt;&lt;code&gt;var id = app.datasources.**yourDataSource**.item.id;
google.script.run.withFailureHandler(function(error){
    console.log(error);
).withSuccessHandler(function(response){
    console.log(response);
}).doSomething(id);
&lt;/code&gt;&lt;/pre&gt;
&lt;p&gt;I hope this helps!&lt;/p&gt;
</t>
  </si>
  <si>
    <t xml:space="preserve">&lt;p&gt;first-time questioner here!&lt;/p&gt;
&lt;ul&gt;
&lt;li&gt;I have a page called Dashboard and it has a table listing all Products.&lt;/li&gt;
&lt;li&gt;On each Product table row there is a button&lt;/li&gt;
&lt;li&gt;I want to click the edit button to open a new page called 'Products' where instead of it showing all products, it shows only the selected record.&lt;/li&gt;
&lt;/ul&gt;
&lt;p&gt;Solutions I can think of (but don't know which is best or how to properly implement)
- create a filtered query datasource with a parameter
- write a function and call it from the onClick event (I cannot write JS)
- write some simple code in the custom action of the onclick event&lt;/p&gt;
&lt;p&gt;&lt;a href="https://i.stack.imgur.com/loK9t.jpg" rel="nofollow noreferrer"&gt;enter image description here&lt;/a&gt;&lt;/p&gt;
&lt;p&gt;(I'm a citizen coder - my background was MS Access where you could write things like (Open X page where ID=current.record). I am learning slowly by working through the examples but I am not finding there is much documentation from Google so sorry for the basic question.&lt;/p&gt;
</t>
  </si>
  <si>
    <t xml:space="preserve">&lt;p&gt;I have a dropdown list bound to a User/Group type field of a SharePoint list. I can select multiple users and would like to collect their email address.
I expected that this would work. My delimiter is &lt;code&gt;;&lt;/code&gt;, that is correct.&lt;/p&gt;
&lt;pre&gt;&lt;code&gt;Concat(lsOwner.SelectedItems.DisplayName; ";")
&lt;/code&gt;&lt;/pre&gt;
&lt;p&gt;The problem is that this returns only empty strings. I have 2 users selected, and the result is &lt;code&gt;;;&lt;/code&gt;.
To check, if the values present, I mapped the result to a listbox and there I can see the 2 mail addresses.
Just to be curious, I tried to collect the addresses from the listbox like:&lt;/p&gt;
&lt;pre&gt;&lt;code&gt;Concat(ListBox1.SelectedItems.Value ;"")
Concat(ListBox1.SelectedItems.Email ;"")
&lt;/code&gt;&lt;/pre&gt;
&lt;p&gt;Both of them returned empty strings (even tough the email address were visible in the list), when I selected one or more.
Please, somebody tell me what do I do wrong. Thanks in advance.&lt;/p&gt;
</t>
  </si>
  <si>
    <t xml:space="preserve">&lt;p&gt;The second parameter of the &lt;a href="https://docs.microsoft.com/powerapps/maker/canvas-apps/functions/function-concatenate" rel="nofollow noreferrer"&gt;Concat function&lt;/a&gt; is the expression that will be applied to the records of the first parameter. What you want is likely the following expression:&lt;/p&gt;
&lt;pre&gt;&lt;code&gt;Concat(
    lsOwner.SelectedItems;
    DisplayName;
    ";")
&lt;/code&gt;&lt;/pre&gt;
</t>
  </si>
  <si>
    <t xml:space="preserve">&lt;p&gt;I am trying to make two simple display and edit forms&lt;/p&gt;
&lt;p&gt;I have connected my mysql sources and in data i have choosen in general 2 tables.&lt;/p&gt;
&lt;p&gt;I have created succesfully the display form by choosing one table and fields from it.&lt;/p&gt;
&lt;p&gt;When i am trying from this specific table to select fields in the edit form, i see that the created datacards are in view mode. The program is not creating the correct fields( starvisible,errormessage,datacardvalue,datacardkey) it only creates (datacardvalue,datacardkey).&lt;/p&gt;
&lt;p&gt;My form is edit form, with defaultmode edit.&lt;/p&gt;
&lt;p&gt;In the same editform when i connect another table from the same db everything works fine. I have even connected a second db to check another table from there and it works fine. What should i check?&lt;/p&gt;
&lt;p&gt;Is there anything that i should check in my DB. The differences there are that the data in the table that is not working properly are inserted with etl program but in the rest tables manually.&lt;/p&gt;
</t>
  </si>
  <si>
    <t xml:space="preserve">&lt;p&gt;I've created custom form with PowerApps so when you click on New button in SharePoint you will see this: &lt;/p&gt;
&lt;p&gt;&lt;img src="https://i.stack.imgur.com/aJMhF.png?w=100" height="400" /&gt;&lt;/p&gt;
&lt;p&gt;This form is for SharePoint list &lt;strong&gt;&lt;em&gt;Workflow&lt;/em&gt;&lt;/strong&gt; but for column &lt;em&gt;CostCenter&lt;/em&gt; I'm using external list &lt;strong&gt;&lt;em&gt;Companies and Cost Centers&lt;/em&gt;&lt;/strong&gt; where I'm filtering values based on selected &lt;em&gt;Company&lt;/em&gt; (Cascading Dropdown). &lt;/p&gt;
&lt;p&gt;I'm able to select data in those two fields correctly but when I hit the Save button in the form the value of &lt;em&gt;CostCenter&lt;/em&gt; is not saved to &lt;strong&gt;&lt;em&gt;Workflow&lt;/em&gt;&lt;/strong&gt; list but everything else is. &lt;/p&gt;
&lt;p&gt;So &lt;em&gt;Title&lt;/em&gt;, &lt;em&gt;Property Manager&lt;/em&gt;, &lt;em&gt;Company&lt;/em&gt;, etc. except &lt;em&gt;CostCenter&lt;/em&gt; is saved. I guess it's connected to that Data Source of each field but I don't know how to send those data from &lt;em&gt;CostCenter&lt;/em&gt; to &lt;strong&gt;&lt;em&gt;Workflow&lt;/em&gt;&lt;/strong&gt; too.&lt;/p&gt;
&lt;p&gt;&lt;img src="https://i.stack.imgur.com/lFz2E.png" width="600" /&gt;
&lt;img src="https://i.stack.imgur.com/gXxnt.png" width="600" /&gt;&lt;/p&gt;
&lt;p&gt;Thank you for your help. &lt;/p&gt;
</t>
  </si>
  <si>
    <t xml:space="preserve">&lt;p&gt;In google app maker, I'm making an API call to a 3rd party vendor and I'm displaying a spinner while the data loads. How can I hide the spinner programatically once the data loads?&lt;/p&gt;
&lt;p&gt;Client Script
&lt;div class="snippet" data-lang="js" data-hide="false" data-console="true" data-babel="false"&gt;
&lt;div class="snippet-code"&gt;
&lt;pre class="snippet-code-js lang-js prettyprint-override"&gt;&lt;code&gt;google.script.run.withSuccessHandler(function(response){
  groupRules= JSON.parse(response);
}).withFailureHandler(function(err){
    console.error(err);
    setNotificationText('Unable to retrieve group rules. Please try again.');
    app.popups.snackbar.visible = true;
}).getGroupRules(groupId);&lt;/code&gt;&lt;/pre&gt;
&lt;/div&gt;
&lt;/div&gt;
&lt;/p&gt;
&lt;p&gt;Server script&lt;/p&gt;
&lt;p&gt;&lt;div class="snippet" data-lang="js" data-hide="false" data-console="true" data-babel="false"&gt;
&lt;div class="snippet-code"&gt;
&lt;pre class="snippet-code-js lang-js prettyprint-override"&gt;&lt;code&gt;function getGroupRules(groupId) {
  var groupRules;
    var options = {
      'method' : 'GET'
    };
    var groupRulesResponse = UrlFetchApp.fetch('http://apihere.com/' + groupId, options);
  return groupRules;
}&lt;/code&gt;&lt;/pre&gt;
&lt;/div&gt;
&lt;/div&gt;
&lt;/p&gt;
</t>
  </si>
  <si>
    <t xml:space="preserve">&lt;p&gt;You need to put the Spinner.visible = false; in the success and failure handlers so that App Maker waits for the script to finish.&lt;/p&gt;
&lt;p&gt;&lt;div class="snippet" data-lang="js" data-hide="false" data-console="true" data-babel="false"&gt;
&lt;div class="snippet-code"&gt;
&lt;pre class="snippet-code-js lang-js prettyprint-override"&gt;&lt;code&gt;app.pages.NewPage.descendants.Spinner1.visible = true;
google.script.run.withSuccessHandler(function(response){
  groupRules= JSON.parse(response);
  app.pages.NewPage.descendants.Spinner1.visible = false;
}).withFailureHandler(function(err){
    console.error(err);
    setNotificationText('Unable to retrieve group rules. Please try again.');
    app.popups.snackbar.visible = true;
    app.pages.NewPage.descendants.Spinner1.visible = false;
}).getGroupRules(groupId);&lt;/code&gt;&lt;/pre&gt;
&lt;/div&gt;
&lt;/div&gt;
&lt;/p&gt;
</t>
  </si>
  <si>
    <t xml:space="preserve">&lt;p&gt;I'm using MS Powerapps to create an app that uses an Excel as a datasource.&lt;/p&gt;
&lt;p&gt;I've let PowerApps automatically generate the app and all the data's there. The problem is that the dropdown features are lost for each data point in the data set. &lt;/p&gt;
&lt;p&gt;You can now fill out a random string... but that's not what I want. I want the user to be able to choose from a limited set of choices (e.g. 1,2,3,4).&lt;/p&gt;
&lt;p&gt;How can I have Powerapps generate such an app?&lt;/p&gt;
&lt;p&gt;Thank you in advance for your kind help.&lt;/p&gt;
&lt;p&gt;JP&lt;/p&gt;
</t>
  </si>
  <si>
    <t xml:space="preserve">&lt;p&gt;&lt;code&gt;function searchDrive(teamDriveId) {
  var args = {
    corpora: 'teamDrive',
    includeTeamDriveItems: true,
    supportsTeamDrives: true,
    teamDriveId: teamDriveId,
    q: "properties has { key = 'source' and value = 'internet' }"
  };
  return Drive.Files.list(args).items;&lt;/code&gt;&lt;/p&gt;
&lt;p&gt;results in: GoogleJsonResponseException: Invalid query at searchDrive (ServerScript:9)&lt;/p&gt;
&lt;p&gt;I have ran the same query in the API Explorer and received successful results. I have ran other queries (&lt;code&gt;mimeType='image/jpeg'&lt;/code&gt;) using the Drive.Files.list API in AppMaker and received successful results.&lt;/p&gt;
&lt;p&gt;Has anyone queried 'properties' using this API? Does anyone have any insights into what I am doing wrong?&lt;/p&gt;
&lt;p&gt;Thanks&lt;/p&gt;
</t>
  </si>
  <si>
    <t xml:space="preserve">&lt;p&gt;In order to make a proper query you need to include the visibility property; hence it should be:&lt;/p&gt;
&lt;pre&gt;&lt;code&gt;function searchDrive(teamDriveId) {
  var args = {
    corpora: 'teamDrive',
    includeTeamDriveItems: true,
    supportsTeamDrives: true,
    teamDriveId: teamDriveId,
    q: "properties has { key = 'source' and value = 'internet' and visibility='PRIVATE' }"
  };
  return Drive.Files.list(args).items;
}
&lt;/code&gt;&lt;/pre&gt;
&lt;p&gt;Please note the &lt;code&gt;visibility='PRIVATE'&lt;/code&gt; part. Possible values are &lt;code&gt;PRIVATE and PUBLIC&lt;/code&gt; according to &lt;a href="https://developers.google.com/drive/api/v2/reference/properties" rel="nofollow noreferrer"&gt;&lt;strong&gt;the documentation&lt;/strong&gt;&lt;/a&gt;.&lt;/p&gt;
</t>
  </si>
  <si>
    <t xml:space="preserve">&lt;p&gt;First of all, really sorry for my english, I'll try to be as clear as possible. From the client I set query parameters of a datasource in a calculated model and reload the datasource. The query script call a server script that create new records for the calculted datasource. At the end I have data correctly displayed on a chart widget. Now I would like to save this data permanently in a non calculated model. Which is the best way ? I've tried to run a server script then create calculated records again, read and save all them in the non-calculated model, but in this way I created the calculated records twice, and it's not so efficient. Unfortunatly is not possible to pass items that I display on chart to server script, so which is a better ways? &lt;/p&gt;
</t>
  </si>
  <si>
    <t xml:space="preserve">&lt;p&gt;All of a sudden appmaker won't allow me to import an app exported from a different project. &lt;/p&gt;
&lt;p&gt;I get the following errors in snackbar:&lt;/p&gt;
&lt;pre&gt;&lt;code&gt;- error uploading application file. Please try again.
- unexpected client error.
&lt;/code&gt;&lt;/pre&gt;
&lt;p&gt;And here are my webconsole logs:&lt;/p&gt;
&lt;pre&gt;&lt;code&gt;SEVERE: Unexpected error
com.google.gwt.event.shared.UmbrellaException: Exception caught: Invalid file upload info data: 
    at Unknown.Cf(com.google.apps.appmaker.AppMakerGwt-0.js@59:126) .....
&lt;/code&gt;&lt;/pre&gt;
&lt;p&gt;and &lt;/p&gt;
&lt;pre&gt;&lt;code&gt;Caused by: java.lang.IllegalArgumentException: Invalid file upload info data: 
    at Unknown.Kf(com.google.apps.appmaker.AppMakerGwt-0.js@48:130) ......
&lt;/code&gt;&lt;/pre&gt;
&lt;p&gt;Any ideas what is going on? I was doing the same thing yesterday and it was working fine!&lt;/p&gt;
</t>
  </si>
  <si>
    <t xml:space="preserve">&lt;p&gt;I am working with a Lightning:DataTable that is being populated with 1 of 3 sObject types. I would like to be able to filter the data going into the table based on the already existing List Views for the object. As this component is for LEX &lt;strong&gt;and&lt;/strong&gt; I am not able to use an Iframe, I can't use an Enhanced List to work around this.&lt;/p&gt;
&lt;p&gt;Looking into ListView.obj I see the tantalizing field IsSoqlCompatible. I can't seem to find any examples for ListViews being used in SOQL queries or their results. Is there some way I can utilize existing List Views to programmatically filter a query or it's results?&lt;/p&gt;
</t>
  </si>
  <si>
    <t xml:space="preserve">&lt;p&gt;On PowerApps, every time I save a new item, the item on the form switches to the first item on the Sharepoint list&lt;/p&gt;
&lt;p&gt;If I run SubmitForm on the onSelect of a button, the item switches to the first item on the list, and a Flow is running with the ID of the first item on the list, rather than the new created item.&lt;/p&gt;
&lt;p&gt;The button OnSelect is the following:&lt;/p&gt;
&lt;pre&gt;&lt;code&gt;SubmitForm(SharePointForm1);Set(varKickNotified,true);'Kick-Off_Notify_V2'.Run(DataCardValue41)
&lt;/code&gt;&lt;/pre&gt;
&lt;p&gt;The idea is to save the record, set a variable saying that the action has started, and starts a flow with DataCardValue41 being the List item ID.&lt;/p&gt;
&lt;p&gt;The OnSuccess is the following:&lt;/p&gt;
&lt;pre&gt;&lt;code&gt;Refresh(Moving_articles);Set(LastAddedItemID,First(Sort(Moving_articles,ID,SortOrder.Descending)).ID)
&lt;/code&gt;&lt;/pre&gt;
&lt;p&gt;The LastAddedItemID was an attempt to obtain the ID of new item to run the Flow with, but with no results.&lt;/p&gt;
&lt;p&gt;The Item in SharePointForm1 is the following: &lt;/p&gt;
&lt;pre&gt;&lt;code&gt;If(IsBlank(SharePointIntegration.Selected) || IsEmpty(SharePointIntegration.Selected),First(Sort(Moving_articles,ID,SortOrder.Descending)),SharePointIntegration.Selected)
&lt;/code&gt;&lt;/pre&gt;
&lt;p&gt;Also here, an attempt to get the last added item by the first and sort functions.&lt;/p&gt;
&lt;p&gt;Apparently, the problem is that when the new record is created, the selected item is the first item of the list, so the Flow isn't running with the ID of the new created record, but with data from the first item of the list, which is a very strange behaviour.&lt;/p&gt;
&lt;p&gt;What I want the app to do is:&lt;/p&gt;
&lt;p&gt;The user clicks on New in Sharepoint, which opens the form
The user fills the form
Then it clicks on a 'Notify Team' button, which saves the record, and triggers a flow that will send a whole bunch of e-mails with the information contained in the new created list item.&lt;/p&gt;
&lt;p&gt;In my humble poweruser (not programmer) opinion, it seems something that should be as default in PowerApps, but it's getting very hard to get. I already made a mess with commented code and variable set functions just attempting to make this work. I'm stuck on it for almost a week.&lt;/p&gt;
&lt;p&gt;Could you give me any assistance on this?&lt;/p&gt;
</t>
  </si>
  <si>
    <t xml:space="preserve">&lt;p&gt;I'm trying to create a scrollable list of components inside another component. I'm using a card view to contain my info. When I try the following code, I get a weird result with the scrollable view.&lt;/p&gt;
&lt;pre&gt;&lt;code&gt;&amp;lt;aura:component implements="flexipage:availableForAllPageTypes" access="global" controller="ContentListController"&amp;gt;
    &amp;lt;aura:handler name="init" value="{!this}" action="{!c.doInit}"/&amp;gt;
    &amp;lt;!-- Global decleration for the Content Id selected --&amp;gt;
    &amp;lt;aura:attribute name="ContenList" type="Content__c[]"/&amp;gt;
    &amp;lt;div style="max-height: 400px;overflow-y: auto;"&amp;gt;
        &amp;lt;aura:iteration items="{!v.ContenList}" var="store"&amp;gt;
            &amp;lt;c:ContentCard content="{!store}" duration="1" /&amp;gt;
        &amp;lt;/aura:iteration&amp;gt;
    &amp;lt;/div&amp;gt;
&amp;lt;/aura:component&amp;gt;
&lt;/code&gt;&lt;/pre&gt;
&lt;p&gt;The result I get is this where the scroll bar is all the way off in no-man's land.&lt;/p&gt;
&lt;p&gt;&lt;a href="https://i.stack.imgur.com/V4gLl.png" rel="nofollow noreferrer"&gt;&lt;img src="https://i.stack.imgur.com/V4gLl.png" alt="enter image description here"&gt;&lt;/a&gt;&lt;/p&gt;
&lt;p&gt;I was looking for this where its an invisible scroll or at least on the left without all that padding.&lt;/p&gt;
&lt;p&gt;&lt;a href="https://i.stack.imgur.com/vAzUX.png" rel="nofollow noreferrer"&gt;&lt;img src="https://i.stack.imgur.com/vAzUX.png" alt="enter image description here"&gt;&lt;/a&gt;&lt;/p&gt;
</t>
  </si>
  <si>
    <t xml:space="preserve">&lt;p&gt;My app creates a new item, and I want to retrieve the key to use in a server script. The data variable returns null though. This is what I have:&lt;/p&gt;
&lt;pre&gt;&lt;code&gt;function addItem(addButton) {
  var addItemPage = addButton.root;
  if (!addItemPage.validate()) {
    return;
  }
  var props = addItemPage.properties;
  var itemDs = addItemPage.datasource; 
  props.Creating = true;
  itemDs.saveChanges({
    success: function(key) {
      props.Creating = false;
      if (app.currentPage !== app.pages.EditItem) {
        return;
      }     
      var newProjectItem = itemDs.item;
      newProjectItem._loadHistory();
      gotoEditItemPage(newProjectItem._key, true);
      return newProjectItem;      
    },
    failure: function(error) {
      props.Creating = false;
      console.error(error);
    }
  });
  gotoEditItemPage(); 
  var data = app.datasources.ProjectItems.item._key;     
  google.script.run.withSuccessHandler(function(value){       
     alert("Created");       
  }).createDoco(data);
}
&lt;/code&gt;&lt;/pre&gt;
</t>
  </si>
  <si>
    <t xml:space="preserve">&lt;p&gt;How to get custom roles that were enabled for a user from office 365 environment. We are trying to hide/display buttons/fields in power apps by custom roles of a user.&lt;/p&gt;
</t>
  </si>
  <si>
    <t xml:space="preserve">&lt;p&gt;I'd like to access another widget on the page, is there a direct way to do this?
I now about widget.parent.children... and so on, but on big pages, it is a pain, and it does not work if the structure changes...
Is there a way to get a widget by name?&lt;/p&gt;
</t>
  </si>
  <si>
    <t xml:space="preserve">&lt;p&gt;you can access any element on the page using bellow command&lt;/p&gt;
&lt;pre&gt;&lt;code&gt;widget.root.descendants.Button1
&lt;/code&gt;&lt;/pre&gt;
&lt;p&gt;where Button1 is the element in seperate widget on the same page. You can write code to an element in a separate page using bellow code&lt;/p&gt;
&lt;pre&gt;&lt;code&gt;app.pages.PageName1.descendants.ElementName1
&lt;/code&gt;&lt;/pre&gt;
&lt;p&gt;Where PageName1 is the other page, and ElementName1 is the element in PageName1.
Hope this helps you in any way&lt;/p&gt;
</t>
  </si>
  <si>
    <t xml:space="preserve">&lt;p&gt;Is it possible to set an initial filter for a SharePoint list data source that will be valid for the whole applications? Like, I connect to a "cars" list, but I would like to work only with the "blue" cars.&lt;br/&gt;
I know, I can set a filter every time I work with the data source, but I hope there's a simple way to do this in advance.&lt;/p&gt;
</t>
  </si>
  <si>
    <t xml:space="preserve">&lt;p&gt;Currently there isn't a way to apply a global filter for a data source (you can consider creating a new feature request in the &lt;a href="https://aka.ms/powerapps-ideas" rel="nofollow noreferrer"&gt;PowerApps Ideas board&lt;/a&gt;).&lt;/p&gt;
&lt;p&gt;One alternative for this would be to load the filtered data in a collection, and work from that collection instead of the list directly:&lt;/p&gt;
&lt;pre&gt;&lt;code&gt;ClearCollect(
    BlueCars,
    Filter(cars, color = "blue"))
&lt;/code&gt;&lt;/pre&gt;
&lt;p&gt;If your application mostly queries the list (and the size of the list is small enough for delegation not to be a problem), then it should work. You would need to re-query the list anytime your app makes a change.&lt;/p&gt;
</t>
  </si>
  <si>
    <t xml:space="preserve">&lt;p&gt;We are trying to change Button Visibility Based on User Role. Added Custom Security Role, Assigned roles to Users from Dynamics 365 environment . &lt;/p&gt;
&lt;p&gt;&lt;a href="https://i.stack.imgur.com/pCvPR.png" rel="nofollow noreferrer"&gt;Custom Security roles&lt;/a&gt;&lt;/p&gt;
&lt;p&gt;Assigned These roles to Users via Manage Roles option. &lt;/p&gt;
&lt;p&gt;&lt;a href="https://i.stack.imgur.com/CTxOj.png" rel="nofollow noreferrer"&gt;Manage User Roles&lt;/a&gt;&lt;/p&gt;
&lt;p&gt;How can we get Role assigned for CurrentUser in Powerapps Environment? Only 3 attributes(Email,fullName,Image) are available for User() object. Tried using Dynamics 365 Users, Security roles etc into Datasource. Also tried by adding Users entity into Datasource.&lt;/p&gt;
&lt;p&gt;&lt;a href="https://i.stack.imgur.com/87SRE.png" rel="nofollow noreferrer"&gt;Dynamics 365 security roles, users in to datasource&lt;/a&gt;&lt;/p&gt;
</t>
  </si>
  <si>
    <t xml:space="preserve">&lt;p&gt;How to get &lt;strong&gt;MyTeams&lt;/strong&gt; of CurrentUser in Office 365(Dynamics 365) Environment from &lt;strong&gt;Powerapps&lt;/strong&gt; ?&lt;/p&gt;
&lt;p&gt;We are trying to check whether the CurrentUser is a member of a particular Team or not. Teams are added from &lt;strong&gt;Dynamics&lt;/strong&gt; 365 environment.&lt;/p&gt;
&lt;p&gt;We can get all existing teams by adding 'Teams' entity into Datasource.But we need  currentUser's team. Powerapps showing "MyTeams" option in Entity page. But no such option available in code. &lt;/p&gt;
&lt;p&gt;&lt;a href="https://i.stack.imgur.com/GzzjN.png" rel="nofollow noreferrer"&gt;Teams in Dynamics 365 enviroment&lt;/a&gt;&lt;/p&gt;
&lt;p&gt;&lt;a href="https://i.stack.imgur.com/hKWSU.png" rel="nofollow noreferrer"&gt;Myteams Option in Powerapps&lt;/a&gt;&lt;/p&gt;
</t>
  </si>
  <si>
    <t xml:space="preserve">&lt;p&gt;I'm working on a requirement where I have a datasource named 'emailSearchResults' where I search for email messages metadata and load the results in the datasource.&lt;/p&gt;
&lt;p&gt;The fields in the datasource are not relevant, however I set the datasource to have 50 records per page as per the below screenshot:
&lt;a href="https://i.stack.imgur.com/2bdzu.png" rel="nofollow noreferrer"&gt;&lt;img src="https://i.stack.imgur.com/2bdzu.png" alt="enter image description here"&gt;&lt;/a&gt;&lt;/p&gt;
&lt;p&gt;The script I used to load the datasource is shown in the query field, that call the following script:&lt;/p&gt;
&lt;pre&gt;&lt;code&gt;function getMessageDetails(userId, msgID)
{
  var messageDetails = [];
  var messageData;
  var msgID_,subject_,from_,date_;
  messageData=Gmail.Users.Messages.get(userId,msgID,{format:"metadata", metadataHeaders:["Message-ID", "Subject", "From", "Date"]});
  console.log(messageData.payload.headers);
  //console.log(msgID);
  //console.log(messageData.payload.headers[3].value);
  date_="&amp;lt;na&amp;gt;";
  from_="&amp;lt;na&amp;gt;";
  subject_="&amp;lt;na&amp;gt;";
  msgID_="&amp;lt;na&amp;gt;";
  for (var counter =0;counter&amp;lt;4;counter++)
  {
    if (messageData.payload.headers[counter].name=="Message-ID")
    {
      msgID_=messageData.payload.headers[counter].value;
    }
    if (messageData.payload.headers[counter].name=="Subject")
    {
      subject_=messageData.payload.headers[counter].value;
    }
    if (messageData.payload.headers[counter].name=="From")
    {
      from_=messageData.payload.headers[counter].value;
    }
    if (messageData.payload.headers[counter].name=="Date")
    {
      date_=messageData.payload.headers[counter].value;
    }
  }
  messageDetails.push(date_);
  messageDetails.push(from_);
  messageDetails.push(subject_);
  messageDetails.push(msgID_);
  return messageDetails;
}
function searchMessages(userId,condition)
{
  //
  // first we build the conditions
  // we can make it fixed
  // or we can make it dynamic
  var searchResult;
  var deleteResult;
  var currentMessage;
  var results = [];
  var pageToken;
  var params = {};
  var _stat;
  var options = {
    includeSpamTrash: "true",
    pageToken: pageToken
  };
  var msgRecord = [];
  do
  {
    searchResult=Gmail.Users.Messages.list(userId,options);
    for (var i = 0; i &amp;lt; searchResult.messages.length; i++)
    {
      var record=app.models.emailSearchResults.newRecord();
      msgRecord=getMessageDetails(userId,searchResult.messages[i].id);
      record.msgMainID=searchResult.messages[i].id;
      record.msgID=msgRecord[3];
      record.subject=msgRecord[2];
      record.senderAddress=msgRecord[1];
      record.msgDate=msgRecord[0];
      /*console.log(searchResult.messages[i].id);
      console.log(msgRecord[3]);
      console.log(msgRecord[2]);
      console.log(msgRecord[1]);
      console.log(msgRecord[0]);
      return;*/
      results.push(record);
      msgRecord=null;
    }
    if (searchResult.nextPageToken) {
      options.pageToken = searchResult.nextPageToken;
    }
  } while (searchResult.pageToken);
  searchResult=null;
  return results;
}
&lt;/code&gt;&lt;/pre&gt;
&lt;p&gt;On the main page I put a table and linked it to the datasource, and I enabled pagination on the table, so I get the pager buttons at the bottom of the table as below:
&lt;a href="https://i.stack.imgur.com/7eRHI.png" rel="nofollow noreferrer"&gt;&lt;img src="https://i.stack.imgur.com/7eRHI.png" alt="enter image description here"&gt;&lt;/a&gt;
&lt;a href="https://i.stack.imgur.com/OCXSB.png" rel="nofollow noreferrer"&gt;&lt;img src="https://i.stack.imgur.com/OCXSB.png" alt="enter image description here"&gt;&lt;/a&gt;&lt;/p&gt;
&lt;p&gt;When I execute the app and the datasource is filled, I see the first page results in a correct way, however when I want to move to the next page, I click the next page button and once the loading is complete I find out that I still see the same results from the first page on the table.&lt;/p&gt;
&lt;p&gt;I am not familiar with how to make the table show the results of the second page then the third page, and I am going in circles on this...&lt;/p&gt;
&lt;p&gt;Hope the explanation is clear and addresses the issue..&lt;/p&gt;
&lt;p&gt;I would really appreciate any help on this!
Regards&lt;/p&gt;
</t>
  </si>
  <si>
    <t xml:space="preserve">&lt;p&gt;Currently pagination isn't working as expected with calculated datasources. You can, however, build your own. There are several changes you'll need to make to accomplish this. First you'll want to refactor your searchMessages function to something like this:&lt;/p&gt;
&lt;pre&gt;&lt;code&gt;function searchMessages(userId, pageToken){
  var results = [];
  var options = {
    includeSpamTrash: "true",
    pageToken: pageToken,
    maxResults: 50
  };
    var searchResult = Gmail.Users.Messages.list(userId, options);
    for (var i = 0; i &amp;lt; searchResult.messages.length; i++){
      var record = app.models.emailSearchResults.newRecord();
      var msgRecord = getMessageDetails(userId,searchResult.messages[i].id);
      record.msgMainID = searchResult.messages[i].id;
      record.msgID = msgRecord[3];
      record.subject = msgRecord[2];
      record.senderAddress = msgRecord[1];
      record.msgDate = msgRecord[0];
      results.push(record);
    }
  return {records: results, nextPageToken: searchResult.nextPageToken};
}
&lt;/code&gt;&lt;/pre&gt;
&lt;p&gt;Then you'll want to change your datasource query. You'll need to add a number parameter called &lt;code&gt;page&lt;/code&gt;.&lt;/p&gt;
&lt;pre&gt;&lt;code&gt;var cache = CacheService.getUserCache();
var page = query.parameters.page || 1;
var pageToken;
if(page &amp;gt; 1){
  pageToken = cache.get('pageToken' + page.toString());
}
var results = searchMessages('me', pageToken);
var nextPage = (page + 1).toString();
cache.put('pageToken' + nextPage, results.nextPageToken);
return results.records;
&lt;/code&gt;&lt;/pre&gt;
&lt;p&gt;You'll need to modify the pagination widget's various attributes. Here are the previous/next click functions:&lt;/p&gt;
&lt;p&gt;Previous:&lt;/p&gt;
&lt;pre&gt;&lt;code&gt;widget.datasource.query.pageIndex--;
widget.datasource.query.parameters.page = widget.datasource.query.pageIndex;
widget.datasource.load();
&lt;/code&gt;&lt;/pre&gt;
&lt;p&gt;Next:&lt;/p&gt;
&lt;pre&gt;&lt;code&gt;widget.datasource.query.pageIndex++;
widget.datasource.query.parameters.page = widget.datasource.query.pageIndex;
widget.datasource.load();
&lt;/code&gt;&lt;/pre&gt;
&lt;p&gt;You should be able to take it from there.&lt;/p&gt;
</t>
  </si>
  <si>
    <t xml:space="preserve">&lt;p&gt;This might be a random one. I want to create a field that links to a particular record. It needs to be a link to another page which uses the record I am on. I can get the ID for the record, so how do I create a html link to the page with that specific record?&lt;/p&gt;
&lt;p&gt;A button won't do because I am adding the link to the comment section based on the type selected on create.&lt;/p&gt;
&lt;p&gt;Any ideas?&lt;/p&gt;
&lt;p&gt;Thanks :) &lt;/p&gt;
</t>
  </si>
  <si>
    <t xml:space="preserve">&lt;p&gt;I have an app with a server script function that is calling an API endpoint to retrieve a token passing a username/password. According to 'Google app maker' documentation, you can make you server script functions private by appending an 'underscore' at the end of the function name. I want to validate this by looking at the script before/after the 'underscore' is added. How can I find the location of the server side scripts in my browser? I've already inspected all of the js files listed, but I had no luck. Are there any recommendations for storing the credentials passed to retrieve a token?&lt;/p&gt;
&lt;p&gt;&lt;div class="snippet" data-lang="js" data-hide="false" data-console="true" data-babel="false"&gt;
&lt;div class="snippet-code"&gt;
&lt;pre class="snippet-code-js lang-js prettyprint-override"&gt;&lt;code&gt;function getToken_(){
  var securityModel = {"username":"serviceusername","password":"servicepassword"};
  var options = {
    'method' : 'POST',
    'contentType': 'application/json',
    'payload' : JSON.stringify(securityModel)
  };
  var tokenResponse = UrlFetchApp.fetch('http://myapiurlhere/token', options);
  return tokenResponse;
}&lt;/code&gt;&lt;/pre&gt;
&lt;/div&gt;
&lt;/div&gt;
&lt;/p&gt;
</t>
  </si>
  <si>
    <t xml:space="preserve">&lt;p&gt;I created a new &lt;a href="https://developers.google.com/appmaker/" rel="nofollow noreferrer"&gt;AppMaker&lt;/a&gt; app and selected the "default" (as opposed to "custom") &lt;a href="https://developers.google.com/appmaker/models/cloudsql" rel="nofollow noreferrer"&gt;Cloud SQL&lt;/a&gt; database backend.&lt;/p&gt;
&lt;p&gt;While I'm prototyping my app, I'd like to be able to inspect the contents of my database periodically as an admin to debug issues. With a custom Cloud SQL database this is easy because you can acess a custom Cloud SQL database from the cloud console, but I don't see how to manually query a default Cloud SQL database.&lt;/p&gt;
&lt;p&gt;I know that I can export my database to a Google Sheet, but that's inconvenient to do frequently.&lt;/p&gt;
&lt;p&gt;How do I inspect the contents of my AppMaker default Cloud SQL database for debugging (eg. via a SQL command line, UI tool, etc)?&lt;/p&gt;
</t>
  </si>
  <si>
    <t xml:space="preserve">&lt;p&gt;I'm trying to set a user's OU from an App Script inside App Maker. 
(&lt;code&gt;user&lt;/code&gt; is a variable with an email address)&lt;/p&gt;
&lt;pre&gt;&lt;code&gt;function getUser(user) {
  var x = AdminDirectory.Users.update(
    {
      orgUnitPath: "/",
      userKey: user,
    });
  console.log("function ran");
}
&lt;/code&gt;&lt;/pre&gt;
&lt;p&gt;This code errors with:&lt;/p&gt;
&lt;pre&gt;&lt;code&gt;Exception: Invalid number of arguments provided. Expected 2-3 only at getUser (ServerScripts:107)
Invalid number of arguments provided. Expected 2-3 only
at getUser (ServerScripts:107)
at getUser (ClientHandoff:21:21)
at TestMoveOU.Panel1.Button1.onClick:1:1
&lt;/code&gt;&lt;/pre&gt;
&lt;p&gt;What am I doing wrong here? Looking at &lt;a href="https://developers.google.com/admin-sdk/directory/v1/guides/manage-users#update_user" rel="nofollow noreferrer"&gt;the docs&lt;/a&gt;, you only need to provide the properties you're changing.&lt;/p&gt;
</t>
  </si>
  <si>
    <t xml:space="preserve">&lt;p&gt;The &lt;strong&gt;&lt;a href="https://developers.google.com/apps-script/advanced/admin-sdk-directory#reference" rel="nofollow noreferrer"&gt;Apps Script documentation&lt;/a&gt;&lt;/strong&gt; says the following:&lt;/p&gt;
&lt;blockquote&gt;
  &lt;p&gt;For detailed information on this service, see the reference documentation for the Admin SDK Directory API. Like all advanced services in Apps Script, the Admin SDK Directory service uses the same objects, methods, and parameters as the public API.&lt;/p&gt;
&lt;/blockquote&gt;
&lt;p&gt;Therefore, we need to consult the &lt;strong&gt;&lt;a href="https://developers.google.com/admin-sdk/directory/v1/reference/users/update" rel="nofollow noreferrer"&gt;documentation&lt;/a&gt;&lt;/strong&gt; to get clarification on how to achieve this.&lt;/p&gt;
&lt;p&gt;The method requires at least two parameters: that means that the the first parameter is a user object resource and the second parameter is the email address of the user: &lt;code&gt;AdminDirectory.Users.update(resource, userKey)&lt;/code&gt;. So you need to do this:&lt;/p&gt;
&lt;pre&gt;&lt;code&gt;function getUser(user) {
    var userResource = {
        orgUnitPath: "/"
    };
    var updated = AdminDirectory.Users.update(userResource, user);
    console.log(updated.primaryEmail);
}
&lt;/code&gt;&lt;/pre&gt;
&lt;p&gt;So why do you need to specify the user email in the method when it is already being specified in the &lt;code&gt;userResource&lt;/code&gt; object? Well, the email address in the &lt;code&gt;userResource&lt;/code&gt; object would be the new value, in case you want to change the email address.&lt;/p&gt;
&lt;p&gt;P.S. Perhaps you might wanna change the name of the function to something that is more of a match; &lt;code&gt;updateUser()&lt;/code&gt; perhaps? I hope this helps!&lt;/p&gt;
</t>
  </si>
  <si>
    <t xml:space="preserve">&lt;p&gt;I'm creating a google app using app maker. I want to integrate the Gmail API with the application. I went through it's &lt;a href="https://developers.google.com/gmail/api/guides/" rel="nofollow noreferrer"&gt;guideline&lt;/a&gt;, but couldn't able to find any useful resource for my use case. 
According to the guideline, &lt;a href="https://developers.google.com/gmail/api/quickstart/apps-script" rel="nofollow noreferrer"&gt;google app script&lt;/a&gt; are supporting this, but I don't' know if it is possible to integrate the that it to the Google App Maker application.&lt;/p&gt;
&lt;p&gt;Thanks in advance.&lt;/p&gt;
&lt;p&gt;&lt;strong&gt;Update&lt;/strong&gt;&lt;/p&gt;
&lt;p&gt;I have done a bit of research and found that there's an inbuilt object called &lt;strong&gt;GmailApp&lt;/strong&gt; which could be access via a server script. There are number of functions related to that. What I particularly looking for is to get/read email thread for the given subject and open it in a separate browser window, so the user will be able to interact with it (read the thread, reply..etc.)&lt;/p&gt;
</t>
  </si>
  <si>
    <t xml:space="preserve">&lt;p&gt;I am trying to work with conditional data ( true or false ) in outsystems using bits (0 or 1). All I see is an option for a boolean. Does outsystems have a bit data type? &lt;/p&gt;
</t>
  </si>
  <si>
    <t xml:space="preserve">&lt;p&gt;Short answer: no.&lt;/p&gt;
&lt;p&gt;Long answer: boolean data types are mapped into the database as 0 (false) and 1 (true). Additionally, you can use integers to do that logic, but I would advise against it.&lt;/p&gt;
&lt;p&gt;Cheers!&lt;/p&gt;
</t>
  </si>
  <si>
    <t xml:space="preserve">&lt;p&gt;I have "Calculated" model called "Groups" in which I have added the following server script to load the google groups that are part of my domain and display them in a table widget when the user lands on the page. The data displays fine on the first page, but when I click to see the next page, I see the same subset of records and clicking the headers to sort the table does not work either. I'd appreciate some guidance here.&lt;/p&gt;
&lt;p&gt;Calculated Model Server script:&lt;/p&gt;
&lt;p&gt;&lt;div class="snippet" data-lang="js" data-hide="false" data-console="true" data-babel="false"&gt;
&lt;div class="snippet-code"&gt;
&lt;pre class="snippet-code-js lang-js prettyprint-override"&gt;&lt;code&gt;var groupList = [];  
var pageToken;
 var page;
  do {
    page = AdminDirectory.Groups.list({
      customer: 'my_customer',
      maxResults: 5,
      pageToken: pageToken
    });
    var groups = page.groups;
    if (groups) {
      for (var i = 0; i &amp;lt; groups.length; i++) {
        var group = groups[i];
        var record = app.models.Groups.newRecord();
        record.id = group.id;
        record.name = group.name;
        record.email = group.email;
        record.directMembersCount = group.directMembersCount;
        groupList.push(record);
      }
    } else {
      console.log('No groups found.');
    }
    pageToken = page.nextPageToken;
    } while (pageToken);
return groupList;&lt;/code&gt;&lt;/pre&gt;
&lt;/div&gt;
&lt;/div&gt;
&lt;/p&gt;
&lt;p&gt;I've configured the model the following way:
&lt;a href="https://i.stack.imgur.com/qVT0b.png" rel="nofollow noreferrer"&gt;&lt;img src="https://i.stack.imgur.com/qVT0b.png" alt="enter image description here"&gt;&lt;/a&gt;&lt;/p&gt;
</t>
  </si>
  <si>
    <t xml:space="preserve">&lt;p&gt;I am trying to create a canvas app with PowerApps from Microsoft Dynamics 365. I am also trying to set a lookup field value from another lookup field's value and I can't find how to.&lt;/p&gt;
&lt;ol&gt;
&lt;li&gt;I have the "User" lookup on my main screen:&lt;/li&gt;
&lt;/ol&gt;
&lt;p&gt;&lt;img src="https://i.imgur.com/03yJkcK.png" alt=""&gt;&lt;/p&gt;
&lt;ol start="2"&gt;
&lt;li&gt;I have the Operator value in another screen&lt;/li&gt;
&lt;/ol&gt;
&lt;p&gt;&lt;img src="https://i.imgur.com/JW13Ggz.png" alt=""&gt;&lt;/p&gt;
&lt;p&gt;I want to set the "Operator" value from the "User" field. While trying to set the value I found I need a Record instead a single value, so I found on Microsoft's function reference a function to retrieve this record like:&lt;/p&gt;
&lt;pre&gt;&lt;code&gt;Lookup(Operadores, Operador = Operador) // or Operador.Operador
&lt;/code&gt;&lt;/pre&gt;
&lt;p&gt;But this is not working... so the question I think is simple. How to modify a lookup field with the value of another lookup field in a PowerApps canvas app.
Thanks in advance.&lt;/p&gt;
</t>
  </si>
  <si>
    <t xml:space="preserve">&lt;p&gt;I have a calculated Model and in the UI I have added a table widget that is bound to this model. The data loads fine but the pagination and sorting does not work. How to I wired up this functionality?&lt;/p&gt;
</t>
  </si>
  <si>
    <t xml:space="preserve">&lt;p&gt;How do I change the query page size of a calculated model. I have it set to 10 by default but, upon a user searching for records that contain a specific string, I'd like to display all records and remove pagination. is this possible?&lt;/p&gt;
</t>
  </si>
  <si>
    <t xml:space="preserve">&lt;p&gt;Maybe this is something trivial, but I couldn't figure it out.
I would like to publish an app that will be used from a SharePoint sites using their local resources. Like each page has a "customers" list and the app should always work with that. Can check somehow check this on startup and modify the connections?&lt;/p&gt;
</t>
  </si>
  <si>
    <t xml:space="preserve">&lt;p&gt;I am working on mobile app using SalesForce Mobile SDK and for a functionality to work, I am building the mapping between the customer_id and corresponding Address. So to have a mapping, I have modified the SOQL Query to get the customer_id value back once the query is executed.&lt;/p&gt;
&lt;p&gt;This mapping works fine when there is Address is found. But when there is no address associated, I doesnot get any response. So, mapping a customer_id and put a null address in it, I would need the customer_id back even when address is not found.&lt;/p&gt;
&lt;p&gt;To better explain: The following query doesnot return any result since there is no address found:&lt;/p&gt;
&lt;pre&gt;&lt;code&gt;SELECT Account_vod__c,Address_line_2_vod__c, City_vod__c, Name FROM Address_vod__c WHERE Account_vod__c = '001e000000qVp8WAAS'
&lt;/code&gt;&lt;/pre&gt;
&lt;p&gt;But I want to create a query such that if there are no records found, it would return something like:&lt;/p&gt;
&lt;p&gt;&lt;a href="https://i.stack.imgur.com/pNYzY.png" rel="nofollow noreferrer"&gt;&lt;img src="https://i.stack.imgur.com/pNYzY.png" alt="enter image description here"&gt;&lt;/a&gt;&lt;/p&gt;
</t>
  </si>
  <si>
    <t xml:space="preserve">&lt;p&gt;Nested SOQL queries did the trick:&lt;/p&gt;
&lt;pre&gt;&lt;code&gt;SELECT Id, Name,(SELECT Id, Account_vod__c, Name, Address_line_2_vod__c, City_vod__c FROM Address_vod__r)FROM Account WHERE Id = '001e0000008Ch5nAAC' LIMIT 1
&lt;/code&gt;&lt;/pre&gt;
</t>
  </si>
  <si>
    <t xml:space="preserve">&lt;p&gt;I've been tasked with creating a workflow in Dynamics 365 which can send emails (the easy bit). However, the email has a link to the record (also easy using the Record URL(Dynamic) attribute). However, we use Apps in our Dynamics instance and the link generated by the workflow using Record URL(Dynamic) doesn't include the app id and so when users click the link they are taken to Dynamics but are now outside the app. &lt;/p&gt;
&lt;p&gt;My question is, is there a supported way to appending the App Id to the Record URL(Dynamic) attribute?&lt;/p&gt;
&lt;p&gt;I've already searched for answers to this and cant find any. My solution was to create an Action which takes as input the Record and app ID, appends them and outputs them as an output parameter. This works to be honest, but I'm wondering if I'm reinventing the wheel and there is an easier way to achieve this.&lt;/p&gt;
&lt;p&gt;Thanks and hope this helps anyone else with the same issue.&lt;/p&gt;
</t>
  </si>
  <si>
    <t xml:space="preserve">&lt;p&gt;I am experiencing some issues with using a dropdown on my app.
I have created the DataCard and included a dropdown within it, I have then set my items info to point to my MySql Platform and the required information.
When I open it in Preview the App through the Powerapps website I am able to see my dropdown working correctly but when I try opening this on my mobile phone these boxes no long work, they dont provide any information in the dropdown.
Is there any specific setting I could be missing?&lt;/p&gt;
</t>
  </si>
  <si>
    <t xml:space="preserve">&lt;p&gt;Enable App Embedding User Experience once it is turned off the app will behave normally&lt;/p&gt;
</t>
  </si>
  <si>
    <t xml:space="preserve">&lt;p&gt;I am trying to migrate my zoho crm apis to v2. I can see documentation for list of required fields for each module for v1 apis (&lt;a href="https://www.zoho.com/crm/help/api/modules-fields.html" rel="nofollow noreferrer"&gt;https://www.zoho.com/crm/help/api/modules-fields.html&lt;/a&gt;). But I cannot find the same for v2 apis. Please help me on where to get list of required fields for each module.&lt;/p&gt;
</t>
  </si>
  <si>
    <t xml:space="preserve">&lt;p&gt;Hope you are all well.&lt;/p&gt;
&lt;p&gt;Wondered if anyone out there can help. With Google Appmaker, is it possible to create a application form to send to applicants outside our organisation with file upload ability?&lt;/p&gt;
&lt;p&gt;We want to get people to apply with the usual name, email etc. But then want them to be able to upload a photo of themselves.&lt;/p&gt;
&lt;p&gt;All I can see is the Drive picker widget but wondered if there was a way of getting them to browse their computer and upload and submit.&lt;/p&gt;
&lt;p&gt;Google Forms doesn't allow file uploads, otherwise it would have been perfect for us.&lt;/p&gt;
&lt;p&gt;Thanks&lt;/p&gt;
&lt;p&gt;Glen&lt;/p&gt;
</t>
  </si>
  <si>
    <t xml:space="preserve">&lt;p&gt;Here is the code I'm using now:&lt;/p&gt;
&lt;p&gt;&lt;div class="snippet" data-lang="js" data-hide="false" data-console="true" data-babel="false"&gt;
&lt;div class="snippet-code"&gt;
&lt;pre class="snippet-code-js lang-js prettyprint-override"&gt;&lt;code&gt;function emailQuestionnaireAsPDF(questionnaireKey) {
  if (app.getActiveUserRoles().indexOf(app.roles.Admins) === -1) {
    throw new Error('You don\'t have permissions to perform this operation');
  }
  var questionnaire = app.models.Questionnaire.getRecord(questionnaireKey);
  if (!questionnaire) {
    throw new Error('Questionnaire was not found');
  }
  var tmpDoc = DocumentApp.create(FILE_NAME + ' ' + Date.now());
  var body = tmpDoc.getBody();
  var title = questionnaire.FirstName + '\'s Questionnaire';
  var fields = app.metadata.models.Questionnaire.fields;
  body.insertParagraph(0, title)
    .setHeading(DocumentApp.ParagraphHeading.HEADING1)
    .setAlignment(DocumentApp.HorizontalAlignment.CENTER);
  appendField_(body, fields.FirstName.displayName,
               questionnaire.FirstName);
  appendField_(body, fields.LastName.displayName,
               questionnaire.LastName);
  appendField_(body, fields.LikeIceCream.displayName,
               questionnaire.LikeIceCream);
  appendField_(body, fields.FavoriteMovie.displayName,
               questionnaire.FavoriteMovie);
  appendField_(body, fields.FavoriteColor.displayName,
               questionnaire.FavoriteColor);
  appendField_(body, fields.LuckyNumber.displayName,
               questionnaire.LuckyNumber);
  tmpDoc.saveAndClose();
  var blob = tmpDoc.getAs(MimeType.PDF);
  var pdfFile = DriveApp.createFile(blob);
  Drive.Files.remove(tmpDoc.getId());
  pdfFile.setName(FILE_NAME);
  sendEmail_(Session.getActiveUser().getEmail(), FILE_NAME, pdfFile.getUrl());
}&lt;/code&gt;&lt;/pre&gt;
&lt;/div&gt;
&lt;/div&gt;
&lt;/p&gt;
&lt;p&gt;I'm trying to append all fields, from a model related to Questionnaire, to the "pdfFile". How is this done in a way all fields &amp;amp; values associated are pasted to the pdfFile in a table like format? &lt;/p&gt;
</t>
  </si>
  <si>
    <t xml:space="preserve">&lt;p&gt;Based on your description, this is what I've done:&lt;/p&gt;
&lt;ol&gt;
&lt;li&gt;&lt;p&gt;Created a model called &lt;strong&gt;questionnaire&lt;/strong&gt; with the following fields:&lt;br&gt;&lt;/p&gt;
&lt;ul&gt;
&lt;li&gt;firstName&lt;/li&gt;
&lt;li&gt;lastName&lt;/li&gt;
&lt;li&gt;likeIcecream&lt;/li&gt;
&lt;li&gt;favoriteMovie&lt;/li&gt;
&lt;li&gt;favoriteColor&lt;/li&gt;
&lt;li&gt;luckyNumber&lt;/li&gt;
&lt;/ul&gt;&lt;/li&gt;
&lt;/ol&gt;
&lt;p&gt;I added a couple of test records. Then on the server script I added two functions. The first one to send email looks like this:&lt;/p&gt;
&lt;pre&gt;&lt;code&gt;function sendEmail(recipient, fileUrl, fileName){
  var pdfBlob = UrlFetchApp.fetch(fileUrl).getAs("application/pdf");
  MailApp.sendEmail({
    to: recipient,
    subject: "PDF Email Sample",
    htmlBody: "Attached the PDF File",
    attachments: [pdfBlob]
  });  
}
&lt;/code&gt;&lt;/pre&gt;
&lt;p&gt;The second function to generate the document looks like this:&lt;/p&gt;
&lt;pre&gt;&lt;code&gt;function emailQuestionnaireAsPDF(questionnaireKey){
  if (app.getActiveUserRoles().indexOf(app.roles.Admins) === -1) {
    throw new Error('You don\'t have permissions to perform this operation');
  }
  var questionnaire = app.models.questionnaire.getRecord(questionnaireKey);
  if (!questionnaire) {
    throw new Error('Questionnaire was not found');
  }
  //Start generating the HTML template
  var htmlData = "";
  htmlData += "&amp;lt;h1 style='text-align:center'&amp;gt;" + questionnaire.firstName + "'s Questionnaire &amp;lt;/h1&amp;gt;&amp;lt;br&amp;gt;"; //Title of the document
  //Create table start tag
  htmlData += "&amp;lt;table style='border:none;'&amp;gt;";
  //Create headers and append to table
  var headers = ["QUESTION", "RESPONSE"];
  var hRowStyle = "background-color:#efefef"; //style for table header row
  var hCellStyle = "font-weight:bold; padding-top:4px; padding-bottom: 3px; border-bottom:1px solid #bebebe;"; //style for table header cells
  htmlData += "&amp;lt;tr style='"+hRowStyle+"'&amp;gt;&amp;lt;td style='"+hCellStyle+"'&amp;gt;" + headers.join("&amp;lt;/td&amp;gt;&amp;lt;td style='"+hCellStyle+"'&amp;gt;") + "&amp;lt;/td&amp;gt;&amp;lt;/tr&amp;gt;";
  //Define row cell styles
  var tdSytle = "border-bottom: 1px solid #bebebe; border-left:0px; border-right:0px; padding-top:7px; padding-bottom: 6px;";
  //Create table rows
  var rows = [];
  rows.push(["First Name:", questionnaire.firstName]); // Add firstName
  rows.push(["Last Name:", questionnaire.lastName]); // Add lastName
  rows.push(["Likes Icecream:", questionnaire.likeIcecream]); // Add likeIceacream
  rows.push(["Favorite Movie:", questionnaire.favoriteMovie]); // Add favoriteMovie
  rows.push(["Favorite Color:", questionnaire.favoriteColor]); // Add favoriteColor
  rows.push(["Lucky Number:", questionnaire.luckyNumber]); // Add luckyNumber
  //Append rows to table
  rows.forEach(function(row){
     htmlData += "&amp;lt;tr&amp;gt;&amp;lt;td style='"+tdSytle+"'&amp;gt;" + row.join("&amp;lt;/td&amp;gt;&amp;lt;td style='"+tdSytle+"'&amp;gt;") + "&amp;lt;/td&amp;gt;&amp;lt;tr&amp;gt;";
  });
  //Create table end tag
  htmlData += "&amp;lt;/table&amp;gt;";
  //Create gooleDriveDoc
  var fileName = questionnaire.firstName + "'s Questionnaire";
  var data = Utilities.newBlob("").setDataFromString(htmlData).setContentType("text/html");
  var drvFile = Drive.Files.insert({title: fileName}, data, {convert: true});
  //Mail PDF File
  var recipient = "email@test.com";
  var fileUrl = "https://docs.google.com/document/d/"+drvFile.id+"/export?format=pdf&amp;amp;access_token="+ScriptApp.getOAuthToken();  
  sendEmail(recipient, fileUrl, fileName);
}
&lt;/code&gt;&lt;/pre&gt;
&lt;p&gt;So, in summary, I've created a google document from an HTML template. Then, I used the download url with an access token to fetch the pdf Blob and attach it to the email. &lt;br&gt;&lt;/p&gt;
&lt;p&gt;The result is the following: &lt;/p&gt;
&lt;p&gt;&lt;a href="https://i.stack.imgur.com/GEO0T.png" rel="nofollow noreferrer"&gt;&lt;img src="https://i.stack.imgur.com/GEO0T.png" alt="enter image description here"&gt;&lt;/a&gt;
&lt;a href="https://i.stack.imgur.com/ZSeTw.png" rel="nofollow noreferrer"&gt;&lt;img src="https://i.stack.imgur.com/ZSeTw.png" alt="enter image description here"&gt;&lt;/a&gt;&lt;/p&gt;
&lt;p&gt;Reading through the code you should be able to catch what it's being done in detail and of course, you can improve it!&lt;/p&gt;
&lt;p&gt;&lt;br&gt;
References:
&lt;br&gt;&lt;/p&gt;
&lt;ul&gt;
&lt;li&gt;&lt;a href="https://developers.google.com/drive/api/v2/reference/files/insert" rel="nofollow noreferrer"&gt;https://developers.google.com/drive/api/v2/reference/files/insert&lt;/a&gt;&lt;/li&gt;
&lt;li&gt;&lt;a href="https://developers.google.com/apps-script/reference/mail/mail-app#sendEmail(String,String,String,Object)" rel="nofollow noreferrer"&gt;https://developers.google.com/apps-script/reference/mail/mail-app#sendEmail(String,String,String,Object)&lt;/a&gt;&lt;/li&gt;
&lt;li&gt;&lt;a href="https://developers.google.com/apps-script/reference/base/blob" rel="nofollow noreferrer"&gt;https://developers.google.com/apps-script/reference/base/blob&lt;/a&gt;&lt;/li&gt;
&lt;li&gt;&lt;a href="https://developers.google.com/identity/protocols/OAuth2WebServer#callinganapi" rel="nofollow noreferrer"&gt;https://developers.google.com/identity/protocols/OAuth2WebServer#callinganapi&lt;/a&gt;&lt;/li&gt;
&lt;li&gt;&lt;a href="https://developers.google.com/apps-script/reference/script/script-app#getoauthtoken" rel="nofollow noreferrer"&gt;https://developers.google.com/apps-script/reference/script/script-app#getoauthtoken&lt;/a&gt;&lt;/li&gt;
&lt;li&gt;&lt;a href="https://developers.google.com/drive/api/v2/reference/files/get" rel="nofollow noreferrer"&gt;https://developers.google.com/drive/api/v2/reference/files/get&lt;/a&gt;&lt;/li&gt;
&lt;li&gt;&lt;a href="https://www.labnol.org/internet/direct-links-for-google-drive/28356/" rel="nofollow noreferrer"&gt;https://www.labnol.org/internet/direct-links-for-google-drive/28356/&lt;/a&gt;&lt;/li&gt;
&lt;/ul&gt;
</t>
  </si>
  <si>
    <t xml:space="preserve">&lt;p&gt;I'm trying to implement RBAC (Role-Based Access Control) on a project that uses PowerApps. I've followed the steps depicted here: &lt;a href="https://powerapps.microsoft.com/en-us/blog/implementing-role-based-permission/" rel="nofollow noreferrer"&gt;https://powerapps.microsoft.com/en-us/blog/implementing-role-based-permission/&lt;/a&gt;&lt;/p&gt;
&lt;p&gt;Those steps are for registering a custom connector inside Azure AD for PowerApps, which enables me to use the GraphAPI for developing RBAC. 
On the article, it says that I should copy the response URL that its shown on the error screen to the "Reponse URL" field of Azure AD App Registration. But I have no such thing. The error screen I get is this one, which has no Response URL: &lt;a href="https://i.stack.imgur.com/1OcZm.png" rel="nofollow noreferrer"&gt;&lt;img src="https://i.stack.imgur.com/1OcZm.png" alt="enter image description here"&gt;&lt;/a&gt;&lt;/p&gt;
&lt;p&gt;How can I find my Apps's response URL so I can properly configure the conector in Azure AD?&lt;/p&gt;
</t>
  </si>
  <si>
    <t xml:space="preserve">&lt;p&gt;Problem solved.
I was misreading the URL. The URL on the login screen was &lt;a href="https://login.microsoftonline.com/common/oauth2/authorize?client_id=bb9f3ec5-c2ad-4ed4-a46b-4472838fe747&amp;amp;response_type=code&amp;amp;redirect_uri=https%3a%2f%2fbrazil-001.consent.azure-apim.net%2fredirect&amp;amp;resource=https%3a%2f%2fgraph.microsoft.com%2f&amp;amp;prompt=select_account&amp;amp;state=94054d67-5f50-47ce-919b-e450c965c0f8" rel="nofollow noreferrer"&gt;https://login.microsoftonline.com/common/oauth2/authorize?client_id=bb9f3ec5-c2ad-4ed4-a46b-4472838fe747&amp;amp;response_type=code&amp;amp;redirect_uri=https%3a%2f%2fbrazil-001.consent.azure-apim.net%2fredirect&amp;amp;resource=https%3a%2f%2fgraph.microsoft.com%2f&amp;amp;prompt=select_account&amp;amp;state=94054d67-5f50-47ce-919b-e450c965c0f8&lt;/a&gt;&lt;/p&gt;
&lt;p&gt;You have to inspect it really close and you may see what @Philippe said: Look at the &lt;code&gt;redirect_uri&lt;/code&gt; field, but if you watch closely, you can see that after the ending (i.e: "apim.net") there's an encoded character (%2f) which represents a forward slash. After that, comes a string ('redirect') which completes the URL and made the connector work.&lt;/p&gt;
&lt;p&gt;So, long story short, get a fresh set of eyes when inspecting sketchy URL's&lt;/p&gt;
</t>
  </si>
  <si>
    <t xml:space="preserve">&lt;p&gt;I'm using Zoho API V2 Nodejs package &lt;strong&gt;"zcrmsdk"&lt;/strong&gt; and &lt;strong&gt;AWS Lambda.&lt;/strong&gt;&lt;/p&gt;
&lt;p&gt;According to &lt;strong&gt;Zoho's&lt;/strong&gt; documentation for API v2 for nodejs : &lt;a href="https://www.zoho.com/crm/help/developer/server-side-sdks/node-js.html" rel="nofollow noreferrer"&gt;https://www.zoho.com/crm/help/developer/server-side-sdks/node-js.html&lt;/a&gt;&lt;/p&gt;
&lt;p&gt;&lt;a href="https://i.stack.imgur.com/BdcFL.png" rel="nofollow noreferrer"&gt;Picture: Zoho Instructions for Token Storage Mechanism&lt;/a&gt;&lt;/p&gt;
&lt;p&gt;They instruct us we can specify our own custom module for &lt;strong&gt;Token Storage Mechanism&lt;/strong&gt; by providing a module name in &lt;strong&gt;configuration.properties =&gt; api.tokenmanagement&lt;/strong&gt;&lt;/p&gt;
&lt;p&gt;However, I'm finding hard time to link the module name in &lt;strong&gt;api.tokenmanagement&lt;/strong&gt;. &lt;/p&gt;
&lt;p&gt;In my local environment, I did it successfully by specifying the path as: &lt;strong&gt;api.tokenmanagement=../../../../resources/tokenmgmt.js&lt;/strong&gt;&lt;/p&gt;
&lt;p&gt;(&lt;strong&gt;tokenmgmt.js&lt;/strong&gt; is my custom token management module for Zoho)&lt;/p&gt;
&lt;p&gt;However, I'm getting error "Cannot find module" while I deploy the project to &lt;strong&gt;AWS Lamda&lt;/strong&gt;.&lt;/p&gt;
&lt;p&gt;I'm not sure if I did not specify the module name (or/and path) correctly or it's the compatibility issue of &lt;strong&gt;"zcrmsdk"&lt;/strong&gt; with &lt;strong&gt;AWS Lamda&lt;/strong&gt;.&lt;/p&gt;
&lt;p&gt;Nodejs package: &lt;strong&gt;"zcrmsdk"&lt;/strong&gt; &lt;a href="https://www.npmjs.com/package/zcrmsdk" rel="nofollow noreferrer"&gt;https://www.npmjs.com/package/zcrmsdk&lt;/a&gt;&lt;/p&gt;
</t>
  </si>
  <si>
    <t xml:space="preserve">&lt;p&gt;In the reference jasmine test resource, component event(egComponentEvent) registration and handler is done in same component(egEventHandling).Thus, we are able to test the result after event is fired.&lt;/p&gt;
&lt;p&gt;&lt;a href="https://github.com/forcedotcom/LightningTestingService/blob/master/lightning-component-tests/test/default/staticresources/jasmineExampleTests.resource" rel="nofollow noreferrer"&gt;https://github.com/forcedotcom/LightningTestingService/blob/master/lightning-component-tests/test/default/staticresources/jasmineExampleTests.resource&lt;/a&gt;&lt;/p&gt;
&lt;pre&gt;&lt;code&gt;/**
     * Component under test: 'c:egEventHandling'
     * This spec shows how to validate a component's handling of component- and
     * application-level events.
     */
    describe('c:egEventHandling', function() {
        it('handles component- and application-level events', function(done) {
            $T.createComponent("c:egEventHandling", null)
            .then(function(component){
                var cmpEvent = component.getEvent("sampleEvent");
                cmpEvent.setParams({"data":"component event fired"});
                cmpEvent.fire()
                expect(component.get("v.message")).toBe("component event fired");
                $T.fireApplicationEvent("c:egApplicationEvent", {"data":"application event fired"});
                expect(component.get("v.message")).toBe("application event fired");
                done();
            }).catch(function(e) {
                done.fail(e);
            });
        });
    });
&lt;/code&gt;&lt;/pre&gt;
&lt;p&gt;Facing issue to test the results after component event is fired, when event registration and its handler is done in different components.&lt;/p&gt;
&lt;p&gt;We are firing a component level  event in component 1 and the handler is being invoked in Component 2 , &lt;/p&gt;
&lt;p&gt;We are struggling in testing component event where as component is getting fired but we are not able to see the handler invoked in the Component 2&lt;/p&gt;
&lt;p&gt;Kindly help us in getting the correct solution for the below code&lt;/p&gt;
&lt;pre&gt;&lt;code&gt; $T.createComponent("c:tagr_Tag",attributes,true) 
  .then(function(component) {
  var evt = component.getEvent('componentEvent');
  evt.setParam('entity', entity);  
  evt.fire();
expect(evt.fire()).tobe.(true);
}
&lt;/code&gt;&lt;/pre&gt;
&lt;p&gt;Here event is getting fired from tagr_Tag but handler is not getting invoked from different component.Please help us in arriving to the solution using any approach like spyon or something else.
Thanks in Advance&lt;/p&gt;
</t>
  </si>
  <si>
    <t xml:space="preserve">&lt;p&gt;does anyone know if DATEDIFF function is working in Google App Maker - Calculated SQL models? I would like to calculate the age by reporting the date of birth from the database at the current date. Thank you.&lt;/p&gt;
</t>
  </si>
  <si>
    <t xml:space="preserve">&lt;p&gt;I’m creating an app with two data models:  &lt;/p&gt;
&lt;p&gt;1) &lt;code&gt;Model A&lt;/code&gt; with fields: Id, DATE, STATUS, EMAIL_ADDRESS, CASE_TYPE, CASE_DESCRIPTION.  &lt;/p&gt;
&lt;p&gt;2) &lt;code&gt;Model B&lt;/code&gt; with another fields (Id, DATE, ADMIN_EMAIL, CASE_RESOLUTION, and no field called STATUS).&lt;/p&gt;
&lt;ul&gt;
&lt;li&gt;&lt;code&gt;Model A&lt;/code&gt; and &lt;code&gt;Model B&lt;/code&gt; are related ONE-ONE (&lt;code&gt;A&lt;/code&gt; is the Owner).  &lt;/li&gt;
&lt;li&gt;Users fill two forms. First form creates record in &lt;code&gt;Model A&lt;/code&gt;, and the second one: in &lt;code&gt;Model B&lt;/code&gt;.  &lt;/li&gt;
&lt;li&gt;When saving form number one I’m setting record.STATUS = “NEW” automatically, using event &lt;code&gt;onBeforeCreate&lt;/code&gt;.  &lt;/li&gt;
&lt;/ul&gt;
&lt;p&gt;I’d like to update the &lt;code&gt;STATUS&lt;/code&gt; to &lt;code&gt;BOSS_ACCEPT&lt;/code&gt; in &lt;code&gt;Model A&lt;/code&gt; after saving form number two (datasource: &lt;code&gt;A&lt;/code&gt;: &lt;code&gt;B&lt;/code&gt; (related)). &lt;/p&gt;
&lt;p&gt;What should I do?&lt;/p&gt;
</t>
  </si>
  <si>
    <t xml:space="preserve">&lt;p&gt;Can you create an add-on in google docs or any other google app that can access an app in App Maker to make changes in the app via the add-on?&lt;/p&gt;
</t>
  </si>
  <si>
    <t xml:space="preserve">&lt;h2&gt;I am trying to update my record using Rest API but I am getting below error. I am using @HttpPut method for update record.&lt;/h2&gt;
&lt;p&gt;"errorCode": "APEX_ERROR",
"message": "System.DmlException: Update failed. First exception on row 0 with id a0y7F000001BLM7QAO; first error: CANNOT_INSERT_UPDATE_ACTIVATE_ENTITY, EmployeeLog: execution of BeforeUpdate\n\ncaused by: System.QueryException: List has more than 1 row for assignment to SObject\n\nClass.EmployeeLog.updateWorkedHrs: line 7, column 1\nTrigger.EmployeeLog: line 3, column 1: []\n\nClass.EmployeeLogApiLogout.updateLogs: line 42, column 1"&lt;/p&gt;
</t>
  </si>
  <si>
    <t xml:space="preserve">&lt;p&gt;I have seen Zoho APIs give us the option to get all kinds of user information, yet I cannot find any method to fetch info about the user that is currently making the request.&lt;/p&gt;
&lt;p&gt;OAuth2 secured API's usually offer such an endpoint, like &lt;a href="https://www.googleapis.com/oauth2/v2/userinfo" rel="nofollow noreferrer"&gt;Google&lt;/a&gt; or &lt;a href="https://api.twitter.com/1.1/account/verify_credentials.json" rel="nofollow noreferrer"&gt;Twitter&lt;/a&gt; do.&lt;/p&gt;
&lt;p&gt;In their &lt;a href="https://www.zoho.com/crm/help/api/v2/#Users-APIs" rel="nofollow noreferrer"&gt;documentation&lt;/a&gt; there is something that looks like it:&lt;/p&gt;
&lt;p&gt;&lt;a href="https://www.zohoapis.com/crm/v2/users?type=" rel="nofollow noreferrer"&gt;https://www.zohoapis.com/crm/v2/users?type=&lt;/a&gt;&lt;strong&gt;CurrentUser&lt;/strong&gt;&lt;/p&gt;
&lt;p&gt;But then they shatter any hope with their explanation:
&lt;strong&gt;CurrentUser&lt;/strong&gt; - To get the list of current CRM users&lt;/p&gt;
&lt;p&gt;Is there any known way achieve this?&lt;/p&gt;
</t>
  </si>
  <si>
    <t xml:space="preserve">&lt;p&gt;This is the right endpoint: &lt;a href="https://accounts.zoho.com/oauth/user/info" rel="nofollow noreferrer"&gt;https://accounts.zoho.com/oauth/user/info&lt;/a&gt;&lt;/p&gt;
&lt;p&gt;It requires the aaaserver.profile.READ scope.&lt;/p&gt;
&lt;p&gt;Example Response:&lt;/p&gt;
&lt;pre&gt;&lt;code&gt;{
    "ZUID": 123123123123, 
    "First_Name": "Example", 
    "Last_Name": "Name", 
    "Display_Name": "Example Name", 
    "Email": "example@email.com"
}
&lt;/code&gt;&lt;/pre&gt;
</t>
  </si>
  <si>
    <t xml:space="preserve">&lt;p&gt;I have two lists w/ the following details:&lt;/p&gt;
&lt;pre&gt;&lt;code&gt;List 1: JobType1; Column: Title
List 2: JobType2; Columns: Title, JobType1 (lookup of Title column of List 1)
&lt;/code&gt;&lt;/pre&gt;
&lt;p&gt;On List 3 (Request), I am trying to use PowerApps and I have two fields that are lookups of the two lists:&lt;/p&gt;
&lt;pre&gt;&lt;code&gt;JobType1 - lookup field that uses the Title column of List 1
JobType2 - lookup field that uses the Title column of List 2
&lt;/code&gt;&lt;/pre&gt;
&lt;p&gt;I am trying to filter JobType2 field in the form to display all values on the Title column on List 2 that matches the value of the JobType1 field in the form w/ the JobType1 column on List 2.&lt;/p&gt;
&lt;p&gt;I tried using this formula but it does not work. Please help me.&lt;/p&gt;
&lt;pre&gt;&lt;code&gt;Filter(Choices(IntMktg.Job Type 2), Value in Filter('JobType1', IntMktg.Job Type 1 = DataCardValueClient.Text).Title)
&lt;/code&gt;&lt;/pre&gt;
</t>
  </si>
  <si>
    <t xml:space="preserve">&lt;p&gt;In the User Picker widget after I pick a user and then select the same user after clearing the value (&lt;/p&gt;
&lt;blockquote&gt;
  &lt;p&gt;&lt;code&gt;widget.value = null;&lt;/code&gt;&lt;/p&gt;
&lt;/blockquote&gt;
&lt;p&gt;), selecting that user does not trigger the onValueChange event (because it is not a regarded as a newValue).&lt;/p&gt;
&lt;p&gt;Even in the &lt;a href="https://developers.google.com/appmaker/templates/training-hub/" rel="nofollow noreferrer"&gt;Training Hub example&lt;/a&gt; this issue is present. &lt;/p&gt;
&lt;p&gt;Issue it causes: If I add a user then delete it I cannot add the user again until I add a different user which changes the value of the widget.&lt;/p&gt;
</t>
  </si>
  <si>
    <t xml:space="preserve">&lt;p&gt;I would like instead of having the name of the app, in the browser history, the name of the customer, so It would be easier to go back to a specific customer...&lt;/p&gt;
&lt;p&gt;I use &lt;/p&gt;
&lt;pre&gt;&lt;code&gt; google.script.history.push(
          {'timestamp': new Date().getTime()},
          {'Patient': Patient},
          "test"
      );
&lt;/code&gt;&lt;/pre&gt;
&lt;p&gt;To push parameters to the url, and though maybe the last parameter would appear in the browser history, but that is not the case, only the app name is shown... 
Any Idea how to achieve that ?&lt;/p&gt;
</t>
  </si>
  <si>
    <t xml:space="preserve">&lt;p&gt;Unfortunately App Maker applications exist as frames, with a different origin (url hostname) than the parent window.&lt;/p&gt;
&lt;p&gt;This means that any attempt to change the window title (which is used as the title in the browser history) results in an error.&lt;/p&gt;
</t>
  </si>
  <si>
    <t xml:space="preserve">&lt;p&gt;Using PowerApps, how can I get the current date to be autofilled into a new form?&lt;/p&gt;
&lt;p&gt;Does the code go into the IconNewItem1 function from the parent BrowseScreen1?&lt;/p&gt;
&lt;pre&gt;&lt;code&gt;NewForm(EditForm1);Navigate(EditScreen1,ScreenTransition.None)
&lt;/code&gt;&lt;/pre&gt;
&lt;p&gt;as something like ...&lt;/p&gt;
&lt;pre&gt;&lt;code&gt;BrowseGallery1.Selected.Date = Now 
&lt;/code&gt;&lt;/pre&gt;
&lt;p&gt;Or does the code go in the EditScreen1 / EditForm1 area as a rule?&lt;/p&gt;
&lt;p&gt;Any guidance or suggestion would be appreciated.&lt;/p&gt;
</t>
  </si>
  <si>
    <t xml:space="preserve">&lt;p&gt;You would do that in the form itself (or the date picker control of the form). Select the card that has the date value, and in the right-side pane select the 'Advanced' tab. You'll need to unlock the card to change the properties, and when you do, change the Default property of the card from&lt;/p&gt;
&lt;pre&gt;&lt;code&gt;ThisItem.DateTimeColumn
&lt;/code&gt;&lt;/pre&gt;
&lt;p&gt;to&lt;/p&gt;
&lt;pre&gt;&lt;code&gt;If(EditForm1.Mode = FormMode.New, Now(), ThisItem.DateTimeColumn)
&lt;/code&gt;&lt;/pre&gt;
&lt;p&gt;Where &lt;code&gt;DateTimeColumn&lt;/code&gt; would be replaced with the name of the column in your data source, and &lt;code&gt;EditForm1&lt;/code&gt; would be replaced with the name of the form control.&lt;/p&gt;
</t>
  </si>
  <si>
    <t xml:space="preserve">&lt;p&gt;This is a code to create a new task when stage is inserted or updated to Closed Won &lt;/p&gt;
&lt;pre&gt;&lt;code&gt;trigger ClosedOpportunityTrigger on Opportunity (after insert, after update) {
List&amp;lt;Task&amp;gt; tl = new List&amp;lt;Task&amp;gt;();
for(Opportunity op : Trigger.new) {
    if(Trigger.isInsert) {
        if(Op.StageName == 'Closed Won') {
            tl.add(new Task(Subject = 'Follow Up Test Task', WhatId = op.Id));
        }
    }
    if(Trigger.isUpdate) {
        if(Op.StageName == 'Closed Won' 
        &amp;amp;&amp;amp; Op.StageName != Trigger.oldMap.get(op.Id).StageName) {
            tl.add(new Task(Subject = 'Follow Up Test Task', WhatId = op.Id));
        }
    }       
}
if(tl.size()&amp;gt;0) {        
    insert tl;        
}    
}
&lt;/code&gt;&lt;/pre&gt;
&lt;p&gt;Here, what does  &amp;amp;&amp;amp; Op.StageName != Trigger.oldMap.get(op.Id).StageName) do? Why do we use oldMap here?  &lt;/p&gt;
</t>
  </si>
  <si>
    <t xml:space="preserve">&lt;p&gt;When trying to update a datasource, by unload , set parameter , load,
appmaker bings following error on the frontend :
com.google.web.bindery.event.shared.UmbrellaException: Exception caught: Path segment does not exist &lt;/p&gt;
&lt;p&gt;The data is showing properly, but the spinner never stops...&lt;/p&gt;
&lt;p&gt;What's the problem ?&lt;/p&gt;
</t>
  </si>
  <si>
    <t xml:space="preserve">&lt;p&gt;I am creating an app using Google AppMaker and wish to create a boolean search option (text box where I can use AND/OR options to search multiple combinations of strings). This is similar to how I can search currently on Gmail or LinkedIn etc. How can I create it?&lt;/p&gt;
</t>
  </si>
  <si>
    <t xml:space="preserve">&lt;p&gt;I have an app that calls some REST APIs. Without encryption/decryption, I have almost finished it but as now i have to implement the same as on server side, they will not accept non-encrypted requests.
Can you tell me how can this be achieved.&lt;/p&gt;
</t>
  </si>
  <si>
    <t xml:space="preserve">&lt;p&gt;I have list with a &lt;code&gt;lookup column&lt;/code&gt; linked to another list on SharePoint Online. Like there's list of tours and I would like to assign transport vehicles (eg bus) to each of them. When I let PowerApps generate an app from the list, the lookup column is converted to a dropdown list with multi-select option.&lt;/p&gt;
&lt;p&gt;I would like to show the vehicle details in a gallery, but when I bind the items of the gallery to the &lt;code&gt;bus&lt;/code&gt; field of the main list, I get a list of all vehicles, regardless which and how many is selected.&lt;/p&gt;
&lt;p&gt;When I bind the items to the selected items of the dropdown list like &lt;code&gt;cb_bus.Selected&lt;/code&gt;, however, I see the correct items. So, as a workaround, I could hide this dropdown and show only the gallery, but I hope there's a more straightforward way to present this field. &lt;/p&gt;
</t>
  </si>
  <si>
    <t xml:space="preserve">&lt;p&gt;Building custom integration for a client with their e-commerce store and Zoho. They essentially have a referral program, for the easiest explanation. When someone purchases, we need to keep track of who the referring person was in Zoho and credit them - I have this all available. They only sell 1 product so we don't need actual financial / sales data, just the number of units attributed to the person in Zoho. They eventually want to be able to have reports generated in Zoho to tell them how many units each person is doing per month, who is their best performer, etc.&lt;/p&gt;
&lt;p&gt;All the potential referral people are stored as Contacts in Zoho. My task is simply getting the data from the e-commerce site into Zoho, I do not have to create any reports or anything within Zoho. I have no experience with the Zoho world so I am not quite sure where the best place to even put this data as there are so many different Zoho "things" to use. I thought about using Invoices, but again we don't necessarily need the transaction data just counts and when they happened to produce the above stated reports. &lt;/p&gt;
</t>
  </si>
  <si>
    <t xml:space="preserve">&lt;p&gt;I would like to direct a user to a page within an app using a field value from a model. The model is loaded into a grid and the user makes a selection to navigate to a page within the app based on images displayed in the grid cells.&lt;/p&gt;
&lt;p&gt;I am thinking to use the app.showPage(app.pages.Page) for the onClick event and passing in the page the user should be directed from the model as a parameter such as widget.datasource.item.PageName.&lt;/p&gt;
&lt;p&gt;Can you suggest how the name of the page could be passed in from the datasource as as variable to the onClick event accomplish this navigation?&lt;/p&gt;
&lt;p&gt;Will appreciate any help!&lt;/p&gt;
</t>
  </si>
  <si>
    <t xml:space="preserve">&lt;p&gt;I have a Bill datasource, and a payment datasource, and the balance datasource a an sqlcalculated query.&lt;/p&gt;
&lt;p&gt;My problem is, that when something is changing on the payment or the bill datasource, I try to unload/load automatically the balance datasource (on create or delete event on client side), but the balance still ignores the changes !&lt;/p&gt;
&lt;p&gt;When I make exactly the same thing on a button, and press the button manually, then the balance is updating to the correct value.&lt;/p&gt;
&lt;p&gt;Why is the query not computing the right value directly after change ? Do I need to put some kind of delay, before loading the balance ?&lt;/p&gt;
</t>
  </si>
  <si>
    <t xml:space="preserve">&lt;p&gt;Please help me look at the below advanced excel functions, I would like to onSelect the dropdown list value and display a text value on the label, named DisplayBuilding.&lt;/p&gt;
&lt;pre&gt;&lt;code&gt;If(InspectorDropdown.Selected.Value = "Jonathan Soh", DisplayBuilding = Building.buildingID = 1) 
&lt;/code&gt;&lt;/pre&gt;
</t>
  </si>
  <si>
    <t xml:space="preserve">&lt;p&gt;I have a model "address", and one field is country, in the create/edit form I use dropdown to let user select from country list, country list is store in another model called "listCountry", there are 249 countries in total, but in the dropdown options, only first 100 countries shown.
&lt;img src="https://i.stack.imgur.com/IxyBe.png" alt="enter image description here"&gt;
My questions and concern are:&lt;/p&gt;
&lt;ul&gt;
&lt;li&gt;&lt;p&gt;In the options setting, I use @datasources.listCountry.items..Country, and I know there is &lt;a href="https://developers.google.com/appmaker/models/datasources#page_size" rel="nofollow noreferrer"&gt;a default pagesize of 100&lt;/a&gt;, but I tried to change that property pageSize as suggested by google's doc, I added to Event Load of that dropdown &lt;code&gt;app.datasources.listCountry.query.pageSize = 300;&lt;/code&gt;, but it doesn't work, any suggestion?&lt;/p&gt;&lt;/li&gt;
&lt;li&gt;&lt;p&gt;I tried Search Box instead of dropdown as workaround, it works, but it requires to set a relation between Address model and listCountry model, which is not required when I use Dropdown. I'm wondering which is the best practice to store an option list, like in this case when we need give an list options such as country for an address form, is that relation setting necessary?&lt;/p&gt;&lt;/li&gt;
&lt;/ul&gt;
&lt;p&gt;Thanks in advance.&lt;/p&gt;
</t>
  </si>
  <si>
    <t xml:space="preserve">&lt;p&gt;I would like to select a dropdown value and then show some other values extracted from the excel datatable on a label. 
For instance, if I select "Jonathan Soh" in the dropdown list, the text label will show "a". Else if I select "Peter" in the dropdown list, the text label will show "b" and etc.&lt;/p&gt;
&lt;p&gt;Below is the canvas-app formula I have tried but it can only select the dropdown list value and show dropdown list value on the text label. Please see the image for better understanding.&lt;/p&gt;
&lt;p&gt;&lt;img src="https://i.stack.imgur.com/NQww2.png" alt=""&gt;&lt;/p&gt;
&lt;pre&gt;&lt;code&gt;If(
    InspectorDropdown.Selected.Value = "Jonathan Soh",
    "Jonathan Soh",
    InspectorDropdown.Selected.'name ')
&lt;/code&gt;&lt;/pre&gt;
</t>
  </si>
  <si>
    <t xml:space="preserve">&lt;p&gt;You're in the right track with the &lt;a href="https://docs.microsoft.com/powerapps/maker/canvas-apps/functions/function-if" rel="nofollow noreferrer"&gt;If function&lt;/a&gt;; in your case, you can use an expression like this one for the label:&lt;/p&gt;
&lt;pre&gt;&lt;code&gt;If(
    InspectorDropdown.Selected.Value = "Jonathan Soh",
    "a",
    InspectorDropdown.Selected.Value = "Peter",
    "b",
    InspectorDropdown.Selected.'name ') // this last value will be used if nothing matched before
&lt;/code&gt;&lt;/pre&gt;
&lt;p&gt;In this specific case, if you're always comparing with the same value, you can also use the &lt;a href="https://docs.microsoft.com/powerapps/maker/canvas-apps/functions/function-if" rel="nofollow noreferrer"&gt;Switch function&lt;/a&gt;, which will make the expression a little easier to read:&lt;/p&gt;
&lt;pre&gt;&lt;code&gt;Switch(
    InspectorDropdown.Selected.Value,
    "Jonathan Son", "a",
    "Peter", "b",
    "James", "c",
    InspectorDropdown.Selected.'name ') // this last value will be used if nothing matched before
&lt;/code&gt;&lt;/pre&gt;
</t>
  </si>
  <si>
    <t xml:space="preserve">&lt;p&gt;Below is the canvas-app formula that I have tried but it does not work:&lt;/p&gt;
&lt;p&gt;&lt;img src="https://i.stack.imgur.com/77b0I.png" alt=""&gt;&lt;/p&gt;
&lt;pre&gt;&lt;code&gt;If(
    DisplayInspectorDropdown.Selected.Value = "Jonathan Soh",
    true,
    DisplayBuildingDropDown.Selected.Value = "EC - Empire Complex")
&lt;/code&gt;&lt;/pre&gt;
&lt;p&gt;Please do take a look to improve the canvas-app formula!! Thanks&lt;/p&gt;
&lt;p&gt;I have encountered this error:
&lt;a href="https://i.stack.imgur.com/jy2Bp.png" rel="nofollow noreferrer"&gt;&lt;img src="https://i.stack.imgur.com/jy2Bp.png" alt="Please see the image here"&gt;&lt;/a&gt;&lt;/p&gt;
</t>
  </si>
  <si>
    <t xml:space="preserve">&lt;p&gt;Email messages having relation with standard and custom Object, I can see Reply, ReplyAll and Forward button in Inbound and Outbound email messages record. To make these buttons visible what configuration work to be done?&lt;/p&gt;
</t>
  </si>
  <si>
    <t xml:space="preserve">&lt;p&gt;Below is the canvas-app formula I have tried but I do not know why there is an error showing on the "DisplayBuildingDropDown":&lt;/p&gt;
&lt;pre&gt;&lt;code&gt;Navigate(If(
        "EC - Empire Complex" in DisplayBuildingDropDown.Selected.Value, BuildingStorey,"BTB - Brani Terminal Building" in DisplayBuildingDropDown.Selected.Value, 'Testing Screen'), 
    ScreenTransition.Cover)
&lt;/code&gt;&lt;/pre&gt;
&lt;p&gt;Below is the image shown for what I have mentioned above:
&lt;a href="https://i.stack.imgur.com/ibRGl.png" rel="nofollow noreferrer"&gt;&lt;img src="https://i.stack.imgur.com/ibRGl.png" alt="Please view this image"&gt;&lt;/a&gt;&lt;/p&gt;
</t>
  </si>
  <si>
    <t xml:space="preserve">&lt;p&gt;Below is the canvas-app formula I have tried, please take a look:  &lt;/p&gt;
&lt;pre&gt;&lt;code&gt;Navigate(If(DisplayBuildingDropdown.Selected.Value = "EC - Empire Complex", BuildingStorey))
&lt;/code&gt;&lt;/pre&gt;
&lt;p&gt;Below is the image: 
&lt;a href="https://i.stack.imgur.com/6chUX.png" rel="nofollow noreferrer"&gt;&lt;img src="https://i.stack.imgur.com/6chUX.png" alt="enter image description here"&gt;&lt;/a&gt;&lt;/p&gt;
&lt;p&gt;Hi I have tried the second method but still has the problem: 
Problem encountered is that my dropdown would not show other dropdown items and it will straight navigate to the next screen :(&lt;/p&gt;
&lt;p&gt;The drop down has all these items as show below in the picture:
&lt;a href="https://i.stack.imgur.com/j9hY9.png" rel="nofollow noreferrer"&gt;&lt;img src="https://i.stack.imgur.com/j9hY9.png" alt="enter image description here"&gt;&lt;/a&gt;&lt;/p&gt;
&lt;p&gt;But once I wrote this:&lt;/p&gt;
&lt;pre&gt;&lt;code&gt;If(DisplayBuildingDropdown.Selected.Value = "EC - Empire Complex", Navigate(ECstorey, Fade)) 
&lt;/code&gt;&lt;/pre&gt;
&lt;p&gt;in OnSelect , I cant select other dropdown items to navigate to other screens but I can only get to see EC - Empire complex in the dropdown and it will navigate me to only one screen. &lt;/p&gt;
</t>
  </si>
  <si>
    <t xml:space="preserve">&lt;p&gt;If you want to implement conditional navigation based on the dropdown value you need to start the formula with the if statement: &lt;/p&gt;
&lt;pre&gt;&lt;code&gt;If(DisplayBuildingDropdown.Selected.Value = "EC - Empire Complex", Navigate(BuildingStorey, Fade))
&lt;/code&gt;&lt;/pre&gt;
&lt;p&gt;I like to translate the code into English: If the dropdown value is EC - Empire Complex, then navigate to BuildingStorey screen. &lt;/p&gt;
&lt;p&gt;The Navigation function requires a second argument that specifies the transition that will occur on screen change (Fade, Cover, Uncover, None). If you don't want an animated transition, simply put "None" as the second argument.  &lt;/p&gt;
&lt;p&gt;Here is a useful site to look at for conditional navigation: &lt;a href="https://powerusers.microsoft.com/t5/PowerApps-Community-Blog/Conditional-Navigation-Triggered-by-User-Selection/ba-p/19488" rel="nofollow noreferrer"&gt;https://powerusers.microsoft.com/t5/PowerApps-Community-Blog/Conditional-Navigation-Triggered-by-User-Selection/ba-p/19488&lt;/a&gt;&lt;/p&gt;
&lt;p&gt;And you can look here for more screen transition examples: &lt;a href="https://docs.microsoft.com/en-us/powerapps/maker/canvas-apps/functions/function-navigate" rel="nofollow noreferrer"&gt;https://docs.microsoft.com/en-us/powerapps/maker/canvas-apps/functions/function-navigate&lt;/a&gt;&lt;/p&gt;
</t>
  </si>
  <si>
    <t xml:space="preserve">&lt;p&gt;I don't have the "export" option from AppMaker menu. Any idea where it could come from ? I'm the owner of the project (I can see this in my Drive).&lt;/p&gt;
&lt;p&gt;I have created this project from an existing zip file (of an existing AppMaker project), could it be the reason ?&lt;/p&gt;
&lt;p&gt;here what I see&lt;/p&gt;
&lt;p&gt;&lt;a href="https://i.stack.imgur.com/Wowml.png" rel="nofollow noreferrer"&gt;&lt;img src="https://i.stack.imgur.com/Wowml.png" alt="enter image description here"&gt;&lt;/a&gt;&lt;/p&gt;
&lt;p&gt;Thanks&lt;/p&gt;
</t>
  </si>
  <si>
    <t xml:space="preserve">&lt;p&gt;It has moved, while in the project, in the left menu, at the very bottom after all your pages/scripts you have in your project is where you can find it.&lt;/p&gt;
&lt;p&gt;&lt;a href="https://i.stack.imgur.com/5OFe5.png" rel="nofollow noreferrer"&gt;&lt;img src="https://i.stack.imgur.com/5OFe5.png" alt="enter image description here"&gt;&lt;/a&gt;&lt;/p&gt;
</t>
  </si>
  <si>
    <t xml:space="preserve">&lt;p&gt;This is the scenario - we are using Azure DataFactoryV2 to run a series of pipelines that take account data from a local datasource, transform it and upload into Salesforce.&lt;/p&gt;
&lt;p&gt;Currently we are wanting to Import an Account and relate it to another account. There is the standard Parent/Child relationship for Accounts (eg a Reseller account and a child account) and this is using the internal Salesforce ID.&lt;/p&gt;
&lt;p&gt;We are also using an External ID for the purpose of Upserting and this ID is unique to each record.&lt;/p&gt;
&lt;p&gt;According to SF Documentation: &lt;a href="https://developer.salesforce.com/docs/atlas.en-us.api_rest.meta/api_rest/dome_upsert.htm" rel="nofollow noreferrer"&gt;Here&lt;/a&gt; - when you manually call the API and pass it a JSON file, you are able to add a relationship within the JSON:&lt;/p&gt;
&lt;pre&gt;&lt;code&gt;    {
   "Name" : "NewAccount",
   "account__r" :
   {
       "Ext_UID__c" : 123
   }
}
&lt;/code&gt;&lt;/pre&gt;
&lt;p&gt;However, this doesn't appear to be doable in Azure DataFactoryV2 to specify a lookup relationship in the code, or if it is, I'm not sure how to do it.&lt;/p&gt;
&lt;p&gt;For reference - here is the Pipeline JSON code:&lt;/p&gt;
&lt;pre&gt;&lt;code&gt;{
"name": "Import_to_Salesforce",
"properties": {
    "activities": [
        {
            "name": "Load_to_Salesforce",
            "type": "Copy",
            "policy": {
                "timeout": "7.00:00:00",
                "retry": 0,
                "retryIntervalInSeconds": 30,
                "secureOutput": false,
                "secureInput": false
            },
            "userProperties": [
                {
                    "name": "Source",
                    "value": "[dbo].[Account]"
                },
                {
                    "name": "Destination",
                    "value": "Account"
                }
            ],
            "typeProperties": {
                "source": {
                    "type": "SqlSource"
                },
                "sink": {
                    "type": "SalesforceSink",
                    "writeBatchSize": 5000,
                    "writeBehavior": "upsert",
                    "externalIdFieldName": "Ext_UID__c",
                    "ignoreNullValues": false
                },
                "enableStaging": false,
                "enableSkipIncompatibleRow": true,
                "dataIntegrationUnits": 0,
                "translator": {
                    "type": "TabularTranslator",
                    "columnMappings": {
                        "Name": "Name",
                        "ParentId": "ParentId",
                        "BillingStreet": "BillingStreet",
                        "BillingCity": "BillingCity",
                        "BillingPostalCode": "BillingPostalCode",
                        "BillingCountry": "BillingCountry",
                        "ShippingStreet": "ShippingStreet",
                        "ShippingCity": "ShippingCity",
                        "ShippingPostalCode": "ShippingPostalCode",
                        "ShippingCountry": "ShippingCountry",
                        "Phone": "Phone",
                        "AccountNumber": "AccountNumber",
                        "Brand__c": "Brand__c",
                        "Account_Status__c": "Account_Status__c",
                        "Account_Type__c": "Account_Type__c",
                        "Preferred_Payment_Method__c": "Preferred_Payment_Method__c",
                        "Last_Account_Login__c": "Last_Account_Login__c",
                        "Ext_UID__c": "Ext_UID__c",
                        "Auto_Renew_Status__c": "Auto_Renew_Status__c",
                        "Account_Balance__c": "Account_Balance__c",
                        "Outstanding_Amount_30_days__c": "Outstanding_Amount_30_days__c",
                        "Outstanding_Amount_60_days__c": "Outstanding_Amount_60_days__c",
                        "Outstanding_Amount_90_days__c": "Outstanding_Amount_90_days__c",
                        "Account_Priority__c": "Account_Priority__c",
                        "Reseller__c": "Reseller__c",
                        "Last_Payment__c": "Last_Payment__c"
                    }
                }
            },
            "inputs": [
                {
                    "referenceName": "Staging_Source",
                    "type": "DatasetReference"
                }
            ],
            "outputs": [
                {
                    "referenceName": "Destination_Load_to_Salesforce",
                    "type": "DatasetReference"
                }
            ]
        }
    ]
},
"type": "Microsoft.DataFactory/factories/pipelines"}
&lt;/code&gt;&lt;/pre&gt;
&lt;p&gt;Any input would be greatly appreciate.&lt;/p&gt;
</t>
  </si>
  <si>
    <t xml:space="preserve">&lt;p&gt;Which SF connector you're using? If there's no meaningful name look at your API user's login history in Salesforce. It's probably listed as "Simba Technologies" or something like that?&lt;/p&gt;
&lt;p&gt;For standard relationships you should be able to just type &lt;strike&gt;&lt;code&gt;Account.Ext_UID__c&lt;/code&gt;&lt;/strike&gt; &lt;code&gt;Parent.Ext_UID__c&lt;/code&gt;like in this Contact load:&lt;/p&gt;
&lt;p&gt;&lt;a href="https://i.stack.imgur.com/d4GYC.png" rel="nofollow noreferrer"&gt;&lt;img src="https://i.stack.imgur.com/d4GYC.png" alt="enter image description here"&gt;&lt;/a&gt;&lt;/p&gt;
&lt;p&gt;For custom lookups/master-detail fields if the field API name is &lt;code&gt;Account__c&lt;/code&gt; you can map it for upsert as &lt;code&gt;Account__r.Ext_UID__c&lt;/code&gt;.&lt;/p&gt;
&lt;p&gt;Just make sure that parent accounts exist before child accounts reference them... Maybe you loaded them in previous job, maybe it's best to load it in two stages:&lt;/p&gt;
&lt;ol&gt;
&lt;li&gt;Flat insert/upsert of all accounts without parent mapped&lt;/li&gt;
&lt;li&gt;Reparenting update/upsert that maps only this record's ext id and the parent's ext. id&lt;/li&gt;
&lt;/ol&gt;
</t>
  </si>
  <si>
    <t xml:space="preserve">&lt;p&gt;Below image is a sample data in the excel data table (the whole data is a lot so i only put a few sample datas here):
&lt;a href="https://i.stack.imgur.com/23vrx.png" rel="nofollow noreferrer"&gt;&lt;img src="https://i.stack.imgur.com/23vrx.png" alt="enter image description here"&gt;&lt;/a&gt;
&lt;a href="https://i.stack.imgur.com/f2cR5.png" rel="nofollow noreferrer"&gt;&lt;img src="https://i.stack.imgur.com/f2cR5.png" alt="enter image description here"&gt;&lt;/a&gt;&lt;/p&gt;
&lt;p&gt;Below is the canvas-app function that I have tried but it does not seems to work :&lt;/p&gt;
&lt;pre&gt;&lt;code&gt;If("1" in Area.buildingID &amp;amp;&amp;amp; "1" in Area.'storey ', Distinct(Area,'areaName '))
&lt;/code&gt;&lt;/pre&gt;
&lt;p&gt;The outcome in the list shown is (the last item Rooftop... should not be shown) For instance, Rooftop [areaName] is from storey 2 and buildingID 1. However, I would like to only extract all areaNames that are from storey 1 and buildingID 1 :&lt;/p&gt;
&lt;p&gt;&lt;a href="https://i.stack.imgur.com/0djly.png" rel="nofollow noreferrer"&gt;&lt;img src="https://i.stack.imgur.com/0djly.png" alt="enter image description here"&gt;&lt;/a&gt;&lt;/p&gt;
&lt;p&gt;Desired result is that I would like to extract "areaName" column values based on "storey" and "buildingID" columns. &lt;/p&gt;
</t>
  </si>
  <si>
    <t xml:space="preserve">&lt;p&gt;In this case you would first &lt;a href="https://docs.microsoft.com/powerapps/maker/canvas-apps/functions/function-filter-lookup" rel="nofollow noreferrer"&gt;Filter&lt;/a&gt; the table based on the condition that you want:&lt;/p&gt;
&lt;pre&gt;&lt;code&gt;Filter(Area, buildingID = "1", 'storey ' = "1")
&lt;/code&gt;&lt;/pre&gt;
&lt;p&gt;Then if you want to show only the unique values for the &lt;code&gt;'areaName '&lt;/code&gt; column you can use the &lt;a href="https://docs.microsoft.com/powerapps/maker/canvas-apps/functions/function-distinct" rel="nofollow noreferrer"&gt;Distinct function&lt;/a&gt; in the result of the first expression:&lt;/p&gt;
&lt;pre&gt;&lt;code&gt;Distinct(Filter(Area, buildingID = "1", 'storey ' = "1"), 'areaName ')
&lt;/code&gt;&lt;/pre&gt;
</t>
  </si>
  <si>
    <t xml:space="preserve">&lt;p&gt;Below shows the image of the items in the vertical gallery in Powerapp:&lt;/p&gt;
&lt;p&gt;&lt;a href="https://i.stack.imgur.com/hUAM5.png" rel="nofollow noreferrer"&gt;&lt;img src="https://i.stack.imgur.com/hUAM5.png" alt="enter image description here"&gt;&lt;/a&gt;&lt;/p&gt;
&lt;p&gt;Below is the image of the screen for checklists content:
&lt;a href="https://i.stack.imgur.com/aOnqq.png" rel="nofollow noreferrer"&gt;&lt;img src="https://i.stack.imgur.com/aOnqq.png" alt="enter image description here"&gt;&lt;/a&gt;&lt;/p&gt;
&lt;p&gt;This is the sample data:
&lt;a href="https://i.stack.imgur.com/pf74M.png" rel="nofollow noreferrer"&gt;&lt;img src="https://i.stack.imgur.com/pf74M.png" alt="enter image description here"&gt;&lt;/a&gt;&lt;/p&gt;
&lt;p&gt;Desire outcome: For instance, if I select "office" item in the vertical gallery, it  should navigate me to a screen showing the checklists for the office.
Let's say if I go back and select "Meeting room" item in the vertical gallery, it should navigate me to the SAME screen showing the checklists for the meeting room.
In short, I want to on list item select to navigate me to the same screen and change the content (checklists) of the screen dynamically. &lt;/p&gt;
</t>
  </si>
  <si>
    <t xml:space="preserve">&lt;p&gt;We are building a PowerApps screen with a data table using a collection as the data source for the &lt;em&gt;Items&lt;/em&gt; property.&lt;/p&gt;
&lt;p&gt;In our &lt;strong&gt;onVisible&lt;/strong&gt; event of the screen we create the collection like this:&lt;/p&gt;
&lt;pre&gt;&lt;code&gt;ClearCollect(
    collTrackedSales,
    Filter(
        eBayIT_Item_Management,
        TCode = "A02"
    )
)
&lt;/code&gt;&lt;/pre&gt;
&lt;p&gt;&lt;code&gt;eBayIT_Item_Management&lt;/code&gt; is the actual &lt;em&gt;SharePoint&lt;/em&gt; list, and this includes a lookup column to another list called &lt;em&gt;ItemCategories&lt;/em&gt; ...&lt;/p&gt;
&lt;p&gt;The problem is that the column in the data table just shows &lt;code&gt;[object Object]&lt;/code&gt; in that column...&lt;/p&gt;
&lt;p&gt;I have created another data table on the screen just using the SP List as the source and it works fine...&lt;/p&gt;
&lt;p&gt;Here are the images showing the problem:
&lt;a href="https://i.stack.imgur.com/Sq7XD.png" rel="nofollow noreferrer"&gt;&lt;img src="https://i.stack.imgur.com/Sq7XD.png" alt="enter image description here"&gt;&lt;/a&gt;&lt;/p&gt;
&lt;p&gt;in the above picture you can see there is no problem displaying the &lt;em&gt;categories&lt;/em&gt; field.&lt;/p&gt;
&lt;p&gt;In the below picture you can see there is an issue when using a collection as the source of the 2nd datatable:&lt;/p&gt;
&lt;p&gt;&lt;a href="https://i.stack.imgur.com/05bg4.png" rel="nofollow noreferrer"&gt;&lt;img src="https://i.stack.imgur.com/05bg4.png" alt="enter image description here"&gt;&lt;/a&gt;&lt;/p&gt;
&lt;p&gt;So what can I do in order to show the actual values in that list instead of &lt;code&gt;object Object&lt;/code&gt;?&lt;/p&gt;
</t>
  </si>
  <si>
    <t xml:space="preserve">&lt;p&gt;SharePoint lookup columns are stored in the original table as a "pointer" to an item in the referenced table, and in PowerApps they're stored as an object that contains the value and the identifier of the referenced table. If you use a SharePoint list directly as the data source of a data table, then the PowerApps knows that it's a SharePoint reference, and it can "follow the reference" to retrieve the value.&lt;/p&gt;
&lt;p&gt;However, once you save the data from from &lt;code&gt;eBayIT_Item_Management&lt;/code&gt; to a local collection, PowerApps doesn't know anymore that it has a reference to another list; instead it only has the data that was copied from the original list.&lt;/p&gt;
&lt;p&gt;You can, however, when creating your local collection, extract the reference from the lookup column and save it directly in your local collection, by using an AddColumns expression, as follows:&lt;/p&gt;
&lt;pre&gt;&lt;code&gt;ClearCollect(
    collTrackedSales,
    AddColumns(
        Filter(
            eBayIT_Item_Management,
            TCode = "A02"
        ),
        "CategoryName",
        Category.Value
    )
)
&lt;/code&gt;&lt;/pre&gt;
&lt;p&gt;And if you use the new column &lt;code&gt;CategoryName&lt;/code&gt; in your data table, it will show you the data you want.&lt;/p&gt;
</t>
  </si>
  <si>
    <t xml:space="preserve">&lt;p&gt;&lt;strong&gt;Models&lt;/strong&gt;: &lt;/p&gt;
&lt;ul&gt;
&lt;li&gt;Purchase Orders&lt;/li&gt;
&lt;li&gt;Items&lt;/li&gt;
&lt;/ul&gt;
&lt;p&gt;&lt;strong&gt;Relationship&lt;/strong&gt;:
Purchase Orders (one) &amp;lt;--&gt; (many) Items&lt;/p&gt;
&lt;p&gt;&lt;strong&gt;Ownership:&lt;/strong&gt;
Purchase Orders (Owner) -&gt; Items&lt;/p&gt;
&lt;p&gt;I am able to return all records from Items model using this code:&lt;/p&gt;
&lt;p&gt;&lt;div class="snippet" data-lang="js" data-hide="false" data-console="true" data-babel="false"&gt;
&lt;div class="snippet-code"&gt;
&lt;pre class="snippet-code-js lang-js prettyprint-override"&gt;&lt;code&gt;//Query Items and return records related to each Purchase Order.
  var query = app.models.Items.newQuery();
  var allItems = query.run();&lt;/code&gt;&lt;/pre&gt;
&lt;/div&gt;
&lt;/div&gt;
&lt;/p&gt;
&lt;p&gt;But how do I return only the items associated with each purchase order record?&lt;/p&gt;
</t>
  </si>
  <si>
    <t xml:space="preserve">&lt;p&gt;You'll need to pass the purchase order record key to your query and filter items by it. For example:&lt;/p&gt;
&lt;pre&gt;&lt;code&gt;  function getPurchaseOrderItems(purchaseOrderRecordKey){
      //Query Items and return records related to each Purchase Order.
      var query = app.models.Items.newQuery();
      query.filters.PurchaseOrders._key._equals = purchaseOrderRecordKey;
      var allItems = query.run();
  }
&lt;/code&gt;&lt;/pre&gt;
&lt;p&gt;I recommend you to consult the &lt;a href="https://developers.google.com/appmaker/scripting/server#working_with_relationships" rel="nofollow noreferrer"&gt;official documentation&lt;/a&gt; for a more detailed explanation. That way you'll get a deeper and better understanding on how to work with relations.&lt;/p&gt;
</t>
  </si>
  <si>
    <t xml:space="preserve">&lt;p&gt;I want to send a API request, but it keeps returning invalid JSON string. I'm using Postman and putting the request in the body of the POST call but it keeps failing. Any suggestions?&lt;/p&gt;
&lt;p&gt;Here is the sample request or the services api docs &lt;/p&gt;
&lt;p&gt;&lt;code&gt;$ curl https://inventory.zoho.com/api/v1/packages?authtoken=********************&amp;amp;organization_id=10234695
-d JSONString='{
    "package_number": "PA-00001",
    "date": "2017-01-11T00:00:00.000Z",
    "line_items": [
        {
            "so_line_item_id": 504366000000062000,
            "quantity": 2
        }
    ],
    "notes": "notes"
}'&lt;/code&gt;&lt;/p&gt;
</t>
  </si>
  <si>
    <t xml:space="preserve">&lt;p&gt;Below is the sample data:
&lt;a href="https://i.stack.imgur.com/RuLov.png" rel="nofollow noreferrer"&gt;&lt;img src="https://i.stack.imgur.com/RuLov.png" alt="enter image description here"&gt;&lt;/a&gt;&lt;/p&gt;
&lt;p&gt;Below is the vertical gallery where it displays the areaName based on storey column:
&lt;a href="https://i.stack.imgur.com/PolTS.png" rel="nofollow noreferrer"&gt;&lt;img src="https://i.stack.imgur.com/PolTS.png" alt="enter image description here"&gt;&lt;/a&gt;&lt;/p&gt;
&lt;p&gt;Below is the image for areaDescription content in a vertical gallery as well:
&lt;a href="https://i.stack.imgur.com/KlJMo.png" rel="nofollow noreferrer"&gt;&lt;img src="https://i.stack.imgur.com/KlJMo.png" alt="enter image description here"&gt;&lt;/a&gt;&lt;/p&gt;
&lt;p&gt;The desire outcome I would like to have is:
For instance, if I select "office" item in the vertical gallery, it should navigate me to a screen showing the areaDescription for the office. Let's say if I go back and select "Meeting room" item in the vertical gallery, it should navigate me to the SAME screen showing the areaDescription for the meeting room. In short, I want to on item select in vertical gallery to navigate me to the same screen and change the content (checklists) of the screen dynamically.&lt;/p&gt;
&lt;p&gt;It would be good to possibly provide sample canvas-app functions so I could understand. I really have no idea how it should do it :( Please help by seeing this above question.&lt;/p&gt;
</t>
  </si>
  <si>
    <t xml:space="preserve">&lt;p&gt;I am trying to integrate LinkedIn on salesforce, i already successfully authorized, got accessToken  and also got my profile info into visulforce page and also post feed into linkedin....and now i want to get feed into vf page how can i get?
this is my method code of getfeed&lt;/p&gt;
&lt;pre&gt;&lt;code&gt;method(){
Http http = new Http();
        HttpRequest httpReq = new HttpRequest();
        HttpResponse httpRes = new HttpResponse();
        httpReq.SetMethod('GET');
        httpReq.setHeader('Authorization', 'Bearer '+linkedlnInfoList[0].Access_Token__c);
        httpRes.setHeader('Connection', 'Keep-Alive');
        httpReq.setEndpoint('https://api.linkedin.com/v2/activityFeeds?q=networkShares&amp;amp;count=2');
        try{
            httpRes = http.send(httpReq);
            if(httpRes.getStatusCode() == 200){
               // Map&amp;lt;String,object&amp;gt; data = (Map&amp;lt;String,object&amp;gt;)JSON.deserializeUntyped(httpRes.getBody());              
                 String response=httpRes.getBody();
            }
&lt;/code&gt;&lt;/pre&gt;
&lt;p&gt;Error Unknown property controller.response or data&lt;/p&gt;
&lt;p&gt;Thanks
Amit Kumar&lt;/p&gt;
</t>
  </si>
  <si>
    <t xml:space="preserve">&lt;p&gt;I'm relatively new to power apps but I've reviewed the TimerControl tool, understand the basics of navigation and can even get it to print the data but I can't seem to get it to do the following&lt;/p&gt;
&lt;p&gt;1) Start Timer 
2) Stop Timer 
3) On Timer stop, navigate to e-mail screen, AND put timer information into the body of the e-mail. &lt;/p&gt;
&lt;p&gt;Can this be done? If so I'd love to know how. &lt;/p&gt;
&lt;p&gt;Here is the main simple screen &lt;/p&gt;
&lt;p&gt;&lt;a href="https://i.stack.imgur.com/iZCq2.png" rel="nofollow noreferrer"&gt;&lt;img src="https://i.stack.imgur.com/iZCq2.png" alt="Screen one with timer"&gt;&lt;/a&gt;&lt;/p&gt;
&lt;p&gt;I would like on Stop it to navigate to the 2nd screen which is here and paste the timer information int othe message of the e-mail &lt;/p&gt;
&lt;p&gt;&lt;a href="https://i.stack.imgur.com/uamxL.png" rel="nofollow noreferrer"&gt;&lt;img src="https://i.stack.imgur.com/uamxL.png" alt="Screen Two - E-mail form"&gt;&lt;/a&gt;&lt;/p&gt;
</t>
  </si>
  <si>
    <t xml:space="preserve">&lt;p&gt;I am trying to create my application with Google app maker  and Ineed to create login with different accounts? how can I create a login with different users roles and each user has a specific pages to see&lt;/p&gt;
</t>
  </si>
  <si>
    <t xml:space="preserve">&lt;p&gt;I need to create a custom connector which will prompt me a input field so that I can pass parameter value to get my actual data from data sources. It'll prompt me input field when I try to add a data sources from power apps.  Here I attached a sample image.&lt;/p&gt;
&lt;p&gt;How I can do that?&lt;/p&gt;
&lt;p&gt;&lt;a href="https://i.stack.imgur.com/iciPQ.png" rel="nofollow noreferrer"&gt;&lt;img src="https://i.stack.imgur.com/iciPQ.png" alt="sample image"&gt;&lt;/a&gt;&lt;/p&gt;
</t>
  </si>
  <si>
    <t xml:space="preserve">&lt;p&gt;Sample data:
&lt;a href="https://i.stack.imgur.com/QebGx.png" rel="nofollow noreferrer"&gt;&lt;img src="https://i.stack.imgur.com/QebGx.png" alt="enter image description here"&gt;&lt;/a&gt;&lt;/p&gt;
&lt;p&gt;Below is the vertical gallery image:&lt;/p&gt;
&lt;p&gt;&lt;a href="https://i.stack.imgur.com/R7RdG.png" rel="nofollow noreferrer"&gt;&lt;img src="https://i.stack.imgur.com/R7RdG.png" alt="enter image description here"&gt;&lt;/a&gt;&lt;/p&gt;
&lt;p&gt;How it looks like after "Office" item in the vertical gallery is selected:
&lt;a href="https://i.stack.imgur.com/mThOc.png" rel="nofollow noreferrer"&gt;&lt;img src="https://i.stack.imgur.com/mThOc.png" alt="enter image description here"&gt;&lt;/a&gt;&lt;/p&gt;
&lt;p&gt;When on select office gallery item, I only want to show area description for storey 1, builingID 1 and area description to be Office.&lt;/p&gt;
</t>
  </si>
  <si>
    <t xml:space="preserve">&lt;p&gt;&lt;strong&gt;Agenda:&lt;/strong&gt; We are trying to display our data fetched from &lt;em&gt;SQL&lt;/em&gt; in drop down list ,But instead of giving directly we are using &lt;em&gt;"Azure Functions"&lt;/em&gt; which can help retrieve data from SQL via &lt;em&gt;Key Vault&lt;/em&gt;&lt;/p&gt;
&lt;p&gt;&lt;strong&gt;Issue:&lt;/strong&gt; Powerapps DropDown/ListBox control are not able to understand the output given by Azure function. We tried to render outputs from Azure Functions i.e. string/text/records/list/DataRows&lt;/p&gt;
&lt;p&gt;&lt;strong&gt;Error:&lt;/strong&gt;&lt;/p&gt;
&lt;blockquote&gt;
  &lt;p&gt;the property expects table values but this rule produces incompatible
  text values&lt;/p&gt;
&lt;/blockquote&gt;
&lt;p&gt;&lt;strong&gt;What we did:&lt;/strong&gt; &lt;/p&gt;
&lt;ol&gt;
&lt;li&gt;Created Azure Function(Gave all needed access such as managed service identity, app addition to AAD etc.)(Tested the function, we get expected output)&lt;/li&gt;
&lt;li&gt;Created API with swagger 2.0&lt;/li&gt;
&lt;li&gt;Created a Custom powerapp connector with the above OpenAPI file(Connector works fine)&lt;/li&gt;
&lt;li&gt;We invoke the function from the Powerapp canvas like this 
&lt;code&gt;MCFAzureFunction.RunThis(Button1.Pressed)&lt;/code&gt;&lt;/li&gt;
&lt;/ol&gt;
&lt;p&gt;&lt;strong&gt;Help:&lt;/strong&gt; Let us know how best we can push the response data fromazure function to powerapp dropdown or listbox control. or we are doing/missing something&lt;/p&gt;
&lt;p&gt;&lt;strong&gt;Code:&lt;/strong&gt;&lt;/p&gt;
&lt;pre&gt;&lt;code&gt;using System.Linq;
using System.Net;
using System.Net.Http;
using System.Threading.Tasks;
using Microsoft.Azure.WebJobs;
using Microsoft.Azure.WebJobs.Extensions.Http;
using Microsoft.Azure.WebJobs.Host;
using Microsoft.Azure.KeyVault;
using Microsoft.Azure.Services.AppAuthentication;
using System.Data;
using System.Data.SqlClient;
using Newtonsoft.Json;
namespace MCFuncApp
{
    public static class Function1
    {
        private static HttpClient client = new HttpClient();
        private static string BuildConnString(string secret, string dbCatalog)
        {
            return ("Server=********** Timeout=30;");
        }
        private static string DataTableToJSON(DataTable table)
        {
            string JSONString = string.Empty;
            JSONString = JsonConvert.SerializeObject(table);
            return JSONString;
        }
        [FunctionName("Function1")]
        public static async Task&amp;lt;HttpResponseMessage&amp;gt; Run([HttpTrigger(AuthorizationLevel.Function, "get", "post", Route = null)]HttpRequestMessage req, TraceWriter log)
        {
            log.Info("C# HTTP trigger function processed a request.");
            // parse query parameter
            string name = req.GetQueryNameValuePairs()
                .FirstOrDefault(q =&amp;gt; string.Compare(q.Key, "name", true) == 0)
                .Value;
            if (name == null)
            {
                // Get request body
                dynamic data = await req.Content.ReadAsAsync&amp;lt;object&amp;gt;();
                name = data?.name;
            }
            string exampleSecret = "Secret";
            string qResponse = "";
            if(name != null)
            {   // "https://********"
                string vaultBaseUrl = "*********";
                var azureServiceTokenProvider = new AzureServiceTokenProvider();
                var kvClient = new KeyVaultClient(new KeyVaultClient.AuthenticationCallback(azureServiceTokenProvider.KeyVaultTokenCallback), client);
                var secret = (await kvClient.GetSecretAsync(vaultBaseUrl)).Value;
                var connString = BuildConnString(secret, "*****");
                string query = "*********";
                var dt = new DataTable();
                using (SqlDataAdapter da = new SqlDataAdapter(query, connString))
                {
                    da.Fill(dt);
                }
                qResponse = DataTableToJSON(dt);                
            }
            return name == null
                ? req.CreateResponse(HttpStatusCode.BadRequest, "Please pass a name on the query string or in the request body")
                : req.CreateResponse(HttpStatusCode.OK, qResponse, "application/json");
        }
    }
}
&lt;/code&gt;&lt;/pre&gt;
&lt;p&gt;&lt;em&gt;Thanks in Advance !&lt;/em&gt;&lt;/p&gt;
</t>
  </si>
  <si>
    <t xml:space="preserve">&lt;p&gt;I have created a CDS connection in PowerApp platform under particular environment which I can see in list there as follows:&lt;/p&gt;
&lt;p&gt;&lt;a href="https://i.stack.imgur.com/8Xdby.png" rel="nofollow noreferrer"&gt;&lt;img src="https://i.stack.imgur.com/8Xdby.png" alt="enter image description here"&gt;&lt;/a&gt;&lt;/p&gt;
&lt;p&gt;But when I go to PowerApp admin portal and try to use these connection to create a ConnectionSet then only single connection appears there, which is of Dynamics 365 for Operation. I don't see any other connection to choose from to proceed with integration task. My intention is to integrate the CDS data from associated Dynamics 365 for Talent to Dynamics 365 for Operation.&lt;/p&gt;
&lt;p&gt;Screenshot of ConnectionSet creation step with only available connection:
&lt;a href="https://i.stack.imgur.com/BXzEJ.png" rel="nofollow noreferrer"&gt;&lt;img src="https://i.stack.imgur.com/BXzEJ.png" alt="enter image description here"&gt;&lt;/a&gt;&lt;/p&gt;
&lt;p&gt;Please let me know what I have missing and hence the other connection not appearing in list.&lt;/p&gt;
</t>
  </si>
  <si>
    <t xml:space="preserve">&lt;p&gt;I have $code and other variables values, but i receive error " Server error occurred Looks like you typed an incorrect address Or the URL you clicked is invalid."&lt;/p&gt;
&lt;p&gt;&lt;a href="https://i.stack.imgur.com/xCMWw.png" rel="nofollow noreferrer"&gt;&lt;img src="https://i.stack.imgur.com/xCMWw.png" alt="enter image description here"&gt;&lt;/a&gt;&lt;/p&gt;
&lt;pre&gt;&lt;code&gt;$adminUrl='https://accounts.zoho.com/oauth/v2/token';
$data = array("code" =&amp;gt; $code,
"redirect_uri" =&amp;gt; $redirect_url, 
"client_id"=&amp;gt;$client_id, 
"client_secret" =&amp;gt;$client_secret, 
"grant_type"=&amp;gt; "authorization_code",
"scope" =&amp;gt; "ZohoCRM.modules.ALL");
$data_string = json_encode($data,JSON_UNESCAPED_SLASHES);
$headers = array(
'Content-Type: application/json',
'Content-Length: ' . strlen($data_string)
);
$ch = curl_init();
curl_setopt($ch, CURLOPT_URL, $adminUrl);
curl_setopt($ch, CURLOPT_CUSTOMREQUEST, "POST");
curl_setopt($ch, CURLOPT_HTTPHEADER, $headers);
curl_setopt($ch, CURLOPT_POSTFIELDS, $data_string);
curl_setopt($ch, CURLOPT_RETURNTRANSFER, 1);
curl_setopt($ch, CURLOPT_CONNECTTIMEOUT, 60);
curl_setopt($ch, CURLOPT_TIMEOUT, 60);
$token = curl_exec($ch);
&lt;/code&gt;&lt;/pre&gt;
</t>
  </si>
  <si>
    <t xml:space="preserve">&lt;p&gt;Below is the sample data: 
Area Table:
&lt;a href="https://i.stack.imgur.com/OCD3x.png" rel="nofollow noreferrer"&gt;&lt;img src="https://i.stack.imgur.com/OCD3x.png" alt="enter image description here"&gt;&lt;/a&gt;&lt;/p&gt;
&lt;p&gt;Building Table:
&lt;a href="https://i.stack.imgur.com/xeeJT.png" rel="nofollow noreferrer"&gt;&lt;img src="https://i.stack.imgur.com/xeeJT.png" alt="enter image description here"&gt;&lt;/a&gt;&lt;/p&gt;
&lt;p&gt;The two dropdown lists:
&lt;a href="https://i.stack.imgur.com/FB3NL.png" rel="nofollow noreferrer"&gt;&lt;img src="https://i.stack.imgur.com/FB3NL.png" alt="enter image description here"&gt;&lt;/a&gt;&lt;/p&gt;
&lt;p&gt;The desired output I would  like to achieve is:
If first dropdown item is "EC - Empire Complex" then the second dropdown item will show storey 1 and storey 2.If u see the datatable buildingID = 1 is EC - Empire Complex and so on...&lt;/p&gt;
</t>
  </si>
  <si>
    <t xml:space="preserve">&lt;p&gt;I'm creating a custom SharePoint form using PowerApps. On my SharePoint List, I have a User column called Manager.&lt;/p&gt;
&lt;p&gt;In SharePointIntegration OnView &amp;amp; OnEdit I'm setting the variable ManagerEmail: Set(ManagerEmail, SharePointIntegration.Selected.Manager.Email) &lt;/p&gt;
&lt;p&gt;(I've also tried setting the variable to the Form field: Set(ManagerEmail, DataCardValue6.Selected.Email) and this has the same issue described below)&lt;/p&gt;
&lt;p&gt;I have a label on the form that displays ManagerEmail.&lt;/p&gt;
&lt;p&gt;When I first view an item, the label is empty. If I view the same item again, it shows the correct information.&lt;/p&gt;
&lt;p&gt;If I view a new item, the label shows the value from the previous item. If I view the same item again, it shows the correct information.&lt;/p&gt;
&lt;p&gt;I've tried moving the Set command to the view OnStart and it behaves the same way. I'm clearing the variable on OnSave &amp;amp; OnCancel in SharePointIntegration using the command: Set(ManagerEmail, "")&lt;/p&gt;
</t>
  </si>
  <si>
    <t xml:space="preserve">&lt;p&gt;I am learning PowerApps and while I am surfing on this, I come across Connector and Connections which are main components before proceeding with actions/triggers. So, could you please explain in detailed what is connector and connections on PowerApps?&lt;/p&gt;
&lt;p&gt;Thanks in Advance&lt;/p&gt;
</t>
  </si>
  <si>
    <t xml:space="preserve">&lt;p&gt;Below is what I have written, may I know if the canvas-app functions are considered hardcoded... :&lt;/p&gt;
&lt;pre&gt;&lt;code&gt;If(
    "EC - Empire Complex" in BuildingDropdown.Selected.Value &amp;amp;&amp;amp;
        "Storey 1" in StoreyDropdown.Selected.Value &amp;amp;&amp;amp;
        "Office" in AreaNameDropdown.Selected.Value,
    Distinct(
        Filter(
            Area,
            "1" in buildingID,
            "Storey 1" in storey ,
            "Office" in areaName ),
        areaDescription )))
&lt;/code&gt;&lt;/pre&gt;
</t>
  </si>
  <si>
    <t xml:space="preserve">&lt;p&gt;Currently my powerapp is having a Gallery which is based on a single sharepoint list but &lt;strong&gt;i would like to implement a gallery on my app which should show items from 3 different sharepoint lists (all have same columns/fields)&lt;/strong&gt; and i am using a filter on the galley so that user can type on the box and get filtered response only instead of showing all data&lt;/p&gt;
&lt;p&gt;Please Help&lt;/p&gt;
&lt;p&gt;I am already having this formula in gallery1.items : &lt;/p&gt;
&lt;p&gt;Search('PO list', TextSearchBox.Text,"Branch Code")
 For example,consider i have 2 list : list 1 &amp;amp; list 2 ,now when an user searches in the searchbox (i.e. TextSearchbox) i want the gallery to filter the data wherein "Branch Code" equals search data from both the List&lt;/p&gt;
&lt;p&gt;EDIT 1 : This is the formula i am trying to implement : 
Formula  : &lt;em&gt;ClearCollect(Aitems,'PO list',PO 2)&lt;/em&gt;&lt;/p&gt;
&lt;p&gt;and error is shown as in the following image:&lt;/p&gt;
&lt;p&gt;&lt;a href="https://i.stack.imgur.com/r7r47.jpg" rel="nofollow noreferrer"&gt;&lt;img src="https://i.stack.imgur.com/r7r47.jpg" alt="error"&gt;&lt;/a&gt;&lt;/p&gt;
&lt;p&gt;My &lt;em&gt;"PO List"&lt;/em&gt; was having a column called status and its type was Single line of text whereas in &lt;em&gt;"PO 2"&lt;/em&gt; the type of status column was Choices .since i cannot change the datatype i have changed one of the list column name to &lt;em&gt;"Status 0"&lt;/em&gt; .
Now the only difference i have between these two lists are one list has some extra columns while other don,t have.
But still when i am trying ti implement i am getting this &lt;em&gt;"Incompatible type"&lt;/em&gt; error.&lt;/p&gt;
</t>
  </si>
  <si>
    <t xml:space="preserve">&lt;p&gt;I have got 2 dropdown list and 2 variables: &lt;strong&gt;&lt;em&gt;DropdownSection&lt;/em&gt;&lt;/strong&gt;, &lt;strong&gt;&lt;em&gt;DropdownEmployee&lt;/em&gt;&lt;/strong&gt;.
&lt;strong&gt;&lt;em&gt;DropdownSection&lt;/em&gt;&lt;/strong&gt; is filled with values from variable &lt;strong&gt;&lt;em&gt;SectionWithBlank&lt;/em&gt;&lt;/strong&gt; which is from SP List. My &lt;strong&gt;&lt;em&gt;OnVisible&lt;/em&gt;&lt;/strong&gt; action:&lt;br&gt;
&lt;code&gt;ClearCollect(SectionWithBlank,{Title:""}); Collect(SectionWithBlank,Distinct(ops_tc2_wydzialy, Title))&lt;/code&gt;&lt;/p&gt;
&lt;p&gt;That works corretly. Now I fill my &lt;strong&gt;&lt;em&gt;EmployeeWithBlank&lt;/em&gt;&lt;/strong&gt; variable with values depending on value selected in &lt;strong&gt;&lt;em&gt;DropdownSection&lt;/em&gt;&lt;/strong&gt;. My &lt;strong&gt;&lt;em&gt;OnChange&lt;/em&gt;&lt;/strong&gt; event in &lt;strong&gt;&lt;em&gt;DropdownSection&lt;/em&gt;&lt;/strong&gt;: &lt;code&gt;ClearCollect(EmployeeWithBlank, {Title:""}); Collect(EmployeeWithBlank, Distinct(Filter(ops_tc2_pracownicy_1, wydzial=Dropdown1.Selected.Value), imie &amp;amp; " " &amp;amp; nazwisko))&lt;/code&gt;.&lt;/p&gt;
&lt;p&gt;When i pick something in &lt;strong&gt;DropdownSection&lt;/strong&gt;, my &lt;strong&gt;DropdownEmployee&lt;/strong&gt; contains only empty values (e.g. when i got 5 values in my variable (&lt;strong&gt;EmployeeWithBlank&lt;/strong&gt;), my &lt;strong&gt;DropdownEmployee&lt;/strong&gt; got 5 empty values). When i go to &lt;em&gt;View&lt;/em&gt; -&gt; &lt;em&gt;Collections&lt;/em&gt;, my &lt;strong&gt;EmployeeWithBlank&lt;/strong&gt; variable contains correct values (not empty).&lt;/p&gt;
</t>
  </si>
  <si>
    <t xml:space="preserve">&lt;p&gt;It's possible that your DropdownEmployee control is not properly bound to the EmployeeWithBlank collection, or is displaying a different field in that table which has blank values.&lt;/p&gt;
&lt;p&gt;To check, select the dropdown. Choose &lt;strong&gt;"Advanced"&lt;/strong&gt; in the property pane on the right, and under the Data section make sure:
1. The Items are set to EmployeeWithBlank
2. The correct column name for what you want to display in the dropdown is selected in &lt;strong&gt;Values&lt;/strong&gt; &lt;a href="https://i.stack.imgur.com/hx62g.png" rel="nofollow noreferrer"&gt;(screenshot)&lt;/a&gt;&lt;/p&gt;
</t>
  </si>
  <si>
    <t xml:space="preserve">&lt;p&gt;Basically I want to list all the profiles name (Profile Table), each profile has a bunch of entities associated with it (Profile_Entity) and types of entities (Profile_EntityType). So, for each Profile I want to count how many entities there are on each.&lt;/p&gt;
&lt;p&gt;This (the count) works fine If I don't filter the results. But then, If I try to filter by Entity (see if such entity belongs to a profile) it messes up my Entity Count. This happens because when the table is filtered, the rows where the EntityIDBP (serves as EntityIDBP) don't appear disappear, and the count will count the rows of the filtered table, Where I would like it to stick to the original one.&lt;/p&gt;
&lt;p&gt;So I tried to isolate the count with a LEFT JOIN, but with no sucess.&lt;/p&gt;
&lt;p&gt;This is what I currently have&lt;/p&gt;
&lt;pre&gt;&lt;code&gt;SELECT  {Profile}.[Id],
            {Profile}.[Name],
            Count (ProfileCount.IDBP)
     FROM {Profile}
     LEFT JOIN
      ((
     /* Get all the entities that belong to a profile, trough the entity type */
        SELECT  P2.[Id] as Id,
                P2.[Name] as ProfileName,
                {Entity}.[EntityIDBP] as IDBP
         FROM    {Profile} as P2
         LEFT JOIN {Profile_EntityType} ON ({Profile_EntityType}.[ProfileId] = P2.[Id])
         LEFT JOIN    {Entity} ON ({Entity}.[EntityType_IDBP] = {Profile_EntityType}.[EntityType_IDBP] )
          UNION
        /* Get all the entities that belong to a profile directly, trough the Profile_Entity.isToInclude = 1  */
        SELECT   P2.[Id] as Id,
                    P2.[Name] as ProfileName,
                    {Entity}.[EntityIDBP] as IDBP             
         FROM    {Profile} as P2
         LEFT JOIN   {Profile_Entity} ON ({Profile_Entity}.[ProfileId] = P2.[Id] AND {Profile_Entity}.[IsToInclude] = 1)
         LEFT JOIN    {Entity} ON ({Entity}.[EntityIDBP] = {Profile_Entity}.[EntityIDBP] 
          )EXCEPT(
         /* The subquery that gets all the entities that shouldn't be accounted for the Count (Profile_Entity.isToInclude = 0)  */
         SELECT   P2.[Id] as Id,
                  P2.[Name] as ProfileName,
                  {Entity}.[EntityIDBP] as IDBP
          FROM    {Profile} as P2
          JOIN   {Profile_Entity} ON ({Profile_Entity}.[ProfileId] = P2.[Id] AND {Profile_Entity}.[IsToInclude] = 0)
          JOIN    {Entity} ON ({Entity}.[EntityIDBP] = {Profile_Entity}.[EntityIDBP] ))) as ProfileCount ON ({Profile}.[Id] = ProfileCount.Id)
WHERE ProfileCount.IDBP IN (301000044)  
/* The Filter used to know if a profile has a entity or not ; Right now it's a fixed value just to demonstrate*/ 
/*The 301000044 represents the Entity IDBP */
GROUP BY {Profile}.[Name],{Profile}.[Id])
&lt;/code&gt;&lt;/pre&gt;
&lt;p&gt;For the example here are the data model tables.
&lt;strong&gt;Profile table:&lt;/strong&gt;&lt;/p&gt;
&lt;pre&gt;&lt;code&gt;|---------------------|------------------|
|Id  |    Name        |     (...)        |
|---------------------|------------------|
|10  | Profile1       |        (...)     |
|---------------------|------------------|
&lt;/code&gt;&lt;/pre&gt;
&lt;p&gt;&lt;strong&gt;Profile_Entity table:&lt;/strong&gt;&lt;/p&gt;
&lt;pre&gt;&lt;code&gt;|---------------------|------------------|-----------------------------|
|      ProfileId      |     EntityIDBP   |isToInclude                  |
|                     |serves as the     |/*this representes wheter the| 
|                     |unique id         | entity should be considered | 
|                     |                  |  for the count (=1) or not  |
|                     |                  |   (=0) */                   |
|---------------------|------------------|-----------------------------|
|     10              |       301000044  | 1                           |
|---------------------|------------------|-----------------------------|
|                     |                  |                             |
|     10              |       301000045  | 1                           |
----------------------|------------------|-----------------------------| 
|     10              |       301000043  | 0 /* goes into the EXCEPT   |
|                     |                  |         clause */           |
|---------------------|------------------|   /*thus the EXCEPT clause*/|
&lt;/code&gt;&lt;/pre&gt;
&lt;p&gt;&lt;strong&gt;Profile-EntityType table:&lt;/strong&gt;&lt;/p&gt;
&lt;pre&gt;&lt;code&gt;|---------------------|------------------|
|Id  |EntityType_IDBP |     (...)        |
|---------------------|------------------|
|10  | ProfileType    |          -----   |
|---------------------|------------------|
/*Then on the EntityTable  I would have all the Entities that belong to this 
type and aggregate them all together. Let's imagine it's 10 */
&lt;/code&gt;&lt;/pre&gt;
&lt;p&gt;&lt;strong&gt;Entity Table&lt;/strong&gt;&lt;/p&gt;
&lt;pre&gt;&lt;code&gt;|---------------------|------------------|
|Id  |    EntityIDBP  | EntityType_IDBP  | /* 10 entities (records) with this 
|                     |                  |   TypeCod */
|---------------------|------------------|
|10  | IDBP           |      ProfileType | 
|---------------------|------------------|
&lt;/code&gt;&lt;/pre&gt;
&lt;p&gt;&lt;strong&gt;The expected result:&lt;/strong&gt;&lt;/p&gt;
&lt;pre&gt;&lt;code&gt;|---------------------|------------------|
|Id  |    ProfileName |     EntityCount  |
|---------------------|------------------|
|10  | Profile1       |        11        |
|---------------------|------------------|
&lt;/code&gt;&lt;/pre&gt;
&lt;p&gt;The count is 11 because there are two (2) entities with isToInclude = 1 on Profile_Entity table minus 1 entity from Profile_Entity with isToInclude = 0 (the Except clause) plus 10 enties with that type.&lt;/p&gt;
&lt;p&gt;Obs. The syntax may be a little bit different than what you are used to because this is done in a Outsystems platform.&lt;/p&gt;
</t>
  </si>
  <si>
    <t xml:space="preserve">&lt;p&gt;Ended up using the temporary table I get to retrieve all the entities from a Profile (The Union and the Except) as a Condition on this same query, where the only difference is that I feed this second one the IDBP of the entity I want to filter by.
So I have something like this &lt;/p&gt;
&lt;pre&gt;&lt;code&gt;SELECT A.ProfileName, A.ProfileId, Count(A.IDBP)
 FROM (
       SELECT 'all entities IDBP associated with a profile, as well as its Id and Name' as A
       WHERE A.IDBP IN (A WHERE Entity.IDBP = 'xxxx')
      )
&lt;/code&gt;&lt;/pre&gt;
&lt;p&gt;This preserves the Count and does the filtering&lt;/p&gt;
</t>
  </si>
  <si>
    <t xml:space="preserve">&lt;p&gt;You are in a client script and taking the page.descendants (or pageFragment, popup, etc, whatever) and want to iterate its values, it's ok no problem:&lt;/p&gt;
&lt;pre&gt;&lt;code&gt;app.popups.GlobalFilter.descendants.foreach(function (w){...})
&lt;/code&gt;&lt;/pre&gt;
&lt;p&gt;But when you are in the closure you can't determine what kind of widget you dealing with, is it TextEdit or DatePicker, or Multiselect. All you have - properties (name, align, etc.). There is no property like &lt;code&gt;ComponentClass&lt;/code&gt;, &lt;code&gt;WidgetClass&lt;/code&gt; or &lt;code&gt;ClassName&lt;/code&gt;.&lt;/p&gt;
&lt;p&gt;You even can't set the values because you don't know what property you have to set (value for Datepicker and values for Multiselect) and it's type (Date for DatePicker and array for Multiselect).&lt;/p&gt;
&lt;p&gt;I have to hardcode widget names with their types for now, but maybe I missed something and there is a way to determine widget/component class name?&lt;/p&gt;
</t>
  </si>
  <si>
    <t xml:space="preserve">&lt;p&gt;I have a popup that is shown when a user clicks on the item of a list. Once the pop up shows, there is an HTML widget within it, in which I'd like to give it an 'id'  like:&lt;/p&gt;
&lt;p&gt;&lt;div class="snippet" data-lang="js" data-hide="false" data-console="true" data-babel="false"&gt;
&lt;div class="snippet-code"&gt;
&lt;pre class="snippet-code-html lang-html prettyprint-override"&gt;&lt;code&gt;&amp;lt;div id="builder-&amp;lt;idOfItemSelectedHere&amp;gt;"&amp;gt;&amp;lt;/div&amp;gt;&lt;/code&gt;&lt;/pre&gt;
&lt;/div&gt;
&lt;/div&gt;
&lt;/p&gt;
&lt;p&gt;How can I do this in Google app maker?&lt;/p&gt;
</t>
  </si>
  <si>
    <t xml:space="preserve">&lt;p&gt;The following would be a possible solution. For you listrow onclick event enter the following:&lt;/p&gt;
&lt;pre&gt;&lt;code&gt;var htmlwidget = widget.root.descendants.YourHTMLWidget;
var item = widget.datasource.item;
htmlwidget.html = "&amp;lt;div id='builder-" + item.id + "'&amp;gt;" + item.id + "&amp;lt;/div&amp;gt;";
&lt;/code&gt;&lt;/pre&gt;
&lt;p&gt;You would want to remove your predefined html from your HTML widget however.&lt;/p&gt;
</t>
  </si>
  <si>
    <t xml:space="preserve">&lt;p&gt;Hello Stack Community!&lt;/p&gt;
&lt;p&gt;I'm currently in the process of adopting the Leave Request template for use in my organization. However, I've run into a few problems. I'm attempting to edit the already established collections in the app and am having a lot of trouble doing so. I've read the Patch article and I just can't figure out how to successfully use the Patch function to update the various collections I will need.
Some methods I've tried include editing the OnStart action in the Login Screen and this didn't work. I figured out how to edit the Company Holidays Collection via Excel on OneDrive. Essentially, I just need to edit one collection, the LeaveTypeCollection. I want to edit the options as well as the image (icon) available.&lt;/p&gt;
&lt;p&gt;Can someone please give me a step-by-step guide on how to do so? I would be extremely grateful.&lt;/p&gt;
</t>
  </si>
  <si>
    <t xml:space="preserve">&lt;p&gt;If searched the &lt;a href="https://help.zoho.com/portal/community" rel="nofollow noreferrer"&gt;https://help.zoho.com/portal/community&lt;/a&gt; site
And it seems that you can only hide some fields if you have the enterprise edition.&lt;/p&gt;
&lt;p&gt;I'm not looking for a Security solution, I only want cleaner interface so I think the only ways is to develop a chrome extension.&lt;/p&gt;
&lt;p&gt;I've already stared to develop it in
&lt;a href="https://github.com/fmmribeiro/scZohoHideElements" rel="nofollow noreferrer"&gt;https://github.com/fmmribeiro/scZohoHideElements&lt;/a&gt;&lt;/p&gt;
&lt;p&gt;But using a "Content Script" the extension is fired before the page is fully loaded (zoho uses some kind of async content loading)&lt;/p&gt;
&lt;p&gt;&lt;strong&gt;HOW do I execute my Content Script after the page is fully loaded?&lt;/strong&gt; &lt;/p&gt;
&lt;p&gt;Ps: By now the only way to bypass this problem is to click the chrome extension button (background script)&lt;/p&gt;
</t>
  </si>
  <si>
    <t xml:space="preserve">&lt;p&gt;I have 2 dropdowns Operating System and OS version namely. Each OS can have multiple OS versions and each OS version can be linked to more than one OS.&lt;/p&gt;
&lt;p&gt;Once an OS is selected the OS version dropdown must get enabled and the options(OS versions) should be fetched from the datasource based on the OS selected above.&lt;/p&gt;
&lt;p&gt;I tried using query script but how do I pass the client side value(selected option in OS i.e app.pages.RegisterServers.descendants.Dropdown8.value) to the query script?&lt;/p&gt;
&lt;p&gt;&lt;a href="https://i.stack.imgur.com/m2BsW.png" rel="nofollow noreferrer"&gt;Image of form for reference&lt;/a&gt;&lt;/p&gt;
&lt;p&gt;In the onClick event of OS dropdown I added the below code&lt;/p&gt;
&lt;pre&gt;&lt;code&gt;   app.pages.RegisterServers.descendants.Dropdown9.enabled=true;
  app.datasources.OSVersion.query.parameters.os_name=
  app.pages.RegisterServers.descendants.Dropdown8.value;
&lt;/code&gt;&lt;/pre&gt;
&lt;p&gt;And in the query script of OSVersion datasource I added a parameter os_name.&lt;/p&gt;
&lt;p&gt;Query script code&lt;/p&gt;
&lt;pre&gt;&lt;code&gt;  var osVersionResult = [];
 // Modify passed query to additionally filter by OS.
  query.filters.OpsName._equals=query.parameters.os_name;
  osVersionResult = query.run();
  return osVersionResult;
&lt;/code&gt;&lt;/pre&gt;
&lt;p&gt;But this is not working. Please suggest if you see any reason for this.&lt;/p&gt;
</t>
  </si>
  <si>
    <t xml:space="preserve">&lt;p&gt;Finally found a solution!&lt;/p&gt;
&lt;p&gt;Added below code in the OnValueChange event of OS drop down. Thats it, nothing else needs to be done.&lt;/p&gt;
&lt;pre&gt;&lt;code&gt;app.pages.RegisterServers.descendants.Dropdown9.enabled=true;
app.datasources.OSVersion.query.filters.OpsName._equals=
app.pages.RegisterServers.descendants.Dropdown8.value;
app.datasources.OSVersion.load();
&lt;/code&gt;&lt;/pre&gt;
</t>
  </si>
  <si>
    <t xml:space="preserve">&lt;p&gt;I'm trying to connect a PowerApps application to my database in PostgreSQL but it won'tt let me, the error it gives me is:&lt;/p&gt;
&lt;pre&gt;&lt;code&gt;PostgreSQL: We were unable to find a database provider with invariant name 'Npgsql'.
&lt;/code&gt;&lt;/pre&gt;
&lt;p&gt;I have installed a gateway.&lt;/p&gt;
&lt;p&gt;Thank you in advance for any help you can give me.&lt;/p&gt;
</t>
  </si>
  <si>
    <t xml:space="preserve">&lt;p&gt;How can I programmaticaly select one or more item in a combo box that is bound to a sharepoint lookup column?&lt;/p&gt;
&lt;p&gt;I didn't find a select('item') method, is there a workaround?&lt;/p&gt;
</t>
  </si>
  <si>
    <t xml:space="preserve">&lt;p&gt;I am trying to get/send mails using Zoho Mail API V2, there are few steps like getting code then getting authtoken then making request for getting all mails etc.&lt;/p&gt;
&lt;p&gt;Domain configuration: bgbs-dev.firebaseapp.com
Redirect URL : &lt;a href="https://bgbs-dev.firebaseapp.com/zoho" rel="nofollow noreferrer"&gt;https://bgbs-dev.firebaseapp.com/zoho&lt;/a&gt;&lt;/p&gt;
&lt;ol&gt;
&lt;li&gt;&lt;p&gt;Get Code(GET Request) : &lt;a href="https://accounts.zoho.com/oauth/v2/auth?scope=VirtualOffice.messages.READ&amp;amp;client_id=1000.96035O2MGZKOPSBYMU&amp;amp;response_type=code&amp;amp;access_type=online&amp;amp;redirect_uri=https://bgbs-dev.firebaseapp.com/zoho&amp;amp;state=123456" rel="nofollow noreferrer"&gt;https://accounts.zoho.com/oauth/v2/auth?scope=VirtualOffice.messages.READ&amp;amp;client_id=1000.96035O2MGZKOPSBYMU&amp;amp;response_type=code&amp;amp;access_type=online&amp;amp;redirect_uri=https://bgbs-dev.firebaseapp.com/zoho&amp;amp;state=123456&lt;/a&gt;&lt;/p&gt;&lt;/li&gt;
&lt;li&gt;&lt;p&gt;Making Post Request for authtoken :&lt;/p&gt;
&lt;p&gt;authToken(code: string): Observable {&lt;/p&gt;
&lt;pre&gt;&lt;code&gt;let params = new HttpParams();
params = params.append('code', code); // getting code from above request
params = params.append('grant_type', "authorization_code");
params = params.append('scope', "messages.READ");
params = params.append('clientId', "1000.3BU2GUYF4SBYMU"); 
params = params.append('client_secret', "9853c68cf3ab913e13afd8a05"); 
params = params.append('redirect_uri', "https://bgbs-dev.firebaseapp.com/zoho"); 
params = params.append('state', "123456"); 
return this.http.post&amp;lt;any&amp;gt;('http://accounts.zoho.com/oauth/v2/token', {params: params});
  }
&lt;/code&gt;&lt;/pre&gt;&lt;/li&gt;
&lt;/ol&gt;
&lt;p&gt;I am able to get toke if making request from postman, but there is CORS origin error/Invalid URL while requesting from angular app.&lt;/p&gt;
&lt;p&gt;Your help is appreciated in advance.&lt;/p&gt;
</t>
  </si>
  <si>
    <t xml:space="preserve">&lt;p&gt;Edit: I've confirmed the order is operating correctly - but it's still emailing an empty template rather than with the written data. &lt;/p&gt;
&lt;p&gt;In short, this is what I'm trying to achieve:&lt;/p&gt;
&lt;ol&gt;
&lt;li&gt;User triggers &lt;code&gt;createDoc&lt;/code&gt; with an array of data&lt;/li&gt;
&lt;li&gt;User copies a pre-defined spreadsheet/template&lt;/li&gt;
&lt;li&gt;Performs write operations to the copied version &lt;/li&gt;
&lt;li&gt;Converts it to a PDF&lt;/li&gt;
&lt;li&gt;Emails PDF to User &lt;/li&gt;
&lt;/ol&gt;
&lt;p&gt;I have all the operations performing correctly &amp;amp; in correct order (confirmed via console.log output), however, it's emailing an empty template PDF rather than the PDF with data written. What is happening here? &lt;/p&gt;
&lt;pre&gt;&lt;code&gt;var FILE_NAME = 'Initial Checklist Export';
function email(pdf){
  var emailObj = {
      to: Session.getActiveUser().getEmail(),
      subject: FILE_NAME,
      htmlBody: pdf.getUrl(),
      noReply: true
    };
  MailApp.sendEmail(emailObj);
}
function createPDF(tmpDoc) {
  var blob = tmpDoc.getAs(MimeType.PDF);
  var pdfFile = DriveApp.createFile(blob);
  pdfFile.setName(FILE_NAME);
  email(pdfFile);
}
function writeData(tmpDoc, sheet, checklist) {
  var data_pos = ['B8', 'B10', 'B9', 'B11', 'E8', 'E9', 'E10', 'E11', 'B7', 'E7', 'B15', 'B16',
                  'B17', 'B18', 'B20', 'B21', 'B23', 'B24', 'B26', 'B27', 'B29','B31','B32',
                  'B33', 'B34','B35','B36','B38','B39','B40','B41','B43', 'E14','E15','E16',
                  'E17','E18','E19','E20','E21','E22','E23','E25','E26','E27', 'E28','E29',
                  'E30','E32','E33','E34','E35','E36','E37','E38','E39','E40','E41', 'E42',
                  'E43','E45','E46','E47','E48','E49','E50','E51','E52', 'E53','E54', 'E55',
                  'E56','E57','E58','A62'];
  for (var i in checklist){
    var range = sheet.getRange(data_pos[i]);
    range.setValue(checklist[i]);
    if (i == checklist.length-1){
      createPDF(tmpDoc);
    }
  }
}
function createDoc(checklist) { 
  var spreadsheet = SpreadsheetApp.openById('redacted');
  var tmpDoc = spreadsheet.copy('Temp Copy of spreadsheet');
  var sheet = tmpDoc.getSheetByName('Template');   
  writeData(tmpDoc, sheet, checklist); 
}
&lt;/code&gt;&lt;/pre&gt;
</t>
  </si>
  <si>
    <t xml:space="preserve">&lt;p&gt;I would suggest trying the following code to see if it fixes your remaining problem. This piece of code also should shorten your processing time some by eliminating repeated getRange() calls, which get expensive (from a time aspect) in Spreadsheet service calls. Let me know if it still doesn't work and we can see about making further changes.  &lt;/p&gt;
&lt;pre&gt;&lt;code&gt;var FILE_NAME = 'Initial Checklist Export';
function email(pdf){
  var emailObj = {
      to: Session.getActiveUser().getEmail(),
      subject: FILE_NAME,
      htmlBody: pdf.getUrl(),
      noReply: true
    };
  MailApp.sendEmail(emailObj);
}
function createPDF(tmpDoc) {
  var blob = tmpDoc.getAs(MimeType.PDF);
  var pdfFile = DriveApp.createFile(blob);
  pdfFile.setName(FILE_NAME);
  email(pdfFile);
}
function createDoc(checklist) { 
  var spreadsheet = SpreadsheetApp.openById('redacted');
  var tmpDoc = spreadsheet.copy('Temp Copy of spreadsheet');
  var sheet = tmpDoc.getSheetByName('Template');
  var data_pos = ['B8','B10','B9','B11','E8','E9','E10','E11','B7','E7','B15', 
                  'B16','B17','B18','B20','B21','B23','B24','B26','B27',                
                  'B29','B31','B32','B33','B34','B35','B36','B38','B39','B40',
                  'B41','B43','E14','E15','E16','E17','E18','E19','E20','E21',
                  'E22','E23','E25','E26','E27','E28','E29','E30','E32','E33',
                  'E34','E35','E36','E37','E38','E39','E40','E41','E42','E43',
                  'E45','E46','E47','E48','E49','E50','E51','E52','E53','E54', 
                  'E55','E56','E57','E58','A62'];
  var ranges = sheet.getRangeList(data_pos).getRanges();
  for (var i in checklist){
    ranges[i].setValue(checklist[i]);
  }
  SpreadsheetApp.flush();
  createPDF(tmpDoc);
}
&lt;/code&gt;&lt;/pre&gt;
</t>
  </si>
  <si>
    <t xml:space="preserve">&lt;p&gt;I work with a team which has a Mobile app integrated with Salesforce acting as a backend.&lt;br&gt;
I am on the mobile team.&lt;/p&gt;
&lt;p&gt;I keep getting into arguments with the Salesforce team as to why a certain logic should be written on SF versus mobile.    &lt;/p&gt;
&lt;p&gt;My usual argument are that mobile application build is supposed to be light, that the heavy logic processing should be on the backend side, that we need to keep code more scalable and controlled from backend so that we dont end up making multiple mobile app releases. The last part goes in line with users having to update the app every time mobile code changes versus a no-action-from-end-user (with may be a little downtime during non-busy hours) if its a backend update.    &lt;/p&gt;
&lt;p&gt;An example from today:&lt;br&gt;
We have something called as Shipping methods for a functionality in our app. There are two data sources for this. One is for when the user chooses condition A, which is a little complex and needs a REST webservice for mobile to retrieve the Shipping methods. The other is when the user chooses condition B, and is vanilla, straight forward, and the shipping methods can be accessed from mobile using an SOQL query.&lt;br&gt;
Howvere, the output in both the cases is &lt;strong&gt;same, exact kind of data&lt;/strong&gt;.    &lt;/p&gt;
&lt;p&gt;What I suggested was that SF handles both conditions on their side as part of one webservice using an argument provided by mobile.&lt;br&gt;
Agreed the condition B, uses only an SOQL query, performance wise - wont make a lot of difference. Its the same if done from Mobile / Salesforce within a webservice. However I feel it will make the code cleaner and contained, will reduce the lines of code overall.    &lt;/p&gt;
&lt;p&gt;The SF folks are asking mobile to call the webservice if its condition A, and make the SOQL when it is condition B.&lt;br&gt;
The data from both will have to be parsed separately on mobile, which means that much more code on mobile to handle and process the exact kind of data - twice.&lt;br&gt;
Their argument for this is that they have to write more test classes to handle this. Is that even right to consider test clasess when making such decisions? I do not get it.&lt;/p&gt;
&lt;p&gt;Looking for some help and guidance for the best practices. Some documentation which will help make these decisions easier.&lt;/p&gt;
</t>
  </si>
  <si>
    <t xml:space="preserve">&lt;p&gt;I'd like to build a simple creation/edition system where one can create a Challenge that contains many Keywords. Here is the data I created: &lt;/p&gt;
&lt;p&gt;Challenge &amp;lt;---- MANY to MANY -----&gt; Keywords&lt;/p&gt;
&lt;p&gt;Now, I'm struggling building my Challenge creation form because I'm trying to embed the keywords selection on the CREATE page of the challenge itself. Here is what it looks like: &lt;/p&gt;
&lt;p&gt;&lt;a href="https://i.stack.imgur.com/IxPYU.png" rel="nofollow noreferrer"&gt;Screenshot for Challenge creation&lt;/a&gt;
&lt;a href="https://i.stack.imgur.com/Fixkz.png" rel="nofollow noreferrer"&gt;&lt;img src="https://i.stack.imgur.com/Fixkz.png" alt="enter image description here"&gt;&lt;/a&gt;&lt;/p&gt;
&lt;p&gt;This is the Challenge creation page. It contains name, description (challenge model fields) and also a dropdown that goes with a grid, both dedicated to keywords for this challenge. Thanks to a script, I successfully add an keyword item to the Grid datasource when the user selects a value:&lt;/p&gt;
&lt;pre&gt;&lt;code&gt;/**
 * Adds a Keyword to the list of Keywords
 * If already added then does nothing.
 * @param {Widget} widget - widget that triggered the event.
 * @param {Keyword} newValue - record object of selected keyword.
 */
function addKeyword(widget, newValue) {
  var ds = app.pages.CreateChallenge.descendants.KeywordsGrid.datasource;
  ds.items.push({
    KeywordId: newValue._key,
    KeywordName: newValue.Name
  });
  widget.value = null;
}
&lt;/code&gt;&lt;/pre&gt;
&lt;p&gt;Once the keywords are added, my problem is that I don't know how to link the newly filled grid full of keywords to the New Challenge in creation so that it populates it with those keywords. Here is what it looks like on the Grid object:&lt;/p&gt;
&lt;p&gt;&lt;a href="https://i.stack.imgur.com/iJVDE.png" rel="nofollow noreferrer"&gt;Screenshot for grid&lt;/a&gt;
&lt;a href="https://i.stack.imgur.com/5qtjq.png" rel="nofollow noreferrer"&gt;&lt;img src="https://i.stack.imgur.com/5qtjq.png" alt="enter image description here"&gt;&lt;/a&gt;&lt;/p&gt;
&lt;p&gt;Can I achieve that with bindings only? Should I script it?
Any help is welcome. I guess my question is actually : how to bind a grid to an object in creation (and edition) on a relation between this object and other ones?&lt;/p&gt;
</t>
  </si>
  <si>
    <t xml:space="preserve">&lt;p&gt;Finally solved it after hours. I used : &lt;/p&gt;
&lt;pre&gt;&lt;code&gt;@datasources.Challenge.modes.create.item.ChallengeKeyword
&lt;/code&gt;&lt;/pre&gt;
&lt;p&gt;It allows to handle the data for the item that is being processed by the creation "mode".&lt;/p&gt;
</t>
  </si>
  <si>
    <t xml:space="preserve">&lt;p&gt;I am trying to run a java maven (spring boot) project in a docker container to access the zoho api. &lt;/p&gt;
&lt;p&gt;For authentication I need a file &lt;code&gt;zoho-oauthtokens.properties&lt;/code&gt; which is located in src/main/resources and which I reference from another property file called &lt;code&gt;oauth_configuration.properties&lt;/code&gt; like this:
&lt;code&gt;oauth_tokens_file_path=src/main/resources/zoho-oauthtokens.properties&lt;/code&gt;&lt;/p&gt;
&lt;p&gt;As long as I run the application in eclipse as spring application everything works fine but as soon as I run it in a docker container I get:
&lt;code&gt;com.zoho.crm.library.exception.ZCRMException com.zoho.oauth.common.ZohoOAuthException. Caused by : com.zoho.oauth.common.ZohoOAuthException. Caused by : java.io.FileNotFoundException: src/main/resources/zoho-oauthtokens.properties (No such file or directory)&lt;/code&gt;&lt;/p&gt;
&lt;p&gt;So how do I reference the resource file correctly that it will also be found when I run it i a docker container? Any idea?&lt;/p&gt;
&lt;p&gt;I tried:&lt;/p&gt;
&lt;p&gt;&lt;code&gt;oauth_tokens_file_path=src/main/resources/zoho-oauthtokens.properties&lt;/code&gt;&lt;/p&gt;
&lt;p&gt;&lt;code&gt;oauth_tokens_file_path=classpath:/zoho-oauthtokens.properties&lt;/code&gt;&lt;/p&gt;
&lt;p&gt;&lt;code&gt;oauth_tokens_file_path=/zoho-oauthtokens.properties&lt;/code&gt;&lt;/p&gt;
&lt;p&gt;&lt;code&gt;oauth_tokens_file_path=zoho-oauthtokens.properties&lt;/code&gt;&lt;/p&gt;
&lt;p&gt;and also after placing it in the root folder of my project:
&lt;code&gt;oauth_tokens_file_path=/zoho-oauthtokens.properties&lt;/code&gt;&lt;/p&gt;
&lt;p&gt;&lt;code&gt;oauth_tokens_file_path=zoho-oauthtokens.properties&lt;/code&gt;&lt;/p&gt;
&lt;p&gt;Best, Nils&lt;/p&gt;
&lt;p&gt;EDIT:
It tried more options:&lt;/p&gt;
&lt;p&gt;&lt;code&gt;../../../zoho-oauthtokens.properties&lt;/code&gt;&lt;/p&gt;
&lt;p&gt;&lt;code&gt;./zoho-oauthtokens.properties&lt;/code&gt;&lt;/p&gt;
&lt;p&gt;&lt;code&gt;/BOOT-INF/classes/zoho-oauthtokens.properties&lt;/code&gt;&lt;/p&gt;
&lt;p&gt;&lt;code&gt;BOOT-INF/classes/zoho-oauthtokens.properties&lt;/code&gt;&lt;/p&gt;
&lt;p&gt;Also I have inspected the jar file after the maven build. This is where the relevant files are located:&lt;/p&gt;
&lt;p&gt;&lt;code&gt;BOOT-INF/classes/de/xxx/xxx/Application.class&lt;/code&gt;&lt;/p&gt;
&lt;p&gt;&lt;code&gt;BOOT-INF/classes/zoho-oauthtokens.properties&lt;/code&gt;&lt;/p&gt;
&lt;p&gt;&lt;code&gt;BOOT-INF/classes/oauth_configuration.properties&lt;/code&gt;&lt;/p&gt;
</t>
  </si>
  <si>
    <t xml:space="preserve">&lt;p&gt;We are currently trying to replace an existing working code with another "future proof" one.&lt;/p&gt;
&lt;p&gt;Basically we have a stand alone app that's invoked whenever a user clicks on a button within a lightning component.&lt;/p&gt;
&lt;p&gt;A new window is open and the stand alone app loads just fine.&lt;/p&gt;
&lt;p&gt;Here is the snapshot of the code opening the app:&lt;/p&gt;
&lt;pre&gt;&lt;code&gt;var urlEvent = $A.get("e.force:navigateToURL");
urlEvent.setParams({
   "url": '/c/myApp.app?recId=' + component.get('v.recordId') + 
          '&amp;amp;Rows=' + component.get('v.Rows') + '&amp;amp;Bytes=' + 
           component.get('v.Bytes')
});
urlEvent.fire();
&lt;/code&gt;&lt;/pre&gt;
&lt;p&gt;The app (called myApp) is invoked and we have a couple variables been passed to it.&lt;/p&gt;
&lt;p&gt;We tried using the new lightning:navigation component, but it didn't work.&lt;/p&gt;
&lt;p&gt;The goal was to try building a pageReference instead or parsing/creating a URL directly. Which could help us by avoiding broken navigation if Salesforce changes the URL format in the future.&lt;/p&gt;
&lt;p&gt;The first problem we encountered was, the availabe pageReference Types (which is required) are:&lt;/p&gt;
&lt;p&gt;• Lightning Component (must implement lightning:isUrlAddressable)
• Knowledge Article
• Named Page
• Navigation Item Page
• Object Page
• Record Page
• Record Relationship Page&lt;/p&gt;
&lt;p&gt;There was no reference to an App.&lt;/p&gt;
&lt;p&gt;The documentation states: 
"These navigation resources are supported only in Lightning Experience and the Salesforce mobile app. They’re not supported in other containers, such as Lightning Components for Visualforce, Lightning Out, or Communities. This is true even if you access these containers inside Lightning Experience or the Salesforce mobile app."&lt;/p&gt;
&lt;p&gt;Since the app is running on his own (not within the Lightning Experience or Salesforce1), am I correct to say that our current solution is the only possible way of doing it?&lt;/p&gt;
&lt;p&gt;If not, what would be other approach so we don't need to worry future URL changes on Salesforce side?&lt;/p&gt;
</t>
  </si>
  <si>
    <t xml:space="preserve">&lt;p&gt;I have created a draft message using "media upload" method 
using below code&lt;/p&gt;
&lt;pre class="lang-js prettyprint-override"&gt;&lt;code&gt;var draftUploadUrl = "https://www.googleapis.com/upload/gmail/v1/users/me/drafts?uploadType=media";
var response = UrlFetchApp.fetch(draftUploadUrl, {
  method: "POST",
  headers: {
    //authorizing request through service account
    "Authorization": "Bearer " + service.getAccessToken(),
    "Content-Type": "message/rfc822",
  },
  muteHttpExceptions: true,
  //payload_data is mime content with base64 encode of email body an 
  //attachment 
  payload: payload_data
});
draftID = /: "(.*)"/.exec(response.getContentText())[1];
console.log("draftID: " + draftID);
&lt;/code&gt;&lt;/pre&gt;
&lt;p&gt;I get a draft ID of the message, how can I set &lt;strong&gt;draft ID&lt;/strong&gt; in parameters to send the email with an attachment?&lt;/p&gt;
&lt;p&gt;code snippets&lt;/p&gt;
&lt;pre class="lang-js prettyprint-override"&gt;&lt;code&gt;var resp1 = UrlFetchApp.fetch("https://www.googleapis.com/upload/gmail/v1/users/me/drafts/send?uploadType=media", {
  method: "POST",
  headers: {
    "Authorization": "Bearer " + service.getAccessToken(),
    "Content-Type": "message/rfc822"
  },
  muteHttpExceptions: true,
  payload: JSON.stringify({
    "id": draftID
  })
});
&lt;/code&gt;&lt;/pre&gt;
&lt;p&gt;it is throwing error "Invalid draft".Can you please guide how to pass ID parameter for above url call or what went wrong in above code?&lt;/p&gt;
&lt;p&gt;Thanks in advance.&lt;/p&gt;
</t>
  </si>
  <si>
    <t xml:space="preserve">&lt;ul&gt;
&lt;li&gt;You have already been able to create correctly a draft email.&lt;/li&gt;
&lt;li&gt;You want to send the created draft mail by directly requesting to the endpoint of Gmail API using Google Apps Script.&lt;/li&gt;
&lt;/ul&gt;
&lt;p&gt;If my understanding is correct, how about this modification?&lt;/p&gt;
&lt;h3&gt;Modification points:&lt;/h3&gt;
&lt;ul&gt;
&lt;li&gt;Use &lt;code&gt;https://www.googleapis.com/gmail/v1/users/me/drafts/send&lt;/code&gt; as the endpoint.&lt;/li&gt;
&lt;li&gt;Use &lt;code&gt;application/json&lt;/code&gt; as &lt;code&gt;Content-Type&lt;/code&gt;.&lt;/li&gt;
&lt;/ul&gt;
&lt;h3&gt;Modified script:&lt;/h3&gt;
&lt;pre&gt;&lt;code&gt;var resp1 = UrlFetchApp.fetch("https://www.googleapis.com/gmail/v1/users/me/drafts/send", {
  method: "POST",
  headers: {
    "Authorization": "Bearer " + service.getAccessToken(),
    "Content-Type": "application/json"
  },
  muteHttpExceptions: true,
  payload: JSON.stringify({
    "id": draftID
  })
});
&lt;/code&gt;&lt;/pre&gt;
&lt;h3&gt;Note:&lt;/h3&gt;
&lt;ul&gt;
&lt;li&gt;This modification supposes that you have already been able to use Gmail API using the access token.&lt;/li&gt;
&lt;li&gt;If the format of draft mail is not complete, when the draft mail is sent, there is the case that an error occurs.&lt;/li&gt;
&lt;/ul&gt;
&lt;h3&gt;Reference:&lt;/h3&gt;
&lt;ul&gt;
&lt;li&gt;&lt;a href="https://developers.google.com/gmail/api/v1/reference/users/drafts/send" rel="nofollow noreferrer"&gt;Users.drafts: send&lt;/a&gt;&lt;/li&gt;
&lt;/ul&gt;
&lt;p&gt;If I misunderstand your question, I apologize.&lt;/p&gt;
&lt;h2&gt;Edit:&lt;/h2&gt;
&lt;p&gt;When you want to create a draft email including an attachment file, how about this sample script? This is from &lt;a href="https://stackoverflow.com/a/45992149/7108653"&gt;https://stackoverflow.com/a/45992149/7108653&lt;/a&gt;.&lt;/p&gt;
&lt;h3&gt;Sample script:&lt;/h3&gt;
&lt;p&gt;This sample script creates a draft email using Gmail API.&lt;/p&gt;
&lt;pre&gt;&lt;code&gt;function createDraft() {
  var fileId = "### file id ###"; // Please set this.
  var file = DriveApp.getFileById(fileId);
  var forScope = GmailApp.getInboxUnreadCount();
  var htmlBody = 'sample HTML body'; // Please set this.
  var raw = 
      'Subject: sample subject\r\n' + // Please set this.
      'To: aa@bb.cc\r\n' + // Please set this.
      'Content-Type: multipart/mixed; boundary=##########\r\n\r\n' +
      '--##########\r\n' +
      'Content-Type: text/html; charset=UTF-8\r\n\r\n' + htmlBody + '\r\n' +
      '--##########\r\n' +
      'Content-Type: ' + file.getMimeType() + '; charset=UTF-8; name="' + file.getName() + '"\r\n' +
      'Content-Disposition: attachment; filename="' + file.getName() + '"\r\n' +
      'Content-Transfer-Encoding: base64\r\n\r\n' + Utilities.base64Encode(file.getBlob().getBytes()) +
      '\r\n--##########\r\n';
  var draftBody = Utilities.base64EncodeWebSafe(raw, Utilities.Charset.UTF_8);
  var params = {
    method:"post",
    contentType: "application/json",
    headers: {"Authorization": "Bearer " + service.getAccessToken()},
    muteHttpExceptions: true,
    payload: JSON.stringify({"message": {"raw": draftBody}})
  };
  var resp = UrlFetchApp.fetch("https://www.googleapis.com/gmail/v1/users/me/drafts", params);
  Logger.log(resp)
}
&lt;/code&gt;&lt;/pre&gt;
</t>
  </si>
  <si>
    <t xml:space="preserve">&lt;p&gt;We have created Dashboard and it is exposed to community user. Dashboard is visible to community user but when we click on dashboard to see selected data it opens report with below Exception-&lt;/p&gt;
&lt;blockquote&gt;
  &lt;p&gt;Looks like there's a problem. &lt;br/&gt;
  INVALID_TYPE: sObject type 'Report' is not supported in describeCompactLayouts.&lt;/p&gt;
&lt;/blockquote&gt;
</t>
  </si>
  <si>
    <t xml:space="preserve">&lt;p&gt;I have a table with bound data from datasource. I want to display &lt;code&gt;true&lt;/code&gt; value as an image like a check mark, not as a number. How to do that?&lt;/p&gt;
&lt;p&gt;&lt;a href="https://i.stack.imgur.com/Shlgd.png" rel="nofollow noreferrer"&gt;Example of data in the table&lt;/a&gt;&lt;/p&gt;
</t>
  </si>
  <si>
    <t xml:space="preserve">&lt;p&gt;Assuming that your widget for your value is a label widget, you can change the style variant toward the top left side of the editing page (next to the widgets button) to an 'Icon' style. Then put the following binding in your text property for the widget:&lt;/p&gt;
&lt;pre&gt;&lt;code&gt;@datasource.item.YourBooleanField ? 'Check' : ''
&lt;/code&gt;&lt;/pre&gt;
&lt;p&gt;After that you can apply CSS to the label to change the color to the red color you show in your image.&lt;/p&gt;
</t>
  </si>
  <si>
    <t xml:space="preserve">&lt;p&gt;I have list/array of objects, it is aligned in a table. I got to implement a search functionality irrespective of any specific field. In other words, whatever I search in the search text box if any field value of the table contains or matches with the string, It should display those records. &lt;/p&gt;
&lt;p&gt;I have written a code to implement this functionality. But I feel it is not efficient in terms of the algorithm. &lt;/p&gt;
&lt;pre&gt;&lt;code&gt;Input : &amp;lt;br/&amp;gt;
1. List of objects : [{ id : 1 ,  name : 'abc' , phone : 1234}, { id : 2 ,  name : 'abd' , phone : 3456} , { id : 3 ,  name : 'xyz' , phone : 5678}]
2. Field Api Names = ['id','name','phone']
3. Search string: '3'
Output: 
All 3 objects in the list must be the result. As phone number contains the number 3 in List[0] and List[1] + Id field of List[2] contains value 3.
&lt;/code&gt;&lt;/pre&gt;
&lt;p&gt;Code : &lt;br/&gt; &lt;/p&gt;
&lt;pre&gt;&lt;code&gt;function searchRecord(fieldApiList,records,searchStr){
    var filteredResults = []
    for(var i = 0 ; i &amp;lt; records.length ; i++){
        for(var j = 0 ; j &amp;lt; fieldApiList.length ; j++){
            var filedApi = fieldApiList[j];
            if(records[i].hasOwnProperty(filedApi)){
                var data = String(records[i][filedApi]).toLowerCase();
                if( data.includes(searchStr.toLowerCase())){
                    filteredResults.push(records[i]);
                }
            }
        }
    }
    return filteredResults;
}
// Invoke the method
var records = [
           { id : 1 ,  name : 'abc' , phone : 1234}, 
           { id : 2 ,  name : 'abd' , phone : 3456}, 
           { id : 3 ,  name : 'xyz' , phone : 5678}
];
var fieldApiList = ['id','name','phone'];
var searchStr = '3';
var searchResults = searchRecord(fieldApiList,records,searchStr)
&lt;/code&gt;&lt;/pre&gt;
&lt;p&gt;I need to what is the best search functionality to search on all the fields of a list of objects.
The functionality is for a lightning component of salesforce&lt;/p&gt;
</t>
  </si>
  <si>
    <t xml:space="preserve">&lt;p&gt;I guess you want to compare everything as a string, so you might consider &lt;em&gt;filter&lt;/em&gt; with a suitable test function:&lt;/p&gt;
&lt;p&gt;&lt;div class="snippet" data-lang="js" data-hide="false" data-console="true" data-babel="false"&gt;
&lt;div class="snippet-code"&gt;
&lt;pre class="snippet-code-js lang-js prettyprint-override"&gt;&lt;code&gt;var records = [
  { id : 1 ,  name : 'abc' , phone : 1234}, 
  { id : 2 ,  name : 'abd' , phone : 3456}, 
  { id : 3 ,  name : 'xyz' , phone : 5678}
];
function findInValues(arr, value) {
  value = String(value).toLowerCase();
  return arr.filter(o =&amp;gt;
    Object.entries(o).some(entry =&amp;gt;
      String(entry[1]).toLowerCase().includes(value)
    )
  );
}
console.log(findInValues(records,  3));
console.log(findInValues(records, 'a'));
console.log(findInValues(records, 'z'));
console.log(findInValues(records, 567));&lt;/code&gt;&lt;/pre&gt;
&lt;/div&gt;
&lt;/div&gt;
&lt;/p&gt;
</t>
  </si>
  <si>
    <t xml:space="preserve">&lt;p&gt;I have a PowerApp I have been working on that presents some data from an excel table in a Gallery,&lt;/p&gt;
&lt;p&gt;I have added to this gallery a tickbox as shown below.&lt;/p&gt;
&lt;p&gt;&lt;a href="https://i.stack.imgur.com/M4uVu.png" rel="nofollow noreferrer"&gt;AppExample&lt;/a&gt;&lt;/p&gt;
&lt;p&gt;The purpose of the app is that multiple users can access the app, tick multiple boxes, and then click save.&lt;/p&gt;
&lt;p&gt;Obviously with multiple people picking multiple options there will be overlaps between them, these need to be recorded.&lt;/p&gt;
&lt;p&gt;I have created a list in sharepoint "AcademicChoices" and given it the extra column of "Volunteer"&lt;/p&gt;
&lt;p&gt;&lt;a href="https://i.stack.imgur.com/Klo4e.png" rel="nofollow noreferrer"&gt;ListExample&lt;/a&gt;&lt;/p&gt;
&lt;p&gt;How I imagine this will work is that when the user has ticked some boxes and click "Save" it will send the "Project Title" to the "Title" column, and the username of the person logged into the app to the "Volunteer" column for each of their ticked items.&lt;/p&gt;
&lt;p&gt;Here is a crude example of how it would work assuming that the user of the powerapps username was "stan"&lt;/p&gt;
&lt;p&gt;&lt;a href="https://i.stack.imgur.com/idjPb.png" rel="nofollow noreferrer"&gt;ChoicesMockup&lt;/a&gt; &lt;a href="https://i.stack.imgur.com/144u4.png" rel="nofollow noreferrer"&gt;ListMockup&lt;/a&gt;&lt;/p&gt;
&lt;p&gt;From my research so far I can see that it can be achieved with Patch or SubmitForm but I have not had any luck with either of these.&lt;/p&gt;
&lt;p&gt;Thanks.&lt;/p&gt;
&lt;p&gt;Editing this to add the code I have&lt;/p&gt;
&lt;p&gt;So I have the following&lt;/p&gt;
&lt;pre&gt;&lt;code&gt;If(
    Checkbox1.Value=true,
    Patch(
          'AcademicChoices', 
           Defaults('AcademicChoices'), 
           {
              Title: ThisItem.student, 
              Volunteer: User().FullName
           }
     )
 )
&lt;/code&gt;&lt;/pre&gt;
&lt;p&gt;This works, however it does not record the value of the field project, "Title: ThisItem.student, " I tried changing the string to&lt;/p&gt;
&lt;pre&gt;&lt;code&gt;        If(
        Checkbox1.Value=true,
        Patch(
              'AcademicChoices', 
               Defaults('AcademicChoices'), 
               {
                  Student: ThisItem.student, 
                  Title: ThisItem.project, 
                  Volunteer: User().FullName
               }
         ),
Checkbox1.Value=false,
        Remove(
              'AcademicChoices', 
               Defaults('AcademicChoices'), 
               {
                  Student: ThisItem.student, 
                  Title: ThisItem.project, 
                  Volunteer: User().FullName
               }
         )
     )
&lt;/code&gt;&lt;/pre&gt;
&lt;p&gt;This works to a degree, but as soon as I add the Checkbox1.Value=false, section and untick the boxes it will not actually remove the data from the list&lt;/p&gt;
</t>
  </si>
  <si>
    <t xml:space="preserve">&lt;p&gt;Using page reference and an external url is not working in lightning&lt;/p&gt;
&lt;p&gt;There is a simple vf page with a command button and an extension attached to it, clicking on the command button should invoke the vf page pagereference method and redirect to an external page.
But it is not redirecting to the page instead it is appending an encoded version of the url and giving the error:&lt;/p&gt;
&lt;blockquote&gt;
  &lt;p&gt;this page is not available in salesforce lightning or mobile app&lt;/p&gt;
&lt;/blockquote&gt;
&lt;p&gt;&lt;/p&gt;
&lt;p&gt;and a method in the controller extension&lt;/p&gt;
&lt;pre&gt;&lt;code&gt;public PageReference OpenPage() {
   String url='https://www.amazon.com';//or any other external url
   PageReference pr = new PageReference(url);
   pr.setRedirect(true);
   return pr;
}
&lt;/code&gt;&lt;/pre&gt;
&lt;p&gt;Expected: Should redirect to the external url&lt;/p&gt;
&lt;p&gt;Actual: giving an error&lt;/p&gt;
</t>
  </si>
  <si>
    <t xml:space="preserve">&lt;p&gt;Need to insert a new record in parent entity with lookup fields. After the insert use the value of one column of the new record to insert the child entity which uses the column as a lookup field as well.&lt;/p&gt;
&lt;p&gt;I am designing a PowerApps Canvas Form to insert data into 2 related CDS entities. I got confirmation from a PowerApps guru that I can use 2 Patch() functions to perform the inserts - first insert a record in the parent entity 'Worker Bank Accounts', then use the same 'Bank Account Number' to insert a new record into the 'Bank Account Disbursements' entity. &lt;/p&gt;
&lt;p&gt;The issue I am having is with referencing the 'look up' fields in my code. It seems like because the way CDS is designed the back-end field (column) names have 2 parts - in the case of 'Bank Account Number' - it is called cdm_bankaccountid.cdm_workerbankaccountnumber where cdm_bankaccountid is the column name in the child table and cdm_workerbankaccountnumber is the column name in the parent table.&lt;/p&gt;
&lt;p&gt;However I couldn't figure out a way to reference this in the code, I've tried the column name, enclose it with single or double quotes and the code editor keeps saying column not found.&lt;/p&gt;
&lt;pre&gt;&lt;code&gt;Patch('Worker Bank Accounts',Defaults('Worker Bank Accounts'),
{'cdm_workerid.cdm_workernumber':DataCardValue4.Selected.Text,
cdm_accountidentification:DataCardValue1.Text,
cdm_workerbankaccountnumber:AccountNumberValue.Text});
Patch('Bank Account Disbursements',Defaults('Bank Account Disbursements'),
{'cdm_bankaccountid.cdm_workerbankaccountnumber':AccountNumberValue.Text,
cdm_bankaccountdisbursementnumber:DataCardValue3.Text
'cdm_companyid.cdm_companycode':DataCardValue5.Text});
&lt;/code&gt;&lt;/pre&gt;
</t>
  </si>
  <si>
    <t xml:space="preserve">&lt;p&gt;I would like to reset my toggles after on changing the drop down list item.&lt;/p&gt;
&lt;p&gt;I have already tried to create a variable in the Toggle Reset, but there is still error...&lt;/p&gt;
&lt;pre&gt;&lt;code&gt;UpdateContext({ResetToggle:true})
&lt;/code&gt;&lt;/pre&gt;
&lt;p&gt;I would like to on change the item in drop down list to be able to reset toggles, but, my Toggle reset does not work.&lt;/p&gt;
&lt;p&gt;Please look at the images below. &lt;/p&gt;
&lt;p&gt;&lt;a href="https://i.stack.imgur.com/6IykA.png" rel="nofollow noreferrer"&gt;&lt;img src="https://i.stack.imgur.com/6IykA.png" alt="enter image description here"&gt;&lt;/a&gt;&lt;/p&gt;
&lt;p&gt;&lt;a href="https://i.stack.imgur.com/45jQO.png" rel="nofollow noreferrer"&gt;&lt;img src="https://i.stack.imgur.com/45jQO.png" alt="enter image description here"&gt;&lt;/a&gt;&lt;/p&gt;
</t>
  </si>
  <si>
    <t xml:space="preserve">&lt;p&gt;Are the controls on the same screen? I mean the dropdown and the toggle button.
Because if they are not, then it will not work because the ResetToggle you used is a contextual variable.
You can however share the picture of the error notification you are getting on the Toggle button formula bar.&lt;/p&gt;
</t>
  </si>
  <si>
    <t xml:space="preserve">&lt;p&gt;Getting Sorry To Interrupt Error in fetching record or record metadata[Object Expected] &lt;/p&gt;
&lt;p&gt;only in IE Edge&lt;/p&gt;
&lt;p&gt;This is my component &lt;/p&gt;
&lt;pre&gt;&lt;code&gt;        &amp;lt;force:recordData aura:id="caseRecord"
                recordId="{!v.Case.Id}"/&amp;gt;
        &amp;lt;aura:if isTrue="{!v.isFieldLoaded}"&amp;gt; 
     &amp;lt;lightning:recordViewForm recordId="{!v.Case.Id}" objectApiName="{!v.namespace+'State__c'}"&amp;gt;
         &amp;lt;aura:iteration items="{!v.caseDetailFields}" var="key"&amp;gt;
          &amp;lt;div class="customOutputFieldSection"&amp;gt;   
         &amp;lt;lightning:outputField fieldName="{!key}"/&amp;gt;
        &amp;lt;/div&amp;gt;
    //    This is my Controller 
        getFields : function(component, event) {
        var nameSpace  = component.get("v.namespace");
        try{
        var action = component.get("c.getFields");
        action.setCallback(this, function(response) {
        var state = response.getState();
        if (state === "SUCCESS") {
        component.set("v.showSpinner",false);
        component.set("v.caseDetailFields",response.getReturnValue());
        component.set("v.isFieldLoaded",true);
        }
           The above code is working fine on all other browser but the same code is not working on IEEdge. there I am getting an error in fetching record or record metadata [object expected]
&lt;/code&gt;&lt;/pre&gt;
&lt;p&gt;provide some resolution or workaround for this.&lt;/p&gt;
</t>
  </si>
  <si>
    <t xml:space="preserve">&lt;p&gt;Wondering if anyone has found a way to have a macro run in an excel template being generated out of Conga Composer. They explicitly state on their website that Macros will not run when the Excel is generated as a PDF but wanted to see if anyone has found a way around this.&lt;/p&gt;
&lt;p&gt;I've tried Worksheet_Change and Workbook_Open as potential workarounds as they do not require a button press to trigger a macro but they do not seem to work. I assume Conga's process might not open the file or it just disregard's macros completely when printing a PDF&lt;/p&gt;
</t>
  </si>
  <si>
    <t xml:space="preserve">&lt;p&gt;What is the meaning of bots in terms of Salesforce, I am hearing these words like 'Lightning Bots', 'Einstein Bots' etc if someone can explain what is the bot in general and then with one example that would be a great help.&lt;/p&gt;
</t>
  </si>
  <si>
    <t xml:space="preserve">&lt;p&gt;I have the following lightning web component.&lt;/p&gt;
&lt;p&gt;MyPage.html&lt;/p&gt;
&lt;hr&gt;
&lt;pre&gt;&lt;code&gt; &amp;lt;template&amp;gt;
   &amp;lt;lightning-record-form
          object-api-name={contactObject}
          fields={myFields}
          onsuccess={handleContactCreated}&amp;gt;
  &amp;lt;/lightning-record-form&amp;gt;
 &amp;lt;/template&amp;gt;
&lt;/code&gt;&lt;/pre&gt;
&lt;p&gt;MyPage.js&lt;/p&gt;
&lt;hr&gt;
&lt;pre&gt;&lt;code&gt;import { LightningElement } from 'lwc';
import CONTACT_OBJECT from '@salesforce/schema/Contact';
import NAME_FIELD from '@salesforce/schema/Contact.Name';
export default class ContactCreator extends LightningElement {
contactObject = CONTACT_OBJECT;
myFields = [NAME_FIELD];
handleContactCreated(){
    // Run code when account is created.
}
&lt;/code&gt;&lt;/pre&gt;
&lt;p&gt;}&lt;/p&gt;
&lt;p&gt;This works if I drop this lightning component in Account record detail page.
But it does not work in Contact record detail page.&lt;/p&gt;
&lt;p&gt;No matter how many times I save it, it disappears. when I come and check it again in the contact record detail page, it's not there.&lt;/p&gt;
&lt;p&gt;Can someone help ?&lt;/p&gt;
</t>
  </si>
  <si>
    <t xml:space="preserve">&lt;p&gt;You must have a reference to the Contact page in your web components meta.xml file. I'm assuming yours looks like this:&lt;/p&gt;
&lt;pre&gt;&lt;code&gt;&amp;lt;?xml version="1.0" encoding="UTF-8"?&amp;gt;
&amp;lt;LightningComponentBundle xmlns="http://soap.sforce.com/2006/04/metadata" 
fqn="nameOfComponent"&amp;gt;
    &amp;lt;apiVersion&amp;gt;45.0&amp;lt;/apiVersion&amp;gt;
    &amp;lt;isExposed&amp;gt;true&amp;lt;/isExposed&amp;gt;
    &amp;lt;targets&amp;gt;
        &amp;lt;target&amp;gt;lightning__RecordPage&amp;lt;/target&amp;gt;
    &amp;lt;/targets&amp;gt;
    &amp;lt;targetConfigs&amp;gt;
        &amp;lt;targetConfig targets="lightning__RecordPage"&amp;gt;
            &amp;lt;objects&amp;gt;
                &amp;lt;object&amp;gt;Account&amp;lt;/object&amp;gt;
            &amp;lt;/objects&amp;gt;
        &amp;lt;/targetConfig&amp;gt;
    &amp;lt;/targetConfigs&amp;gt;
&amp;lt;/LightningComponentBundle&amp;gt;
&lt;/code&gt;&lt;/pre&gt;
&lt;p&gt;when you need to add Contact as an object inside the objects tags. &lt;/p&gt;
</t>
  </si>
  <si>
    <t xml:space="preserve">&lt;p&gt;I have the following lightning web component to read a JSON string and display them in Contact record Details page. Please note that I am new to lighting web components and making a considerable amount of effort to learn.&lt;/p&gt;
&lt;p&gt;MyComponent.html&lt;/p&gt;
&lt;hr&gt;
&lt;pre&gt;&lt;code&gt;&amp;lt;template&amp;gt;
  &amp;lt;lightning-record-form
        object-api-name={contactObject}
        fields={myFields}
        onsuccess={handleContactCreated} onload={handleContactInitialized} &amp;gt;
  &amp;lt;/lightning-record-form&amp;gt;
&amp;lt;/template&amp;gt;
&lt;/code&gt;&lt;/pre&gt;
&lt;p&gt;MyComponent.js&lt;/p&gt;
&lt;hr&gt;
&lt;pre&gt;&lt;code&gt; import { LightningElement, wire, track } from 'lwc';
 import findDetails from 
        '@salesforce/apex/JSONDemoController.getContactWithRelatedDataById';
 import CONTACT_OBJECT from '@salesforce/schema/Contact';
 import NAME_FIELD from '@salesforce/schema/Contact.Name';
 import TEST_FIELD from '@salesforce/schema/Contact.TestField__c';
 import SPOUSE_FIELD from '@salesforce/apex/ResponseJSONWrapper.spouse';
 import ADDRESS_FIELD from 
    '@salesforce/apex/ResponseJSONWrapper.mailingAddress';
export default class ContactCreator extends LightningElement {
contactObject = CONTACT_OBJECT;
myFields = [SPOUSE_FIELD,ADDRESS_FIELD];
@track contacts;
@track error;
handleContactCreated(){
    // Run code when account is created.
}
handleContactInitialized(){
  findDetails()
      .then(result =&amp;gt; {
          var responseObj = JSON.parse(result.getReturnValue());
          this.SPOUSE_FIELD = responseObj.spouse;
          this.ADDRESS_FIELD = responseObj.mailingAddress;
      })
      .catch(error =&amp;gt; {
          this.error = error;
      });
      myFields = [SPOUSE_FIELD,ADDRESS_FIELD];
    }
 }
&lt;/code&gt;&lt;/pre&gt;
&lt;p&gt;JSONDemoController.cls&lt;/p&gt;
&lt;hr&gt;
&lt;pre&gt;&lt;code&gt;public class JSONDemoController {
   @AuraEnabled
   public static String getContactWithRelatedDataById() {
    String response = '';
    ResponseJSONWrapper wrapper = new ResponseJSONWrapper();
    wrapper.spouse = 'Test Spouse';
    wrapper.mailingAddress = 'Test Address';
    response = JSON.serialize(wrapper);
    return response;
}
&lt;/code&gt;&lt;/pre&gt;
&lt;p&gt;}&lt;/p&gt;
&lt;p&gt;ResponseJSONWrapper.cls&lt;/p&gt;
&lt;hr&gt;
&lt;pre&gt;&lt;code&gt;  public with sharing class ResponseJSONWrapper {
     public String spouse;
     public String contactRecordType;
     public Date birthDate;
     public String mobile;
     public String mailingAddress;
     public String otherAddress;
     public String languages;
     public String level;
     public String Description;
}
&lt;/code&gt;&lt;/pre&gt;
&lt;p&gt;But I don't get the values I have hard coded in the lightning component when it is rendered.  Nothing is there it's empty.
Can someone help to point out where I am going wrong ?&lt;/p&gt;
</t>
  </si>
  <si>
    <t xml:space="preserve">&lt;p&gt;I'm currently creating an application with Google App Maker. When I send an email inside the app with Gmail, I want to save the URL of the email to have quick access to the thread of the email. How can I do that?&lt;/p&gt;
&lt;p&gt;I've already see this:&lt;/p&gt;
&lt;p&gt;The function &lt;code&gt;sendEmail&lt;/code&gt; inside google app maker doesn't return an url.
I wanted to scrap a gmail page, but with google app maker it's useless.&lt;/p&gt;
&lt;p&gt;I've read all the google app maker documentation, but have not found a solution.&lt;/p&gt;
</t>
  </si>
  <si>
    <t xml:space="preserve">&lt;p&gt;Ok so like Markus Malessa explained me.&lt;/p&gt;
&lt;p&gt;You need to call GmailApp.createDraft().send().getId();&lt;/p&gt;
&lt;p&gt;this call will return the id of the email just been sent.&lt;/p&gt;
&lt;blockquote&gt;
  &lt;p&gt;What gonna happend here is The GmaillApp gonna create a Draft of your email and gonna send it and save the ID of the mail then you can combine a link with the id and when you gonna trying to access this link you gonna have a redirection to Gmail and gonna show the search mail (You have example below).&lt;/p&gt;
&lt;/blockquote&gt;
&lt;p&gt;You can find what parameter createDraft() wait &lt;a href="https://developers.google.com/apps-script/reference/gmail/gmail-app#createDraft(String,String,String)" rel="nofollow noreferrer"&gt;here&lt;/a&gt;.&lt;/p&gt;
&lt;p&gt;All you need to do is this :&lt;/p&gt;
&lt;pre&gt;&lt;code&gt;var mailId = GmailApp.create().send().getId();
var LinkMail = "https://mail.google.com/mail/u/0/?tab=rm#sent/" + mailId;
&lt;/code&gt;&lt;/pre&gt;
&lt;p&gt;Now you have access to the email just been sent and do what you want !&lt;/p&gt;
</t>
  </si>
  <si>
    <t xml:space="preserve">&lt;p&gt;I'm using Powerapps to link different O365 features together per meeting to help aggregate notes. I'd like to put an iPad in the conference room and be able to display different drawings and meeting notes on the TV screen. I can make the app, but is there any way I can have the ability to add a "Cast" button to cast the app to the TV screen? &lt;/p&gt;
&lt;p&gt;Thanks!&lt;/p&gt;
&lt;p&gt;(Here's a concept of what I'm looking for)
&lt;a href="https://i.stack.imgur.com/njp2Z.png" rel="nofollow noreferrer"&gt;&lt;img src="https://i.stack.imgur.com/njp2Z.png" alt="Concept"&gt;&lt;/a&gt;&lt;/p&gt;
</t>
  </si>
  <si>
    <t xml:space="preserve">&lt;p&gt;Users are frequently presented with PowerApps error:&lt;/p&gt;
&lt;blockquote&gt;
  &lt;p&gt;One or more of your connections may not be authenticated. Tap here to
  fix them.&lt;/p&gt;
&lt;/blockquote&gt;
&lt;ul&gt;
&lt;li&gt;Our custom connector points to a REST API secured by Azure AD.&lt;/li&gt;
&lt;li&gt;Problem is that while using our PowerApp, users are frequently and
randomly requested to 'fix connection' and refresh the PowerApp
because their session has expired.&lt;/li&gt;
&lt;li&gt;I imagine the reason behind this is to allow connector to acquire a new access token.&lt;/li&gt;
&lt;li&gt;Should this not last for an hour at least. Should this not automatically refresh using refresh token?&lt;/li&gt;
&lt;li&gt;We are trying to understand, thereby control or avoid this happening altogether. &lt;/li&gt;
&lt;li&gt;We only have 5 users making so do not believe the issue is in exceeding PowerApps throttling limits:&lt;/li&gt;
&lt;/ul&gt;
&lt;blockquote&gt;
  &lt;p&gt;PowerApps currently support 600 requests per minute per user and up to
  30 concurrent calls per user&lt;/p&gt;
&lt;/blockquote&gt;
&lt;p&gt;We suspect it might be something to do with &lt;strong&gt;idle time&lt;/strong&gt; within the PowerApp, should such a concept exist, or something related to &lt;strong&gt;connector renewal time&lt;/strong&gt;. More information is needed around these concepts in regards to behavior and configuration. &lt;/p&gt;
&lt;p&gt;In regards to idle time, some users suspect any inactivity in PowerApp over 2 minutes results in the connector expiring. &lt;/p&gt;
</t>
  </si>
  <si>
    <t xml:space="preserve">&lt;p&gt;Created a series of tabs layout widget.&lt;/p&gt;
&lt;p&gt;How is it possible to change the order the tabs appear on the page from left to right. ie. I want the tabs to appear A, B, C but I added them in the order of A, C, B ?&lt;/p&gt;
&lt;p&gt;Is the only solution to remake the tabs? I imagine this is a common problem as new content will be added as the project grows.&lt;/p&gt;
&lt;p&gt;(To avoid confusion, I know it is possible to change which tab is 'selected' when the page opens - I am not talking about this.)&lt;/p&gt;
</t>
  </si>
  <si>
    <t xml:space="preserve">&lt;p&gt;I work on an app with AppMaker and i want to get some value from a records.
I use this :&lt;/p&gt;
&lt;pre&gt;&lt;code&gt;var query = app.models.Device.newQuery();
query.filters.Projet._equals = "project name";
var records = query.run();
for(var i in records){
  var data = records[i];
  console.log(data.Name);
}
&lt;/code&gt;&lt;/pre&gt;
&lt;p&gt;i would get a value from a field name like :&lt;/p&gt;
&lt;pre&gt;&lt;code&gt;for(var i in records){
  var data = records[i];
  console.log(data.getString("Name"));
}
&lt;/code&gt;&lt;/pre&gt;
&lt;p&gt;I can do that with a JDBC object but it is not a good way.
There is a way to doing this with records from app maker ?&lt;/p&gt;
&lt;p&gt;Thank you&lt;/p&gt;
</t>
  </si>
  <si>
    <t xml:space="preserve">&lt;p&gt;I am using Google App Maker with Cloud SQL to build an asset tracking database.
I have a couple tables with relations:&lt;/p&gt;
&lt;ul&gt;
&lt;li&gt;Asset List (Many to One with locations)&lt;/li&gt;
&lt;li&gt;Locations (Many to One with Districts)&lt;/li&gt;
&lt;li&gt;Districts (Many to One with Areas)&lt;/li&gt;
&lt;/ul&gt;
&lt;p&gt;The issues is when populating new related location fields in an data entry form is that several districts may have locations with the same name. When using the standard drop down the same values appear and there is no way for the user to know which district the location is associated with.
Example: On the asset entry form drop down locations show:&lt;/p&gt;
&lt;p&gt;- Shop&lt;br&gt;
- Crew 1&lt;br&gt;
- Crew 2&lt;br&gt;
- Shop&lt;br&gt;
- Crew 1&lt;br&gt;
- External Vendor  &lt;/p&gt;
&lt;p&gt;I have 2 pages:&lt;br&gt;
Assets - Datasource: Assets table&lt;/p&gt;
&lt;ul&gt;
&lt;li&gt;Entry form Datasource:inherited(assets) to enter new assets&lt;/li&gt;
&lt;li&gt;Table View Datasource:Inherited(assets) to see asset that get entered )no edit)&lt;/li&gt;
&lt;/ul&gt;
&lt;p&gt;&lt;strong&gt;Locations Pop-up&lt;/strong&gt;&lt;br&gt;
This seems to work as expected basically forms to navigate to correct Location and store it in a text box and a button with the On_Click property to send the textbox value to the data entry form on assets (not working) I can pass the value to a widget but can't figure out how to save it to the actual data source. 
Currently using the location in the text box on this form should i be using Id?&lt;/p&gt;
&lt;p&gt;I created a pop-up form which lets the user navigate to the correct location record ID by filtering on district. I am having trouble understanding how to actually write it back to the correct location field on the asset entry form. I am new to Java Script/Apps Script so the meaning of all the properties and how to use them is giving me trouble.&lt;/p&gt;
&lt;p&gt;I tried setting a text box named &lt;code&gt;SetLocation&lt;/code&gt; in the entry form and setting the value property to&lt;/p&gt;
&lt;pre&gt;&lt;code&gt;@datasource.item.Location.Location
&lt;/code&gt;&lt;/pre&gt;
&lt;p&gt;Then in the popup I set the button on_click to&lt;/p&gt;
&lt;pre&gt;&lt;code&gt;app.pages.Assets.descendants.SetLocation.value = 
widget.parent.descendants.PassLocation.value;
&lt;/code&gt;&lt;/pre&gt;
&lt;p&gt;&lt;code&gt;Pass Location&lt;/code&gt; is the name of the textbox on the popup where the correct location is stored.&lt;/p&gt;
</t>
  </si>
  <si>
    <t xml:space="preserve">&lt;p&gt;Some suggestions to consider. In your popup set a dynamic property, call it 'CreateDatasource' or whatever suits your needs.&lt;/p&gt;
&lt;p&gt;In your assets page form where you navigate to your popup (lets say it's a button that opens the popup from your form) put the following code:&lt;/p&gt;
&lt;pre&gt;&lt;code&gt;var popup = app.popups.YourPopup;
popup.properties.CreateDatasource = widget.datasource;
popup.visible = true;
&lt;/code&gt;&lt;/pre&gt;
&lt;p&gt;Lets say your popup content datasource is set to Locations, and your popup has some inputs that filter your locations and then there is a table that displays your filtered results. In this table you would select the appropriate location row and then your popup has a button that passes the location back to your asset form, with code like this:&lt;/p&gt;
&lt;pre&gt;&lt;code&gt;widget.root.properties.CreateDatasource.item.Location = widget.datasource.item; //this would set the relation only assuming your asset relation end to locations is named 'Location'
widget.root.visible = false;
&lt;/code&gt;&lt;/pre&gt;
&lt;p&gt;This would work assuming everything is set up correctly in your relations.&lt;/p&gt;
</t>
  </si>
  <si>
    <t xml:space="preserve">&lt;p&gt;In our QuickBase project management app, users have the ability to start a discussion thread on any project or task. Is it possible to add the ability for dynamic user mentions within the Rich Text or plain textarea fields? Is there a way to add scripting within QuickBase to make this possible? &lt;/p&gt;
&lt;p&gt;For example, if I am typing a message and want to mention someone's name prefaced by the "@" symbol (e.g. &lt;strong&gt;@Gian Dough&lt;/strong&gt;), it would detect a user's name, recognize the mention and send an alert to the person that their name was mentioned in this discussion. To further demonstrate what I want it to look like, check out the live jQuery example at  &lt;a href="https://podio.github.io/jquery-mentions-input/" rel="nofollow noreferrer"&gt;https://podio.github.io/jquery-mentions-input/&lt;/a&gt;&lt;/p&gt;
&lt;p&gt;I can't find any documentation on this and the core platform doesn't seem to have this functionality built-in.&lt;/p&gt;
</t>
  </si>
  <si>
    <t xml:space="preserve">&lt;p&gt;There is not currently a native Quick Base feature for this, but with Quick Base's custom code pages and web hooks a developer could add this as custom functionally to your Quick Base app. &lt;/p&gt;
</t>
  </si>
  <si>
    <t xml:space="preserve">&lt;p&gt;I am using google app maker and SQL database to build a procedure tracking database.&lt;br&gt;
I this App I have a form which is going to be filled by the user. &lt;/p&gt;
&lt;p&gt;&lt;a href="https://i.stack.imgur.com/T44dr.png" rel="nofollow noreferrer"&gt;&lt;img src="https://i.stack.imgur.com/T44dr.png" alt="enter image description here"&gt;&lt;/a&gt;&lt;/p&gt;
&lt;p&gt;I want the users to have a paper or pdf copy of the form once it is filled for documentation purposes.&lt;/p&gt;
&lt;p&gt;I'm facing several issues:      &lt;/p&gt;
&lt;ul&gt;
&lt;li&gt;&lt;p&gt;I have difficulty printing with chrome even after shrinking the form to 595px X 842Px.&lt;/p&gt;&lt;/li&gt;
&lt;li&gt;&lt;p&gt;I have used some methods mentioned here but didn't get any success.&lt;/p&gt;&lt;/li&gt;
&lt;li&gt;I have tried using a couple of code which uses inner html and window.print. But didn't get any positive results. &lt;/li&gt;
&lt;li&gt;For some reason Chrome does not capture the entire form even after scaling down.&lt;/li&gt;
&lt;/ul&gt;
&lt;p&gt;Any ideas on how I can solve those issues?&lt;/p&gt;
</t>
  </si>
  <si>
    <t xml:space="preserve">&lt;p&gt;In an external app I'd like to have a button which can launch straight to case creation view in salesforce lightning including the record type selector.&lt;/p&gt;
&lt;p&gt;Today, when I create a case by launching a url it seems to bypass the record type selector and defaults to a specific record type. This does not happen if I create the case from within salesforce directly.&lt;/p&gt;
&lt;p&gt;Is there a way to achieve what I am looking for?&lt;/p&gt;
&lt;p&gt;Here are a couple of urls I have tried using to launch to new case creation from my external app. Each time it bypasses record type selection and defaults to a particular record type.&lt;/p&gt;
&lt;p&gt;&lt;a href="https://mydomain.my.salesforce.com/500/e" rel="nofollow noreferrer"&gt;https://mydomain.my.salesforce.com/500/e&lt;/a&gt;&lt;/p&gt;
&lt;p&gt;&lt;a href="https://mydomain.lightning.force.com/lightning/o/Case/new" rel="nofollow noreferrer"&gt;https://mydomain.lightning.force.com/lightning/o/Case/new&lt;/a&gt;&lt;/p&gt;
</t>
  </si>
  <si>
    <t xml:space="preserve">&lt;p&gt;I am unable to create a new Common Data Service Database in my Power Apps default environment. Please see the error text below.&lt;/p&gt;
&lt;blockquote&gt;
  &lt;p&gt;It looks like you don't have permission to use the Common Data Service
  in this environment. Switch to a different environment, or create your
  own.&lt;/p&gt;
&lt;/blockquote&gt;
&lt;p&gt;Which as I understand I should be able to create after the Microsoft Business Application October 2018 update as listed in the article available at following link.&lt;/p&gt;
&lt;p&gt;&lt;a href="https://community.dynamics.com/365/b/dynamicscitizendeveloper/archive/2018/10/17/demystifying-dynamics-365-and-powerapps-environments-part-1" rel="nofollow noreferrer"&gt;https://community.dynamics.com/365/b/dynamicscitizendeveloper/archive/2018/10/17/demystifying-dynamics-365-and-powerapps-environments-part-1&lt;/a&gt;&lt;/p&gt;
&lt;p&gt;Also when I try to create a Common Data Service app in my default environment, I encounter following error.&lt;/p&gt;
&lt;blockquote&gt;
  &lt;p&gt;The data did not load correctly. Please try again.&lt;/p&gt;
  &lt;p&gt;The environment 'Default-57e1485d-1197-4afd-b792-5c423ab508d9' is not
  linked to a new CDS 2.0 instance. The operation 'ListInstanceMetadata'
  is forbidden for unlinked environments&lt;/p&gt;
&lt;/blockquote&gt;
&lt;p&gt;Moreover I am unable to see the default environment on &lt;a href="https://admin.powerapps.com/environments" rel="nofollow noreferrer"&gt;https://admin.powerapps.com/environments&lt;/a&gt;, I can only see the Sandbox environment there.&lt;/p&gt;
&lt;p&gt;Any ideas what I am missing here?&lt;/p&gt;
&lt;p&gt;Thank you.&lt;/p&gt;
</t>
  </si>
  <si>
    <t xml:space="preserve">&lt;p&gt;I'm having Accounts entity and Transactions entity. &lt;/p&gt;
&lt;p&gt;Here one Account can have multiple transactions.&lt;/p&gt;
&lt;p&gt;My Question is,&lt;/p&gt;
&lt;p&gt;How can I get The last transaction of each account by using aggregates Or Query in Outsystems.?&lt;/p&gt;
</t>
  </si>
  <si>
    <t xml:space="preserve">&lt;p&gt;Can anyone help us to figure out to identify the possible values of action column of SetupAuditTrail table in salesforce. Do we have any table which stores all action?&lt;/p&gt;
&lt;p&gt;ex: &lt;code&gt;"changedManager", "changedApexPage", "campaignlayout"&lt;/code&gt; etc. &lt;/p&gt;
&lt;p&gt;It will be great if some one can point to documentation about all list of action.&lt;/p&gt;
</t>
  </si>
  <si>
    <t xml:space="preserve">&lt;p&gt;I need to check if a email id (not necessarily of the logged in user) has Admin role. If yes then perform Action A otherwise Action B.&lt;/p&gt;
&lt;p&gt;Is there a way we can check that?&lt;/p&gt;
&lt;p&gt;Below link is of an issue (not exactly the same but similar) posted where it's said it is not possible. Not sure if there is any new development on this since then. Anyways my requirement is somewhat different.&lt;/p&gt;
&lt;p&gt;&lt;a href="https://stackoverflow.com/questions/52034362/how-to-get-roles-email-address-in-appmaker"&gt;How to get roles email address in AppMaker&lt;/a&gt;&lt;/p&gt;
&lt;p&gt;Workarounds are welcome too.&lt;/p&gt;
</t>
  </si>
  <si>
    <t xml:space="preserve">&lt;p&gt;From the server side you can get a list of email addresses of all admin users using:&lt;/p&gt;
&lt;pre&gt;&lt;code&gt;var admins = app.roles.Admins;
var usersAdmin = app.getRoleMembers(admins);
&lt;/code&gt;&lt;/pre&gt;
&lt;p&gt;And then compare your email with the list returned.&lt;/p&gt;
&lt;p&gt;You can set who is an admin just for deployments so in preview mode, it will just return your email.&lt;/p&gt;
&lt;p&gt;Reference: &lt;a href="https://developers.google.com/appmaker/scripting/api/server#App" rel="nofollow noreferrer"&gt;https://developers.google.com/appmaker/scripting/api/server#App&lt;/a&gt;&lt;/p&gt;
</t>
  </si>
  <si>
    <t xml:space="preserve">&lt;p&gt;My Data displays the list results as grouped but does not create a singular display for the same value.&lt;/p&gt;
&lt;p&gt;I would like the returned Data to Show everything grouped into a single column header...let me share the code.&lt;/p&gt;
&lt;p&gt;To elaborate :&lt;/p&gt;
&lt;pre&gt;&lt;code&gt;public Summary[] Summaries { get; set; }   
public Alphabet() {
AggregateResult[] groupedResults = [select A,Sum(B)Currency,C from D WHERE A != null AND C &amp;lt; LAST_FISCAL_QUARTER GROUP BY A,C ORDER BY A limit 1000];
Summaries = new List&amp;lt;Summary&amp;gt;();
     for (AggregateResult ar : groupedResults) {
             Summaries.add(new Summary(ar));
                 }
   }
   public class Summary {
       public String A{ get; private set; }
      public Decimal B{ get; private set; }
    public Date C{ get; private set; }
    public Summary(AggregateResult ar) {
          A= (String) ar.get('A');
        B= (Decimal) ar.get('B');
          C=  (Date) ar.get('C');
     } 
}  
 }
&lt;/code&gt;&lt;/pre&gt;
&lt;p&gt;My Page : &lt;/p&gt;
&lt;pre&gt;&lt;code&gt;&amp;lt;apex:page controller="Alphabet"&amp;gt;    
&amp;lt;apex:form &amp;gt;
&amp;lt;apex:pageBlock &amp;gt; 
 &amp;lt;apex:pageBlockTable value="{! Summaries}" var="s"&amp;gt;
     &amp;lt;apex:column value="{! s.A}"/&amp;gt;
   &amp;lt;apex:column value="{! s.B}"/&amp;gt;
  &amp;lt;/apex:pageBlockTable&amp;gt;      
   &amp;lt;/apex:pageBlock&amp;gt;   
  &amp;lt;/apex:form&amp;gt;  
 &amp;lt;/apex:page&amp;gt;
&lt;/code&gt;&lt;/pre&gt;
&lt;p&gt;My Display :&lt;/p&gt;
&lt;p&gt;&lt;a href="https://i.stack.imgur.com/dLRI8.png" rel="nofollow noreferrer"&gt;enter image description here&lt;/a&gt;&lt;/p&gt;
&lt;p&gt;But I would like it to look like this :&lt;/p&gt;
&lt;p&gt;&lt;a href="https://i.stack.imgur.com/eXRIJ.png" rel="nofollow noreferrer"&gt;enter image description here&lt;/a&gt;&lt;/p&gt;
&lt;p&gt;I deally I would like all th A1 values summed up together and not showing multiple A1's.&lt;/p&gt;
&lt;p&gt;Please assist.&lt;/p&gt;
</t>
  </si>
  <si>
    <t xml:space="preserve">&lt;p&gt;I am using "document.getElementsByClassName" in a Lightning JS Renderer which returns a Proxy object. I can see the actual elements which I want in the debug console but I don't how to extract that element from a proxy object.&lt;/p&gt;
&lt;p&gt;The screenshot of debug console
&lt;a href="https://i.stack.imgur.com/umJJz.png" rel="nofollow noreferrer"&gt;&lt;img src="https://i.stack.imgur.com/umJJz.png" alt="img"&gt;&lt;/a&gt;&lt;/p&gt;
</t>
  </si>
  <si>
    <t xml:space="preserve">&lt;p&gt;I ma newbie to lightning component and I am using the lightning tree grid view in that I like to add some button on one column in child rows. I searched for that option but I couldn't find it.&lt;/p&gt;
&lt;p&gt;Please help me out how we can achieve this.&lt;/p&gt;
&lt;p&gt;&lt;a href="https://i.stack.imgur.com/8gGg1.png" rel="nofollow noreferrer"&gt;&lt;img src="https://i.stack.imgur.com/8gGg1.png" alt="enter image description here"&gt;&lt;/a&gt;&lt;/p&gt;
&lt;p&gt;&lt;strong&gt;Lightning Component&lt;/strong&gt;&lt;/p&gt;
&lt;pre&gt;&lt;code&gt;&amp;lt;div class="slds-m-around_xx-large"&amp;gt;
        &amp;lt;lightning:treeGrid aura:id="accTree" 
                            columns="{!v.gridColumns}" 
                            data="{!v.gridData}" 
                            keyField="name" 
                            expandedRows="{!v.gridExpandedRows}"/&amp;gt;
    &amp;lt;/div&amp;gt;
&lt;/code&gt;&lt;/pre&gt;
&lt;p&gt;&lt;strong&gt;Lightning Controller&lt;/strong&gt;&lt;/p&gt;
&lt;pre&gt;&lt;code&gt;var columns = [
            {
                type: 'text',
                fieldName: 'Order',
                label: 'Order'
            },
            {
                type: 'currency',
                fieldName: 'Total',
                label: 'Total'
            },
           **{
                type: 'Button',
                fieldName: 'EstimatedDeliveryDate',
                label: 'Estimated Delivery Date'
            },**
]
&lt;/code&gt;&lt;/pre&gt;
&lt;p&gt;I tried adding the button as type "button: but it doesn't work.&lt;/p&gt;
</t>
  </si>
  <si>
    <t xml:space="preserve">&lt;p&gt;I have a device on IBM cloud IoT platform and I want to subscribe mendix to its events... I am using &lt;a href="https://appstore.home.mendix.com/link/app/3066/" rel="nofollow noreferrer"&gt;MQTT client&lt;/a&gt; form mendix app store for subscribing to device events.&lt;/p&gt;
&lt;p&gt;&lt;strong&gt;Project Explorer:&lt;/strong&gt;&lt;/p&gt;
&lt;p&gt;&lt;a href="https://i.stack.imgur.com/IGRAr.png" rel="nofollow noreferrer"&gt;&lt;img src="https://i.stack.imgur.com/IGRAr.png" alt="enter image description here"&gt;&lt;/a&gt;&lt;/p&gt;
&lt;p&gt;&lt;strong&gt;Micro Flow&lt;/strong&gt;
&lt;a href="https://i.stack.imgur.com/lBnVs.png" rel="nofollow noreferrer"&gt;&lt;img src="https://i.stack.imgur.com/lBnVs.png" alt="enter image description here"&gt;&lt;/a&gt;&lt;/p&gt;
&lt;p&gt;&lt;strong&gt;MQTT Subscription&lt;/strong&gt;&lt;/p&gt;
&lt;p&gt;&lt;a href="https://i.stack.imgur.com/6Vg5e.png" rel="nofollow noreferrer"&gt;&lt;img src="https://i.stack.imgur.com/6Vg5e.png" alt="enter image description here"&gt;&lt;/a&gt;&lt;/p&gt;
&lt;p&gt;I have also debug the micro-flow it is giving me value of output variable named &lt;code&gt;variable&lt;/code&gt; = &lt;code&gt;false&lt;/code&gt;&lt;/p&gt;
&lt;p&gt;&lt;a href="https://i.stack.imgur.com/uYAGy.png" rel="nofollow noreferrer"&gt;&lt;img src="https://i.stack.imgur.com/uYAGy.png" alt="enter image description here"&gt;&lt;/a&gt;&lt;/p&gt;
&lt;p&gt;and I have noticed that whenever app is started it is logs &lt;/p&gt;
&lt;blockquote&gt;
  &lt;p&gt;subscribe: iot-2/type/TemperatureSensorSimulator/id/TemperatureSensorSimulator_1/mon
  as highlighted in micro-flow screenshot.&lt;/p&gt;
&lt;/blockquote&gt;
&lt;p&gt;All I want is my mendix app to be subscribed to a device on IBM watson IoT platform and show me events sent by device to IBM IoT platform. Can Anyone tell me how can I do this in mendix?&lt;/p&gt;
&lt;p&gt;I have already subscribed to events in nodejs app everything is fine. App is showing me events in log. I think I am doing something wrong in mendix micro-flow. I have pasted all the screenshots here. Any help in this regard will be highly appreciated&lt;/p&gt;
&lt;p&gt;Thanks in Advance. &lt;/p&gt;
</t>
  </si>
  <si>
    <t xml:space="preserve">&lt;p&gt;First, you need to make sure that you use an API-Key/token to connect and then you need to correct the topic to which you subscribe. The rule is:&lt;/p&gt;
&lt;pre&gt;&lt;code&gt;iot-2/type/device_type/id/device_id/evt/event_id/fmt/format_string
&lt;/code&gt;&lt;/pre&gt;
&lt;p&gt;So, yours should be:&lt;/p&gt;
&lt;pre&gt;&lt;code&gt;iot-2/type/TemperatureSensorSimulator/id/TemperatureSensorSimulator_1/evt/mon/fmt/json
&lt;/code&gt;&lt;/pre&gt;
&lt;p&gt;You should be fine afterwards.&lt;/p&gt;
</t>
  </si>
  <si>
    <t xml:space="preserve">&lt;p&gt;I used a function to download some selections from a Lists object as a CSV. I'd like to do the same for the entire datasource connected to the Lists object, but am unsure of how to scale this to work with, as an example, 100,000 rows. On the button to download the List data as a CSV I have: &lt;/p&gt;
&lt;pre&gt;&lt;code&gt;var rows = widget.root.descendants.MainTableBody.children._values;
var csvdata = [];
csvdata.push([["Email"],["Last Login"],["Sku ID"],["Sku Name"],["Docs Added Recently"]]);
for (var i in rows) {
  var t = [];
  t.push(rows[i].children.EmailField.text);
  t.push(rows[i].children.LastLoginField.text);
  t.push(rows[i].children.SkuIdField.text);
  t.push(rows[i].children.SkuNameField.text);
  t.push(rows[i].children.DocsAddedField.text);
  csvdata.push(t);
}
console.log(csvdata);
exportToCsv("LMexport",csvdata);
&lt;/code&gt;&lt;/pre&gt;
&lt;p&gt;The export function is taken from &lt;a href="https://stackoverflow.com/a/24922761/1422413"&gt;this answer&lt;/a&gt;.I basically need the &lt;code&gt;rows&lt;/code&gt; var to cover the entire table, but that's a lot of data.&lt;/p&gt;
&lt;p&gt;The schema of the datasource in question:&lt;/p&gt;
&lt;p&gt;&lt;a href="https://i.stack.imgur.com/D04E7.png" rel="nofollow noreferrer"&gt;&lt;img src="https://i.stack.imgur.com/D04E7.png" alt="schema"&gt;&lt;/a&gt;&lt;/p&gt;
&lt;p&gt;and the calculation used:
&lt;a href="https://i.stack.imgur.com/XdoFZ.png" rel="nofollow noreferrer"&gt;&lt;img src="https://i.stack.imgur.com/XdoFZ.png" alt="schema calculation"&gt;&lt;/a&gt;&lt;/p&gt;
&lt;p&gt;Here's what the table looks like in the UI for reference:&lt;/p&gt;
&lt;p&gt;&lt;a href="https://i.stack.imgur.com/uYL1f.png" rel="nofollow noreferrer"&gt;&lt;img src="https://i.stack.imgur.com/uYL1f.png" alt="UI screenshot"&gt;&lt;/a&gt;&lt;/p&gt;
</t>
  </si>
  <si>
    <t xml:space="preserve">&lt;p&gt;I would like to work with table storage withing PowerApps. I understand that the built-in connector doesn't work (not authorized error message), I did some research on this. So I failed over to Flow.&lt;/p&gt;
&lt;p&gt;So, I query a table and would like to list all the entities. Calling the flow with a button, data is returned.
Now, with the &lt;code&gt;Respond to PowerApps&lt;/code&gt; action I couldn't return the whole collection, only distinct values. (or, can I somehow parse the json as string with PA?)&lt;/p&gt;
&lt;p&gt;Next option is the http response action, as described &lt;a href="https://powerapps.microsoft.com/en-us/blog/return-an-array-from-flow-to-powerapps-response-method/" rel="nofollow noreferrer"&gt;here&lt;/a&gt;.
Unfortunately I cannot make it work. The JSON that is returned is valid and matches against the schema:&lt;/p&gt;
&lt;pre&gt;&lt;code&gt;{
  "odata.metadata": "https://mystorageaccount.table.core.windows.net/$metadata#busz&amp;amp;$select=rowkey,%20letszam,%20rendszam",
  "value": [
    {
      "odata.etag": "W/\"datetime'2019-03-13T19%3A05%3A26.0156798Z'\"",
      "letszam": 40,
      "rendszam": "abc-123",
      "rowkey": null
    },
    {
      "odata.etag": "W/\"datetime'2019-03-13T19%3A06%3A03.537472Z'\"",
      "letszam": 50,
      "rendszam": "def-234",
      "rowkey": null
    }
  ]
}
&lt;/code&gt;&lt;/pre&gt;
&lt;p&gt;However, when I try to display the data in PowerApps, all I see is "true".&lt;/p&gt;
&lt;pre&gt;&lt;code&gt;ClearCollect(buszok;'GetData'.Run("busz"))
&lt;/code&gt;&lt;/pre&gt;
&lt;p&gt;The &lt;code&gt;buszok&lt;/code&gt; collection only contains on record and its &lt;code&gt;value&lt;/code&gt; column is &lt;code&gt;true&lt;/code&gt;.&lt;/p&gt;
&lt;p&gt;Looking for advise how to go further. Either with Flow or native PowerApps. The goal is to read/write table storage.&lt;/p&gt;
</t>
  </si>
  <si>
    <t xml:space="preserve">&lt;p&gt;I need to be able to retrieve values from an API custom connector and store them in a variable (using UpdateContext). For example, if my API response is {"result": 100}, I'd want to put the value 100 into the text property of a Label. &lt;/p&gt;
&lt;p&gt;I am trying to replace a Microsoft Flow that already works &lt;em&gt;(see the first formula below)&lt;/em&gt;. I would like to format my API response so that it populates variables in the same way that the Flow did.&lt;/p&gt;
&lt;p&gt;I've tried using the Set() function, setting a global variable to the results of my custom connector request. I have also tried using ClearCollect(). &lt;em&gt;(see below)&lt;/em&gt;&lt;/p&gt;
&lt;p&gt;&lt;strong&gt;This is the formula that works as intended. This is the existing Microsoft Flow that I'm trying to replace.&lt;/strong&gt;&lt;/p&gt;
&lt;pre&gt;&lt;code&gt;Set(varDefaults,GetGasDefaultValues.Run());UpdateContext({v6:varDefaults.specificgravity});UpdateContext({v7:varDefaults.co2});UpdateContext({v8:varDefaults.n2})
&lt;/code&gt;&lt;/pre&gt;
&lt;p&gt;&lt;strong&gt;I have tried using the 'Set' function. This formula gives the following error: "Name isn't valid..." and "Invalid use of '.' "&lt;/strong&gt;&lt;/p&gt;
&lt;pre&gt;&lt;code&gt;Set(varDefaults,GasVolumeCalculatorConnector.CalcVol();UpdateContext({v6:varDefaults.specificgravity});UpdateContext({v7:varDefaults.co2});UpdateContext({v8:varDefaults.n2})
&lt;/code&gt;&lt;/pre&gt;
&lt;p&gt;&lt;strong&gt;I have also tried using the 'ClearCollect' function. This formula gives the following error: "Incompatible type. We can't evaluate your formula because the context variable types are incompatible with the types of values in other places in your app."&lt;/strong&gt;&lt;/p&gt;
&lt;pre&gt;&lt;code&gt;ClearCollect(defaultCollection, GasVolumeCalculatorConnector.GetDefaults());UpdateContext({v6:First(defaultCollection).specific_gravity});UpdateContext({v7:First(defaultCollection).co2});UpdateContext({v8:First(defaultCollection).n2})
&lt;/code&gt;&lt;/pre&gt;
&lt;p&gt;I do not wish to change the types of my existing variables. How can I format my API response so that it matches the previous Flows response? (see first formula)&lt;/p&gt;
</t>
  </si>
  <si>
    <t xml:space="preserve">&lt;p&gt;Can someone give me a bit of advice on the following (common) scenario.&lt;/p&gt;
&lt;p&gt;I have a list of "Incident" records with an edit button for each
The Edit button opens up an "Incident" edit form for that record
The edit form contains a tab control with four tabs, each of which has a table for child (related) records: actions, documents, quotes and invoices&lt;/p&gt;
&lt;p&gt;Take the first relation "actions". The table datasource is Incident: Action (relation).
A Add Action button opens a page with a form with datasource inherited action and type insert&lt;/p&gt;
&lt;p&gt;I remove the Incident Id dropdown because I want this to be populated automatically from the parent record.&lt;/p&gt;
&lt;p&gt;I add a text box and give it a value: @pages.Edit_Incident.datasource.item.Id
The text box is populated with the correct value&lt;/p&gt;
&lt;p&gt;The submit button with OnClick Create New Item writes the record but does not persist the parent id or Incident_fk&lt;/p&gt;
&lt;p&gt;What am I missing? This must be a common scenario.
If I enforce referential integrity in the model it doesn't save.
How can I persist the parent Id value to the Incident_fk field? I need to bind the text box to the datasource even though the page's datasource is correct&lt;/p&gt;
</t>
  </si>
  <si>
    <t xml:space="preserve">&lt;p&gt;I'm pretty new in App Maker. I want to create an app that will collect various types of request (failures, new ideas, orders and so on ). For each type of request will be separate data model. Every data model (request) contains 3 the same information: date, applicient, comments. &lt;/p&gt;
&lt;p&gt;In addition to the dashboard's stand for each type of request, I want to make one in which all entries will be displayed with only repating records and type of request as one more record (date, applicient, comments, type of request)&lt;/p&gt;
&lt;p&gt;I think that Calculated Model is the answer here, but despite getting acquainted with the documentation, I don't know how to implement this in my case. Could anybody halp me with this ? 
Below  I am presenting the display of the above description. Records 1, 2, 3 ... presents records that don't replicate in another data model. &lt;/p&gt;
&lt;p&gt;IMAGE:    &lt;/p&gt;
&lt;p&gt;&lt;a href="https://drive.google.com/file/d/1gi6ylZacOVSkcqtpaupRpIOrzbq7fOsT/view?usp=sharing" rel="nofollow noreferrer"&gt;https://drive.google.com/file/d/1gi6ylZacOVSkcqtpaupRpIOrzbq7fOsT/view?usp=sharing&lt;/a&gt;&lt;/p&gt;
&lt;p&gt;I tried to do relations, but I couldn't displey this in one table, what is my goal. How to conigure the SQL datasource to do this ?&lt;/p&gt;
</t>
  </si>
  <si>
    <t xml:space="preserve">&lt;p&gt;You can create a new calculated SQL model with &lt;a href="https://dev.mysql.com/doc/refman/5.7/en/union.html" rel="nofollow noreferrer"&gt;UNION&lt;/a&gt;:&lt;/p&gt;
&lt;pre&gt;&lt;code&gt;(SELECT 'Failures' AS REQUEST_TYPE, C.* FROM Failures AS C)
UNION ALL
(SELECT 'New Ideas', C.* FROM `New ideas` AS C)
UNION ALL
(SELECT 'Orders', C.* FROM Orders AS C);
&lt;/code&gt;&lt;/pre&gt;
&lt;p&gt;You must have corresponding fields in your datasource that match the sql column names: REQUEST_TYPE, Date, Applicient, Comments&lt;/p&gt;
&lt;h3&gt;Reference:&lt;/h3&gt;
&lt;ul&gt;
&lt;li&gt;&lt;a href="https://developers.google.com/appmaker/models/cloudsql#calculated_sql_models" rel="nofollow noreferrer"&gt;Cloud sql model&lt;/a&gt;&lt;/li&gt;
&lt;/ul&gt;
</t>
  </si>
  <si>
    <t xml:space="preserve">&lt;p&gt;When I apply #formatNumber('00%') for a field in create form, ex.20%, the real value saved in model is 20 instead of 0.2 which is expected. &lt;/p&gt;
&lt;p&gt;I have a field in create form, it's for a ratio in percentage, for that field I set value as &lt;code&gt;@widget.datasource.ratio#formatNumber('00%')&lt;/code&gt;, this forces user to input a percentage and show value in percentage, however I find that the real value saved in model is number before percentage, ex. when user input 20%, a number 20 saved in databased instead of 20%. &lt;/p&gt;
&lt;p&gt;So far, it looks that #formatNumber('00%') in percentage mode can only be used in read mode to show a number in percentage, ex. for a number 0.2 in databased, it can be shown as 20% in a table when that transformer is applied.&lt;/p&gt;
&lt;p&gt;How can I use a #formatNumber to force percentage input and save the real number/value in databased? or is there a best practice for this scenario. &lt;/p&gt;
&lt;p&gt;Thanks in advance.&lt;/p&gt;
</t>
  </si>
  <si>
    <t xml:space="preserve">&lt;p&gt;I would like to transfer a file from MyDrive to TeamDrive with script from AppmMaker. I use DriveApp to create the file in MyDrive and with a DrivePicker widget from appmaker i get id from target folder to save the file.
DriveApp can move file in TeamDrive with&lt;/p&gt;
&lt;pre&gt;&lt;code&gt;var file = DriveApp.getFileById(fileId);
var parentFolder = DriveApp.getFolderById(TEAM_DRIVE_ID);
parentFolder.addFile(file);
&lt;/code&gt;&lt;/pre&gt;
&lt;p&gt;but not in a folders in TeamDrive.&lt;/p&gt;
&lt;p&gt;I have try to use this code :&lt;/p&gt;
&lt;pre&gt;&lt;code&gt;function moveFileToFolder(fileIds, newFolderId) {  
  var file = Drive.Files.get(fileIds, {supportTeamDrives: true,supportsTeamDrives: true});
  Drive.Files.patch(file, fileIds, {
    removeParents: file.parents.map(function(f) { return f.id; }),
    addParents: [newFolderId],
    supportTeamDrives: true,
    supportsTeamDrives: true
  });
}
&lt;/code&gt;&lt;/pre&gt;
&lt;p&gt;I have the error "Sharing restrictions cannot be set on a Team Drive item."&lt;/p&gt;
&lt;p&gt;Reference :&lt;a href="https://stackoverflow.com/questions/53302468/how-to-move-a-file-from-mydrive-to-team-drive"&gt;How to move a file from MyDrive to Team Drive?&lt;/a&gt;&lt;/p&gt;
&lt;p&gt;(the solution of the reference not work because i want to move it in a folder in teamdrive not directly in teamdrive)&lt;/p&gt;
&lt;p&gt;Any Idea ? &lt;/p&gt;
</t>
  </si>
  <si>
    <t xml:space="preserve">&lt;p&gt;I have the following table in my backend,&lt;/p&gt;
&lt;p&gt;Table1&lt;/p&gt;
&lt;pre&gt;&lt;code&gt;Name      ID      ToAddress                                                        Status
Abc       123     asdfg@example.com,koldef@example.com,asdasdasfda@example.com        A        
Def       234     nanasd@example.com,asdfg@example.com                                A
Ghi       567     asdfg@example.com,asdasfg1@example.com                              B
&lt;/code&gt;&lt;/pre&gt;
&lt;p&gt;And I have a button in my power apps to send email, but not Sure how to write code to do this.&lt;/p&gt;
&lt;p&gt;I want to send emails to everyone in the To address corresponding to status "A", &lt;/p&gt;
&lt;p&gt;On the To Address there will always be only one user. And Each user will receive only one email.&lt;/p&gt;
&lt;p&gt;The email sent to asdfg@example.com will be something like this in the body.&lt;/p&gt;
&lt;p&gt;Please kindly take a look at
Abc - 123
Def - 234&lt;/p&gt;
</t>
  </si>
  <si>
    <t xml:space="preserve">&lt;p&gt;I'm trying to understand how Salesforce have implemented their custom lightning component elements. I've read some of the help docs which imply they're following webcomponents standards. &lt;/p&gt;
&lt;p&gt;When I inspect the page:
&lt;a href="https://i.stack.imgur.com/CqwEV.png" rel="nofollow noreferrer"&gt;&lt;img src="https://i.stack.imgur.com/CqwEV.png" alt="Salesforce Inspected DOM"&gt;&lt;/a&gt;&lt;/p&gt;
&lt;p&gt;So this looks like typical DOM structure, but when you go into the console and look into the lightning-icon it says there's no childNodes unless you go into the shadow dom:&lt;/p&gt;
&lt;pre&gt;&lt;code&gt;&amp;gt; document.querySelector('lightning-icon.slds-icon-standard-home').childNodes
&amp;gt; NodeList {Symbol(items): Array(0)}
&amp;gt; document.querySelector('lightning-icon.slds-icon-standard-home').shadowRoot.childNodes
&amp;gt; NodeList {0: lightning-primitive-icon, Symbol(items): Array(1)}
&lt;/code&gt;&lt;/pre&gt;
&lt;p&gt;Now, normally if there's a shadow root and a document fragment it's clearly visible in the inspector as #shadow-root (open). As per the Mozilla example here: &lt;a href="https://mdn.github.io/web-components-examples/popup-info-box-web-component/" rel="nofollow noreferrer"&gt;https://mdn.github.io/web-components-examples/popup-info-box-web-component/&lt;/a&gt;&lt;/p&gt;
&lt;p&gt;I also noticed that the custom elements aren't registered custom elements. And SF have implemented their own component library etc...&lt;/p&gt;
&lt;p&gt;I'd like to know what's going on? Why isn't the #shadow-root being shown if the nodes are stored there and how are the custom elements being implemented in plain JS so I can recreate.&lt;/p&gt;
&lt;p&gt;Thanks!&lt;/p&gt;
</t>
  </si>
  <si>
    <t xml:space="preserve">&lt;p&gt;I am attempting to create a custom connector for MS Flow\Logic Apps that uses some of the REST endpoints that are part of the microsoft graph but am having trouble in understanding how to document the API in OpenAPI 2.0 specification&lt;/p&gt;
&lt;p&gt;The MS documentation&lt;/p&gt;
&lt;p&gt;&lt;a href="https://docs.microsoft.com/en-us/graph/api/group-post-owners?view=graph-rest-1.0#example" rel="nofollow noreferrer"&gt;https://docs.microsoft.com/en-us/graph/api/group-post-owners?view=graph-rest-1.0#example&lt;/a&gt;&lt;/p&gt;
&lt;p&gt;says to include&lt;/p&gt;
&lt;pre&gt;&lt;code&gt;"@odata.id": "https://graph.microsoft.com/v1.0/users/{id}"
&lt;/code&gt;&lt;/pre&gt;
&lt;p&gt;as a $ref parameter as part of the request body&lt;/p&gt;
&lt;p&gt;but how do I document this in OpenAPI 2.0 specification?&lt;/p&gt;
&lt;p&gt;This is what I have got so far...&lt;/p&gt;
&lt;pre&gt;&lt;code&gt;'/groups/{team-id}/owners':
    post:
      tags:
        - teams.team
      summary: Add a new owner to the team
      operationId: teams.AddOwner
      consumes:
        - application/json
      parameters:
        - name: team-id
          in: path
          required: true
          type: string
          description: Id of the MS team
          x-ms-summary: Team Id
          x-ms-visibility: important
        - name: body
          in: body
          required: true
          schema:
            type: object
            properties:
              userId:
                type: string
                description: Id of the user to be added as an owner to the team
                x-ms-summary: User Id
                x-ms-visibility: important
              '@odata.id':
                default: https://graph.microsoft.com/v1.0/users/{userId}
      responses:
        '204':
          description: Success
        default:
          $ref: '#/responses/error'
      x-ms-docs-operation-type: operation
&lt;/code&gt;&lt;/pre&gt;
&lt;p&gt;When I submit the above to create the custom connector I get the following error&lt;/p&gt;
&lt;blockquote&gt;
  &lt;p&gt;&lt;em&gt;Specified file does not match OpenAPI 2.0 specification: 'JSON is valid against no schemas from 'oneOf'. Path 'paths./groups/{team-id}/owners.post.parameters[1]'.'&lt;/em&gt;&lt;/p&gt;
&lt;/blockquote&gt;
&lt;p&gt;&lt;strong&gt;EDIT&lt;/strong&gt;&lt;/p&gt;
&lt;p&gt;I have updated the OpenAPI to look like below&lt;/p&gt;
&lt;p&gt;This means that I can import and use this... but I have to construct the URL for the @odata.id parameter manually in the workflow!&lt;/p&gt;
&lt;pre&gt;&lt;code&gt;"@odata.id": "https://graph.microsoft.com/v1.0/users/{id}"
&lt;/code&gt;&lt;/pre&gt;
&lt;pre&gt;&lt;code&gt;'/groups/{team-id}/owners/$ref':
    post:
      tags:
        - teams.team
      summary: Add a new owner to the team
      operationId: teams.AddOwner
      consumes:
        - application/json
      parameters:
        - name: team-id
          in: path
          required: true
          type: string
          description: Id of the MS team
          x-ms-summary: Team Id
          x-ms-visibility: important
        - name: body
          in: body
          required: true
          schema:
            type: object
            properties:
              '@odata.id':
                title: User Id
                type: string
                x-ms-summary: User Id
                x-ms-visibility: important
      responses:
        '204':
          description: Success
        default:
          $ref: '#/responses/error'
      x-ms-docs-operation-type: operation
&lt;/code&gt;&lt;/pre&gt;
&lt;p&gt;&lt;strong&gt;EDIT&lt;/strong&gt;&lt;/p&gt;
&lt;p&gt;How should I be specifying this to get the &lt;strong&gt;userId&lt;/strong&gt;?&lt;/p&gt;
&lt;p&gt;How do I specify the body parameter correctly?&lt;/p&gt;
&lt;p&gt;Is there any documentation\examples on how to do this?&lt;/p&gt;
&lt;p&gt;Any help would be much appreciated&lt;/p&gt;
&lt;p&gt;Thanks in advance&lt;/p&gt;
&lt;p&gt;Pete&lt;/p&gt;
</t>
  </si>
  <si>
    <t xml:space="preserve">&lt;p&gt;A Client-side calculated model in Google App Maker was used to populate the options in the SuggestBox widget. This was done by assigning the Model of the Suggest Box Query Options to the this client side model. When I type something in the widget it would display the following error.&lt;/p&gt;
&lt;p&gt;&lt;strong&gt;TypeError: Cannot call method "Na" of undefined.&lt;/strong&gt;&lt;/p&gt;
&lt;p&gt;I used this model on a List widget and it showed all of it's content. I used the SuggestBox widget with a Cloud SQL model and that worked fine as well.&lt;/p&gt;
&lt;p&gt;What is the issue here and how can I make this work?&lt;/p&gt;
</t>
  </si>
  <si>
    <t xml:space="preserve">&lt;p&gt;I am trying to implement reCAPTCHA V3 in lightning component. Refering to &lt;a href="https://developers.google.com/recaptcha/docs/v3" rel="nofollow noreferrer"&gt;https://developers.google.com/recaptcha/docs/v3&lt;/a&gt;. I have done step 1 and 2 as mentioned here But I don't know how to implement step 3 (how to send the token to backend with the request and how to verify a user's response to a reCAPTCHA challenge from application's backend).&lt;/p&gt;
&lt;p&gt;I created a visualforce page for frontend integration in which I have loaded the JavaScript api with my sitekey and called grecaptcha.execute when the page loads. Then added the visualforce page in lightning component using  tag.&lt;/p&gt;
&lt;hr&gt;
&lt;pre&gt;&lt;code&gt;&amp;lt;script&amp;gt;
  function onload()       
    {        
      grecaptcha.ready(function() {       
       grecaptcha.execute('my_sitekey', {action: 'homepage'}).then(function(token) {            
         //alert(token);
       });
      });  
   }
&amp;lt;/script&amp;gt;
&amp;lt;body onLoad = "onload()"&amp;gt;
    &amp;lt;form action="?" method="POST"&amp;gt;
      &amp;lt;div id="html_element"&amp;gt;&amp;lt;/div&amp;gt;
        &amp;lt;br/&amp;gt;
        &amp;lt;input type="submit" value="Submit" style="display:none"/&amp;gt;
    &amp;lt;/form&amp;gt;
&amp;lt;/body&amp;gt;
&lt;/code&gt;&lt;/pre&gt;
&lt;p&gt;Thanks in Advance for any help.&lt;/p&gt;
</t>
  </si>
  <si>
    <t xml:space="preserve">&lt;p&gt;Does anyone know how to trigger an event in Google App Maker when something happens on the server side? Such as when new data gets entered in the model, an action happens on the client side? I am using the standard Google MySQL as the database. &lt;/p&gt;
</t>
  </si>
  <si>
    <t xml:space="preserve">&lt;p&gt;I have an Appmaker form to create a record that includes a many to one relation to another table. By default, the form creates a dropdown to select the related record from a list. This works fine, but I need to barcode scan (or type) the item name rather than select it.&lt;/p&gt;
&lt;p&gt;When I change the dropdown to a text box and bind it to the related table, it greys out and becomes unusable when I preview it. (I get a circle with a line through it when hovering over.)&lt;/p&gt;
&lt;p&gt;When I keep both the dropdown and the textbox on the same form, I can select a record from the dropdown and it populates the textbox. After that, the textbox becomes editable and works as desired.&lt;/p&gt;
&lt;p&gt;How can I remove the dropdown and make the text box editable?&lt;/p&gt;
</t>
  </si>
  <si>
    <t xml:space="preserve">&lt;p&gt;In Google App maker, I am trying to create a Form Dropdown widget populated with all users (emails or names) that I have put in the "only allow access to specific users" section under DEPLOYMENTS. Basically, a list of all users who are allowed to use the app.  &lt;/p&gt;
&lt;blockquote&gt;
  &lt;p&gt;Does anyone know if this is possible (either through Scripts or bindings) to access this information from within a "Page"?&lt;/p&gt;
&lt;/blockquote&gt;
</t>
  </si>
  <si>
    <t xml:space="preserve">&lt;p&gt;Can anyone shed any light on an issue with the drive picker. The same app&lt;/p&gt;
&lt;p&gt;&lt;a href="https://developers.google.com/appmaker/samples/drive-picker/" rel="nofollow noreferrer"&gt;https://developers.google.com/appmaker/samples/drive-picker/&lt;/a&gt;&lt;/p&gt;
&lt;p&gt;allows select of files but when you try to upload a file you get a "files failed to upload" message (see screenshot)&lt;/p&gt;
&lt;p&gt;The app is being run as user so it can't be an identity issue.&lt;/p&gt;
</t>
  </si>
  <si>
    <t xml:space="preserve">&lt;p&gt;The problem is that when i check out  on overlay and after i check in again  i receive this error: &lt;/p&gt;
&lt;blockquote&gt;
  &lt;p&gt;Uncaught TypeError: Cannot read property 'x' of undefined throws at
  dist/leaflet.markercluster.js:1:25696 TypeError: Cannot read  property
  'x' of undefined    at L.DistanceGrid._sqDist (DistanceGrid.js:114)&lt;br&gt;
  at L.DistanceGrid.getNearObject (DistanceGrid.js:94)    at e._addLayer
  (MarkerClusterGroup.js:974)    at eval (MarkerClusterGroup.js:249)&lt;br&gt;
  at e.addLayers (MarkerClusterGroup.js:283)    at e.addLayers
  (layersupport.js:99)    at e.onAdd (layersupport.js:517)    at
  e._layerAdd (leaflet.js:5)    at e.whenReady (leaflet.js:5)    at
  e.addLayer (leaflet.js:5)&lt;/p&gt;
&lt;/blockquote&gt;
&lt;pre&gt;&lt;code&gt;I saw that this function from DistanceGrid(is in leaflet library) which is called when i check in on the overlay 
_sqDist: function (p, p2) {
      var dx = p2.x - p.x,
          dy = p2.y - p.y;
      return dx * dx + dy * dy;
  }
&lt;/code&gt;&lt;/pre&gt;
&lt;p&gt;And when i checked in is p  is somehow undefined. Im struggling with this error for a long period already. Maybe you have some suggestion&lt;/p&gt;
&lt;p&gt;Markers are defined for the groups and they are properly displayed the issue is only with check in check out. Once i check them out the clusters dissapear as they should and once i checked in i receive  that error mentioned before instead of showing clusters back on the map &lt;/p&gt;
&lt;p&gt;Here is the controller code: &lt;/p&gt;
&lt;pre&gt;&lt;code&gt;JS controller: 
var map = L.map('map', {zoomControl: true, tap: false, preferCanvas:true})
var group1,group2,group3,group4;
var myRenderer = L.canvas({ padding: 0.5 });
 var markers = L.markerClusterGroup.layerSupport( { 
        chunkedLoading: true,
        renderer: myRenderer,
        iconCreateFunction: function  (cluster) {
        var childCount = cluster.getChildCount();
        var c = ' marker-cluster-';
        if (childCount &amp;lt; 10) {
            c += 'small';
        } 
        else if (childCount &amp;lt; 100) {
            c += 'medium';
        } 
        else {
                c += 'large';
        }
        return new L.DivIcon({ html: '&amp;lt;div&amp;gt;&amp;lt;span&amp;gt;' + childCount + '&amp;lt;/span&amp;gt; 
&amp;lt;/div&amp;gt;', 
                              className: 'marker-cluster' + c, iconSize: 
 new L.Point(40, 40) });
            }
});
 group1 = L.layerGroup(),
       group2 = L.layerGroup(),
      group3 = L.layerGroup(),
       group4 = L.layerGroup(),
    markers.checkIn([group1, group2, group3, group4]);
    var overlayMaps = {
        "g1": group1,
        "g2": group2,
        "g3":group3,
        "g4":group4
    };
    var control = L.control.layers(null, overlayMaps, { collapsed: true });
    control.addTo(map);
    group1.addTo(map); // Adding to map or to AutoMCG are now equivalent.
    group2.addTo(map);
    group3.addTo(map);
    group4.addTo(map);
 markers.addTo(map);
&lt;/code&gt;&lt;/pre&gt;
&lt;p&gt;PS: I dont know how to give a workable version since this a salesforce app&lt;/p&gt;
</t>
  </si>
  <si>
    <t xml:space="preserve">&lt;p&gt;It is possible that the &lt;code&gt;chunkedLoading&lt;/code&gt; option is not well handled by the Leaflet.markercluster.layerSupport plugin.&lt;/p&gt;
&lt;p&gt;I am not sure why you need to "checkout" and "checkin" regularly? Are you rather referring to using the Layers Control to remove / add your overlay?&lt;/p&gt;
&lt;p&gt;Otherwise, if you "only" need a solution to use Leaflet.markercluster with the Layers Control, you can give a try to the simpler plugin &lt;a href="https://github.com/ghybs/Leaflet.FeatureGroup.SubGroup" rel="nofollow noreferrer"&gt;Leaflet.FeatureGroup.SubGroup&lt;/a&gt;, although if &lt;code&gt;chunkedLoading&lt;/code&gt; is the reason for the issue, it would probably also be the same with that plugin.&lt;/p&gt;
</t>
  </si>
  <si>
    <t xml:space="preserve">&lt;p&gt;I want to declare a variable whose value can be displayed anywhere in app (on any page) and can be modified from any micro flow. how can we do that?? &lt;/p&gt;
</t>
  </si>
  <si>
    <t xml:space="preserve">&lt;p&gt;As all mutable values in mendix is represented by attributes in an entity, you need to create an entity in order to be able to modify a value. The closest thing to a global variable in Mendix is an attribute on a singleton entity.&lt;/p&gt;
&lt;p&gt;Let's suppose we want to be able to change the some settings of your app through its UI or within a microflow. To do this we can create an 'AppSettings' entity with attributes for all the different "global variables" that need to be set.&lt;/p&gt;
&lt;p&gt;&lt;a href="https://i.stack.imgur.com/4FiqO.png" rel="nofollow noreferrer"&gt;&lt;img src="https://i.stack.imgur.com/4FiqO.png" alt="enter image description here"&gt;&lt;/a&gt;&lt;/p&gt;
&lt;p&gt;To make it a singleton entity we need to make sure that there is only one object of its kind in the database. To do this it's a common practice to implement a 'GetOrCreate' microflow that retrieves the 'AppConfiguration' object from the database and creates one if there is none yet. &lt;/p&gt;
&lt;p&gt;&lt;a href="https://i.stack.imgur.com/0i2aW.png" rel="nofollow noreferrer"&gt;&lt;img src="https://i.stack.imgur.com/0i2aW.png" alt="enter image description here"&gt;&lt;/a&gt;&lt;/p&gt;
&lt;p&gt;We can now use 'GetOrCreateAppConfiguration' anywhere, where we need to read or modify our app settings, such as a microflow.&lt;/p&gt;
&lt;p&gt;&lt;a href="https://i.stack.imgur.com/mSy8O.png" rel="nofollow noreferrer"&gt;&lt;img src="https://i.stack.imgur.com/mSy8O.png" alt="enter image description here"&gt;&lt;/a&gt;&lt;/p&gt;
&lt;p&gt;Using'GetOrCreateAppConfiguration' we could also create and settings page, where admins can modify the AppConfiguration attributes using a DataView with a Microflow retrieve.&lt;/p&gt;
&lt;p&gt;&lt;a href="https://i.stack.imgur.com/IFiMe.png" rel="nofollow noreferrer"&gt;&lt;img src="https://i.stack.imgur.com/IFiMe.png" alt="enter image description here"&gt;&lt;/a&gt;&lt;/p&gt;
&lt;p&gt;We can also use a dataview to display the AppName "global variable" to users and use conditional visibility based on feature flag "global variables" to show or hide UI elements. Note that this means that we should probably not to give regular users write access to 'AppConfiguration' attributes.&lt;/p&gt;
&lt;p&gt;&lt;a href="https://i.stack.imgur.com/20DND.png" rel="nofollow noreferrer"&gt;&lt;img src="https://i.stack.imgur.com/20DND.png" alt="enter image description here"&gt;&lt;/a&gt;&lt;/p&gt;
</t>
  </si>
  <si>
    <t xml:space="preserve">&lt;p&gt;The component doesn't work as expected when a new record is created. But if the record detail page is refreshed, it works fine. &lt;/p&gt;
&lt;p&gt;If the object search layout page is refreshed and then new record is created, component works fine. Component works fine for existing records. &lt;/p&gt;
</t>
  </si>
  <si>
    <t xml:space="preserve">&lt;p&gt;I have created deployment for App Maker app, with URL &lt;a href="https://script.google.com/a/macros/domain.com/s/AKfy..adwq/exec" rel="nofollow noreferrer"&gt;https://script.google.com/a/macros/domain.com/s/AKfy..adwq/exec&lt;/a&gt;&lt;/p&gt;
&lt;p&gt;Also enabled "Allow app to be embedded in any site within an iFrame" option in App Settings.&lt;/p&gt;
&lt;p&gt;But when inserting on website:&lt;/p&gt;
&lt;pre&gt;&lt;code&gt;&amp;lt;iframe src="https://script.google.com/a/macros/domain.com/s/AKfy..adwq/exec"&amp;gt;&amp;lt;/iframe&amp;gt;
&lt;/code&gt;&lt;/pre&gt;
&lt;p&gt;app is not displayed, and this error is in dev console:&lt;/p&gt;
&lt;blockquote&gt;
  &lt;p&gt;Refused to display '&lt;a href="https://www.google.com/a/domain.com/ServiceLogin?passive=1209600&amp;amp;continue=https://script.google.com/a/macros/domain.com/s/AKfy../exec&amp;amp;followup=https://script.google.com/a/macros/domain.com/s/AKfy../exec" rel="nofollow noreferrer"&gt;https://www.google.com/a/domain.com/ServiceLogin?passive=1209600&amp;amp;continue=https://script.google.com/a/macros/domain.com/s/AKfy../exec&amp;amp;followup=https://script.google.com/a/macros/domain.com/s/AKfy../exec&lt;/a&gt;' in a frame because it set 'X-Frame-Options' to 'deny'.&lt;/p&gt;
&lt;/blockquote&gt;
&lt;p&gt;As I understand, because App Maker app requires GSuite account to run, it redirects to different Google's authorization URL first. &lt;/p&gt;
&lt;p&gt;But I don't understand why this URL is banned from displaying in &lt;code&gt;iframe&lt;/code&gt;, and how it is possible to embed App Maker app then? &lt;/p&gt;
</t>
  </si>
  <si>
    <t xml:space="preserve">&lt;p&gt;Using one of the existing PowerApps templates, I created the Meeting Capture app. When I launch the app, select a meeting, then enter the meeting I get the following error message citing "Office365Users.UserProfilev2 failed" (see screenshot). 
&lt;a href="https://i.stack.imgur.com/DBBTB.png" rel="nofollow noreferrer"&gt;&lt;img src="https://i.stack.imgur.com/DBBTB.png" alt="enter image description here"&gt;&lt;/a&gt;&lt;/p&gt;
&lt;p&gt;When I return to PowerApps, this error is identified as coming from HomePopUpsScreen. 
&lt;a href="https://i.stack.imgur.com/RqhV8.png" rel="nofollow noreferrer"&gt;&lt;img src="https://i.stack.imgur.com/RqhV8.png" alt="enter image description here"&gt;&lt;/a&gt;&lt;/p&gt;
&lt;p&gt;Below is the O365 plan my company provides.
&lt;a href="https://i.stack.imgur.com/zy9XQ.png" rel="nofollow noreferrer"&gt;&lt;img src="https://i.stack.imgur.com/zy9XQ.png" alt="enter image description here"&gt;&lt;/a&gt;&lt;/p&gt;
&lt;p&gt;Since this was created from a MS PowerApps template, I wasn't expecting to incur issues. Any recommendations?&lt;/p&gt;
</t>
  </si>
  <si>
    <t xml:space="preserve">&lt;p&gt;My preview works and has data but my deployment has no data. I'm using the (Recommended) DEFAULT CLOUD SQL database configuration.&lt;/p&gt;
&lt;p&gt;Note: This is only day 4 with Google App Maker. Finding answers to App Maker-specific questions has been super difficult, but I'm making rapid progress on my application, so overall tired but good. :{)&lt;/p&gt;
</t>
  </si>
  <si>
    <t xml:space="preserve">&lt;p&gt;As written in the &lt;a href="https://developers.google.com/appmaker/getting-started/faq#missing_data" rel="noreferrer"&gt;documentation&lt;/a&gt;,    &lt;/p&gt;
&lt;blockquote&gt;
  &lt;p&gt;App Maker deployments can use the same Cloud SQL instance, but have separate databases on that instance. Data that you had in preview mode is not available in other deployments. You have a few options for how to handle this situation:&lt;/p&gt;
  &lt;blockquote&gt;
    &lt;p&gt;To use data from the preview instance in your published deployment, export the deployment data from the preview instance and import it to the published deployment.&lt;/p&gt;
    &lt;p&gt;To share a database across all deployments (preview and published), use a custom Cloud SQL database.&lt;/p&gt;
  &lt;/blockquote&gt;
&lt;/blockquote&gt;
</t>
  </si>
  <si>
    <t xml:space="preserve">&lt;p&gt;I am attempting to generate a link that takes the user directly to the Google Calendar event selected. &lt;/p&gt;
&lt;p&gt;The link I generate is identical to the link that you arrive at when going through the Calendar interface, however, when the user selects the link it loads a blank white page with the Google Calendar header and Keep/Tasks sidebar. None of the actual content loads and I'm given the &lt;code&gt;Unchecked runtime.lastError: The message port closed before a response was received.&lt;/code&gt; error in console. Here's the below code, but as I said - the links are identical.  &lt;/p&gt;
&lt;pre&gt;&lt;code&gt;var events = [];
  var today = new Date;
  var myEvents = CalendarApp.getDefaultCalendar().getEventsForDay(today);
  var calendarId = CalendarApp.getDefaultCalendar().getId();
  myEvents.forEach(function(event){
    var eventIdSplit = event.getId().split('@');
    var newRecord = app.models.Calendar.newRecord();
    newRecord.Date = event.getStartTime();
    newRecord.Title = event.getTitle();
    newRecord.Description = event.getDescription();
    newRecord.calendarLink = 'https://calendar.google.com/calendar/r/eventedit/' + (Utilities.base64EncodeWebSafe(eventIdSplit[0] + " " + calendarId));
    events.push(newRecord);
  });
&lt;/code&gt;&lt;/pre&gt;
&lt;p&gt;I've searched the error and found that other users suggested to disable all extensions, however, I am not running any. &lt;/p&gt;
</t>
  </si>
  <si>
    <t xml:space="preserve">&lt;p&gt;How to get value from combobox assign to button and navigate to next screen in Powerapps?&lt;/p&gt;
&lt;p&gt;My Next Button OnSelect Code:&lt;/p&gt;
&lt;pre&gt;&lt;code&gt;Navigate(UpdateTypeComboBox.Selected.Update_Type,ScreenTransition.None)
&lt;/code&gt;&lt;/pre&gt;
&lt;p&gt;It show me the functions navigate have an invalid argument.&lt;/p&gt;
&lt;p&gt;Please advice thanks&lt;/p&gt;
&lt;p&gt;&lt;a href="https://i.stack.imgur.com/7K5Rz.png" rel="nofollow noreferrer"&gt;&lt;img src="https://i.stack.imgur.com/7K5Rz.png" alt="enter image description here"&gt;&lt;/a&gt;&lt;/p&gt;
</t>
  </si>
  <si>
    <t xml:space="preserve">&lt;p&gt;How to replace request date with a variable extract from Combobox value&lt;/p&gt;
&lt;p&gt;Below code working&lt;/p&gt;
&lt;pre&gt;&lt;code&gt;Sort(Filter(Install,(IsBlank('REQUEST DATE') &amp;amp;&amp;amp; ProjectComboBox.Selected.Title in Project )),'Room No.',Ascending)
&lt;/code&gt;&lt;/pre&gt;
&lt;p&gt;But once replace with a variable as below not fetching the right data as it treats variable as a value&lt;/p&gt;
&lt;pre&gt;&lt;code&gt;Sort(Filter(Install,(IsBlank("'" &amp;amp; UpdateTypeComboBox.SelectedItem.UpdateType &amp;amp; "'") &amp;amp;&amp;amp; ProjectComboBox.Selected.Title in Project )),'Room No.',Ascending)
&lt;/code&gt;&lt;/pre&gt;
</t>
  </si>
  <si>
    <t xml:space="preserve">&lt;p&gt;My Patch statement is not updating the list item, it is also not giving an error so I am not sure where it is failing.  &lt;/p&gt;
&lt;pre&gt;&lt;code&gt;Patch('Check-In Data', First(Filter('Check-In Data', Title = "nNumberLookUp.text" &amp;amp;&amp;amp; 'Active Issue'=true)), {Feedback:Feedback_DataCard4.DataField, Sat:DataCardValue37.Value, 'Active Issue':false}); Navigate(Completed, ScreenTransition.Fade)
&lt;/code&gt;&lt;/pre&gt;
&lt;p&gt;it should be looking up the n-number then adding those two fields and turning active issue to false.  But nothing happens&lt;/p&gt;
</t>
  </si>
  <si>
    <t xml:space="preserve">&lt;p&gt;I have a collection called as TestCol and it looks like this.&lt;/p&gt;
&lt;pre&gt;&lt;code&gt;Name      ID      ToAddress                                                        Status
Abc       123     asdfg@example.com,koldef@example.com,asdasdasfda@example.com        A        
Def       234     nanasd@example.com,asdfg@example.com                                A
Ghi       567     asdfg@example.com,asdasfg1@example.com                              B
&lt;/code&gt;&lt;/pre&gt;
&lt;p&gt;I want to create a new collection Called as UniqueToAddress like,&lt;/p&gt;
&lt;pre&gt;&lt;code&gt;ToAddressUnique
asdfg@example.com
koldef@example.com
asdasdasfda@example.com
nanasd@example.com
asdasfg1@example.com
&lt;/code&gt;&lt;/pre&gt;
&lt;p&gt;It can be seen that &lt;strong&gt;asdfg@example.com&lt;/strong&gt; is repeated multiple times inside the ToAddress and it appears only once on ToAddressUnique Collection. How Can I do this ?&lt;/p&gt;
</t>
  </si>
  <si>
    <t xml:space="preserve">&lt;p&gt;You can use the following expression to generate a list of unique addresses:&lt;/p&gt;
&lt;pre&gt;&lt;code&gt;Distinct(
    Split(
        Concat(TestCol, ToAddress, ","),
        ","),
    Result)
&lt;/code&gt;&lt;/pre&gt;
&lt;p&gt;The idea is to first concatenate (using the &lt;a href="https://docs.microsoft.com/powerapps/maker/canvas-apps/functions/function-concatenate" rel="nofollow noreferrer"&gt;Concat function&lt;/a&gt;) all the addresses in your collection, then split the long string (using the &lt;a href="https://docs.microsoft.com/powerapps/maker/canvas-apps/functions/function-split" rel="nofollow noreferrer"&gt;Split function&lt;/a&gt;), and finally take only the unique addresses using the &lt;a href="https://docs.microsoft.com/powerapps/maker/canvas-apps/functions/function-distinct" rel="nofollow noreferrer"&gt;Distinct function&lt;/a&gt; to get what you need.&lt;/p&gt;
&lt;p&gt;Hope this helps!&lt;/p&gt;
</t>
  </si>
  <si>
    <t xml:space="preserve">&lt;p&gt;I have a collection called as requiredCol_1 like this,&lt;/p&gt;
&lt;pre&gt;&lt;code&gt;Name      ID      ToAddress                                                        Status
Abc       123     asdfg@example.com,koldef@example.com,asdasdasfda@example.com        A        
Def       234     nanasd@example.com,asdfg@example.com                                A
Ghi       567     asdfg@example.com,asdasfg1@example.com                              A
&lt;/code&gt;&lt;/pre&gt;
&lt;p&gt;I am looking to send email to each user and each User should receive only one email.&lt;/p&gt;
&lt;p&gt;To do that, &lt;/p&gt;
&lt;p&gt;I have created a requiredCol_2 as another collection&lt;/p&gt;
&lt;pre&gt;&lt;code&gt;ToAddressUnique
asdfg@example.com
koldef@example.com
asdasdasfda@example.com
nanasd@example.com
asdasfg1@example.com
&lt;/code&gt;&lt;/pre&gt;
&lt;p&gt;I have managed to narrow down my problem now.
Every User in the above collection (requiredCol_2) will receive an email. And my email body will have the Name and ID concatenated and in the form of list relevant to that particular email id.&lt;/p&gt;
&lt;p&gt;For Example an email sent to asdfg@example.com will look like,&lt;/p&gt;
&lt;blockquote&gt;
  &lt;p&gt;To :- asdfg@example.com &lt;/p&gt;
  &lt;p&gt;Subject :- Please Look at&lt;/p&gt;
  &lt;p&gt;Body:-&lt;/p&gt;
  &lt;p&gt;Click here and Kindly review the following,&lt;/p&gt;
  &lt;ol&gt;
  &lt;li&gt;Abc - 123&lt;/li&gt;
  &lt;li&gt;Def - 234&lt;/li&gt;
  &lt;li&gt;Ghi - 567&lt;/li&gt;
  &lt;/ol&gt;
&lt;/blockquote&gt;
&lt;p&gt;Click here is a hyperlink, which I want to pass through a variable.&lt;/p&gt;
&lt;p&gt;I am new to Powerapps and flow. So, please explain me the steps to get this to work. &lt;/p&gt;
&lt;p&gt;This is my code so far in Power Apps - Send Email Button&lt;/p&gt;
&lt;pre&gt;&lt;code&gt;//Create a Collection
ClearCollect(requiredCol_1 , Filter(Table1, User().Email in Lower(Allocators), Status = "A"));
//Unique List of Approvers
ClearCollect(requiredCol_2,Distinct(
    Split(
        Concat(requiredCol_1 , ToAddress, ","),
        ","),
    Result));
//Hyperlink Creation
set (hyperlinkvalue, "WWW.Google.Com");
&lt;/code&gt;&lt;/pre&gt;
</t>
  </si>
  <si>
    <t xml:space="preserve">&lt;p&gt;If you want to send an e-mail, you can use one of the connectors such as Outlook.com or Office 365 (among others). And if you want the e-mail to have hyperlinks, then you will need to send a HTML e-mail, and you'll need to compose the HTML in your app. For example, the code snippet below shows using the Outlook.com connector to send the e-mail (the syntax for Office 365 will be either the same or really similar):&lt;/p&gt;
&lt;pre&gt;&lt;code&gt;//Create a Collection
ClearCollect(
    requiredCol_1,
    Filter(Table1, User().Email in Lower(Allocators), Status = "A"));
//Unique List of Approvers
ClearCollect(requiredCol_2,Distinct(
    Split(
        Concat(requiredCol_1 , ToAddress, ","),
        ","),
    Result));
//Hyperlink Creation
Set(hyperlinkvalue, "WWW.Google.Com");
// E-mail body
Set(
    mailBody,
    Concatenate(
        "&amp;lt;p&amp;gt;&amp;lt;a href=""",
        hyperlinkvalue,
        """&amp;gt;Click here&amp;lt;/a&amp;gt; and kindly review the following:&amp;lt;/p&amp;gt;",
        "&amp;lt;ol&amp;gt;",
        Concat(
            requiredCol_1,
            "&amp;lt;li&amp;gt;" &amp;amp; Name &amp;amp; " - " &amp;amp; ID &amp;amp; "&amp;lt;/li&amp;gt;"
        ),
        "&amp;lt;/ol&amp;gt;"
        ));
// Send e-mail
'Outlook.com'.SendEmail(
    Concat(requiredCol_2, Result, ","),
    "Please look at",
    mailBody,
    {
        IsHtml: true
    })
&lt;/code&gt;&lt;/pre&gt;
&lt;p&gt;If you want, to send in the e-mail only the items which had that e-mail, then you'll need to filter the original table when creating each individual e-mail, like in the example below:&lt;/p&gt;
&lt;pre&gt;&lt;code&gt;Set(hyperlinkValue, "www.google.com");
ClearCollect(
    distinctUsers,
    Distinct(Split(Concat(requiredCol_1, ToAddress, ","), ","), Result));
ClearCollect(
    distinctUsersWithEmail,
    AddColumns(
        distinctUsers,
        "mailBodyForUser",
        Concatenate(
            "&amp;lt;p&amp;gt;&amp;lt;a href=""",
            hyperlinkValue,
            """&amp;gt;Click here&amp;lt;/a&amp;gt; and kindly review the following:&amp;lt;/p&amp;gt;",
            "&amp;lt;ol&amp;gt;",
            Concat(
                Filter(requiredCol_1, Result in ToAddress),
                "&amp;lt;li&amp;gt;" &amp;amp; Name &amp;amp; " - " &amp;amp; ID &amp;amp; "&amp;lt;/li&amp;gt;"
            ),
            "&amp;lt;/ol&amp;gt;"
        )));
ForAll(
    distinctUsersWithEmail,
    'Outlook.com'.SendEmail(
        Result,
        "Please look at",
        mailBodyForUser,
        {
            IsHtml: true
        }))
&lt;/code&gt;&lt;/pre&gt;
</t>
  </si>
  <si>
    <t xml:space="preserve">&lt;p&gt;I need to implement filtering for options in SuggestBox.
I've tried to do it differently, but none of my attempts worked out:&lt;/p&gt;
&lt;ol&gt;
&lt;li&gt;Using Model instead of Options/Value; Create calculated SQL model and pass the parameter for filtration:&lt;/li&gt;
&lt;/ol&gt;
&lt;p&gt;Didn't work: suggestBox doesn't have event or anything to call before it loads data, so if you pass param for query before typing anything in -- it is not seen an you get an error:&lt;/p&gt;
&lt;pre&gt;&lt;code&gt;Please provide value for the parameter ":Param" used in the query Error: Please provide value for the parameter ":Param" used in the query
Query for record suggest oracle: (Error) : Please provide value for the parameter ":Param" used in the query
Query for record suggest oracle failed.
&lt;/code&gt;&lt;/pre&gt;
&lt;ol start="2"&gt;
&lt;li&gt;Using Options/Value&lt;/li&gt;
&lt;/ol&gt;
&lt;p&gt;It seems that it is impossible to have different properties of an object when passing it to Suggest Box. For example, I want user to see an user-friendly field &lt;em&gt;Name&lt;/em&gt; and work with a record or at least record's Id, but if you specify &lt;em&gt;Name&lt;/em&gt; as an option and &lt;em&gt;Id&lt;/em&gt; as a value, Name is being written to a SuggestBox and now we get a validation error because &lt;em&gt;Name&lt;/em&gt; is a string and &lt;em&gt;Id&lt;/em&gt; is a Number.&lt;/p&gt;
&lt;p&gt;Please help me realize where I'm wrong or show me a workaround for this.
Thanks!&lt;/p&gt;
</t>
  </si>
  <si>
    <t xml:space="preserve">&lt;p&gt;I have page reference method in apex controller.
I need to close the current tab .&lt;/p&gt;
&lt;p&gt;Here is my code:&lt;/p&gt;
&lt;pre&gt;&lt;code&gt;public PageReference savePostSurveyAnswer(){
        String sitePathPrefix = Site.getPathPrefix();
        System.debug('savePostSurveyAnswer method start');
        CaseIdentifierIdValue = ApexPages.currentPage().getParameters().get('caseIdentifierId');
        ShGl_PostChatSurvey__c postChatSurvey = new ShGl_PostChatSurvey__c(); 
        postChatSurvey.ShGl_SurveyQuestion1__c = question1;
        postChatSurvey.ShGl_SurveyQuestion2__c = question2;
        postChatSurvey.ShGl_SurveyQuestion3__c = question3;
        postChatSurvey.ShGl_SurveyQuestion4__c = question4;
        postChatSurvey.ShGl_SurveyResponse1__c = questionAnsSelected1; 
        postChatSurvey.ShGl_SurveyResponse2__c = questionAnsSelected2; 
        postChatSurvey.ShGl_SurveyResponse3__c = questionAnsSelected3; 
        postChatSurvey.ShGl_SurveyResponse4__c = questionAnsSelected4; 
        postChatSurvey.ShGl_Market_Code__c = 'US'; //new data base model
        postChatSurvey.ShGl_UniqueCaseIdentifier__c = CaseIdentifierIdValue;
        //postChatSurvey.ShGl_LiveTranscriptChatKey__c = chatKeyIdValue;
        //postChatSurvey.ShGl_CaseOfSurvey__c = (Id) LiveChatTranscriptObj.CaseId;   //through trigger     
        Database.SaveResult postSaveResult = Database.insert(postChatSurvey);
        return new PageReference('javascript:window.close();');
}
&lt;/code&gt;&lt;/pre&gt;
&lt;p&gt;Thanks in advance.&lt;/p&gt;
&lt;p&gt;Any help would be appreciated.&lt;/p&gt;
</t>
  </si>
  <si>
    <t xml:space="preserve">&lt;p&gt;After I call app.saveRecords() in server script I have to hit refresh (in Chrome) on any client pages to reload the datasource. Is there something I can call after saveRecords() on the server to force the clients to refresh?&lt;/p&gt;
</t>
  </si>
  <si>
    <t xml:space="preserve">&lt;p&gt;I've angular cli project that hosted in azure and I'm making API call to different domain (in Zoho creator) so I have CROS issue I tried some solutions with no luck.&lt;/p&gt;
&lt;p&gt;The error is &lt;/p&gt;
&lt;blockquote&gt;
  &lt;p&gt;"Access to XMLHttpRequest at "&lt;a href="https://xxxxxxx" rel="nofollow noreferrer"&gt;https://xxxxxxx&lt;/a&gt;" from origin "&lt;a href="https://yyyyyy" rel="nofollow noreferrer"&gt;https://yyyyyy&lt;/a&gt;" has been blocked by CORS policy: No 'Access-Control-Allow-Origin' header is present on the requested resource."&lt;/p&gt;
&lt;/blockquote&gt;
&lt;p&gt;I use expressJS as my backend and I tried to add headers but it seems not working I don't know what I'm  missing &lt;/p&gt;
&lt;p&gt;APP.JS&lt;/p&gt;
&lt;pre&gt;&lt;code&gt;const express = require('express');
const bodyParser = require('body-parser');
const path = require('path');
const http = require('http');
const app = express();  
// parse application/x-www-form-urlencoded
var cors = require('cors');
// Use this after the variable declaration
app.use(cors({origin: '*'}));
// parse application/json
app.use(bodyParser.json());
app.use(bodyParser.urlencoded({ extended: false }));
// Angular DIST output folder
app.use(express.static(path.join(__dirname, 'dist')));
// Send all other requests to the Angular app
app.get('*', (req, res) =&amp;gt; {
    res.sendFile(path.join(__dirname, 'dist/index.html'));
});
// Add headers
app.use(function (req, res, next) {
    // Website you wish to allow to connect
    res.setHeader('Access-Control-Allow-Origin', 'http://localhost:5000');
    // Request methods you wish to allow
    res.setHeader('Access-Control-Allow-Methods', 'GET, POST, OPTIONS, PUT, PATCH, DELETE');
    // Request headers you wish to allow
    res.setHeader('Access-Control-Allow-Headers', 'X-Requested-With,content-type');
    // Set to true if you need the website to include cookies in the requests sent
    // to the API (e.g. in case you use sessions)
    res.setHeader('Access-Control-Allow-Credentials', true);
    // Pass to next layer of middleware
    next();
});
//Set Port
const port = process.env.PORT || '5000';
app.set('port', port);
const server = http.createServer(app);
server.listen(port, () =&amp;gt; console.log(`Running on localhost:${port}`));
&lt;/code&gt;&lt;/pre&gt;
</t>
  </si>
  <si>
    <t xml:space="preserve">&lt;p&gt;Is there any way to restrict licensed users from creating environments? According to Microsoft documentation, Users who have PowerApps or Flow P2 license, they can come to Admin Center and create environments for them. Also users with the Community plan license can also create one Developer environment. But we want users to create canvas and model driven apps and other facilities which comes with PowerApps license, but we do not want them to create environments. If the users create environments, there will be so many environments which are very difficult to administer (the issue which we are facing right now). We want specific environments created by admins to be used by all the users. Is there any way to restrict normal users from creating environments?&lt;/p&gt;
</t>
  </si>
  <si>
    <t xml:space="preserve">&lt;p&gt;&lt;a href="https://docs.microsoft.com/en-us/power-platform/admin/control-environment-creation" rel="nofollow noreferrer"&gt;Documentation&lt;/a&gt; says: &lt;/p&gt;
&lt;ol&gt;
&lt;li&gt;&lt;p&gt;Sign in to the Power Platform Admin center at &lt;a href="https://admin.powerplatform.microsoft.com" rel="nofollow noreferrer"&gt;https://admin.powerplatform.microsoft.com&lt;/a&gt;&lt;/p&gt;&lt;/li&gt;
&lt;li&gt;&lt;p&gt;Select the Gear icon in the upper-right corner of the Power Platform site&lt;/p&gt;&lt;/li&gt;
&lt;li&gt;Select “Only specific admins”&lt;/li&gt;
&lt;/ol&gt;
&lt;p&gt;&lt;a href="https://i.stack.imgur.com/cVn9z.jpg" rel="nofollow noreferrer"&gt;&lt;img src="https://i.stack.imgur.com/cVn9z.jpg" alt="enter image description here"&gt;&lt;/a&gt;&lt;/p&gt;
&lt;p&gt;The following admins will be able to create new environments in the Power Platform Admin center: &lt;/p&gt;
&lt;ul&gt;
&lt;li&gt;Office 365 Global admins  &lt;/li&gt;
&lt;li&gt;Service admins  &lt;/li&gt;
&lt;li&gt;Delegated admins&lt;/li&gt;
&lt;/ul&gt;
</t>
  </si>
  <si>
    <t xml:space="preserve">&lt;p&gt;When using the method &lt;code&gt;Office365.CalendarGetTables().value&lt;/code&gt; I don't get all the calendars available in my outlook. I have connected my outlook to a couple of SPO calendars but when I try to retrieve them in power-app it shows only my old calendars in the drop-down .&lt;/p&gt;
</t>
  </si>
  <si>
    <t xml:space="preserve">&lt;ol&gt;
&lt;li&gt;Check your datasource, it must be Office 365 Outlook.&lt;/li&gt;
&lt;li&gt;set the Items property to: Office365.CalendarGetTables().value.&lt;/li&gt;
&lt;li&gt;And then you can insert a Gallery to show the list of calendar items.&lt;/li&gt;
&lt;li&gt;For this set the Items property to: Office365.CalendarGetItems(calendarDropDown.Selected.Name).value&lt;/li&gt;
&lt;/ol&gt;
</t>
  </si>
  <si>
    <t xml:space="preserve">&lt;p&gt;Im experiencing a problem where when I try to open a page of an item in a table, the first record in the datasource always opens first.&lt;/p&gt;
&lt;p&gt;My setup. I have a page "SystemDetails" with the datasource "System", and a table within that page with a datasource "System:ActionItems"(relation). Within the table, I have a button for each row that when clicked, shows a different page "ActionItemDetails".&lt;/p&gt;
&lt;p&gt;An example of my problem. Say I click in the table an item with Id #3,  the page "ActionItemDetails" shows, but the page's content loads with item Id #1. However, when I go back to the "System" page and retry clicking Id #3, it loads Id #3 as desired, and I am able to successfully open every item successfully.&lt;/p&gt;
&lt;p&gt;This problem seems to only happen on the first time I open the "ActionItemDetails".&lt;/p&gt;
&lt;p&gt;I thought this should be able to work natively in appmaker without any code, but I have also tried using selectKey and selectIndex in the edit button with no luck.&lt;/p&gt;
&lt;p&gt;A side note. I also noticed that when the page "ActionItemDetails" first loads, there is only one item loaded when I console.dir(), so think the problem seems to be coming from not loading all the items.&lt;/p&gt;
</t>
  </si>
  <si>
    <t xml:space="preserve">&lt;p&gt;Question is: How to show data in data-view in such a way that if entity is updated some how dataview is updated too.&lt;/p&gt;
&lt;p&gt;This is my Entity named &lt;code&gt;latestReading&lt;/code&gt;.&lt;/p&gt;
&lt;p&gt;&lt;a href="https://i.stack.imgur.com/b7pcf.png" rel="nofollow noreferrer"&gt;&lt;img src="https://i.stack.imgur.com/b7pcf.png" alt="enter image description here"&gt;&lt;/a&gt;&lt;/p&gt;
&lt;p&gt;Here is my page &lt;code&gt;LatestReading&lt;/code&gt; that show latest readings. It contains three data views.&lt;/p&gt;
&lt;p&gt;&lt;a href="https://i.stack.imgur.com/XyG8F.png" rel="nofollow noreferrer"&gt;&lt;img src="https://i.stack.imgur.com/XyG8F.png" alt="enter image description here"&gt;&lt;/a&gt;&lt;/p&gt;
&lt;p&gt;This page is not called directly, as it expect a object &lt;code&gt;latestReading&lt;/code&gt;. Hence a micro-flow named &lt;code&gt;showLatestReadingPage&lt;/code&gt; is executed that fetches or create &lt;code&gt;latestReading&lt;/code&gt; object  and pass it to the &lt;code&gt;LatestReading&lt;/code&gt; page and display &lt;code&gt;LatestReading&lt;/code&gt; page. &lt;/p&gt;
&lt;p&gt;Here is that micro-flow.&lt;/p&gt;
&lt;p&gt;&lt;a href="https://i.stack.imgur.com/9ruzR.png" rel="nofollow noreferrer"&gt;&lt;img src="https://i.stack.imgur.com/9ruzR.png" alt="enter image description here"&gt;&lt;/a&gt;&lt;/p&gt;
&lt;p&gt;&lt;code&gt;getOrCreateLatestReading&lt;/code&gt; is a micro-flow that returns us the a &lt;code&gt;latestReading&lt;/code&gt; object if it is available or create a new &lt;code&gt;latestReading&lt;/code&gt; object if it is not already created and then returns it.&lt;/p&gt;
&lt;p&gt;Here is that micro-flow.&lt;/p&gt;
&lt;p&gt;&lt;a href="https://i.stack.imgur.com/NP2mc.png" rel="nofollow noreferrer"&gt;&lt;img src="https://i.stack.imgur.com/NP2mc.png" alt="enter image description here"&gt;&lt;/a&gt;&lt;/p&gt;
&lt;p&gt;These are the properties of first of the three data-views in &lt;code&gt;LatestReading&lt;/code&gt; page as shown diagram of &lt;code&gt;LatestReading&lt;/code&gt; Page above. Name of this DataView is &lt;code&gt;TemperatureDataView&lt;/code&gt;&lt;/p&gt;
&lt;p&gt;&lt;a href="https://i.stack.imgur.com/f3j2R.png" rel="nofollow noreferrer"&gt;&lt;img src="https://i.stack.imgur.com/f3j2R.png" alt="enter image description here"&gt;&lt;/a&gt;&lt;/p&gt;
&lt;p&gt;These are the properties of text widget that is inside &lt;code&gt;TemperatureDataView&lt;/code&gt; data-view. Its name is &lt;code&gt;temperatureText&lt;/code&gt;. It shows value of temperature in the &lt;code&gt;TemperatureDataView&lt;/code&gt;.&lt;/p&gt;
&lt;p&gt;&lt;a href="https://i.stack.imgur.com/pXy1V.png" rel="nofollow noreferrer"&gt;&lt;img src="https://i.stack.imgur.com/pXy1V.png" alt="enter image description here"&gt;&lt;/a&gt;&lt;/p&gt;
&lt;p&gt;And this is the caption of &lt;code&gt;temperatureText&lt;/code&gt; text widget:&lt;/p&gt;
&lt;p&gt;&lt;a href="https://i.stack.imgur.com/cH9Ix.png" rel="nofollow noreferrer"&gt;&lt;img src="https://i.stack.imgur.com/cH9Ix.png" alt="enter image description here"&gt;&lt;/a&gt;&lt;/p&gt;
&lt;p&gt;Problem is when another micro-flow updates the value of &lt;code&gt;latestReading&lt;/code&gt; the text widget is not updated. I need to reload it by clicking on navigation link of &lt;code&gt;LatestReading&lt;/code&gt; page again. &lt;/p&gt;
&lt;p&gt;I need my text widget in data view to keep updating value of &lt;code&gt;latestReading&lt;/code&gt; when it is updated my some other micro-flow&lt;/p&gt;
</t>
  </si>
  <si>
    <t xml:space="preserve">&lt;p&gt;The issue is that ‘refresh in client’ only works if the microflow is executed in the same context as the page (client) that the user is seeing. For example if there is a button on the page that triggers a microflow that refreshes the client then it will update the widget. However, if the microflow is triggered by the system (e.g. a scheduled event) then these changes are in a different context. Also if another user triggers a refresh it will only refresh that user’s client. Also if one user is logged in through multiple browsers (i.e. has multiple sessions, it also means that for each session there is a different user context.&lt;/p&gt;
&lt;p&gt;The simplest solution in this case would likely be to use an appstore  widget that periodically triggers a refresh on the object displayed in the dataview, such as this one: &lt;a href="https://appstore.home.mendix.com/link/app/27/" rel="nofollow noreferrer"&gt;https://appstore.home.mendix.com/link/app/27/&lt;/a&gt; . Simply create nanoflow or microflow with a change action that changes no attributes but refreshes the object.&lt;/p&gt;
</t>
  </si>
  <si>
    <t xml:space="preserve">&lt;p&gt;I want to add &lt;a href="https://appstore.home.mendix.com/link/app/27/" rel="nofollow noreferrer"&gt;Microflow Timer&lt;/a&gt; in my application. When I click download button, widget was not placed in my app project structure as it was mentioned in the official documentation &lt;a href="https://docs.mendix.com/developerportal/app-store/app-store-content#widget" rel="nofollow noreferrer"&gt;here&lt;/a&gt;.. Then I paced that in widget folder of my app by following &lt;a href="https://forum.mendixcloud.com/link/questions/88764" rel="nofollow noreferrer"&gt;this&lt;/a&gt; answer.&lt;/p&gt;
&lt;p&gt;This is where I have placed my widget.&lt;/p&gt;
&lt;p&gt;&lt;a href="https://i.stack.imgur.com/lI14k.png" rel="nofollow noreferrer"&gt;&lt;img src="https://i.stack.imgur.com/lI14k.png" alt="enter image description here"&gt;&lt;/a&gt; &lt;/p&gt;
&lt;p&gt;still its not listed under add-on widget when click add widget in data-view. Here are screen-shots.&lt;/p&gt;
&lt;p&gt;&lt;a href="https://i.stack.imgur.com/mMZ3V.png" rel="nofollow noreferrer"&gt;&lt;img src="https://i.stack.imgur.com/mMZ3V.png" alt="enter image description here"&gt;&lt;/a&gt;&lt;/p&gt;
&lt;p&gt;Select widget Screenshot.&lt;/p&gt;
&lt;p&gt;&lt;a href="https://i.stack.imgur.com/AkM8W.png" rel="nofollow noreferrer"&gt;&lt;img src="https://i.stack.imgur.com/AkM8W.png" alt="enter image description here"&gt;&lt;/a&gt;&lt;/p&gt;
</t>
  </si>
  <si>
    <t xml:space="preserve">&lt;p&gt;You need to press &lt;kbd&gt;F4&lt;/kbd&gt; in the Modeler - it will synchronize the widgets folder with your Model. Then, the widget will be available.&lt;/p&gt;
&lt;blockquote&gt;
  &lt;p&gt;&lt;strong&gt;Synchronize Project Directory&lt;/strong&gt;&lt;/p&gt;
  &lt;p&gt;If necessary, this action creates folders inside the project directory (resources, widgets, theme, etc.). It also reads the widget packages that are currently inside the widgets folders. For example, if you add widgets to the widgets folder, you needs to synchronize the project directory for them to appear in the form toolbox.&lt;/p&gt;
&lt;/blockquote&gt;
&lt;p&gt;(&lt;a href="https://docs.mendix.com/refguide/desktop-modeler-overview" rel="nofollow noreferrer"&gt;source&lt;/a&gt;)&lt;/p&gt;
</t>
  </si>
  <si>
    <t xml:space="preserve">&lt;p&gt;In order to stay backward compatible with existing customers, I have to be able to handle attachments and files in Salesforce.  Basically, some customers need to be able to insert files and other attachments in our community portal.  I would like to do this without the user knowing which one they are inserting.  &lt;/p&gt;
&lt;p&gt;The easiest way I can think to do this is to leave the current apex pages used for uploading alone.  Then in the Attachment trigger, I can determine (using a flag somewhere) if the attachment should stay or be changed to a File (ContentVersion).  If it should be a file; then I would create all the necessary records, ContentVersion, ContentDocumentLink and then skip the attachment.  However, I can't figure out a way to stop the attachments from inserting without generating an error to the user.  I really don't want to allow the attachment to insert and then delete it in the after insert trigger because it seems like a lot of overhead.  &lt;/p&gt;
&lt;p&gt;Using the trigger means I can handle multiple places where community users can add files.  Otherwise, I will have to make changes in all locations to determine which type of record to insert.  &lt;/p&gt;
&lt;p&gt;So after all of that, the main question is whether or not there is a way to stop inserting records without the addError method?&lt;/p&gt;
</t>
  </si>
  <si>
    <t xml:space="preserve">&lt;p&gt;No, there isn't. You cannot stop the insertion of the &lt;code&gt;Attachment&lt;/code&gt; record in a trigger without forcing a rollback of the entire transaction or savepoint region, which would include any DML your Attachment trigger performed to add Content objects instead.&lt;/p&gt;
&lt;p&gt;The only options that I see are to perform the deletion as you describe, or to change the front-end code to directly insert Content records instead of Attachments.&lt;/p&gt;
</t>
  </si>
  <si>
    <t xml:space="preserve">&lt;p&gt;I am trying to test a section of code which runs only when the condition is [ If(!test.isRunning()) ] is true,&lt;/p&gt;
&lt;p&gt;If I make a certain test case to run this code it won't go inside this if block as the condition is false. &lt;/p&gt;
&lt;pre&gt;&lt;code&gt;if(!Test.isRunningTest()){
//do something
}
&lt;/code&gt;&lt;/pre&gt;
</t>
  </si>
  <si>
    <t xml:space="preserve">&lt;p&gt;Can't seem to find an answer to this issue easily.&lt;/p&gt;
&lt;p&gt;Default values for fields you want to display and allow editing, the best place seems to be to set the &lt;code&gt;widget.value&lt;/code&gt; in a draft record, so default date &lt;code&gt;widget.value = new Date()&lt;/code&gt;, etc.&lt;/p&gt;
&lt;p&gt;How do I reference a dropdown where the dropdown is a related table lookup, e.g., a list of Properties where the bindings are &lt;code&gt;@datasources.Property.Items&lt;/code&gt; for the options and &lt;code&gt;@datasource.Item.Property&lt;/code&gt; for the value.&lt;/p&gt;
&lt;p&gt;If I do &lt;code&gt;console.log(widget.value);&lt;/code&gt; I get &lt;code&gt;object Object&lt;/code&gt;, which is what I would expect because it is of type object. But how can I set (and retrieve) its value?&lt;/p&gt;
&lt;p&gt;Help appreciated.&lt;/p&gt;
</t>
  </si>
  <si>
    <t xml:space="preserve">&lt;p&gt;After reading documentations and resources on salesforce website i cant find any good documentation on how to integrate salesforce with another system.&lt;/p&gt;
&lt;p&gt;here is my question, how to integrate salesforce systems with external systems ?
for example , i have a system and based on a partnership between my organization and another organization, the other organization that use salesforce will sync data of salesforce with my external system. so how could i achieve that ?&lt;/p&gt;
&lt;p&gt;my intent of this question is to find links to good resources that can explain or document how this could be approached. i don't expect any code here.&lt;/p&gt;
&lt;p&gt;thanks.&lt;/p&gt;
</t>
  </si>
  <si>
    <t xml:space="preserve">&lt;p&gt;I'm facing an issue with Salesforce compact layout. One of our users reported that in some WorkOrder records, he can see the Alert component with "Alert details" field (see picture 1). In other records, the "Alert details" field is showed normally (picture 2). I tested same records and I can see the field in both (As I have Read-Only profile).
How can I make this field be displayed for all users in his profile and also in all records of WorkOrder?&lt;/p&gt;
&lt;p&gt;Thank you!&lt;/p&gt;
&lt;p&gt;Picture 1 (User can see "alert details" field):
&lt;img src="https://i.ibb.co/C8WGvP5/alert-ok.png" alt="User can see &amp;quot;alert details&amp;quot; field"&gt;&lt;/p&gt;
&lt;p&gt;Picture 2 (User cannot see "alert details" field):
&lt;img src="https://i.ibb.co/PN4B5vP/alert-fail.png" alt="User cannot see &amp;quot;alert details&amp;quot; field"&gt;&lt;/p&gt;
</t>
  </si>
  <si>
    <t xml:space="preserve">&lt;p&gt;I found the answer some days ago.
I had to edit the layout from WorkOrder and find the Alerts related list, so I edited the related list (there is a little icon on upper-left border) to include the field that was missing. It fixed the issue.&lt;/p&gt;
</t>
  </si>
  <si>
    <t xml:space="preserve">&lt;p&gt;I currently have a front-desk reception Powerapp that will send a Skype message to whichever employee the visitor selects from the gallery.  The employee is notified via Skype message of the visitors arrival.  I used SkypeForBusiness.SendMessage connector/function to pull this off.  Is there an equivalent in Teams, I have only seen options for posting into public channels.  At this time, do you know if the Powerapps Teams connector can send individual private messages to someone via Chat vs Channel?  Is this at all possible?&lt;/p&gt;
</t>
  </si>
  <si>
    <t xml:space="preserve">&lt;p&gt;Currently, This is not possible with Connector or Graph APIs. You can use &lt;a href="https://docs.microsoft.com/en-us/graph/api/channel-post-chatmessage?view=graph-rest-beta" rel="nofollow noreferrer"&gt;Graph APIs&lt;/a&gt; or &lt;a href="https://docs.microsoft.com/en-us/microsoftteams/platform/concepts/connectors/connectors" rel="nofollow noreferrer"&gt;Connector&lt;/a&gt; send messages only to channels.&lt;/p&gt;
&lt;p&gt;&lt;a href="https://docs.microsoft.com/en-us/microsoftteams/platform/concepts/bots/bot-conversations/bots-conv-proactive" rel="nofollow noreferrer"&gt;Bots&lt;/a&gt; can send personal as well as channel messages. &lt;/p&gt;
</t>
  </si>
  <si>
    <t xml:space="preserve">&lt;p&gt;I am trying to edit a custom object I created in salesforce but I can't get it to work.  I am using this tutorial bellow and trying it using postman.  What am I doing wrong?  &lt;/p&gt;
&lt;p&gt;Login Tutorial:  &lt;a href="https://rajvakati.com/2017/10/19/salesforce-username-and-password-oauth-flow/" rel="nofollow noreferrer"&gt;https://rajvakati.com/2017/10/19/salesforce-username-and-password-oauth-flow/&lt;/a&gt;&lt;/p&gt;
&lt;p&gt;Edit Tutorial:  &lt;a href="https://developer.salesforce.com/docs/atlas.en-us.api_rest.meta/api_rest/dome_update_fields.htm" rel="nofollow noreferrer"&gt;https://developer.salesforce.com/docs/atlas.en-us.api_rest.meta/api_rest/dome_update_fields.htm&lt;/a&gt;&lt;/p&gt;
&lt;p&gt;My login request in Postman:&lt;/p&gt;
&lt;p&gt;&lt;a href="https://i.stack.imgur.com/4pzLq.png" rel="nofollow noreferrer"&gt;&lt;img src="https://i.stack.imgur.com/4pzLq.png" alt="Postman Login Request"&gt;&lt;/a&gt;&lt;/p&gt;
&lt;p&gt;However when I try using the login token I got in my Edit request, I would get 401:&lt;/p&gt;
&lt;p&gt;&lt;a href="https://i.stack.imgur.com/0OdSU.png" rel="nofollow noreferrer"&gt;&lt;img src="https://i.stack.imgur.com/0OdSU.png" alt="enter image description here"&gt;&lt;/a&gt;&lt;/p&gt;
&lt;p&gt;One potential issue is the edit request URL, the tutorial was not very clear on what to use and my instance is on lighting.  Is my URL correct?&lt;/p&gt;
&lt;pre&gt;&lt;code&gt;https://&amp;lt;&amp;lt;INSTANCE_NAME&amp;gt;&amp;gt;.lightning.force.com/services/data/v36.0/sobjects/jorders__c/&amp;lt;&amp;lt;OBJECT_ID&amp;gt;&amp;gt;
&lt;/code&gt;&lt;/pre&gt;
</t>
  </si>
  <si>
    <t xml:space="preserve">&lt;p&gt;Figure it out using it the answer here, turn out the URL have to be whatever is returned from the login step.  &lt;/p&gt;
&lt;p&gt;&lt;a href="https://developer.salesforce.com/forums/?id=906F000000099x7IAA" rel="nofollow noreferrer"&gt;https://developer.salesforce.com/forums/?id=906F000000099x7IAA&lt;/a&gt;&lt;/p&gt;
</t>
  </si>
  <si>
    <t xml:space="preserve">&lt;p&gt;I am using the "Find" list operation in Mendix and I would like to know what it returns if the item is not found. I could not find anything on the mendix site.&lt;/p&gt;
</t>
  </si>
  <si>
    <t xml:space="preserve">&lt;p&gt;It seems a very simple requirement.
How do I put an image on a button? The delete button has a style variant of Icon, but I can't see where the image is coming from.
Can anyone point me in the right direction? &lt;/p&gt;
&lt;p&gt;&lt;a href="https://stackoverflow.com/questions/44903106/where-can-i-find-all-app-maker-button-icons"&gt;Where can I find all App Maker button icons?&lt;/a&gt; ...partially solved my problem, in that I can see the text value is used to find the icon resource, but I would like to know how to put my own image on a button.&lt;/p&gt;
</t>
  </si>
  <si>
    <t xml:space="preserve">&lt;p&gt;I'm creating an app that will search my CloudSQL DB and return some rows, i need some filters using DropDown lists based on existing values in DB.&lt;/p&gt;
&lt;p&gt;For Example: I have projects A, B and C, my dropdown should show A,B,C as options to take.&lt;/p&gt;
&lt;p&gt;My table is working fine, i've tried to set up some codes in the dropdown options item but nothing worked&lt;/p&gt;
&lt;p&gt;I've tried to this in the options of the dropdown:&lt;/p&gt;
&lt;p&gt;&lt;code&gt;@datasources.Atividades.model.fields.Cod_Projeto.possibleValues&lt;/code&gt; &lt;/p&gt;
&lt;p&gt;and with other paths appmaker don't let me confirm and continue.&lt;/p&gt;
&lt;p&gt;I just need the dropdown to show the values dynamically, from time to time new projects will be created and the dropdown should show them as well&lt;/p&gt;
</t>
  </si>
  <si>
    <t xml:space="preserve">&lt;p&gt;I have a DataGrid with a search function and I want the Website to automatically refresh the grid with every key pressed in the search bar, just like modern search engines do. Imagine it like Pressing enter after every key pressed, or clicking on the search button. The only way in Mendix to do it is with external Widgets (cant use them cause most of them Arent able to search for related entities in the database) or to use JavaScript Snippets which I did. &lt;/p&gt;
&lt;p&gt;I have already tried to programmatically press enter, but I cannot get the Code to do it. &lt;/p&gt;
&lt;p&gt;Another Option I tried was to programmatically click the search bar after every key pressed which in itself works but the Problem here was that the selection jumps out of the Input field and onto the search button and there is also no Input in the search field. &lt;/p&gt;
&lt;h3&gt;Option 1: Programmatically clicking the search button&lt;/h3&gt;
&lt;p&gt;defining the Elements on the page&lt;/p&gt;
&lt;pre&gt;&lt;code&gt;var dataGrid = document.querySelector('.mx-datagrid.mx-name-grid1');
var itemsSelect = dataGrid.querySelector('.mx-grid-search-input.mx-name-searchField1')
var searchButton = dataGrid.querySelector('.mx-grid-search-controls &amp;gt; button.mx-grid-search-button')
&lt;/code&gt;&lt;/pre&gt;
&lt;p&gt;defining the function&lt;/p&gt;
&lt;pre&gt;&lt;code&gt;function clickSearchButton() {
searchButton.click();
};
&lt;/code&gt;&lt;/pre&gt;
&lt;p&gt;triggering the function with every Change in the input&lt;/p&gt;
&lt;pre&gt;&lt;code&gt;itemsSelect.onkeypress = function(){clickSearchButton};
&lt;/code&gt;&lt;/pre&gt;
&lt;h3&gt;Option 2: Programmatically hit Enter&lt;/h3&gt;
&lt;p&gt;It's Pretty much the same Code as above and the way I would prefer it.&lt;/p&gt;
&lt;p&gt;I tried many variants but the only Thing I want in the end should look like this:&lt;/p&gt;
&lt;pre&gt;&lt;code&gt;itemsSelect.onkeypress = function(){*call a function to programmatically press enter*};
&lt;/code&gt;&lt;/pre&gt;
&lt;p&gt;I tried Solutions from all over the place for example:&lt;/p&gt;
&lt;p&gt;&lt;a href="https://stackoverflow.com/questions/596481/is-it-possible-to-simulate-key-press-events-programmatically"&gt;Is it possible to simulate key press events programmatically?&lt;/a&gt;&lt;/p&gt;
&lt;p&gt;&lt;a href="https://stackoverflow.com/questions/45054246/i-want-to-press-enter-key-by-programmatically-when-user-do-some-stuff-in-js"&gt;I want to press enter key by programmatically when user do some stuff in js&lt;/a&gt;&lt;/p&gt;
&lt;p&gt;and many other Sources, some claiming that it is not possible because of security reasons. Is that true?&lt;/p&gt;
&lt;p&gt;I'm trying to solve this since around two weeks, with Pretty much no success. Have I overlooked anything, is there another solution that I did not think of? Not using Mendix is not an Option. It's for a huge Project at work.&lt;/p&gt;
</t>
  </si>
  <si>
    <t xml:space="preserve">&lt;p&gt;I'm having trouble with the Expand/Not Expand. I've followed instruction from the Vendor rating template but still no luck.. &lt;/p&gt;
&lt;p&gt;What I've done : &lt;/p&gt;
&lt;ol&gt;
&lt;li&gt;Creating an paper accordion widget (not cards) named &lt;em&gt;AccordionServeur&lt;/em&gt; with this script in the &lt;code&gt;onDataLoad&lt;/code&gt; event :&lt;/li&gt;
&lt;/ol&gt;
&lt;pre&gt;&lt;code&gt;var rows = widget.children._values;
    for (var i = 0; i &amp;lt; rows.length; i++) {
      if (rows[i].name.indexOf('AccordionServeurDetail') === -1) {
        rows[i].styles = ['collapsed'];
      }
    }
&lt;/code&gt;&lt;/pre&gt;
&lt;ol start="2"&gt;
&lt;li&gt;&lt;p&gt;Add some TextBox inside the AccordionServeurRow to edit the value (i.e. with datalink)&lt;/p&gt;&lt;/li&gt;
&lt;li&gt;&lt;p&gt;Create the client script with this code:&lt;/p&gt;&lt;/li&gt;
&lt;/ol&gt;
&lt;pre&gt;&lt;code&gt;function expandAccordionRow(accordionRow) {
  var rows = accordionRow.parent.children._values;
  var i = 0;
  for (i = 0; i &amp;lt; rows.length; i++) {
    if (rows[i].name.indexOf('AccordionServeurDetail') &amp;gt; -1) {
      rows[i].styles = [];
    } else {
      rows[i].styles = ['collapsed'];
    }
  }
  accordionRow.styles = [];
}
&lt;/code&gt;&lt;/pre&gt;
&lt;pre&gt;&lt;code&gt;function collapseAccordionRow(accordionRow) {
  var rows = accordionRow.parent.children._values;
  var i = 0;
  accordionRow.styles = ['collapsed'];
  for (i = 0; i &amp;lt; rows.length; i++) {
    if (rows[i].name.indexOf('AccordionServeurDetail') &amp;gt; -1) {
      rows[i].styles = ['hidden'];
    }
  }
}
&lt;/code&gt;&lt;/pre&gt;
&lt;pre&gt;&lt;code&gt;function toggleAccordionRow(accordionRow) {
  if (accordionRow.styles.length === 0) {
     collapseAccordionRow(accordionRow);
  } else {
        expandAccordionRow(accordionRow);
  }
}
&lt;/code&gt;&lt;/pre&gt;
&lt;ol start="4"&gt;
&lt;li&gt;On the AccordionServeurRow, in the &lt;code&gt;onAttach&lt;/code&gt; event, I run this script:&lt;/li&gt;
&lt;/ol&gt;
&lt;pre&gt;&lt;code&gt;widget.styles = ['collapsed'];
widget.getElement().removeAttribute('aria-expanded');
&lt;/code&gt;&lt;/pre&gt;
&lt;ol start="5"&gt;
&lt;li&gt;On the AccordionServeurRow, in the &lt;code&gt;onClick&lt;/code&gt; event, I run this script:&lt;/li&gt;
&lt;/ol&gt;
&lt;pre&gt;&lt;code&gt;toggleAccordionRow(widget);
&lt;/code&gt;&lt;/pre&gt;
&lt;ol start="6"&gt;
&lt;li&gt;On the AccordionServeurDetail, in the &lt;code&gt;dataLoad&lt;/code&gt; event, I run this script:&lt;/li&gt;
&lt;/ol&gt;
&lt;pre&gt;&lt;code&gt;widget.styles=['hidden'];
&lt;/code&gt;&lt;/pre&gt;
&lt;p&gt;But it still expands the detail when I open the page where the widget is.
Plus the detail stays expanded event if I click on the AccordionRow.
Did I miss something in the script or is it because of parameters in the widget ? &lt;/p&gt;
&lt;p&gt;EDIT : 
I've found the solution. You have to create style "collapsed" and to call them in the script above : &lt;/p&gt;
&lt;pre&gt;&lt;code&gt;.app-AccordionRow.collapsed {
  margin: 0 !important;
}
.app-AccordionDetail.hidden {
  display: none !important;
}
&lt;/code&gt;&lt;/pre&gt;
</t>
  </si>
  <si>
    <t xml:space="preserve">&lt;p&gt;i'm messing about with powerapps and attempting to build a small app that adds all my exams into my school's calendar as this will save me (and other students) a lot of time.&lt;/p&gt;
&lt;p&gt;at the moment i have already managed to get all the required data from the excel file that contains all exams with their dates, locations, times and much more irrelevant information. this data is filtered to only include the exams for me (and technically all other engineering students if i make it public)
i've stored it in a collection and have no problem using it.
the issue is the outlook/office365 connector as im not shure it can do what i'd like it to do.&lt;/p&gt;
&lt;pre&gt;&lt;code&gt;Office365.V2CalendarPostItem(calendarSelect.Selected,test.'Cursus Omschrijving',test.'Datum/Date',test.Tot,{Location:test.'Locatie/Location'})
&lt;/code&gt;&lt;/pre&gt;
&lt;p&gt;i've put up a calendar selection dropdown thing as i dont know if all calendars are the same so you can select the right one. &lt;code&gt;calendarSelect.Selected&lt;/code&gt; is the result of that. &lt;code&gt;test.'Cursus Omschrijving'&lt;/code&gt; is the title of the exam. the date bit is, well, the date and start time, and &lt;code&gt;test.Tot&lt;/code&gt;is the end time.
the issue is &lt;code&gt;Office365.V2CalendarPostItem&lt;/code&gt; expects only one item at a time really. powerapps complains about it recieving a table and not text or a date as it expects.
Do any of you know if it is even possible to do what im planning(bulk adding calendar items) or is powerapps not capable of this and i need to switch over to a more powerful language?&lt;/p&gt;
</t>
  </si>
  <si>
    <t xml:space="preserve">&lt;p&gt;Haven't coded in years, and started to play around with Google App Maker last week. As the title suggests, I have a couple questions.&lt;/p&gt;
&lt;ol&gt;
&lt;li&gt;&lt;p&gt;I'm trying to figure out if there's a way to dynamically change the color of a button upon click. Right now I have the button changing enabled status to false on click, and using CSS style to change the color of disabled buttons to gray. Is there a way to do this without disabling the button?&lt;/p&gt;&lt;/li&gt;
&lt;li&gt;&lt;p&gt;Is there a way to wrap text in a button? Right now I am overlaying a Label on the button with the correctly styled font, but would ideally like to have that text be from the Button, as the space the label takes up is not clickable.&lt;/p&gt;&lt;/li&gt;
&lt;/ol&gt;
&lt;p&gt;Thanks in advance for any help!&lt;/p&gt;
</t>
  </si>
  <si>
    <t xml:space="preserve">&lt;p&gt;I am having two &lt;code&gt;dropdown menus/ comboboxes&lt;/code&gt; on which I can select content which I wanna display on a &lt;code&gt;DataTable&lt;/code&gt;. &lt;/p&gt;
&lt;p&gt;The first &lt;code&gt;Combobox&lt;/code&gt; is called &lt;code&gt;ColorCombo&lt;/code&gt; and gets the following options to choose from  an Excel sheet: &lt;/p&gt;
&lt;pre&gt;&lt;code&gt;Sort(Distinct(Table3;Color);Result;Ascending).
&lt;/code&gt;&lt;/pre&gt;
&lt;p&gt;The second Combobox is called SizeCombo and gets the following options to choose from an Excel sheet:&lt;/p&gt;
&lt;pre&gt;&lt;code&gt;Sort(Distinct(Table3;Size);Result;Ascending).
&lt;/code&gt;&lt;/pre&gt;
&lt;p&gt;My question is how can I make my code work so that each time I choose a color on one dropdown, then all options from the other dropdown are being deselected? I tried to reset the comboboxes when the onChange even triggered as follows:&lt;/p&gt;
&lt;pre&gt;&lt;code&gt;ColorCombo onChange : Reset(SizeCombo)
SizeCombo onChange : Reset(ColorCombo)
&lt;/code&gt;&lt;/pre&gt;
&lt;p&gt;But this doesn't work because every time I choose a new option then all options from the drop-downs are being unselected because the events trigger each other. Could someone help understand how I could go about it?&lt;/p&gt;
</t>
  </si>
  <si>
    <t xml:space="preserve">&lt;p&gt;I'm new to Salesforce and try to create a new custom object on Salesforce called "AccountAudit".
I create fields for this object and want to display some of them on the page.
However, the default page displays only "AccountAudit Name".&lt;/p&gt;
&lt;p&gt;Is there anywhere that I can set to display more fields like "Last modified by", etc?&lt;/p&gt;
&lt;p&gt;Any help will be highly appreciated.&lt;/p&gt;
&lt;p&gt;&lt;a href="https://i.stack.imgur.com/vDA75.jpg" rel="nofollow noreferrer"&gt;&lt;img src="https://i.stack.imgur.com/vDA75.jpg" alt="enter image description here"&gt;&lt;/a&gt;&lt;/p&gt;
</t>
  </si>
  <si>
    <t xml:space="preserve">&lt;p&gt;I am trying to create a mobile app using Powerapps, to do this I wanted to have a screen where in the background I have my company logo intermittent (blinking). Is it possible? If so how should I do it?&lt;/p&gt;
</t>
  </si>
  <si>
    <t xml:space="preserve">&lt;p&gt;I have a callback which waits for a response from a HTTP request which responds with the word "done" if a file is successfully uploaded and I make one request via a callback to upload a single file every time.&lt;/p&gt;
&lt;p&gt;What I want is that when the response is "done", I want to upload multiple files with a &lt;code&gt;do-while&lt;/code&gt; loop and I'm thinking of doing that with promises, but I don't really know how. &lt;/p&gt;
&lt;p&gt;My code now:&lt;/p&gt;
&lt;pre&gt;&lt;code&gt;var self = this;
let i = 0;
let fileInput = fileCmp.get("v.files");
do {
  // my callback
  self.uploadHelper(component, event, fileInput[i]);
  console.log("Uploading: " + fileInput[i].name);
  i++;
} while (i &amp;lt; fileInput.length);
&lt;/code&gt;&lt;/pre&gt;
&lt;p&gt;The thing I want is to go to &lt;code&gt;i=1&lt;/code&gt; (second file) only when I get the response "done" or something else from the call.&lt;/p&gt;
&lt;p&gt;My callback which is called from &lt;code&gt;uploadHelper()&lt;/code&gt;: &lt;/p&gt;
&lt;pre&gt;&lt;code&gt;uploadChunk: function (component, file, fileContents, fromPos, toPos, attachId) {
  console.log('uploadChunk');
  var action = component.get("c.saveTheChunk");
  var chunk = fileContents.substring(fromPos, toPos);
  action.setParams({
    parentId: component.get("v.recordId"),
    fileName: file.name,
    base64Data: encodeURIComponent(chunk),
    contentType: file.type,
    fileId: attachId
  });
  action.setCallback(this, function (a) {
    console.log('uploadChunk: Callback');
    attachId = a.getReturnValue();
    fromPos = toPos;
    toPos = Math.min(fileContents.length, fromPos + this.CHUNK_SIZE);
    if (fromPos &amp;lt; toPos) {
      this.uploadChunk(component, file, fileContents, fromPos, toPos, attachId);
    } else {
      console.log('uploadChunk: done');
      component.set("v.showLoadingSpinner", false);
      // enabling the next button
      component.set("v.nextDisabled", false);
      component.set("v.uploadDisabled", true);
      component.set("v.clearDisabled", true);
      component.set("v.showToast", true);
      component.set("v.toastType", 'success');
      component.set("v.fileName", '');
      component.set("v.toastMessage", 'Upload Successful.');
    }
  });
  $A.getCallback(function () {
    $A.enqueueAction(action);
  })();
}
&lt;/code&gt;&lt;/pre&gt;
</t>
  </si>
  <si>
    <t xml:space="preserve">&lt;p&gt;I am trying to do a left join between two tables in powerapps for returning an id, a family name and a last name but I want to do like a "where" in SQL.&lt;/p&gt;
&lt;p&gt;I am trying some things but it doesn't give me all the records I have to return. &lt;/p&gt;
&lt;p&gt;I tried this:&lt;/p&gt;
&lt;pre&gt;&lt;code&gt;ClearCollect(
    collecIdSalaries;
    Filter(
        team ;
        id_affaire = inpRechercheChantier.Text
    )
);;
ClearCollect(
    collecIdSalaries;
    Filter(
        collecIdSalaries;
        (DateDiff(
            Today();
            dt_fin
        ) &amp;gt; 0) Or (DateDiff(
            dt_debut;
            Today()
        ) &amp;gt; 0)
    )
);;
ClearCollect(
    collecNomSalaries;
    Filter(
        salarie;
       id_salarie in collecIdSalaries.id_intervenant
    )
);;
&lt;/code&gt;&lt;/pre&gt;
&lt;p&gt;It's supposed to return 15 id but it returns me 4 and a message about the "in", problem with delegation&lt;/p&gt;
</t>
  </si>
  <si>
    <t xml:space="preserve">&lt;p&gt;I'm trying to generate a query that will display the date difference between a date stored in a column and the current date, but i'm getting the error:&lt;/p&gt;
&lt;blockquote&gt;
  &lt;p&gt;"Cannot call method "getTime" of null."&lt;/p&gt;
&lt;/blockquote&gt;
&lt;p&gt;What function can I use to calculate this date difference in Google Cloud SQL?&lt;/p&gt;
&lt;p&gt;Current code:&lt;/p&gt;
&lt;pre&gt;&lt;code&gt;SELECT date, DATEDIFF(date, CURRENT_DATE()) AS daysLeft
FROM table;
&lt;/code&gt;&lt;/pre&gt;
</t>
  </si>
  <si>
    <t xml:space="preserve">&lt;p&gt;I have a dropdown menu, which accesses an Excel sheet called &lt;code&gt;Clothes&lt;/code&gt; and takes in the distinct values from the column &lt;code&gt;Color&lt;/code&gt; and then sorts them in ascending order with the following statement:&lt;/p&gt;
&lt;pre&gt;&lt;code&gt;Sort(Distinct(Clothes,Color),Result,Ascending) 
&lt;/code&gt;&lt;/pre&gt;
&lt;p&gt;My &lt;code&gt;Color&lt;/code&gt; column contains the following values:&lt;/p&gt;
&lt;pre&gt;&lt;code&gt;Green
Blue
Grey
Red
Yellow
Pink
&lt;/code&gt;&lt;/pre&gt;
&lt;p&gt;What I wanna do is filter the colors that contain the color letter g inside them in the dropdown. I would like for instance to only see &lt;code&gt;Green&lt;/code&gt; and &lt;code&gt;Grey&lt;/code&gt; after applying the filter. I tried the following:&lt;/p&gt;
&lt;pre&gt;&lt;code&gt;Sort(Distinct(Filter(Clothes, "g" in Lower(Color))),Result,Ascending) 
&lt;/code&gt;&lt;/pre&gt;
&lt;p&gt;But I get an error saying:&lt;/p&gt;
&lt;pre&gt;&lt;code&gt;The function 'Sort' has some invalid arguments. Invalid number of arguments 
received 1, expected: 2
&lt;/code&gt;&lt;/pre&gt;
&lt;p&gt;Can someone help me understand what I am doing wrong? Thanks in advance for any help you can provide&lt;/p&gt;
</t>
  </si>
  <si>
    <t xml:space="preserve">&lt;p&gt;it looks like your distinct function is lacking a required argument! According to the Distinct reference docs found &lt;a href="https://docs.microsoft.com/en-us/powerapps/maker/canvas-apps/functions/function-distinct" rel="nofollow noreferrer"&gt;here&lt;/a&gt;, the Distinct function takes a Table argument, and a Formula argument. Your Table argument is the result of the Filter being applied, the Formula may be something like the column name you are trying to get distinct values from. In your case, most likely 'Clothes'.&lt;/p&gt;
&lt;pre&gt;&lt;code&gt;Sort(Distinct(Filter(Clothes, "g" in Lower(Color)), &amp;lt;Formula goes here&amp;gt;),Result, Ascending)
&lt;/code&gt;&lt;/pre&gt;
&lt;p&gt;Here is the example on how Distinct works from the documentation mentioned above.&lt;/p&gt;
&lt;p&gt;&lt;strong&gt;Example&lt;/strong&gt;&lt;/p&gt;
&lt;p&gt;If you had an Employees table that contained a Department column, this function would list each unique department name in that column, no matter how many times each name appeared in that column:&lt;/p&gt;
&lt;p&gt;Distinct(Employees, Department)&lt;/p&gt;
</t>
  </si>
  <si>
    <t xml:space="preserve">&lt;p&gt;When my drop-down "filter" has no value selected, my table displays zero records. I need it to select all values.&lt;/p&gt;
&lt;p&gt;The table is tied to Datasource1 containing fields:Name, Status, Team1, and Team2. I have a second Datasource called Teams that contains team names. I setup query builder for Datasource1 to change based on a radio button(status) and a dropdown(teamFilter). &lt;/p&gt;
&lt;p&gt;Datasource1 - Query Builder:&lt;/p&gt;
&lt;pre&gt;&lt;code&gt;status= :status and (team1 = :teamFilter or team2 = :teamFilter)
&lt;/code&gt;&lt;/pre&gt;
&lt;p&gt;Selecting a value in the drop-down properly filters the table. The issue is when no value is selected, or if I select the null option.&lt;/p&gt;
</t>
  </si>
  <si>
    <t xml:space="preserve">&lt;p&gt;I am doing some research for Powerapps integration with Azure DevOps.&lt;/p&gt;
&lt;p&gt;However there is limitated information for it.&lt;/p&gt;
&lt;p&gt;It is possible to integrate powerapps inside a Task for AzureDevops?&lt;/p&gt;
&lt;p&gt;Based on, that we have a .zip file with the Powerapp, and we want to create a Build and Release/Deploy for several environments.&lt;/p&gt;
&lt;p&gt;Thank You.&lt;/p&gt;
</t>
  </si>
  <si>
    <t xml:space="preserve">&lt;p&gt;I have a field in the database for Name and for LastName, then I have a page with a label intended to display the full name.&lt;/p&gt;
&lt;p&gt;I can display the full name in this page by binding the label to:&lt;/p&gt;
&lt;pre&gt;&lt;code&gt;@datasource.item.Name + '.' + @datasource.item.LastName
&lt;/code&gt;&lt;/pre&gt;
&lt;p&gt;(an example output would be: John.Richarson)&lt;/p&gt;
&lt;p&gt;BUT, I instead of displaying the full name and last name, I just want to display the first three characters of the Name and LastName 
(In this example, I would like to display: Joh.Ric)&lt;/p&gt;
&lt;p&gt;How can I define it in the binding properties? Thank you.&lt;/p&gt;
</t>
  </si>
  <si>
    <t xml:space="preserve">&lt;p&gt;Since you can use a lot of the Javascript functions like .join() and .slice(), etc., I would suggest incorporating that into your binding. The only thing to remember is that when using a binding in conjunction with a Javascript function, the binding itself needs to be inside parenthesis. So:&lt;/p&gt;
&lt;pre&gt;&lt;code&gt;(@datasource.item.Name).slice(0,3) + '.' + (@datasource.item.LastName).slice(0,3)
&lt;/code&gt;&lt;/pre&gt;
</t>
  </si>
  <si>
    <t xml:space="preserve">&lt;p&gt;I am trying to create an app using Powerapps where I need to interact with beacons ( their brand is Minew).
I want to start with something basic, like get a notification when the beacon is detected. Is it possible? If so, how?&lt;/p&gt;
</t>
  </si>
  <si>
    <t xml:space="preserve">&lt;p&gt;I have a custom button which is to query and possibly update an Administration App in Quickbase, which the current user doesn't require access to.&lt;/p&gt;
&lt;p&gt;I have JS code which is executed on a button click by the user to check the admin app, etc...&lt;/p&gt;
&lt;p&gt;my API call to check the app has the appropriate apptoken and usertoken. However, the browser still has the current user's session cached, so the API call errors out with an access denied error message.&lt;/p&gt;
&lt;p&gt;I'm looking for either a way to make a hidden incognito window, to then execute this code, or a way to problematically force the usertoken to supersede the current user access/permissions.&lt;/p&gt;
&lt;p&gt;I've seen where chrome extensions can use chrome.windows.create... but I have no experience with extensions, and Ideally, I don't want to have to have an extension for just this functionality, and have to possibly install it on every user's PC for this to work...&lt;/p&gt;
&lt;p&gt;Here is a snippet of my current code... This code does work if someone has permissions to the Administration App... but this code is residing in a different application:&lt;/p&gt;
&lt;pre&gt;&lt;code&gt;    PreProcURL = "https://&amp;lt;domain&amp;gt;.quickbase.com/db/&amp;lt;dbid&amp;gt;?a=API_DoQuery&amp;amp;apptoken=&amp;lt;&amp;gt;&amp;amp;usertoken=&amp;lt;&amp;gt;&amp;amp;query={'3'.EX.'1'}";
    PreProcQuery.open('GET', PreProcURL, 'async');
    PreProcQuery.send();
    PreProcQuery.onload = function(){
        console.log(PreProcQuery.responseXML);
        RunBit = (PreProcQuery.responseXML.documentElement.getElementsByTagName("runbit"))[0].innerHTML;
        SupportData = (PreProcQuery.responseXML.documentElement.getElementsByTagName("supportdata"))[0].innerHTML;
    if(RunBit != "1"){
        $.get("https://&amp;lt;domain&amp;gt;.quickbase.com/db/&amp;lt;dbid&amp;gt;?a=API_EditRecord&amp;amp;rid=1&amp;amp;_fid_6=1&amp;amp;_fid_7="+rid+"&amp;amp;apptoken=&amp;lt;&amp;gt;&amp;amp;usertoken=&amp;lt;&amp;gt;");
    }else{
        if(SupportData == rid){
            alert("This PreProc File is already in progress... please wait.");
        }else{
            alert("Another PreProc is already in progress... please wait.");
        }
    }        
    };
&lt;/code&gt;&lt;/pre&gt;
&lt;p&gt;Thanks in advance for any assistance on this.&lt;/p&gt;
</t>
  </si>
  <si>
    <t xml:space="preserve">&lt;p&gt;API calls executed in JavaScript that is hosted within quickbase.com (button, pages, etc.) will run as that logged in user that triggered the script. The usertoken gets ignored. &lt;/p&gt;
&lt;p&gt;The most common way to accomplish what you are after is to write the API_DoQuery code on a server side location and then trigger it from your JS code.&lt;/p&gt;
</t>
  </si>
  <si>
    <t xml:space="preserve">&lt;p&gt;I am using PowerApps to create a small app which contains two &lt;code&gt;comboboxes&lt;/code&gt;, which filter information that are being displayed on a &lt;code&gt;data table&lt;/code&gt; and come from an excel sheet called &lt;code&gt;Table&lt;/code&gt;. More specifically, my first combobox is called &lt;code&gt;ColorCombo&lt;/code&gt; and displays distinct values, which come from the column &lt;code&gt;Color&lt;/code&gt; of the sheet &lt;code&gt;Table&lt;/code&gt; and the second combobox is called &lt;code&gt;SizeCombo&lt;/code&gt; and displays distinct values that are contained on the column &lt;code&gt;Size&lt;/code&gt; of the &lt;code&gt;Table&lt;/code&gt;&lt;/p&gt;
&lt;p&gt;My goal is to filter the information of the one combobox depending on the selection of the other combobox. &lt;/p&gt;
&lt;p&gt;For instance, I have the colors : &lt;code&gt;[Red, Blue,Green]&lt;/code&gt; listed on the &lt;code&gt;ColorCombo&lt;/code&gt; and the sizes: &lt;code&gt;[32,34,36]&lt;/code&gt; listed on the &lt;code&gt;SizeCombo&lt;/code&gt;. If the red color is only available on size 32 then when I select the red option on the colorcombo I want to only see the number 32 on the &lt;code&gt;SizeCombo&lt;/code&gt; and if the size 32 is available on green and blue color then when I select it on the &lt;code&gt;SizeCombo&lt;/code&gt; I want to only see the options green and blue on the &lt;code&gt;ColorCombo&lt;/code&gt;. The code I have so far is: &lt;/p&gt;
&lt;pre&gt;&lt;code&gt;Sort(Distinct(Filter(Table, If(CountRows(ColorCombo.SelectedItems) = 0,true, 
Size in SizeCombo.SelectedItems)),Color),Result,Ascending)
&lt;/code&gt;&lt;/pre&gt;
&lt;p&gt;which works ok for the colorcombo. When I add the same statement for the SizeCombo as well though, I get an circular reference error. This is the statement I input:&lt;/p&gt;
&lt;pre&gt;&lt;code&gt;Sort(Distinct(Filter(Table, If(CountRows(SizeCombo.SelectedItems) = 0,true, 
Color in ColorCombo.SelectedItems)),Size),Result,Ascending)
&lt;/code&gt;&lt;/pre&gt;
&lt;p&gt;I understand that this is happening because the selection of the comboboxes are depending on each other recursively, so this happens to prevent an infinite loop, but how could I solve this? I appreciate any help you can provide, since I have been trying to find a solution to it since a long time.&lt;/p&gt;
</t>
  </si>
  <si>
    <t xml:space="preserve">&lt;p&gt;I'm working in AppMaker to create a new employee/user provisioning workflow. I'm at the point where I am creating a new G Suite user, and I have a very weird problem with spaces in my JSON. It's leading to an error: GoogleJsonResponseException: API call to directory.users.insert failed with error: &lt;/p&gt;
&lt;blockquote&gt;
  &lt;p&gt;Invalid Input at provisionUser (AdminDirectory:5)&lt;/p&gt;
&lt;/blockquote&gt;
&lt;p&gt;I've been troubleshooting this for a while, and it seems that somewhere between AppMaker and the AdminDirectory call, some extra spaces and hard returns are inserted into my user data. Below I'm going to show:&lt;/p&gt;
&lt;ol&gt;
&lt;li&gt;The client-side code for gathering user information&lt;/li&gt;
&lt;li&gt;The server-side user creation script&lt;/li&gt;
&lt;li&gt;The console output of the user JSON&lt;/li&gt;
&lt;li&gt;The output of the user JSON that comes to my email for troubleshooting&lt;/li&gt;
&lt;li&gt;The emailed output as seen in Notepad++&lt;/li&gt;
&lt;/ol&gt;
&lt;p&gt;&lt;em&gt;Client-Side Code&lt;/em&gt;&lt;/p&gt;
&lt;pre&gt;&lt;code&gt;...a bunch of data gathering from a form, then...
  var user = {
    primaryEmail: email,
    name: {
      givenName: firstName,
      familyName: lastName
    },
    addresses: [{
      type: 'work',
      formatted: address
    }],
    organizations: [{
      title: title,
      department: department,
      fullTimeEquivalent: ftpt
    }],
    phones: [{
      type: 'work',
      value: phone
    }],
    locations: [{
      buildingId: building,
      type: 'desk',
      area: 'desk'
    }],
    password: 'xxxxxxxx',
    changePasswordAtNextLogin: true,
    orgUnitPath: orgUnit,
    relations: [{
      type: 'manager',
      value: supervisor
    }],
    customSchemas: {
      sclsnj: {
        startDate: effective,
        mls: mls,
        location: location
      }
    }
  };
  google.script.run.provisionUser(user, grouparray);
&lt;/code&gt;&lt;/pre&gt;
&lt;p&gt;&lt;em&gt;Server-Side Code&lt;/em&gt;&lt;/p&gt;
&lt;pre&gt;&lt;code&gt;function provisionUser(user, grouparray) {
  user = JSON.stringify(user);
  MailApp.sendEmail('lhoffman@xxxxxxxx.org', 'New Google User', user); 
  console.log(user);
  user = AdminDirectory.Users.insert(user);
  for (var g = 0; g &amp;lt; grouparray.length; g++) {
    var groupEmail = grouparray[g] + '@xxxxxxxx.org';
    var member = {
      email: user,
      role: 'MEMBER'
    };
    Logger.log(groupEmail);
    AdminDirectory.Members.insert(member, groupEmail);
  }  
}
&lt;/code&gt;&lt;/pre&gt;
&lt;p&gt;&lt;em&gt;Console Output&lt;/em&gt;&lt;/p&gt;
&lt;pre&gt;&lt;code&gt;{"primaryEmail":"jsmith@xxxxxxxx.org","name":{"givenName":"John","familyName":"Smith"},"addresses":[{"type":"work","formatted":"Bound Brook branch\n402 E High Street, Bound Brook, NJ 08805"}],"organizations":[{"title":"Library Technician","department":"Adult Services","fullTimeEquivalent":100000}],"phones":[{"type":"work","value":"908-458-8410"}],"locations":[{"buildingId":"BBROOK","type":"desk","area":"desk"}],"password":"xxxxxxxx","changePasswordAtNextLogin":true,"orgUnitPath":"/Branches/Bound Brook branch","relations":[{"type":"manager","value":"msmith@xxxxxxxx.org"}],"customSchemas":{"sclsnj":{"startDate":"2019-05-20T04:00:00.000Z","mls":false,"location":"Bound Brook branch"}}}
&lt;/code&gt;&lt;/pre&gt;
&lt;p&gt;&lt;em&gt;Email Output&lt;/em&gt;&lt;/p&gt;
&lt;pre&gt;&lt;code&gt;{"primaryEmail":"jsmith@xxxxxxxx.org","name":{"givenName":"John","familyName":"Smith"},"addresses":[{"type":"work","formatted":"Bound  
Brook  
branch\n402 E High Street, Bound Brook, NJ  
08805"}],"organizations":[{"title":"Library Technician","department":"Adult  
Services","fullTimeEquivalent":100000}],"phones":[{"type":"work","value":"908-458-8410"}],"locations":[{"buildingId":"BBROOK","type":"desk","area":"desk"}],"password":"xxxxxxxx","changePasswordAtNextLogin":true,"orgUnitPath":"/Branches/Bound  
Brook  
branch","relations":[{"type":"manager","value":"msmith@xxxxxxxx.org"}],"customSchemas":{"sclsnj":{"startDate":"2019-05-20T04:00:00.000Z","mls":false,"location":"Bound  
Brook branch"}}}
&lt;/code&gt;&lt;/pre&gt;
&lt;p&gt;&lt;em&gt;Email Output in Notepad++ (with control characters)&lt;/em&gt;&lt;/p&gt;
&lt;p&gt;&lt;img src="https://sclsnj.org/wp-content/uploads/Output-with-Control-Characters.jpg" alt="Output with Control Characters.jpg"&gt;&lt;/p&gt;
&lt;p&gt;NOTE: I realize the JSON is actually represented in the image twice, but you can definitely see the extra space and left feed characters there.&lt;/p&gt;
&lt;p&gt;I've confirmed that I can provision a user with the console output by using the Google API Explorer and copying and pasting it into the request body for the Directory API Users.insert.&lt;/p&gt;
&lt;p&gt;I've also confirmed that the emailed version of the output does &lt;em&gt;not&lt;/em&gt; work using the same method. When I paste that version into the request body in the API Explorer, I get an error alert and it's clear from the color-coding in the body field that it is not correct. Even when I don't email the output to myself, I get the same error behavior, so I'm pretty sure that the act of emailing isn't messing things up.&lt;/p&gt;
&lt;p&gt;Help!!&lt;/p&gt;
</t>
  </si>
  <si>
    <t xml:space="preserve">&lt;p&gt;The invalid input is a result of a specific field not correclty formatted. In your case, I see that you are using custom schemas. There is a specific filed in the custom schema that is not properly formatted, that is &lt;strong&gt;startDate&lt;/strong&gt;. Instead of providing the value of &lt;strong&gt;2019-05-20T04:00:00.000Z&lt;/strong&gt;, just use &lt;strong&gt;2019-05-20&lt;/strong&gt;. &lt;/p&gt;
&lt;p&gt;The reason for that is because the field is expecting a &lt;strong&gt;complete date only&lt;/strong&gt; value instead of a &lt;strong&gt;complete date plus hours and minutes&lt;/strong&gt;. As you can see on the &lt;a href="https://www.w3.org/TR/NOTE-datetime" rel="nofollow noreferrer"&gt;ISO-8601 date format&lt;/a&gt;, the &lt;strong&gt;complete date&lt;/strong&gt; format is &lt;strong&gt;YYYY-MM-DD&lt;/strong&gt;.&lt;/p&gt;
&lt;p&gt;Reference: &lt;a href="https://developers.google.com/admin-sdk/directory/v1/reference/schemas/insert" rel="nofollow noreferrer"&gt;https://developers.google.com/admin-sdk/directory/v1/reference/schemas/insert&lt;/a&gt;&lt;/p&gt;
</t>
  </si>
  <si>
    <t xml:space="preserve">&lt;p&gt;I am trying to add a meta tag to the head of my deployed AppMaker application so it can display in fullscreen on the ios via the homescreen button.&lt;/p&gt;
&lt;p&gt;I searched the settings but could not a way to achieve this.
Any ideas?&lt;/p&gt;
</t>
  </si>
  <si>
    <t xml:space="preserve">&lt;p&gt;I have Suggest Box widget and I need to make suggestions based on several fields. App Maker allows only use 1 field for suggestions, so I need to implement custom "suggest" function. &lt;/p&gt;
&lt;p&gt;I am binding to &lt;code&gt;onInputChange(widget, event)&lt;/code&gt; to get current input, but there is no input data. &lt;/p&gt;
&lt;p&gt;How can I retreive user's input in suggest box widget?&lt;/p&gt;
</t>
  </si>
  <si>
    <t xml:space="preserve">&lt;p&gt;You can access Suggest Box widget input using &lt;code&gt;event.srcElement.value&lt;/code&gt;:&lt;/p&gt;
&lt;pre&gt;&lt;code&gt;function suggestBoxInputChange(widget, event)
{
  console.log(event.srcElement.value);
}
&lt;/code&gt;&lt;/pre&gt;
</t>
  </si>
  <si>
    <t xml:space="preserve">&lt;p&gt;PowerApps: in the "AddMedia-Control": How can I Add/pick more than 1 element ...?
For excample I want to pick some pictures (example 5-6) from the galerie in one step for a documentation.
Is this possible?&lt;/p&gt;
</t>
  </si>
  <si>
    <t xml:space="preserve">&lt;p&gt;my goal is to display a loading curtain when a query to Quick-Base takes too long. &lt;/p&gt;
&lt;p&gt;I have the following code that I thought it was going to work but it somehow does not. Everything works except for the loading curtain because it is never executed when it should be. &lt;/p&gt;
&lt;p&gt;&lt;strong&gt;My code:&lt;/strong&gt;&lt;/p&gt;
&lt;pre&gt;&lt;code&gt;&amp;lt;script&amp;gt;
window.onload = function(){
// .. more code here not related ...
    function selectedValueChanged() {
    $('#curtain').show();   
    var e = document.getElementById("record_id_select");
    var value_selected = e.value;
    var CO_picked_record_id = parseInt(value_selected);
    var query_CO_line_details = "{'"+related_CO_fid+"'.EX.'"+CO_picked_record_id+"'}";
    var records = getRecords(table_CO_line_details_DBID,query_CO_line_details);
    var data_array = createArrayFromRecordsDrilled(records,CO_detail_record_categories);
    var table_div = tableCreate(data_array,'table_container_1',"Please Enter Quantities",headerList);
    $('#table_container_1').replaceWith(table_div);
    $('#curtain').hide();
     }
    }
&amp;lt;/script&amp;gt;
&amp;lt;div id='curtain' style='position:absolute;top:0;left:0;margin:0;background:rgba(255,255,255,.3); display:none; width:100%;height:100%;'&amp;gt;&amp;lt;img id ="loading_text" src="loader.gif"&amp;gt;&amp;lt;/div&amp;gt;
&amp;lt;/body&amp;gt;
&lt;/code&gt;&lt;/pre&gt;
&lt;p&gt;The code works but the curtain is never shown even if the query takes a couple of seconds (as much as 6 seconds). If I comment out the line &lt;strong&gt;&lt;em&gt;"$('#curtain').hide();"&lt;/em&gt;&lt;/strong&gt;  I can see the loading curtain working as expected but only after the query has finished. It is as if the function is not been executed line by line but it waits first to complete the query and then to show the curtain. I'm sure I'm missing something but I don't know what. Thank you.&lt;/p&gt;
</t>
  </si>
  <si>
    <t xml:space="preserve">&lt;p&gt;The solution as @keith suggested was to "transform" the &lt;strong&gt;getRecords&lt;/strong&gt; function from &lt;em&gt;synchronous&lt;/em&gt; to &lt;em&gt;asynchronous&lt;/em&gt;.&lt;/p&gt;
&lt;p&gt;I ended up making the whole function &lt;strong&gt;selectedValueChanged&lt;/strong&gt;() "&lt;em&gt;asynchronous&lt;/em&gt;" by using the &lt;strong&gt;setTimeout&lt;/strong&gt; trick.&lt;/p&gt;
&lt;p&gt;One solution that worked for me was the following:&lt;/p&gt;
&lt;pre&gt;&lt;code&gt; function selectedValueChanged() {
    var e = document.getElementById("record_id_select");
    var value_selected = e.value;
    var CO_picked_record_id = parseInt(value_selected);
    var query_CO_line_details = "{'"+related_CO_fid+"'.EX.'"+CO_picked_record_id+"'}";
    var records = getRecords(table_CO_line_details_DBID,query_CO_line_details);
    var data_array = createArrayFromRecordsDrilled(records,CO_detail_record_categories);
    var table_div = tableCreate(data_array,'table_container_1',"Please Enter Quantities",headerList);
    $('#table_container_1').replaceWith(table_div);
     }
    }
     function loadingSelectedValueChanged(callbackFunct){
         setTimeout(function(){
             callbackFunct()
             $('#curtain').hide(); 
         },10);
     }
     function selectedValueChangedUP() {
      $('#curtain').show(); 
      loadingSelectedValueChanged(selectedValueChanged);
   }
&lt;/code&gt;&lt;/pre&gt;
&lt;p&gt;And now instead of calling &lt;strong&gt;selectedValueChanged&lt;/strong&gt;, I call &lt;strong&gt;selectedValueChangedUP&lt;/strong&gt;.&lt;/p&gt;
&lt;p&gt;What &lt;strong&gt;SetTimeout&lt;/strong&gt; does is to execute the function that receives as parameter after a given amount of time. This process is done in an "&lt;em&gt;asynchronous&lt;/em&gt;" way.&lt;/p&gt;
</t>
  </si>
  <si>
    <t xml:space="preserve">&lt;p&gt;In TimelineCase class, Here We are send the recordId and pageNo and pase size in processTimelineItem() Method, Expecting it will fetch the case record by using sql in this class. but here we able to cover the sql case record and unable to fetch the case record.&lt;/p&gt;
&lt;p&gt;I wrote some test class by my knowledge, i able to achieve the 100% apex code coverage but still my test class is failed due to  System.assertEquals(applicantId, testFilteredObjects[0].actor); this followed line, now try to understand my test class or using that please write new test class by understanding. Many thanks in advance !&lt;/p&gt;
&lt;p&gt;I wrote some test class, i able to 100 % code coverage in class but still my test class is failed. &lt;/p&gt;
&lt;pre&gt;&lt;code&gt;TimelineCase class
public class TimelineCase extends TimelineObject implements TimelineObject{
    public List&amp;lt;TimelineObject&amp;gt; processTimelineItem(id recordId, Integer pageNo, Integer pageSize){
        List&amp;lt;TimelineObject&amp;gt; wrappedCase = new List&amp;lt;TimelineObject&amp;gt;();
        List&amp;lt;Case&amp;gt; t = [SELECT Id, Subject, AccountId, CreatedDate, CreatedBy.Name
                        FROM   Case
                        WHERE  Applicant__c = :recordId 
                        LIMIT :pageSize
                        OFFSET :pageNo];
        if(t != null){
            for(Integer i = 0, CaseSize = t.size(); i &amp;lt; CaseSize; i++){ 
                wrappedCase.add(new TimelineObject().setActor(t[i].CreatedBy.Name)
                                                           .setHeader(t[i].Subject)
                                                           .setDate(t[i].CreatedDate.format())
                                                           .setIconName('standard:case')
                                                           .setIconColour('put the colour in here'));
            }
        }
        return wrappedCase;
    }
}
I have tried some test class for your reference,
Test class for TimelineCase
@isTest
public class TimelineCaseTest {
    @isTest 
    public static void itShouldBeAbleToGetApplicantCaseListTest1(){
        String applicantId = new TimelineControllerBuilder().save();
      Case caseApplicant = new CaseBuilder().withApplicant(applicantId)
                                              .save();
        TimelineCase TimelineCase = new TimelineCase();
        Test.startTest();
        List&amp;lt;TimelineObject&amp;gt; testFilteredObjects = TimelineCase.processTimelineItem(applicantId, 1, 10);
        Test.stopTest();
        System.debug('Case result' + caseApplicant.CreatedBy.Name + testFilteredObjects[0].actor);
        System.assertEquals(1, testFilteredObjects.size());
       // applicantId returns case record
        System.assertEquals(applicantId, testFilteredObjects[0].actor);
       // applicantId returns current created date and time of case record
        System.assertEquals((applicantId, , testFilteredObjects[0].itemDate);
        System.assertEquals('standard:case', testFilteredObjects[0].iconName);
        System.assertEquals('put the colour in here', testFilteredObjects[0].iconColour);
    }
}
Please let me know if you need further information
// returning the user name who is creating the case record
System.assertEquals(applicantId, testFilteredObjects[0].actor);
//// returning the created date and time who is creating the case record
System.assertEquals(applicantId, testFilteredObjects[0].itemDate);
&lt;/code&gt;&lt;/pre&gt;
&lt;p&gt;}&lt;/p&gt;
</t>
  </si>
  <si>
    <t xml:space="preserve">&lt;p&gt;When I have two tables (Customer and Order) and Order has an SPS Lookup column to link to customer I can use the Lookup function in PowerApps to display customer information in a Gallery of Orders.&lt;/p&gt;
&lt;p&gt;For example: Assuming ThisItem is an Order:
&lt;code&gt;Lookup(Customer, ID = ThisItem.Customer_Id, 'Company Name')&lt;/code&gt; works just fine.&lt;/p&gt;
&lt;p&gt;But with a One-to-Many relationship, using SPS Lists to store the relationships, I cannot get the nested lookup to work.&lt;/p&gt;
&lt;p&gt;For Example, with the addition of a Service list and a &lt;code&gt;Ordered_Service&lt;/code&gt; list, I can link an unlimited number of services to an &lt;code&gt;Order&lt;/code&gt;, by storing &lt;code&gt;order_id&lt;/code&gt; and &lt;code&gt;service_id&lt;/code&gt; in  my SPS list using lookup columns.&lt;/p&gt;
&lt;p&gt;But when I attempt to do lookup the &lt;code&gt;ServiceName&lt;/code&gt; from an Order Gallery, I am unsuccessful&lt;/p&gt;
&lt;pre&gt;&lt;code&gt;Lookup(Service, ID = Lookup(
      ordered_service,
      order_id = ThisItem.ID, service_id),
  Service_Name)
&lt;/code&gt;&lt;/pre&gt;
&lt;p&gt;I've tried using both the &lt;code&gt;order_id.Id&lt;/code&gt; and &lt;code&gt;order_id.Value&lt;/code&gt; and wrapping both sides of my condition in &lt;code&gt;Text()&lt;/code&gt; and always get 2 Invalid Type errors and a Delegation Warning.&lt;/p&gt;
&lt;p&gt;I'd like to know how to properly do this Lookup and I can modify the List relationships if needed.&lt;/p&gt;
&lt;p&gt;NOTE: I assume using SQL this would likely work better, but its not an option.&lt;/p&gt;
&lt;p&gt;Thanks!&lt;/p&gt;
</t>
  </si>
  <si>
    <t xml:space="preserve">&lt;p&gt;Took a break. Worked out. Sat back down. figured it out.&lt;br&gt;
^^ That should be a standard answer for all questions. ;-)&lt;/p&gt;
&lt;p&gt;You have to wrap ALL the things in &lt;code&gt;Text()&lt;/code&gt; AND use &lt;code&gt;.Value&lt;/code&gt; on all not &lt;code&gt;.ID&lt;/code&gt; (that is primary Key) fields.&lt;/p&gt;
&lt;pre&gt;&lt;code&gt;Lookup(Service, Text(ID) = Text(Lookup(
    ordered_service,
    Text(order_id.Value) = Text(ThisItem.ID),
    service_id.Value)),
  Service_Name)
&lt;/code&gt;&lt;/pre&gt;
</t>
  </si>
  <si>
    <t xml:space="preserve">&lt;p&gt;We use Zoho creator which allows us to generate iframe "code" to embed in html. &lt;/p&gt;
&lt;p&gt;When we do that, additional blank lines are added to the end of the displaed results.&lt;/p&gt;
&lt;p&gt;You can see what I mean on this page I created to illustrate the issue: 
&lt;a href="https://themezz.com/zoho/index.html" rel="nofollow noreferrer"&gt;https://themezz.com/zoho/index.html&lt;/a&gt;  - it has 5 lines of text with the iframe tucked it; yet many blank lines are added. View page source please.&lt;/p&gt;
&lt;p&gt;Also tried many variations of the height and width tags with negative results.
&lt;a href="https://themezz.com/zoho/index2.html" rel="nofollow noreferrer"&gt;https://themezz.com/zoho/index2.html&lt;/a&gt;&lt;/p&gt;
&lt;p&gt;The ultimate goal is to embed that chart into a Wordpress theme, which I have done, but of course all the additional blank lines appear which look like crap. I embedded it in the Wordpress php, as well as tried as a widget, and also ran it through feedburner as RSS THEN into Wordpress with all poor results.&lt;/p&gt;
&lt;p&gt;I &lt;em&gt;think&lt;/em&gt; it's a Zoho issue, but their tech support has not replied nor has anyone in the Zoho support community.&lt;/p&gt;
&lt;p&gt;Perhaps someone can think of a solution, or a workaround for eliminating these blank lines.&lt;/p&gt;
&lt;p&gt;Appreciate your time.&lt;/p&gt;
</t>
  </si>
  <si>
    <t xml:space="preserve">&lt;p&gt;I can't find the documentation for the 'options' object in node-salesforce library. Any help would be tremendously appreciated&lt;/p&gt;
&lt;p&gt;I'm using node-salesforce library with the execute function where I pass the 'options' parameter. I would like to get all the data for Analytics-Report. Currently, I'm getting partial data in the response&lt;/p&gt;
&lt;pre&gt;&lt;code&gt;report.execute(optionObjectGoesHere, function(err, result) {
  if (err) {
    return console.error(err);
  }
  ...
}
&lt;/code&gt;&lt;/pre&gt;
</t>
  </si>
  <si>
    <t xml:space="preserve">&lt;p&gt;I have a piece of code that saves the Item only when needed.&lt;/p&gt;
&lt;p&gt;Here is the Code,&lt;/p&gt;
&lt;pre&gt;&lt;code&gt;//identify the required organization and Dropdown value
    Set(requiredOrganization,Organization.Selected.OrganizationName.Text);
    Set(DropdownValue, Trim(Dropdown1.Selected.Value));
    If(DropdownValue = "Others", Set(segmentrationalrequired,"Others:" &amp;amp; TextInput3_1.Text),Set(segmentrationalrequired,DropdownValue));
//Identify the Audit Details - // Audit Trail Update
    If(TextInput2_48.Text = "", Set(AuditTrail,TextInput2_48.Text) , Set(AuditTrail, TextInput2_48.Text &amp;amp; Char(13)));
    Set(UpdatedAuditTrail, AuditTrail &amp;amp; "Allocated By " &amp;amp; User().FullName &amp;amp; " on " &amp;amp; Substitute(Text(Now()),":","-") &amp;amp; ". ");
//Update the Graph
        ClearCollect(CurrentYearAllocationsGraphFinal2, 
        {Category: Label11_17.Text, 'Upcoming Year':TextInput2_8.Text,'Current Year':TextInput2_32.Text},
        {Category: Label11_18.Text, 'Upcoming Year':TextInput2_9.Text,'Current Year':TextInput2_33.Text},
        {Category: Label11_19.Text, 'Upcoming Year':TextInput2_10.Text,'Current Year':TextInput2_34.Text},
        {Category: Label11_20.Text, 'Upcoming Year':TextInput2_11.Text,'Current Year':TextInput2_35.Text});
//Save the value in the One Drive file Table
        If(And(Label11_23.Text = "100", segmentrationalrequired &amp;lt;&amp;gt; "",segmentrationalrequired &amp;lt;&amp;gt; "Others:",DropdownValue&amp;lt;&amp;gt;Blank()), Patch(Table1,
        First(Filter(Table1, 'Organizational Code by Function Head' = requiredOrganization)),
        {'100 or Less': (Value(TextInput2_8.Text))/100}, 
        {'Premier (100 - 4,999)': (Value(TextInput2_9.Text))/100}, 
        {'NAO (&amp;gt;5,000)': (Value(TextInput2_10.Text))/100}, 
        {Association: (Value(TextInput2_11.Text))/100},
        {'Segment Rationale': segmentrationalrequired},
        {'Current Status':"Ready to be Sent for Approval"}, 
        {'Allocated By' : User().FullName},
        {'Segment Rationale File Details':TextInput2_37.Text}, 
        {'Allocated On': Now()}, 
        {'Audit Details': UpdatedAuditTrail}
        ),
        Notify("Allocations must total 100%. Please include your Allocation Methodology"));
//Refresh if Successful
        If(And(Label11_23.Text = "100", segmentrationalrequired &amp;lt;&amp;gt; "",segmentrationalrequired &amp;lt;&amp;gt; "Others:",DropdownValue&amp;lt;&amp;gt;Blank()),
        Refresh(Table1) &amp;amp; Refresh(Table4));
//Set default selected item of a gallery
Set(default_gallery_Market,First(Filter(Table1, 'Organizational Code by Function Head' = requiredOrganization)));
&lt;/code&gt;&lt;/pre&gt;
&lt;p&gt;Is there a better way to write this code as it is currently affecting the performance.&lt;/p&gt;
&lt;p&gt;Can I stop the Code from running if the Save is a failure and not go further from there ??&lt;/p&gt;
</t>
  </si>
  <si>
    <t xml:space="preserve">&lt;p&gt;When hitting &lt;a href="https://login.salesforce.com/services/oauth2/token" rel="nofollow noreferrer"&gt;https://login.salesforce.com/services/oauth2/token&lt;/a&gt;, using Postman.&lt;/p&gt;
&lt;p&gt;&lt;strong&gt;POST &lt;a href="https://login.salesforce.com/services/oauth2/token" rel="nofollow noreferrer"&gt;https://login.salesforce.com/services/oauth2/token&lt;/a&gt;&lt;/strong&gt;&lt;/p&gt;
&lt;p&gt;&lt;a href="https://i.stack.imgur.com/KE2YE.png" rel="nofollow noreferrer"&gt;&lt;img src="https://i.stack.imgur.com/KE2YE.png" alt="enter image description here"&gt;&lt;/a&gt;&lt;/p&gt;
&lt;p&gt;&lt;strong&gt;Response:&lt;/strong&gt;&lt;/p&gt;
&lt;p&gt;&lt;a href="https://i.stack.imgur.com/4s0Yu.png" rel="nofollow noreferrer"&gt;&lt;img src="https://i.stack.imgur.com/4s0Yu.png" alt="enter image description here"&gt;&lt;/a&gt;&lt;/p&gt;
&lt;p&gt;I receive a token, but when I try to do something as simple as GET /limits,&lt;/p&gt;
&lt;p&gt;&lt;strong&gt;GET &lt;a href="https://na73.salesforce.com/services/data/v45.0/limits" rel="nofollow noreferrer"&gt;https://na73.salesforce.com/services/data/v45.0/limits&lt;/a&gt;&lt;/strong&gt;&lt;/p&gt;
&lt;p&gt;&lt;a href="https://i.stack.imgur.com/g7nDM.png" rel="nofollow noreferrer"&gt;&lt;img src="https://i.stack.imgur.com/g7nDM.png" alt="enter image description here"&gt;&lt;/a&gt;&lt;/p&gt;
&lt;p&gt;the response is:&lt;/p&gt;
&lt;pre&gt;&lt;code&gt;[
    {
        "message": "Session expired or invalid",
        "errorCode": "INVALID_SESSION_ID"
    }
]
&lt;/code&gt;&lt;/pre&gt;
&lt;p&gt;The strange thing is that when I change all my credentials to a free "developer account" created with a different email address, everything works fine.  All requests and headers are the exact same, with the exception of the values from either account.&lt;/p&gt;
&lt;p&gt;After digging through a lot of threads on here I thought that maybe my production account (the one I'm posting from now) was not API ENABLED.  It turns out my production account is API ENABLED.&lt;/p&gt;
&lt;p&gt;I also tried changing &lt;a href="https://login.salesforce.com/services/oauth2/token" rel="nofollow noreferrer"&gt;https://login.salesforce.com/services/oauth2/token&lt;/a&gt; to &lt;a href="https://na73.salesforce.com/services/oauth2/token" rel="nofollow noreferrer"&gt;https://na73.salesforce.com/services/oauth2/token&lt;/a&gt; as some threads have suggested, but that just times out.&lt;/p&gt;
&lt;p&gt;When comparing both account permissions, they seem identical and I've confirmed I have no issues with the credentials (client id, client secret, security token, access-token), all of them seem to be copied in correctly.&lt;/p&gt;
&lt;p&gt;Any ideas for a salesforce noob?&lt;/p&gt;
</t>
  </si>
  <si>
    <t xml:space="preserve">&lt;p&gt;I actually fixed this after banging my head on it forever. You need to go into the settings tab and turn on the Follow Authorization Header setting.&lt;/p&gt;
&lt;p&gt;&lt;a href="https://i.stack.imgur.com/PmHtC.png" rel="noreferrer"&gt;Follow Authorization Header Setting&lt;/a&gt;&lt;/p&gt;
</t>
  </si>
  <si>
    <t xml:space="preserve">&lt;p&gt;I am still learning, and looking for help on how to display a label based on one data-sources field value, being within another data-sources field value list.&lt;/p&gt;
&lt;p&gt;I have one calculated table, displaying rows of documents within a folder, and wish to use a field representing the document number in that data-source, so that if it's ANYWHERE within another tables field it displays my label.&lt;/p&gt;
&lt;p&gt;I've been trying to use projection as I think this is how to achieve it.&lt;/p&gt;
&lt;p&gt;I can get it working based on both the current &lt;code&gt;@datasouce.item.fieldnames&lt;/code&gt; but need it to base the calculation on all possible numbers in that tables field  (Image below should make it easier to understand).&lt;/p&gt;
&lt;p&gt;I expect that it has something to do with projections, but can't find anything within the learning templates or anywhere else to resolve the issue.&lt;/p&gt;
&lt;p&gt;&lt;img src="https://i.imgur.com/LIl53ob.png" alt="https://i.imgur.com/LIl53ob.png"&gt;&lt;/p&gt;
</t>
  </si>
  <si>
    <t xml:space="preserve">&lt;p&gt;I was trying to set up a sync between our application and Salesforce to sync the data bidirectionally. I am using API to do so and the API is returning with the response below.&lt;/p&gt;
&lt;pre&gt;&lt;code&gt;HTTP CODE: 400
Response :  [{"message":"Use one of these records?","errorCode":"UNKNOWN_EXCEPTION","fields":[]}]
&lt;/code&gt;&lt;/pre&gt;
&lt;p&gt;I Googled and figured that it might be due to duplicate or matching rules set up in SF. Is this is the case and if it's possible to override this setting somehow? Also, can someone suggest how can we know what rule or value caused the duplicate issue?&lt;/p&gt;
</t>
  </si>
  <si>
    <t xml:space="preserve">&lt;p&gt;I'm trying to append a text in a doc via apps script, but I want the text to start from a specified left indent, and also have subsequent lines aligned with the indent. Currently, I'm using \t to tab the first line, but subsequent lines start on indent 0. I would appreciate if anyone could help figure it out.&lt;/p&gt;
&lt;p&gt;Example:&lt;/p&gt;
&lt;pre&gt;&lt;code&gt;body.appendParagraph('').setLineSpacing(1.5).appendText('\t\t' + 'mylongtext').setItalic(true);
&lt;/code&gt;&lt;/pre&gt;
</t>
  </si>
  <si>
    <t xml:space="preserve">&lt;p&gt;I created a new custom lightning component and controller to create a new lead in Salesforce. When you enter all fields correctly and they pass validation the page works as designed. However, when a field fails validation such as email not being formatted correctly (abc.abc.com) then I receive the following error.&lt;/p&gt;
&lt;p&gt;Page Doesn't Exist-Enter a valid URL and try again.&lt;/p&gt;
&lt;p&gt;I also receive the Success Toast from Salesforce but a lead is not created.I believe I have a problem in the controller from the getState response but cannot figure out where I am wrong.&lt;/p&gt;
&lt;p&gt;Here is the component&lt;/p&gt;
&lt;p&gt;Component&lt;/p&gt;
&lt;pre&gt;&lt;code&gt;&amp;lt;aura:component implements="lightning:actionOverride" access="global" controller="overrideStandabuttonwithLC"&amp;gt;
    &amp;lt;aura:attribute name="lea" type="Lead" default="{'sobjectType': 'Lead',
                                                        'FirstName':'',
                                                        'LastName':'',
                                                        'Title':'',
                                                        'Email':'',
                                                        'Phone':''}" /&amp;gt;    
    &amp;lt;div class="slds-m-around--large"&amp;gt;
        &amp;lt;div class="slds-form--stacked"&amp;gt;
            &amp;lt;div class="slds-form-element"&amp;gt;  
                &amp;lt;div class="slds-form-element__control"&amp;gt;
                    &amp;lt;lightning:input aura:id="leaFirstName" label="First Name" value="{!v.lea.FirstName}" class="slds-input"/&amp;gt;
                    &amp;lt;lightning:input aura:id="leaLastName" required="true" label="Last Name" value="{!v.lea.LastName}" class="slds-input"/&amp;gt;
                    &amp;lt;lightning:input aura:id="leaTitle" label="Title" value="{!v.lea.Title}" class="slds-input"/&amp;gt;
                    &amp;lt;lightning:input aura:id="leaEmail" label="Email" value="{!v.lea.Email}" placeholder="abc@email.com..." class="slds-input"/&amp;gt;
                    &amp;lt;lightning:input aura:id="leaPhone" label="Phone" value="{!v.lea.Phone}" class="slds-input"/&amp;gt;
                  &amp;lt;/div&amp;gt;
            &amp;lt;/div&amp;gt;
            &amp;lt;div class="slds-m-around--medium"&amp;gt;
                &amp;lt;button class="slds-button slds-button--brand" onclick="{!c.createLead}"&amp;gt;Save&amp;lt;/button&amp;gt;
            &amp;lt;/div&amp;gt;
        &amp;lt;/div&amp;gt;
    &amp;lt;/div&amp;gt;    
&amp;lt;/aura:component&amp;gt;
&lt;/code&gt;&lt;/pre&gt;
&lt;p&gt;Javascript Controller&lt;/p&gt;
&lt;pre&gt;&lt;code&gt;({
    createLead : function(component, event, helper) {
        var action = component.get("c.saveLead");
        action.setParams({
            "leaRec":component.get("v.lea")
        });
        action.setCallback(this, function(response){
            if(response.getState()==='SUCCESS'){
                var leaId = response.getReturnValue();
                var toastEvent = $A.get("e.force:showToast");
                toastEvent.setParams({
                    "title": "Success!",
                    "type":"Success",
                    "message": "Lead created successfully."
                });
                toastEvent.fire();
                var navEvt = $A.get("e.force:navigateToSObject");
                navEvt.setParams({
                    "recordId": leaId,
                    "slideDevName": "related"
                });
                navEvt.fire();
            }
        });
        $A.enqueueAction(action);
    },
})
&lt;/code&gt;&lt;/pre&gt;
&lt;p&gt;Apex&lt;/p&gt;
&lt;pre&gt;&lt;code&gt;public with sharing class overrideStandabuttonwithLC {
    @AuraEnabled
    public static ID saveLead(Lead leaRec){
        try{
            insert leaRec;
        }
        catch(Exception e){
            system.debug('e--&amp;gt;' + e.getMessage());
        }
        return leaRec.Id;
    }  
}
&lt;/code&gt;&lt;/pre&gt;
</t>
  </si>
  <si>
    <t xml:space="preserve">&lt;p&gt;A simple setup: department: employee, 1:M and a search form that filters on FirstName =, lastname =, email contains, age &gt;=, join date &amp;lt;= and related department = .&lt;/p&gt;
&lt;p&gt;A submit button will then open up a results page with the datasource set to the appropriate search method. I have direct filtering where we bind to @datasource,query.filters.FirstName_equals, etc. I have a datasource based on a query buillder solution and a third solution based on a query script. A appropriate search results page opens on Submit and the datasource of the results page is set to the appropriate datasource: filter, query builder or query script.&lt;/p&gt;
&lt;p&gt;The solution that uses a query script and a results page based on this datasource is as follows:-&lt;/p&gt;
&lt;p&gt;query script&lt;/p&gt;
&lt;pre&gt;&lt;code&gt;var params = query.parameters;
return getEmployeeRecords_( 
  params.param_FirstName, 
  params.param_LastName, 
  params.param_Email, 
  params.param_StartDate, 
  params.param_Age, 
  params.param_Department
);
&lt;/code&gt;&lt;/pre&gt;
&lt;p&gt;and&lt;/p&gt;
&lt;pre&gt;&lt;code&gt;function getEmployeeRecords_( firstName, lastName, email, startDate, age, 
    department) {
 var ds = app.models.Employee.newQuery();
 if ( firstName )
    ds.filters.FirstName._equals = firstName;
  if ( lastName ) 
    ds.filters.LastName._equals = lastName;
  if ( email ) 
    ds.filters.Email._contains = email;
  if ( startDate )
    ds.filters.StartDate._greaterThanOrEquals = startDate;
  if ( age )
    ds.filters.Age._lessThanOrEquals = parseInt(age, 10);
  if ( department )
    ds.filters.Department.Department._equals = department;
  var records = ds.run();
  var recs = records.length;
  // update calculated model with record count
  var calculatedModelRecords = [];
  var calculatedModelRecord = app.models.Employee_RecordCount.newRecord();
  calculatedModelRecord.RecordCount = recs;
  calculatedModelRecords.push(calculatedModelRecord);
  return records;
}
&lt;/code&gt;&lt;/pre&gt;
&lt;p&gt;On the results page for the query script datasource paging is just broken. A query that correctly returns 8 records where the query page size is set to 5 allows me to get the pager to go to page 1000 if I wished, but the datasource always stays on the first page of records. With page size set to e.g., 100 the correct result set is clearly displayed. The direct binding and query builder datasources work as expected.&lt;/p&gt;
&lt;p&gt;The reason for doing these different searches is as a test and evaluate each option, and also to be able to return a record count, which I can only do with a query script.&lt;/p&gt;
&lt;p&gt;Anyone any ideas as to the cause of this aberrant App Maker behaviour ?&lt;/p&gt;
&lt;p&gt;Also when I query the calculated model Employee_RecordCount to retrieve the record count using a UI label with text of "Number of Records: " + @datasources.Employee_RecordCount.item.RecordCount this shows null.&lt;/p&gt;
&lt;p&gt;What's the best way to retrieve the record count using the calculated model Employee_RecordCount?&lt;/p&gt;
</t>
  </si>
  <si>
    <t xml:space="preserve">&lt;p&gt;I'm trying to get handsonTable implemented in a salesforce lightning web component.
I understand that the audience here might not have Salesforce knowledge, but hoping to work together to find out what the problem could be.&lt;/p&gt;
&lt;p&gt;Below is a very basic implementation taken from the examples, but extremely simplified.&lt;/p&gt;
&lt;pre&gt;&lt;code&gt;
&amp;lt;head&amp;gt;
    &amp;lt;link rel="stylesheet" type="text/css" href="https://cdn.jsdelivr.net/npm/handsontable@latest/dist/handsontable.full.min.css"&amp;gt;
    &amp;lt;link rel="stylesheet" type="text/css" href="https://handsontable.com/static/css/main.css"&amp;gt;
    &amp;lt;script src="https://cdn.jsdelivr.net/npm/handsontable@latest/dist/handsontable.full.min.js"&amp;gt;&amp;lt;/script&amp;gt;
&amp;lt;/head&amp;gt;
&amp;lt;body&amp;gt;
    &amp;lt;div id="hot"&amp;gt;&amp;lt;/div&amp;gt;
    &amp;lt;script&amp;gt;
        var dataObject = [{
            id: 1,
            currency: 'Euro'
        }, {
            id: 2,
            currency: 'Japanese Yen'
        }];
        var hotElement = document.querySelector('#hot');
        var hotElementContainer = hotElement.parentNode;
        var hotSettings = {
            data: dataObject,
            columns: [{
                data: 'id',
                type: 'numeric',
                width: 40
            }, {
                data: 'currency',
                type: 'text'
            }],
            rowHeaders: true,
            colHeaders: [
                'ID',
                'Currency'
            ]
        };
        var hot = new Handsontable(hotElement, hotSettings);
    &amp;lt;/script&amp;gt;
&amp;lt;/body&amp;gt;
&amp;lt;/html&amp;gt;
&lt;/code&gt;&lt;/pre&gt;
&lt;p&gt;In order to use external libraries in Salesforce Lightning Web Components (LWC), I am using the format mentioned in &lt;a href="https://developer.salesforce.com/docs/component-library/documentation/lwc/lwc.create_third_party_library" rel="nofollow noreferrer"&gt;https://developer.salesforce.com/docs/component-library/documentation/lwc/lwc.create_third_party_library&lt;/a&gt;&lt;/p&gt;
&lt;p&gt;Modifying the HTML code above to the format mentioned gives me the LWC JS file as&lt;/p&gt;
&lt;pre&gt;&lt;code&gt;import { LightningElement } from 'lwc';
import { ShowToastEvent } from 'lightning/platformShowToastEvent';
import { loadScript, loadStyle } from 'lightning/platformResourceLoader';
import handsonTableResource from '@salesforce/resourceUrl/handsonTable';
export default class handsonTable extends LightningElement {
    dataObject = [
        {
          id: 1,
          currency: 'Euro'
        },
        {
          id: 2,
          currency: 'Japanese Yen'
        }
    ];
    renderedCallback() {
        Promise.all([
            loadScript(this, handsonTableResource + '/handsontable.full.js'),
            loadStyle(this, handsonTableResource + '/handsontable.full.css')
        ])
        .then(() =&amp;gt; {
            this.initialiseHandsOnTable();
        })
        .catch(error =&amp;gt; {
            alert(error);
        });
    }
    hotElement;
    hotSettings;
    initialiseHandsOnTable() {
        this.hotElement = this.template.querySelector('div.hotElement');
        this.hotSettings = {
            data: this.dataObject,
            columns: [
                {
                    data: 'id',
                    type: 'numeric',
                    width: 40
                },
                {
                    data: 'currency',
                    type: 'text'
                }
            ],
            rowHeaders: true,
            colHeaders: [
                'ID',
                'Currency'
            ]
        };
        new Handsontable(this.hotElement, this.hotSettings);
    }
}
&lt;/code&gt;&lt;/pre&gt;
&lt;p&gt;and the LWC html as&lt;/p&gt;
&lt;pre&gt;&lt;code&gt;&amp;lt;template&amp;gt;
    &amp;lt;div class="slds-m-around_medium"&amp;gt;
        &amp;lt;div class="hotElement" lwc:dom="manual"&amp;gt;&amp;lt;/div&amp;gt;
    &amp;lt;/div&amp;gt;
&amp;lt;/template&amp;gt;
&lt;/code&gt;&lt;/pre&gt;
&lt;p&gt;Applying these, gives me the result as below in Salesforce
&lt;img src="https://i.stack.imgur.com/yAsCY.png" width="690" height="31"&gt;&lt;br/&gt;&lt;sub&gt;(source: &lt;a href="https://forum.handsontable.com/uploads/default/optimized/1X/c36c85e35c1614444580f9c6314ed81148dd8363_1_690x31.png" rel="nofollow noreferrer"&gt;handsontable.com&lt;/a&gt;)&lt;/sub&gt;&lt;br/&gt;&lt;/p&gt;
&lt;p&gt;The DOM generated is as below&lt;/p&gt;
&lt;pre&gt;&lt;code&gt;&amp;lt;c-handson-table data-data-rendering-service-uid="188" data-aura-rendered-by="322:0"&amp;gt;
    &amp;lt;div class="slds-m-around_medium"&amp;gt;
        &amp;lt;div class="hotElement handsontable htRowHeaders htColumnHeaders" id="ht_917e38abdce11495"&amp;gt;
            &amp;lt;div class="ht_master handsontable" style="position: relative; overflow: visible;"&amp;gt;
                &amp;lt;div class="wtHolder" style="position: relative; overflow: visible;"&amp;gt;
                    &amp;lt;div class="wtHider"&amp;gt;
                        &amp;lt;div class="wtSpreader" style="position: relative;"&amp;gt;
                            &amp;lt;table class="htCore"&amp;gt;
                                &amp;lt;colgroup&amp;gt;&amp;lt;/colgroup&amp;gt;
                                &amp;lt;thead&amp;gt;
                                    &amp;lt;tr&amp;gt;&amp;lt;/tr&amp;gt;
                                &amp;lt;/thead&amp;gt;
                                &amp;lt;tbody&amp;gt;&amp;lt;/tbody&amp;gt;
                            &amp;lt;/table&amp;gt;
                        &amp;lt;/div&amp;gt;
                    &amp;lt;/div&amp;gt;
                &amp;lt;/div&amp;gt;
            &amp;lt;/div&amp;gt;
            &amp;lt;div class="ht_clone_top handsontable" style="position: absolute; top: 0px; left: 0px; overflow: hidden;"&amp;gt;
                &amp;lt;div class="wtHolder" style="position: relative;"&amp;gt;
                    &amp;lt;div class="wtHider"&amp;gt;
                        &amp;lt;div class="wtSpreader" style="position: relative;"&amp;gt;
                            &amp;lt;table class="htCore"&amp;gt;
                                &amp;lt;colgroup&amp;gt;&amp;lt;/colgroup&amp;gt;
                                &amp;lt;thead&amp;gt;
                                    &amp;lt;tr&amp;gt;&amp;lt;/tr&amp;gt;
                                &amp;lt;/thead&amp;gt;
                                &amp;lt;tbody&amp;gt;&amp;lt;/tbody&amp;gt;
                            &amp;lt;/table&amp;gt;
                        &amp;lt;/div&amp;gt;
                    &amp;lt;/div&amp;gt;
                &amp;lt;/div&amp;gt;
            &amp;lt;/div&amp;gt;
            &amp;lt;div class="ht_clone_bottom handsontable" style="position: absolute; top: 0px; left: 0px; overflow: hidden;"&amp;gt;
                &amp;lt;div class="wtHolder" style="position: relative;"&amp;gt;
                    &amp;lt;div class="wtHider"&amp;gt;
                        &amp;lt;div class="wtSpreader" style="position: relative;"&amp;gt;
                            &amp;lt;table class="htCore"&amp;gt;
                                &amp;lt;colgroup&amp;gt;&amp;lt;/colgroup&amp;gt;
                                &amp;lt;thead&amp;gt;
                                    &amp;lt;tr&amp;gt;&amp;lt;/tr&amp;gt;
                                &amp;lt;/thead&amp;gt;
                                &amp;lt;tbody&amp;gt;&amp;lt;/tbody&amp;gt;
                            &amp;lt;/table&amp;gt;
                        &amp;lt;/div&amp;gt;
                    &amp;lt;/div&amp;gt;
                &amp;lt;/div&amp;gt;
            &amp;lt;/div&amp;gt;
            &amp;lt;div class="ht_clone_left handsontable" style="position: absolute; top: 0px; left: 0px; overflow: hidden;"&amp;gt;
                &amp;lt;div class="wtHolder" style="position: relative;"&amp;gt;
                    &amp;lt;div class="wtHider"&amp;gt;
                        &amp;lt;div class="wtSpreader" style="position: relative;"&amp;gt;
                            &amp;lt;table class="htCore"&amp;gt;
                                &amp;lt;colgroup&amp;gt;&amp;lt;/colgroup&amp;gt;
                                &amp;lt;thead&amp;gt;
                                    &amp;lt;tr&amp;gt;&amp;lt;/tr&amp;gt;
                                &amp;lt;/thead&amp;gt;
                                &amp;lt;tbody&amp;gt;&amp;lt;/tbody&amp;gt;
                            &amp;lt;/table&amp;gt;
                        &amp;lt;/div&amp;gt;
                    &amp;lt;/div&amp;gt;
                &amp;lt;/div&amp;gt;
            &amp;lt;/div&amp;gt;
            &amp;lt;div class="ht_clone_top_left_corner handsontable" style="position: absolute; top: 0px; left: 0px; overflow: hidden;"&amp;gt;
                &amp;lt;div class="wtHolder" style="position: relative;"&amp;gt;
                    &amp;lt;div class="wtHider"&amp;gt;
                        &amp;lt;div class="wtSpreader" style="position: relative;"&amp;gt;
                            &amp;lt;table class="htCore"&amp;gt;
                                &amp;lt;colgroup&amp;gt;&amp;lt;/colgroup&amp;gt;
                                &amp;lt;thead&amp;gt;
                                    &amp;lt;tr&amp;gt;&amp;lt;/tr&amp;gt;
                                &amp;lt;/thead&amp;gt;
                                &amp;lt;tbody&amp;gt;&amp;lt;/tbody&amp;gt;
                            &amp;lt;/table&amp;gt;
                        &amp;lt;/div&amp;gt;
                    &amp;lt;/div&amp;gt;
                &amp;lt;/div&amp;gt;
            &amp;lt;/div&amp;gt;
        &amp;lt;/div&amp;gt;
        &amp;lt;div id="hot-display-license-info"&amp;gt;The license key for Handsontable is missing. Use your purchased key to activate the product. Alternatively, you can activate Handsontable to use for non-commercial purposes by passing the key: 'non-commercial-and-evaluation'. &amp;lt;a target="_blank" href="https://handsontable.com/docs/tutorial-license-key.html"&amp;gt;Read more&amp;lt;/a&amp;gt; about it in the documentation or contact us at &amp;lt;a href="mailto:support@handsontable.com"&amp;gt;support@handsontable.com&amp;lt;/a&amp;gt;.&amp;lt;/div&amp;gt;
    &amp;lt;/div&amp;gt;
&amp;lt;/c-handson-table&amp;gt;
&lt;/code&gt;&lt;/pre&gt;
&lt;p&gt;As you can see the DOM structure is being generated for handsonTable but none of the data or columns are being generated.
I do not see any errors or warning on the Chrome Dev Tools console (except the license warning from handson table)&lt;/p&gt;
&lt;p&gt;One observation I found is that the row count seems to reflect what we see on screen.&lt;/p&gt;
&lt;pre&gt;&lt;code&gt;a.countRows();
--&amp;gt; 2
a.countEmptyRows();
--&amp;gt; 0
a.countVisibleRows();
--&amp;gt; -1
a.countRenderedRows();
--&amp;gt; -1
&lt;/code&gt;&lt;/pre&gt;
&lt;p&gt;I have been able to publish the implementation on a public facing URL. You can access my implementation at &lt;a href="https://sandbox-business-java-1763-16aaf9f33bb.cs6.force.com/" rel="nofollow noreferrer"&gt;https://sandbox-business-java-1763-16aaf9f33bb.cs6.force.com/&lt;/a&gt;
I have added a debugger at the start of the initialiseHandsOnTable function to help.&lt;/p&gt;
&lt;p&gt;Any assistance would be greatly appreciated.&lt;/p&gt;
</t>
  </si>
  <si>
    <t xml:space="preserve">&lt;p&gt;The problem could be with Salesforce Locker Service.
Locker service restricts the scope of DOM navigation and manipulation allowed by components. &lt;/p&gt;
&lt;p&gt;Debugging the script we found that the isVisible(elem) function was trying to navigate all the way up to the top level HTML node (which was blocked by the Locker Service).
The answer at &lt;a href="https://forum.handsontable.com/t/handsontable-within-the-salesforce-locker-service/1014" rel="nofollow noreferrer"&gt;https://forum.handsontable.com/t/handsontable-within-the-salesforce-locker-service/1014&lt;/a&gt; helped in fixing this.&lt;/p&gt;
&lt;p&gt;We updated the the isVisible(elem) function as below:&lt;/p&gt;
&lt;p&gt;Change
&lt;code&gt;next = next.parentNode;&lt;/code&gt; to&lt;/p&gt;
&lt;pre&gt;&lt;code&gt;if(next.parentNode != null)
 next = next.parentNode;
else
return true;
&lt;/code&gt;&lt;/pre&gt;
&lt;p&gt;Now, the solution works.&lt;/p&gt;
</t>
  </si>
  <si>
    <t xml:space="preserve">&lt;p&gt;I need to add a particular wallpaper in the background page of my app to make the app look more colorful and beautiful. Is there any way?&lt;/p&gt;
&lt;p&gt;The problem is that once you add an image to a page then it does not allow you to place another widget over it or cover it. It always aligns it horizontally or vertically.&lt;/p&gt;
</t>
  </si>
  <si>
    <t xml:space="preserve">&lt;p&gt;This is pretty much basic css. I'd recommend you to look &lt;a href="https://www.w3schools.com/css/css_background.asp" rel="nofollow noreferrer"&gt;over this&lt;/a&gt; to learn more. So, in appmaker, if you want to apply the background image to a page do this:&lt;/p&gt;
&lt;h2&gt;The CSS&lt;/h2&gt;
&lt;p&gt;1.) First, select the root widget of the page you are interested.
&lt;a href="https://i.stack.imgur.com/qNpzH.png" rel="nofollow noreferrer"&gt;&lt;img src="https://i.stack.imgur.com/qNpzH.png" alt="enter image description here"&gt;&lt;/a&gt;&lt;/p&gt;
&lt;p&gt;2.) Now, that you have the page selected, let's move to the style editor. Once there, on the &lt;strong&gt;Page Style&lt;/strong&gt; section just type a "."(period, dot) and wait for the suggestions to appear. The first suggestion is what you need, so just press enter or select it with your cursor.&lt;/p&gt;
&lt;p&gt;&lt;a href="https://i.stack.imgur.com/0jLzO.png" rel="nofollow noreferrer"&gt;&lt;img src="https://i.stack.imgur.com/0jLzO.png" alt="enter image description here"&gt;&lt;/a&gt;&lt;/p&gt;
&lt;p&gt;3.) Now that you have selected the element with a css selector, you can apply styling. For the background, you need to do this:&lt;/p&gt;
&lt;pre&gt;&lt;code&gt;.app-myTestingPage-myPage {
  background: url("url-to-picture");
}
&lt;/code&gt;&lt;/pre&gt;
&lt;p&gt;&lt;a href="https://i.stack.imgur.com/Y8tgy.png" rel="nofollow noreferrer"&gt;&lt;img src="https://i.stack.imgur.com/Y8tgy.png" alt="enter image description here"&gt;&lt;/a&gt;&lt;/p&gt;
&lt;p&gt;In the above example, &lt;code&gt;url-to-picture&lt;/code&gt; represents that, a url to a an image, preferably if it is served over &lt;strong&gt;https&lt;/strong&gt;.&lt;/p&gt;
&lt;p&gt;&lt;br&gt;&lt;/p&gt;
&lt;h2&gt;The URL&lt;/h2&gt;
&lt;p&gt;I know two ways in which you can get the background image url. The first one is to use any image url you find on the internet or a url hosted in your own server or cdn. The second way is to upload the image to appmaker resources and use that url. If you choose the latter, then do the following:&lt;/p&gt;
&lt;p&gt;1.) Go to the app settings.&lt;/p&gt;
&lt;p&gt;2.) Click on &lt;strong&gt;Resources&lt;/strong&gt;&lt;/p&gt;
&lt;p&gt;3.) Drop your image file in the respected area or click the button to browse&lt;/p&gt;
&lt;p&gt;&lt;a href="https://i.stack.imgur.com/gYZq8.png" rel="nofollow noreferrer"&gt;&lt;img src="https://i.stack.imgur.com/gYZq8.png" alt="enter image description here"&gt;&lt;/a&gt;&lt;/p&gt;
&lt;p&gt;Once the resource finishes uploading, you can click the copy icon to copy the url to the resource and you can use that in your page css as the background url.&lt;/p&gt;
&lt;p&gt;&lt;a href="https://i.stack.imgur.com/BZ3DZ.png" rel="nofollow noreferrer"&gt;&lt;img src="https://i.stack.imgur.com/BZ3DZ.png" alt="enter image description here"&gt;&lt;/a&gt;&lt;/p&gt;
</t>
  </si>
  <si>
    <t xml:space="preserve">&lt;p&gt;I am trying to render a Chart JS canvas via a slot;&lt;/p&gt;
&lt;p&gt;chartWrapper.html&lt;/p&gt;
&lt;pre class="lang-html prettyprint-override"&gt;&lt;code&gt;&amp;lt;template&amp;gt;
  &amp;lt;div class="chart-wrapper"&amp;gt;
    &amp;lt;slot name="chart"&amp;gt;&amp;lt;/slot&amp;gt;
  &amp;lt;/div&amp;gt;
&amp;lt;/template&amp;gt;
&lt;/code&gt;&lt;/pre&gt;
&lt;p&gt;chartWrapperContainer.html&lt;/p&gt;
&lt;pre class="lang-html prettyprint-override"&gt;&lt;code&gt;&amp;lt;c-chart-wrapper&amp;gt;
    &amp;lt;canvas slot="chart" class="donut" lwc:dom="manual"&amp;gt;&amp;lt;/canvas&amp;gt;
&amp;lt;/c-chart-wrapper&amp;gt;
&lt;/code&gt;&lt;/pre&gt;
&lt;p&gt;The chart does not render and the canvas in the rendered Markup shows 0 width and height. Rendering without the slot works well; I need to wrap it into a slot for structural reasons.&lt;/p&gt;
&lt;p&gt;What could be wrong with this?&lt;/p&gt;
</t>
  </si>
  <si>
    <t xml:space="preserve">&lt;p&gt;This was sorted out by wrapping the canvas in a &lt;code&gt;div&lt;/code&gt;; made some logical sense to me not to push a plain 'photo' into a slot whose internals it's unaware of.&lt;/p&gt;
&lt;pre class="lang-html prettyprint-override"&gt;&lt;code&gt;&amp;lt;!-- chartWrapper.html --&amp;gt;
&amp;lt;template&amp;gt;
  &amp;lt;div class="chart-wrapper"&amp;gt;
    &amp;lt;slot name="chart"&amp;gt;&amp;lt;/slot&amp;gt;
  &amp;lt;/div&amp;gt;
&amp;lt;/template&amp;gt;
&lt;/code&gt;&lt;/pre&gt;
&lt;pre class="lang-html prettyprint-override"&gt;&lt;code&gt;&amp;lt;!-- chartWrapperContainer.html --&amp;gt;
&amp;lt;c-chart-wrapper&amp;gt;
  &amp;lt;div slot="chart"&amp;gt;
    &amp;lt;canvas class="donut" lwc:dom="manual"&amp;gt;&amp;lt;/canvas&amp;gt;
  &amp;lt;/div&amp;gt;
&amp;lt;/c-chart-wrapper&amp;gt;
&lt;/code&gt;&lt;/pre&gt;
</t>
  </si>
  <si>
    <t xml:space="preserve">&lt;p&gt;Issue: We get CSP (Content Security Policy) error with our Visualforce page integration. &lt;/p&gt;
&lt;p&gt;The issue is that when we access this in sandbox testing, we find that our content is wrapped in an iframe, and that iframe also contains an iframe. &lt;/p&gt;
&lt;p&gt;The outer iframe does not seem to have a URL, and so we cannot exclude it from our CSP whitelist. &lt;/p&gt;
&lt;p&gt;apex putting the iframe dynamically inside another iframe that is not having any src, that is why we are not able to whitelist the domain that can open our site into iframe.&lt;/p&gt;
&lt;ul&gt;
&lt;li&gt;This is the sample parent iframe.&lt;/li&gt;
&lt;/ul&gt;
&lt;pre&gt;&lt;code&gt;&amp;lt;iframe allow="geolocation *; microphone *; camera *" frameborder="no" height="1000px" id="0661b0000004nmw" marginheight="0" marginwidth="0" name="0661b0000004nmw" scrolling="yes" title="HelloWorld" width="100%"&amp;gt;
  &amp;lt;iframe src="https://example.com"&amp;gt; &amp;lt;/iframe&amp;gt;
&amp;lt;/iframe&amp;gt;
&lt;/code&gt;&lt;/pre&gt;
&lt;ul&gt;
&lt;li&gt;Error log from developer console of browser.&lt;/li&gt;
&lt;/ul&gt;
&lt;pre&gt;&lt;code&gt;[Report Only] Refused to display 'https://example.com' in a frame because an ancestor violates the following Content Security Policy directive: "frame-ancestors 'self' *.salesforce.com".
&lt;/code&gt;&lt;/pre&gt;
&lt;p&gt;Please let me know if there is a way to resolve the content security error in this case!&lt;/p&gt;
</t>
  </si>
  <si>
    <t xml:space="preserve">&lt;p&gt;A simple testing setup: department: employee, 1:M and a search form that allows filtering on Emploee FirstName =, lastname =, email contains, age &gt;=, join date &amp;lt;= and related department =.&lt;/p&gt;
&lt;p&gt;A search form with widgets bound to parameters of a cloud SQL datasource query script.&lt;/p&gt;
&lt;p&gt;A Submit button on the search form which opens up a query results page with a table bound to the cloud SQL query script datasource.&lt;/p&gt;
&lt;p&gt;query script&lt;/p&gt;
&lt;p&gt;var params = query.parameters;&lt;/p&gt;
&lt;pre&gt;&lt;code&gt;return getEmployeeRecords_( 
  params.param_FirstName, 
  params.param_LastName, 
  params.param_Email, 
  params.param_StartDate, 
  params.param_Age, 
  params.param_Department
);
&lt;/code&gt;&lt;/pre&gt;
&lt;p&gt;and&lt;/p&gt;
&lt;pre&gt;&lt;code&gt;function getEmployeeRecords_( firstName, lastName, email, startDate, age,     
department) {
 var ds = app.models.Employee.newQuery();
 if ( firstName !== null ) {
    ds.filters.FirstName._equals = firstName;
 }
 if ( lastName !== null ) {
    ds.filters.LastName._equals = lastName;
 }
 if ( email !== null) {
    ds.filters.Email._contains = email;
 }
 if ( startDate !== null) {
    ds.filters.StartDate._greaterThanOrEquals = startDate;
 }
 if ( age !== null) {
    ds.filters.Age._lessThanOrEquals = parseInt(age, 10);
 }
 if ( department !== null) {
    ds.filters.Department.Department._equals = department;
 }
 var records = ds.run();
 // intention is to store this value for future use
 var recs = records.length;
 return records;
}
&lt;/code&gt;&lt;/pre&gt;
&lt;p&gt;On the results page for the query script datasource paging is just broken. A query that correctly returns 8 records where the query page size is set to 5 allows me to get the pager to go to page 1000 if I wished, but the datasource always stays on the first page of records. With page size set to e.g., 100 the correct result set is clearly displayed.&lt;/p&gt;
&lt;p&gt;In fact everything I do with this sort of query has paging issues. If I insert this code&lt;/p&gt;
&lt;pre&gt;&lt;code&gt;var ds = app.models.Employee.newQuery();
//ds.filters.FirstName._equals = firstName;
//ds.filters.LastName._equals = lastName;
//ds.filters.Email._contains = '.com';
//ds.filters.StartDate._greaterThanOrEquals = startDate;
ds.filters.Age._lessThanOrEquals = 40;
//ds.filters.Department.Department._equals = department;
ds.sorting.Age._ascending();
var records = ds.run();
return records;
&lt;/code&gt;&lt;/pre&gt;
&lt;p&gt;directly into the datasource query script I still have similar paging issues.&lt;/p&gt;
&lt;p&gt;If I use a query builder script such as&lt;/p&gt;
&lt;pre&gt;&lt;code&gt;(
FirstName =? :param_FirstName and
LastName =? :param_LastName and
Email contains? :param_Email and
StartDate &amp;gt;=? :param_Startdate and
Age &amp;lt;=? :param_Age and
Department.Department =? :param_Department
)
&lt;/code&gt;&lt;/pre&gt;
&lt;p&gt;and bindings such as&lt;/p&gt;
&lt;p&gt;@datasources.Search_Query_Builder.query.parameters.param_FirstName&lt;/p&gt;
&lt;p&gt;this works without issue. The same with direct filtering, where we use bindings such as&lt;/p&gt;
&lt;p&gt;@datasources.Employee.query.filters.FirstName._equals&lt;/p&gt;
&lt;p&gt;Anyone any ideas in terms of what is wrong with this stuff. We need query scripts for more controle, e.g., the ability to retrieve a count of records and where you have to filter for a condition where you restrict data, e.g. a logged in user is related to a client which in turn is related to a property and the property value is restricted according to client.&lt;/p&gt;
&lt;p&gt;... Just looking at a real application under development and the use of a query script within the datasource query script editor, no parameters, no binding, just this code:- &lt;/p&gt;
&lt;pre&gt;&lt;code&gt;var ds = app.models.Incident.newQuery();
ds.filters.Id._greaterThanOrEquals = 200;
ds.filters.Id._lessThanOrEquals = 300;
var records = ds.run();
return records;
&lt;/code&gt;&lt;/pre&gt;
&lt;p&gt;and a page size set to 20 and again the paging is up the creek, never moves beyond the first page of records despite the page number incrementing.&lt;/p&gt;
</t>
  </si>
  <si>
    <t xml:space="preserve">&lt;p&gt;I am creating a basic lightning component which got just one button. On click of this button, I am calling an apex method which return a string. 
For some reason, whenever I am clicking that button, I get no response. In the console, lightning event log and debug log, I get no error. I have no idea as whats going on and how to debug this. Please help.&lt;/p&gt;
&lt;p&gt;I tried debugging it on the event log, debug log and the console. Not able to figure out.  Please help!&lt;/p&gt;
&lt;pre&gt;&lt;code&gt;            COMPONENT: 
            &amp;lt;aura:component controller="CustomMassDownload" implements="force:appHostable,force:hasRecordId,flexipage:availableForAllPageTypes,force:lightningQuickAction" access="global" &amp;gt; 
                &amp;lt;div class="slds-p-top_xx-large"&amp;gt;
                       &amp;lt;button type="button" onclick="{!c.downloadFile}" &amp;gt;Download&amp;lt;/button&amp;gt; 
                &amp;lt;/div&amp;gt;
            &amp;lt;/aura:component&amp;gt;
            CONTROLLER:
            ({
                downloadFile : function(component, event, helper) {
                    console.log('why?');
                    helper.getString(component,event,helper);
                }
            })
            HELPER:
            ({
getString : function(component,event,helper) {
    console.log('owl');
    var action = component.get("c.ReturnString");
    action.setParams({
        abc: "djflskj"
    });
    console.log('puppy' + action);
    action.setCallback(this,function(response){
        console.log('issuccess');
        var state = response.getState();
        if(state === "SUCCESS"){
            console.log('love');
        }else{
            console.log('hate');
        }
    });
}
&lt;/code&gt;&lt;/pre&gt;
&lt;p&gt;})
                APEX:&lt;/p&gt;
&lt;pre&gt;&lt;code&gt;            public class CustomMassDownload{
                @AuraEnabled
                public static String ReturnString(String abc){
                system.debug('aaaaaaaaaa');
                return abc;
                }
            }
&lt;/code&gt;&lt;/pre&gt;
</t>
  </si>
  <si>
    <t xml:space="preserve">&lt;p&gt;After further looking at your code I see you are not actually calling your apex controller.&lt;/p&gt;
&lt;p&gt;You need to add &lt;code&gt;$A.enqueueAction&lt;/code&gt; to your &lt;code&gt;getString&lt;/code&gt;.&lt;/p&gt;
&lt;pre&gt;&lt;code&gt;getString : function(component,event,helper) {
    console.log('owl');
    var action = component.get("c.ReturnString");
    action.setParams({
        abc: "djflskj"
    });
    console.log('puppy' + action);
    action.setCallback(this,function(response){
        console.log('issuccess');
        var state = response.getState();
        if(state === "SUCCESS"){
            console.log('love');
        }else{
            console.log('hate');
        }
    });
    $A.enqueueAction(action);
}
&lt;/code&gt;&lt;/pre&gt;
</t>
  </si>
  <si>
    <t xml:space="preserve">&lt;p&gt;I have a collection that comes from Dynamics 365 that is just a list of dates in YYM format, I would like to format the dropdown to display something more meaningful for the user.&lt;/p&gt;
&lt;p&gt;For example Dynamics will return 191 (an int), I would like to display January '19, for 196 I'd display June '19&lt;/p&gt;
&lt;p&gt;I can't see where in the dropdown control there are options to format the displayed text&lt;/p&gt;
</t>
  </si>
  <si>
    <t xml:space="preserve">&lt;p&gt;I am very new to outsystems and I am trying to create a simple web app. I have a list screen that I created via dragging the entity on the interface. I created the details screen the same way. Why is that when I link the specific data on the list to display its details on the detail screen, it is not showing? Thanks for any help&lt;/p&gt;
</t>
  </si>
  <si>
    <t xml:space="preserve">&lt;p&gt;When you create a listing and a detail screen by scaffolding, the usual behaviour is that one attribute will automatically be created as a link from the listing to the detail page. That will take care of the required things.&lt;/p&gt;
&lt;p&gt;When you create the link manually, you need to make sure that you identify which variable maps to the identifier of that webpage. Usually, the detail page receives a parameter of type Identifier. You need to map the correct value to this parameter.&lt;/p&gt;
&lt;p&gt;Checking OutSystems videos, the initial ones about designing screens will help you a lot.&lt;/p&gt;
&lt;p&gt;Cheers!&lt;/p&gt;
</t>
  </si>
  <si>
    <t xml:space="preserve">&lt;p&gt;loaded the script core/main.js , daygrid/main.js, daygrid/main.css , core/main.css and got the following error on load &lt;/p&gt;
&lt;p&gt;Uncaught TypeError: Illegal invocation
throws at &lt;a href="https://flow-momen" rel="nofollow noreferrer"&gt;https://flow-momen&lt;/a&gt;&lt;a href="https://i.stack.imgur.com/NEoak.png" rel="nofollow noreferrer"&gt;enter image description here&lt;/a&gt;tum-5169.lightning.force.com/resource/1557998143000/PA_rSp__FullCalendar:6:1128&lt;/p&gt;
&lt;p&gt;.......&lt;/p&gt;
&lt;pre&gt;&lt;code&gt;import { LightningElement } from 'lwc';
import fullcalendar from '@salesforce/resourceUrl/FullCalendar';
import fullcalendarcss from '@salesforce/resourceUrl/fullcalendarcss';
import daygrid from '@salesforce/resourceUrl/daygrid';
import daygridcss from '@salesforce/resourceUrl/daygridcss';
  import { loadScript, loadStyle }
                    from'lightning/platformResourceLoader';
 export default class Lwccalendar extends LightningElement 
 {
    renderedonce=false;
    renderedCallback()
    {
       if(this.renderedonce===true)
       {
         return;
       }
       this.renderonce=true;
       alert("here");
       Promise.all([
       loadScript(this, fullcalendar),
       loadScript(this, daygrid ),
       loadStyle(this, fullcalendarcss),        
       loadStyle(this, daygridcss)
       ])
        .then(() =&amp;gt; {
            alert("here");
            this.rendercalendar();
        }).catch(error =&amp;gt; {
              alert(error.message);
        });
}
rendercalendar()
{
    alert("here");
    let calendarEl=this.template.querySelector(`[data-id="calendar"]`);
    alert("got the dom");
    const calendarobj = new FullCalendar.Calendar(calendarEl, {
      plugins: [ 'dayGrid' ]
      });
      calendarobj.render();
      alert("render complete");
    }
}
&lt;/code&gt;&lt;/pre&gt;
&lt;p&gt;...&lt;/p&gt;
</t>
  </si>
  <si>
    <t xml:space="preserve">&lt;p&gt;I am trying to build a Power App that creates Input text boxes dynamically.&lt;/p&gt;
&lt;p&gt;This is my data.&lt;/p&gt;
&lt;pre&gt;&lt;code&gt;Category Name         Product 1       Product 2     Product 3  Product 4 
Marketing Center 1     1               1              2           2
Marketing Center 2     1               1              2           2
Marketing Center 3     1               1              2           2
Marketing Center 4     1               1              2           2
Marketing Center 5     1               1              2           2
&lt;/code&gt;&lt;/pre&gt;
&lt;p&gt;Now, the Problem here is My Category Names and as well as Product columns increases over time.&lt;/p&gt;
&lt;p&gt;How Can I build a User Input table dynamically to get the User Inputs - Something like this...and gives me the total of it...&lt;/p&gt;
&lt;pre&gt;&lt;code&gt;Category Name         Product 1       Product 2     Product 3  Product 4   Total 
Marketing Center 1     1               1              2           2         6
Marketing Center 2     1               1              2           2         6
Marketing Center 3     1               1              2           2         6
Marketing Center 4     1               1              2           2         6
Marketing Center 5     1               1              2           2         6
&lt;/code&gt;&lt;/pre&gt;
&lt;p&gt;The values of the Products are editable and the total gets calculated on the fly as the user inputs.&lt;/p&gt;
&lt;p&gt;I believe this can be done with some data modelling and collection concepts. But I am new to this.&lt;/p&gt;
</t>
  </si>
  <si>
    <t xml:space="preserve">&lt;p&gt;What is the Data Source? A SQL Table? A Sharepoint List? In-app data that user creates? &lt;/p&gt;
&lt;p&gt;Somehow you need to get a Collection of the data (ex: &lt;code&gt;colYourData&lt;/code&gt;). Once you have that, use the &lt;a href="https://docs.microsoft.com/en-us/powerapps/maker/canvas-apps/functions/function-table-shaping" rel="nofollow noreferrer"&gt;AddColumns&lt;/a&gt; and &lt;a href="https://docs.microsoft.com/en-us/powerapps/maker/canvas-apps/functions/function-aggregates" rel="nofollow noreferrer"&gt;Sum&lt;/a&gt; functions to get the &lt;code&gt;Total&lt;/code&gt; column.&lt;/p&gt;
&lt;p&gt;&lt;strong&gt;Something like:&lt;/strong&gt; &lt;/p&gt;
&lt;pre&gt;&lt;code&gt;ClearCollect(colYourDataWithTotals, 
    AddColumns(colYourData,
        "Total",
        Sum(colYourData, product1, product2, product3, product4)
    )
)
&lt;/code&gt;&lt;/pre&gt;
</t>
  </si>
  <si>
    <t xml:space="preserve">&lt;p&gt;When I change the relations between two data sources using a Multi Select widget, App Maker duplicates the relations.&lt;/p&gt;
&lt;p&gt;&lt;strong&gt;Exported data:&lt;/strong&gt;&lt;/p&gt;
&lt;p&gt;&lt;a href="https://i.stack.imgur.com/nBxyH.png" rel="nofollow noreferrer"&gt;&lt;img src="https://i.stack.imgur.com/nBxyH.png" alt="Duplicate relations"&gt;&lt;/a&gt;&lt;/p&gt;
&lt;p&gt;The &lt;strong&gt;product - bundles&lt;/strong&gt; relation is many-to-many.&lt;/p&gt;
&lt;p&gt;This relation is managed from the &lt;strong&gt;product&lt;/strong&gt; data source via a Multi Select widget for the &lt;strong&gt;bundles&lt;/strong&gt;.&lt;/p&gt;
&lt;p&gt;Multi Select settings:&lt;/p&gt;
&lt;ul&gt;
&lt;li&gt;Data source: &lt;strong&gt;product&lt;/strong&gt; (inherited).&lt;/li&gt;
&lt;li&gt;Values: bound to &lt;code&gt;@datasource.item.bundles&lt;/code&gt;.&lt;/li&gt;
&lt;li&gt;Options: bound to &lt;code&gt;@datasources.bundles.items&lt;/code&gt;.&lt;/li&gt;
&lt;/ul&gt;
&lt;p&gt;Has anyone encountered this before, discovered why, or found a solution?
I have tried Googling anything I can think of to find a solution, but I have not found anyone else with this issue.&lt;/p&gt;
&lt;p&gt;I have observed this in more than one of my relations that are managed by a Multi Select widget. I have also observed this in one of my relations that are managed via a client-side script that is triggered in the UI (but I'm going to assume I am at fault on that one until I find out why the Multi Selects make duplicates).&lt;/p&gt;
&lt;p&gt;Documentation I have read to try to understand why:&lt;/p&gt;
&lt;p&gt;&lt;a href="https://developers.google.com/appmaker/models/relations#data_binding" rel="nofollow noreferrer"&gt;Modify associations with a data binding&lt;/a&gt; &lt;em&gt;i.e Multi Select widgets&lt;/em&gt;&lt;/p&gt;
&lt;p&gt;&lt;a href="https://developers.google.com/appmaker/models/import-export#many-to-many" rel="nofollow noreferrer"&gt;Many-to-many export&lt;/a&gt;&lt;/p&gt;
&lt;hr&gt;
&lt;h3&gt;&lt;strong&gt;EDIT&lt;/strong&gt;&lt;/h3&gt;
&lt;p&gt;Logging the related records to the console shows that while I'm editing the relations, there is only one instance of each record. After saving the &lt;strong&gt;product&lt;/strong&gt; record and reloading the app, logging to the console shows that both relations have been duplicated.&lt;/p&gt;
&lt;p&gt;Also, the &lt;strong&gt;product&lt;/strong&gt; data source is in manual-save mode and the &lt;strong&gt;bundle&lt;/strong&gt; data source is not.&lt;/p&gt;
</t>
  </si>
  <si>
    <t xml:space="preserve">&lt;p&gt;I'm trying to write to a SQL Server table &lt;code&gt;[frm].[Resultran]&lt;/code&gt;.&lt;/p&gt;
&lt;p&gt;It has a &lt;code&gt;Resultid&lt;/code&gt; column which is the primary key and it's set as an &lt;code&gt;autonumber&lt;/code&gt;.&lt;/p&gt;
&lt;p&gt;Currently on a button on the on select property I have the following code:&lt;/p&gt;
&lt;pre&gt;&lt;code&gt;Patch('[frm].[Resultran], Default('[frm].[Resultran]'),{Creationdate: now(), Result: Radio1.selected} )
&lt;/code&gt;&lt;/pre&gt;
&lt;p&gt;I have looked at some websites to see if my syntax is correct and I found that I have put it correctly . Unfortunately its coming up with an error stating: &lt;/p&gt;
&lt;blockquote&gt;
  &lt;p&gt;Patch has some invalid arguments&lt;/p&gt;
&lt;/blockquote&gt;
&lt;p&gt;Can someone assist me please?&lt;/p&gt;
</t>
  </si>
  <si>
    <t xml:space="preserve">&lt;p&gt;What I need at the current moment is to add all the records that are in my gallery to a collection. My gallery is called gallery2 and my collection is called tmpresultifo
Below is my code and it seems like it is not looping and adding to my collection as I would like it to&lt;/p&gt;
&lt;p&gt;ForAll(Gallery2.AllItems,Collect(tmpresultinfo, {Creationdate: Now(), questionid: Gallery2.Selected.Question, result: Gallery2.Selected.Radio1.Selected.Value}))&lt;/p&gt;
&lt;p&gt;Thanks &lt;/p&gt;
</t>
  </si>
  <si>
    <t xml:space="preserve">&lt;p&gt;&lt;img src="https://i.stack.imgur.com/RL5x1.png" alt="Error I got"&gt;&lt;/p&gt;
&lt;p&gt;I'm currently validating a date box widget to prevent filing after a 30 days grace period. The date validation was working but after the alert prompted it wasn't going down(I was stock in here even after a couple of clicks). Also the date box is not going null.&lt;/p&gt;
&lt;pre&gt;&lt;code&gt;function checkDateValidate(widget) {
  var form = app.pages.Newitem.descendants;
  var otdate = form.otDateBox.value; 
  var date = new Date();
  var pastdate = date.setDate(date.getDate() - 31);
  if(otdate &amp;lt;= pastdate) {
    alert('Date exceeds within 30 days grace period is invalid.');
    form.otDateBox.value = null;
  }
}
&lt;/code&gt;&lt;/pre&gt;
&lt;p&gt;I expected to clear the date box widget.&lt;/p&gt;
</t>
  </si>
  <si>
    <t xml:space="preserve">&lt;p&gt;This error sometimes happens because there is an infinite loop going on and this is your case. It is very important that you understand the difference between the &lt;strong&gt;onValueChange&lt;/strong&gt; event handler and the &lt;strong&gt;onValueEdit&lt;/strong&gt; event handler.&lt;/p&gt;
&lt;p&gt;The &lt;strong&gt;onValueChange&lt;/strong&gt;:&lt;/p&gt;
&lt;blockquote&gt;
  &lt;p&gt;This script will run on the client whenever the value property of this widget changes. The widget can be referenced using parameter widget and the new value of the widget is stored in newValue.&lt;/p&gt;
&lt;/blockquote&gt;
&lt;p&gt;The &lt;strong&gt;onValueEdit&lt;/strong&gt;:&lt;/p&gt;
&lt;blockquote&gt;
  &lt;p&gt;This script will run on the client whenever the value of this widget is edited by the user. The widget can be referenced using parameter widget and the new value of the widget is stored in newValue. Unlike onValueChange(), this runs only when a user changes the value of the widget; it won't run in response to bindings or when the value is set programmatically.&lt;/p&gt;
&lt;/blockquote&gt;
&lt;p&gt;&lt;br&gt;&lt;/p&gt;
&lt;h2&gt;Why is this happening?&lt;/h2&gt;
&lt;p&gt;Since your logic is set on the &lt;strong&gt;onValueChange&lt;/strong&gt; event handler, this will be triggered everytime the &lt;strong&gt;dateBox&lt;/strong&gt; widget value is changed, even programmatically; Hence, &lt;code&gt;form.otDateBox.value = null;&lt;/code&gt; is triggering the logic over and over again. The reason why it is being triggered over and over again is due to your comparison logic:&lt;/p&gt;
&lt;pre&gt;&lt;code&gt;if(otdate &amp;lt;= pastdate)
&lt;/code&gt;&lt;/pre&gt;
&lt;p&gt;Here, the value of &lt;strong&gt;otdate&lt;/strong&gt; has become &lt;strong&gt;null&lt;/strong&gt; wich when converted to number &lt;code&gt;Number(null)&lt;/code&gt; the value is &lt;strong&gt;0&lt;/strong&gt;(zero). The value of &lt;strong&gt;pastdate&lt;/strong&gt; is obviously a number greater than zero, eg &lt;strong&gt;1555413900712&lt;/strong&gt;. So obviously, zero is less than or equal to 1555413900712 and that is why you are triggering an infinite loop.&lt;/p&gt;
&lt;p&gt;So, in summary, there is only one way to fix this. Set the logic inside the &lt;strong&gt;onValueEdit&lt;/strong&gt; event handler instead of the &lt;strong&gt;onValueChange&lt;/strong&gt;.&lt;/p&gt;
</t>
  </si>
  <si>
    <t xml:space="preserve">&lt;p&gt;I'm trying to convert a simple OnClick Javascript button to Lightning.  This OnClick is pretty simple, it just opens a URL, but it uses a value on a parent record as part of the URL. ie, a button on the Opportunity Object that will grab part of the URL from it's parent Account's This_Field__c field:&lt;/p&gt;
&lt;pre&gt;&lt;code&gt;    window.open('https://www.salesforce.com/'+'{!Account.This_Field__c}'+'/info');
&lt;/code&gt;&lt;/pre&gt;
&lt;p&gt;So if the value on the field was XYZ, this would open the page &lt;a href="https://www.salesforce.com/XYZ/info" rel="nofollow noreferrer"&gt;https://www.salesforce.com/XYZ/info&lt;/a&gt;&lt;/p&gt;
&lt;p&gt;What's the easiest way to get the value of Account.This_Field__c in a lightning component?&lt;/p&gt;
&lt;p&gt;Considered using an Apex controller but that seems like overkill.  Tried force:recordData, didn't seem to work, possibly because of it beign on a parent record.  We don't want more fields on the Opportunity, otherwise I might try a formula.&lt;/p&gt;
&lt;p&gt;window.open('&lt;a href="https://www.salesforce.com/" rel="nofollow noreferrer"&gt;https://www.salesforce.com/&lt;/a&gt;'+'{!Account.This_Field__c}'+'/info');&lt;/p&gt;
&lt;p&gt;If the value on the field was XYZ, this would open the page &lt;a href="https://www.salesforce.com/XYZ/info" rel="nofollow noreferrer"&gt;https://www.salesforce.com/XYZ/info&lt;/a&gt;&lt;/p&gt;
</t>
  </si>
  <si>
    <t xml:space="preserve">&lt;p&gt;I created a Datasource named &lt;strong&gt;Horas&lt;/strong&gt; whith a &lt;strong&gt;Query Server Script&lt;/strong&gt;, and I make a Custom Parameters named &lt;code&gt;Usuario&lt;/code&gt;.&lt;/p&gt;
&lt;p&gt;I bind in a page with datoasource Horas as &lt;/p&gt;
&lt;pre&gt;&lt;code&gt;textField.value &amp;lt;-&amp;gt; datasource.query.parameters.Usuario
&lt;/code&gt;&lt;/pre&gt;
&lt;p&gt;And I get the error:&lt;/p&gt;
&lt;blockquote&gt;
  &lt;p&gt;Error: Parameter '&lt;code&gt;Usuario&lt;/code&gt;' is used in '&lt;code&gt;where&lt;/code&gt;' clause but not defined
  in property '&lt;code&gt;parameters&lt;/code&gt;'. at &lt;code&gt;datasources.Horas&lt;/code&gt;&lt;/p&gt;
&lt;/blockquote&gt;
&lt;p&gt;Horas is a Query Server Script datasource&lt;/p&gt;
&lt;pre&gt;&lt;code&gt;  var query = app.models.Registros.newQuery();
  query.where = 'Usuario =? :Usuario';
  var allRegistros = query.run();
&lt;/code&gt;&lt;/pre&gt;
&lt;p&gt;I expected to get a table with data filtered by &lt;strong&gt;&lt;code&gt;Usuario&lt;/code&gt;&lt;/strong&gt;,
How to get ride of the error?&lt;/p&gt;
</t>
  </si>
  <si>
    <t xml:space="preserve">&lt;p&gt;I want to create horizontal header menu that can navigate to
multiple page below it but  do not want to duplicate it for each page.&lt;/p&gt;
&lt;p&gt;Note: The horizontal header menu is not a duplicated for the multi page&lt;/p&gt;
</t>
  </si>
  <si>
    <t xml:space="preserve">&lt;p&gt;I have a problem in getting access token. After getting auth code, when I called my get_access_token it returns "invalid_client" error. I researched about it but nothing helped me. Please, look at my code and help me to solve this problem. Thank you in advance.
Here is my code:&lt;/p&gt;
&lt;pre&gt;&lt;code&gt;public function get_access_token($zoho_code)
{
    $headers = array(
    );
    $taskurl = 'https://accounts.zoho.com/oauth/v2/token';
    $cdata = array(
        'code' =&amp;gt; $zoho_code,
        'grant_type' =&amp;gt; 'authorization_code',
        'client_id' =&amp;gt;  $this-&amp;gt;client_id,
        'client_secret' =&amp;gt; $this-&amp;gt;client_secret_id,
        'redirect_uri' =&amp;gt; 'http://localhost/callback.php',
        'scope' =&amp;gt; 'ZohoMail.accounts.UPDATE,ZohoMail.accounts.READ,ZohoMail.partner.organization.READ,ZohoMail.partner.organization.UPDATE,ZohoMail.organization.accounts.CREATE,ZohoMail.organization.accounts.UPDATE,ZohoMail.organization.accounts.READ,ZohoMail.organization.domains.CREATE,ZohoMail.organization.domains.UPDATE,ZohoMail.organization.domains.DELETE,ZohoMail.organization.domains.READ',
        'state' =&amp;gt; '55555sfdfsdfgbcv',
    );
    $curlresult = $this-&amp;gt;docurl($taskurl, $cdata, $headers);
    return $curlresult;
}
public function docurl($taskurl, $cdata, $headers, $method = 'post',$sendjson=true) {
    $ch = curl_init();
    if ($method == 'get') {
        if ($cdata) {
            $query = '?' . http_build_query($cdata);
            $taskurl .= $query;
        }
        curl_setopt($ch, CURLOPT_CUSTOMREQUEST, 'GET');
    } elseif ($method == 'delete') {
        curl_setopt($ch, CURLOPT_CUSTOMREQUEST, 'DELETE');
    } elseif ($method == 'put') {
        curl_setopt($ch, CURLOPT_CUSTOMREQUEST, 'PUT');
    } elseif ($method == 'patch') {
        if($sendjson) $cdata = json_encode($cdata);
        curl_setopt($ch, CURLOPT_POSTFIELDS, $cdata);
        curl_setopt($ch, CURLOPT_CUSTOMREQUEST, 'PATCH');
    } else {
        if($sendjson) $cdata = json_encode($cdata);
        curl_setopt($ch, CURLOPT_POSTFIELDS, $cdata);
    }
    curl_setopt($ch, CURLOPT_URL, $taskurl);
    curl_setopt($ch, CURLOPT_HTTPHEADER, $headers);
    curl_setopt($ch, CURLOPT_RETURNTRANSFER, TRUE);
    $res = curl_exec($ch);
    $information = curl_getinfo($ch);
    print_r($information);
    print_r($cdata);
    curl_close($ch);
    $resj = json_decode($res);
     return $resj;
}
&lt;/code&gt;&lt;/pre&gt;
</t>
  </si>
  <si>
    <t xml:space="preserve">&lt;p&gt;I'm using REST API as a datasource and not sure how to manually set a value in the MultiSelect widget&lt;/p&gt;
&lt;p&gt;The widget datasource is named &lt;code&gt;Service&lt;/code&gt; and has an &lt;code&gt;id&lt;/code&gt; and &lt;code&gt;name&lt;/code&gt;&lt;/p&gt;
&lt;p&gt;What I tried is &lt;code&gt;widget.values = [...IDs of the values...]&lt;/code&gt; but it doesn't work&lt;/p&gt;
</t>
  </si>
  <si>
    <t xml:space="preserve">&lt;p&gt;Two things:&lt;/p&gt;
&lt;ol&gt;
&lt;li&gt;The binding in your follow-up comment -- &lt;code&gt;@datasources.Services.items&lt;/code&gt; -- won't work for a multiselect, because it represents the entire set of records in your Services datasource. The binding that Markus suggests is what projects to grab just the names of each of the items. If you are trying to present the &lt;code&gt;name&lt;/code&gt; as the human-readable choice but use the &lt;code&gt;id&lt;/code&gt; as the value you're going to do something with, then you'll want this:&lt;/li&gt;
&lt;/ol&gt;
&lt;pre&gt;&lt;code&gt;widget.names = @datasources.Service.items..name;
widget.options = @datasources.Service.items..id;
&lt;/code&gt;&lt;/pre&gt;
&lt;ol start="2"&gt;
&lt;li&gt;The multiselect options property represents the possibilities for the values property, and the values property represents the options that have been selected. They are each set as an array. The stuff in 1. above gets you the right set of options but doesn't deal with values. If you want to present particular values as selected or not, you'll either need to:
&lt;ul&gt;
&lt;li&gt;Pass in values from another datasource, turned into an array. This would be if you're reading the values from a specific field in another record. So if you had a User datasource, and the User had a Services field, you might get the existing selections from the User record like this: &lt;code&gt;@datasources.User.item.Services#strToArray()&lt;/code&gt;; or&lt;/li&gt;
&lt;li&gt;Set the values programmatically. This would be if you're doing something else behind the scenes to generate the pre-selected values. So if your Service datasource has six things in it that are potential options, but only some of them should be selected, your script would contain something like this: &lt;code&gt;widget.values = [selection1, selection5, selection6];&lt;/code&gt;&lt;/li&gt;
&lt;/ul&gt;&lt;/li&gt;
&lt;/ol&gt;
</t>
  </si>
  <si>
    <t xml:space="preserve">&lt;p&gt;I would like to set up a JDBC connection for an app in Google App maker without storing the username/password in the script. &lt;/p&gt;
&lt;p&gt;I thought of doing this by storing this information in a spreadsheet that only I have access to. In this case, the developer would have to be used as the execution identity. &lt;/p&gt;
&lt;p&gt;But I would actually like the app to run as the user so that I can use the user id to set access permissions/customize what is displayed, editable, etc.  &lt;/p&gt;
&lt;p&gt;So in summary I would like the app to run as the user but the JDBC connection to be established through my credentials, which should not be shared with anyone.&lt;/p&gt;
&lt;p&gt;Is it possible to run different scripts within the same app as different execution identities? If not, what might be a solution to this?&lt;/p&gt;
</t>
  </si>
  <si>
    <t xml:space="preserve">&lt;p&gt;How could we allow User to use only one LWC instance in salesforce?&lt;/p&gt;
&lt;p&gt;I'm a newbie in salesforce lightning web components so wanted to set a permission or a code could be useful.&lt;/p&gt;
&lt;p&gt;The expected results should be: only one LWC instance should appear, should be visible or user should be allowed to only drag and drop once that would suffice the requirement.&lt;/p&gt;
</t>
  </si>
  <si>
    <t xml:space="preserve">&lt;p&gt;I've tried patching my collection to SP list. However, it creates new item for every row from my collection. What I wanted to achieve is to combine all data from the collection and insert it as a single entry in Sharepoint.&lt;/p&gt;
&lt;p&gt;I've created a button that patches the data from collection to SharePoint.&lt;/p&gt;
&lt;pre&gt;&lt;code&gt;ForAll(RemedialCollection,Patch(CAF,Defaults(CAF),{Title:title_datavalue.Text, RemedialAction:RemedialAct,RemedialActionDetails:RemDetails}))
&lt;/code&gt;&lt;/pre&gt;
&lt;p&gt;However, this function creates new item per row. For example in my collections I have 3 entries, when I patch it, I will have 3 new entries in SP. Is it possible to combine those 3 entries into 1 entry?&lt;/p&gt;
</t>
  </si>
  <si>
    <t xml:space="preserve">&lt;p&gt;Maybe you can first use the &lt;a href="https://docs.microsoft.com/en-us/powerapps/maker/canvas-apps/functions/function-concatenate" rel="nofollow noreferrer"&gt;Concat&lt;/a&gt; function to combine the same fields of the entries, then use Patch to patch the data into SharePoint. However Concat creates strings so it may not match the data type for all your SharePoint fields. There is a PowerApps discussion where someone &lt;a href="https://powerusers.microsoft.com/t5/General-Discussion/Combine-rows-in-collection-separated-by-commas-so-that-Patch/td-p/163877" rel="nofollow noreferrer"&gt;uses Concat to combine records to speed up the Patch function&lt;/a&gt;. &lt;/p&gt;
&lt;p&gt;You could also look at this discussion about &lt;a href="https://powerusers.microsoft.com/t5/General-Discussion/Combining-Multiple-Records-to-One-via-a-collection/td-p/63776" rel="nofollow noreferrer"&gt;combining records inside of a collection&lt;/a&gt;.&lt;/p&gt;
</t>
  </si>
  <si>
    <t xml:space="preserve">&lt;p&gt;my question is that I have a table with data in my Powerapps application and I would like to export this table to an excel sheet. Is it posible? 
I've tried to use the flow but I cant pass the whole table with de data.
Thanks!&lt;/p&gt;
</t>
  </si>
  <si>
    <t xml:space="preserve">&lt;p&gt;Visualforce page failed to show up in EU6 orgs when installed via managed package. &lt;/p&gt;
&lt;blockquote&gt;
  &lt;p&gt;This page isn't available in Salesforce Lightning Experience or mobile app.&lt;/p&gt;
&lt;/blockquote&gt;
&lt;p&gt;Steps to reproduce&lt;/p&gt;
&lt;ol&gt;
&lt;li&gt;Create a Visual Force page and enable it for both Salesforce1 and Lightning with &lt;code&gt;standardcontroller="opportunity"&lt;/code&gt;&lt;/li&gt;
&lt;li&gt;Install the package in another EU6 org. And drop this visual force page inside opportunity layout. &lt;/li&gt;
&lt;li&gt;&lt;p&gt;View any opportunity in Salesforce Lightning. The Visual Force page will give following error. &lt;/p&gt;
&lt;blockquote&gt;
  &lt;p&gt;This page isn't available in Salesforce Lightning Experience or mobile app.&lt;/p&gt;
&lt;/blockquote&gt;&lt;/li&gt;
&lt;/ol&gt;
&lt;p&gt;Please note this is happening in orgs which are in EU6 reason and only happening in lightening. On classic it is working fine. On Orgs other then EU6 it is working on both classic and lightening. &lt;/p&gt;
&lt;p&gt;I already raises a case with Salesforce support, they are working on it.&lt;/p&gt;
</t>
  </si>
  <si>
    <t xml:space="preserve">&lt;p&gt;I'm new to Salesforce surveys and I'd like to embed a URL (for this example, &lt;a href="https://www.google.com" rel="nofollow noreferrer"&gt;https://www.google.com&lt;/a&gt;) in an image. I've tried following their documentation &lt;a href="https://help.salesforce.com/articleView?id=fields_rich_text_area_limitations.htm&amp;amp;type=0" rel="nofollow noreferrer"&gt;here&lt;/a&gt; but it's a tad confusing. The survey's editor doesn't give any built-in options - this is what I have right now:&lt;/p&gt;
&lt;p&gt;&lt;a href="https://i.stack.imgur.com/t3QDn.png" rel="nofollow noreferrer"&gt;&lt;img src="https://i.stack.imgur.com/t3QDn.png" alt="img1"&gt;&lt;/a&gt;&lt;/p&gt;
&lt;p&gt;In a wild attempt I tried:&lt;/p&gt;
&lt;p&gt;&lt;a href="https://i.stack.imgur.com/QQz2m.png" rel="nofollow noreferrer"&gt;&lt;img src="https://i.stack.imgur.com/QQz2m.png" alt="img2"&gt;&lt;/a&gt;&lt;/p&gt;
&lt;p&gt;To no avail - it just displays the plain text in production. How can I embed a URL in an image (if possible)?&lt;/p&gt;
</t>
  </si>
  <si>
    <t xml:space="preserve">&lt;p&gt;I have a form in appmaker which has many (atleast 20-25) input elements.
I want to disable all of them through code without writing separate disable line code for each element. &lt;/p&gt;
&lt;p&gt;I tried to use a for loop to do something like below but found no luck as its not right.&lt;/p&gt;
&lt;pre&gt;&lt;code&gt;  for(var i=0; i&amp;lt; app.currentPage.descendants.Form1.children.length; i++) 
   {
     app.currentPage.descendants.Form1.children[0].enabled=false;
   }
&lt;/code&gt;&lt;/pre&gt;
&lt;p&gt;Is there a way to disable them all at once?&lt;/p&gt;
</t>
  </si>
  <si>
    <t xml:space="preserve">&lt;p&gt;This is untested, but try the following:&lt;/p&gt;
&lt;pre&gt;&lt;code&gt;var children = app.currentPage.descendants.Form1Body.children._values;
for (var i in children) {
  children[i].enabled = false;
}
&lt;/code&gt;&lt;/pre&gt;
&lt;p&gt;Note that I am using Form1Body instead of Form1 because the top Form element is made up of a header, body, and footer, so when looping over children of Form1 you are in fact referencing 3 separate panels instead of input elements.&lt;/p&gt;
</t>
  </si>
  <si>
    <t xml:space="preserve">&lt;p&gt;I am on-boarded into a project where there are existing Apex Class, Apex Trigger, Aura Component Bundle, Custom Object, Lightning Component, Visualforce Component, and Visualforce Pages.&lt;/p&gt;
&lt;p&gt;I am given a task to find out which of there components are currently being used in the sfdc.com system.&lt;/p&gt;
&lt;p&gt;Should I start to go through the functional requirement documents first and understand how the system is and then check the code?&lt;/p&gt;
&lt;p&gt;Or is there any tool which will help me in showing which sfdc.com components are being used and which are not being used?
Does show dependencies button help in this regard?&lt;/p&gt;
&lt;p&gt;Also, for the apex class components which are being used how do I decided from where to start writing the test classes?&lt;/p&gt;
</t>
  </si>
  <si>
    <t xml:space="preserve">&lt;p&gt;I'm using REST API as a datasource and not sure how to manually set a value in the Dropdown widget&lt;/p&gt;
&lt;p&gt;The widget datasource is set to &lt;code&gt;Client&lt;/code&gt; options are set to &lt;code&gt;@datasource.items&lt;/code&gt;. The "display field" is &lt;code&gt;name&lt;/code&gt;.&lt;/p&gt;
&lt;p&gt;I'm running a script after the widget/data is loaded, I'm able to get all the options as an array and find the one that needs to be selected, but can't set the value to the widget.&lt;/p&gt;
&lt;p&gt;What I tried is &lt;code&gt;widget.values = widget.options[&amp;lt;index&amp;gt;]&lt;/code&gt; but it seems to always select the first option, no matter what the index is.&lt;/p&gt;
</t>
  </si>
  <si>
    <t xml:space="preserve">&lt;p&gt;I have a list in which the listRow contains a panel inside. Then, inside the panel there are 3 text fields. I want to disable those 3 text fields through code but the problem is that I am not able to access the enabled property of those 3 text fields.&lt;/p&gt;
&lt;p&gt;I tried the following to no avail:&lt;/p&gt;
&lt;pre&gt;&lt;code&gt;var x=app.currentPage.descendants.FileList.descendants._values;
&lt;/code&gt;&lt;/pre&gt;
&lt;p&gt;Any ideas?&lt;/p&gt;
</t>
  </si>
  <si>
    <t xml:space="preserve">&lt;p&gt;According to the &lt;a href="https://developers.google.com/appmaker/scripting/api/widgets#List" rel="nofollow noreferrer"&gt;List Widget&lt;/a&gt; documentation, the properties table explains:&lt;/p&gt;
&lt;blockquote&gt;
  &lt;p&gt;&lt;strong&gt;descendants&lt;/strong&gt; - All the children of this Layout widget recursively, identified by their names. This excludes any repeated children, such as rows in a List, cells in a Grid, Accordion, and their content.&lt;/p&gt;
&lt;/blockquote&gt;
&lt;p&gt;Therefore, using descendants will definitely NOT give you what you want. Moreover, it also explains:&lt;/p&gt;
&lt;blockquote&gt;
  &lt;p&gt;&lt;strong&gt;children&lt;/strong&gt; - The direct children of this Layout widget, identified by their names.&lt;/p&gt;
&lt;/blockquote&gt;
&lt;p&gt;Here, is not specifying that it will exclude repeated children, and since each row item in a list is a repeated child, then this is the option we need to use.&lt;/p&gt;
&lt;p&gt;Now, invoking the children will give us a &lt;a href="https://developers.google.com/appmaker/scripting/api/client#PropertyMap" rel="nofollow noreferrer"&gt;PropertyMap&lt;/a&gt;, so we need to iterate through each item by invoking the PropertyMap values. So you need to do this:&lt;/p&gt;
&lt;pre&gt;&lt;code&gt;var rows = app.currentPage.descendants.FileList.children._values;
rows.forEach(function(row){
    var rPanel = row.descendants.[PanelWidgetName];
    var panelDescs = rPanel.descendants.
    panelDescs.forEach(function(desc){
        desc.enabled = true; //false
    });
});
&lt;/code&gt;&lt;/pre&gt;
</t>
  </si>
  <si>
    <t xml:space="preserve">&lt;p&gt;I am new to developing and trying to create a custom function, in the estimate module i have a custom field (drop down) with 3 options 0, 50, 100.
I need to update the auto retainer invoice check box to true and fill in the percent amount with the amount from the custom field (0,50,100)&lt;/p&gt;
</t>
  </si>
  <si>
    <t xml:space="preserve">&lt;p&gt;SHORT VERSION: I'm wondering if there's a way to temporarily store an array of data between the time a page loads and the time someone takes some other action on the page. I have about 35 things from a couple of sources other than AppMaker datasources, only some of which I need to load up front, but all of which I want to evaluate on action, and there's got to be a better way than creating 35 hidden fields on my page just to hold each data point.&lt;/p&gt;
&lt;p&gt;LONG VERSION: &lt;/p&gt;
&lt;p&gt;I'm working in App Maker on a tool to update employee information and keep it in sync among several sources. Those sources are:&lt;/p&gt;
&lt;ul&gt;
&lt;li&gt;Our G Suite Admin Directory &lt;/li&gt;
&lt;li&gt;An Employees datasource in the app &lt;/li&gt;
&lt;li&gt;Info from a third-party tool that I can view/update via API&lt;/li&gt;
&lt;/ul&gt;
&lt;p&gt;The match point between the Admin Directory and the datasource is the Id -- the unique id from the Google user that stays intact even if a person's email address is changed. It's stored as a field in the datasource.&lt;/p&gt;
&lt;p&gt;The match point between the third-party and the datasource is the employee email address.&lt;/p&gt;
&lt;p&gt;The app user chooses an employee to update from a quasi-menu page with a Directory datasource picker, and then the EditEmployee page loads on select.&lt;/p&gt;
&lt;p&gt;The onload action for the page triggers a script that loads just the fields from the Employees datasource that are on the page because they are things we want supervisors/HR to be able to update: Department, Title, Full-time status, etc. (There's a lot of other information in the Employees datasource that we don't want them to change directly, so we don't have visible fields for those items.)&lt;/p&gt;
&lt;p&gt;The onload action also launches a server-side script that takes the stored Google Id from the Employees datasource, and looks up that user in the Admin Directory to get the organizational unit and a couple of other Google specific pieces of data.&lt;/p&gt;
&lt;p&gt;I'd love to be able to hold onto all of the Google user data in the background, rather than to have to call AdminDirectory again whenever the action is taken. If there's a way to create an array that just hangs out waiting for that action in order for it to be referred to again, it opens up the ability to also look up the employee in the third-party tool once, instead of having to make multiple API calls.&lt;/p&gt;
&lt;p&gt;Any ideas?&lt;/p&gt;
</t>
  </si>
  <si>
    <t xml:space="preserve">&lt;p&gt;Ack! I'm a dummy!&lt;/p&gt;
&lt;p&gt;The answer is &lt;strong&gt;custom properties&lt;/strong&gt; at the page level. &lt;/p&gt;
&lt;p&gt;I added a list custom property to my page, and in the onload script I created a string array out of the Google user data and set the property value to the array. I can pull back from that property in anytime I need to while I'm on the same page, until I clear it or reset the contents.&lt;/p&gt;
</t>
  </si>
  <si>
    <t xml:space="preserve">&lt;p&gt;&lt;strong&gt;Synopsis: we have a Salesforce lightning app that works fine in the dev org, but once we create a managed package and install it in orther orgs, if fails with this CORS error:&lt;/strong&gt;&lt;/p&gt;
&lt;blockquote&gt;
  &lt;p&gt;&lt;em&gt;Failed to execute ‘postMessage’ on ‘DOMWindow’: The target origin provided (‘&lt;a href="https://ashoktest-dev-ed.lightning.force.xn--com-to0a" rel="nofollow noreferrer"&gt;https://ashoktest-dev-ed.lightning.force.xn--com-to0a&lt;/a&gt;) does
  not match the recipient window’s origin
  (‘&lt;a href="https://ashoktest-dev-ed--blusign.ap15.visual.force.xn--com-to0a" rel="nofollow noreferrer"&gt;https://ashoktest-dev-ed--blusign.ap15.visual.force.xn--com-to0a&lt;/a&gt;).&lt;/em&gt;&lt;/p&gt;
&lt;/blockquote&gt;
&lt;p&gt;Here are the steps to reproduce the issue in a simple lightning app&lt;/p&gt;
&lt;p&gt;1) Create a Custom Button on Opportunity with following formula.
"/apex/namespace__testHelloVFpage" 
Name This button testHello. Drag and drop this button in Opportunity pagelayout to use it.&lt;/p&gt;
&lt;p&gt;2) Create a Visual force page using below code and Name it as testHelloVFpage&lt;/p&gt;
&lt;pre&gt;&lt;code&gt;&amp;lt;apex:page sidebar="true" showHeader="true" standardController="Opportunity"&amp;gt;
    &amp;lt;apex:includeLightning /&amp;gt;
    &amp;lt;center&amp;gt;&amp;lt;div id="lightning" style="margin-left:1%;max-width:75%;margin-bottom:2%;"/&amp;gt;&amp;lt;/center&amp;gt;
&amp;lt;script &amp;gt;
    $Lightning.use("namespace:testHelloEsignPageApp", function() {
        $Lightning.createComponent("namespace:testHelloEsignLC",
        {},
        "lightning",
        function(component) {window.$Force = sforce;});
    });
&amp;lt;/script&amp;gt;
&amp;lt;/apex:page&amp;gt;
&lt;/code&gt;&lt;/pre&gt;
&lt;p&gt;3) Create a Lightning app using below code and name it as testHelloEsignPageApp&lt;/p&gt;
&lt;pre&gt;&lt;code&gt;&amp;lt;aura:application access="GLOBAL" extends="ltng:outApp"&amp;gt;
    &amp;lt;aura:dependency resource="namespace:testHelloEsignLC"/&amp;gt;
&amp;lt;/aura:application&amp;gt;
&lt;/code&gt;&lt;/pre&gt;
&lt;p&gt;4) Create Lightning component bundle using below component code and name it testHelloEsignLC&lt;/p&gt;
&lt;pre&gt;&lt;code&gt;&amp;lt;aura:component implements="force:appHostable,flexipage:availableForAllPageTypes,flexipage:availableForRecordHome,force:hasRecordId,forceCommunity:availableForAllPageTypes,force:lightningQuickAction" 
                access="global" &amp;gt;
########### This is a Test Component ###############
    &amp;lt;br&amp;gt;&amp;lt;/br&amp;gt;
    ***********   Hello ESign *************
&amp;lt;/aura:component&amp;gt;
&lt;/code&gt;&lt;/pre&gt;
&lt;p&gt;5) Now once we click on custom button that we have created in step one, it will show us this  Lightning page. No issues&lt;/p&gt;
&lt;p&gt;NOTE :- nameSpace in above code is domain name.&lt;/p&gt;
&lt;p&gt;BUT,&lt;/p&gt;
&lt;p&gt;Once we have created a Managed Beta or Managed package and install it in any Developer edition or any other domain orgs, We are getting BLANK page. 
And the errors in INSPECT Element Console as follows. I am not getting any logs also.&lt;/p&gt;
&lt;blockquote&gt;
  &lt;p&gt;Failed to execute ‘postMessage’ on ‘DOMWindow’: The target origin
  provided (‘&lt;a href="https://ashoktest-dev-ed.lightning.force.xn--com-to0a" rel="nofollow noreferrer"&gt;https://ashoktest-dev-ed.lightning.force.xn--com-to0a&lt;/a&gt;) does
  not match the recipient window’s origin
  (‘&lt;a href="https://ashoktest-dev-ed--blusign.ap15.visual.force.xn--com-to0a" rel="nofollow noreferrer"&gt;https://ashoktest-dev-ed--blusign.ap15.visual.force.xn--com-to0a&lt;/a&gt;).&lt;/p&gt;
&lt;/blockquote&gt;
&lt;p&gt;And &lt;/p&gt;
&lt;blockquote&gt;
  &lt;p&gt;typeError - error is undefined&lt;/p&gt;
&lt;/blockquote&gt;
&lt;p&gt;And&lt;/p&gt;
&lt;blockquote&gt;
  &lt;p&gt;Uncaught TypeError: Cannot read property 'split' of undefined
      at displayErrorText (lightning.out.delegate.js?v=1558631590920:70)
      at lightning.out.delegate.js?v=1558631590920:178
      at XMLHttpRequest.xhr.onreadystatechange (lightning.out.delegate.js?v=1558631590920:112)&lt;/p&gt;
&lt;/blockquote&gt;
&lt;p&gt;Tried the following:&lt;/p&gt;
&lt;ol&gt;
&lt;li&gt;checked if we are missing any namespaces and it is not an issue.&lt;/li&gt;
&lt;li&gt;Tried Hard coding origin URL in navigateToURL section to open the page from component - failed.&lt;/li&gt;
&lt;li&gt;Tried skipping the any sort of events which are firing in component for navigation and used window.open, did nothing.&lt;/li&gt;
&lt;li&gt;Tried opening this page in URL by adding IDs manually to bypass calling component(Sign with BluSign component in UI) and got the same error.&lt;/li&gt;
&lt;li&gt;Tried enabling Development Mode for user. &lt;/li&gt;
&lt;/ol&gt;
</t>
  </si>
  <si>
    <t xml:space="preserve">&lt;p&gt;I am trying to create a button that &lt;code&gt;onClick&lt;/code&gt;, runs a client-side &lt;code&gt;script(myFunction();)&lt;/code&gt; to connect to a Bluetooth device through Chrome.&lt;/p&gt;
&lt;p&gt;However, it returns the following error:&lt;/p&gt;
&lt;blockquote&gt;
  &lt;p&gt;SecurityError: requestDevice() called from cross-origin iframe.&lt;/p&gt;
&lt;/blockquote&gt;
&lt;p&gt;The code to request the Bluetooth is as follows:&lt;/p&gt;
&lt;pre&gt;&lt;code&gt;/* jshint esnext:true */
function myFunction() {
  navigator.bluetooth.requestDevice({ filters: [{ services: ['heart_rate'] }] })
.then(device =&amp;gt; { /* ... */ })
.catch(error =&amp;gt; { console.log(error); });
}
&lt;/code&gt;&lt;/pre&gt;
</t>
  </si>
  <si>
    <t xml:space="preserve">&lt;p&gt;Is there anywhere a place where the rules regarding the folder structure is explained?&lt;br&gt;
The most important one I understand, i.e. lwc must be the name of the parent folder of components, and can be referenced with c/. &lt;/p&gt;
&lt;p&gt;Other than that, I don't know; there seem to be issues with having folders / files with the same name (I think) even when they belong to a different component.&lt;br&gt;
I can't tell for sure because I'm having different compilation errors all the time.  &lt;/p&gt;
&lt;blockquote&gt;
  &lt;p&gt;I can't seem to reference subfolders properly without getting
  compilation errors.&lt;/p&gt;
&lt;/blockquote&gt;
&lt;p&gt;Sometimes when I change the name, one file is fixed then the other breaks.  &lt;/p&gt;
&lt;p&gt;Have been spending all day trying to fix basic import issues, seems like that thing is completely broken and I strongly regret that I have to work with it. &lt;/p&gt;
&lt;p&gt;It seems that they use the @Babel/traverse npm library to compile (while we can't use npm directly, another thing that makes me wonder what the hell they're doing). &lt;/p&gt;
&lt;p&gt;Some help is appreciated, although I'm afraid the community is tiny. 
Thanks. &lt;/p&gt;
</t>
  </si>
  <si>
    <t xml:space="preserve">&lt;h2&gt;Scenario&lt;/h2&gt;
&lt;p&gt;Patients schedules 'appointments' and come to the clinic. Before they get examined by the doctor, their 'measures' are taken.
These measures are 'Weight', 'Height' and 'Head' size. To complete the data needed, their 'age' comes to the record too.&lt;/p&gt;
&lt;hr&gt;
&lt;h2&gt;What I am trying to do:&lt;/h2&gt;
&lt;p&gt;I want to create a chart that shows if the Weight of a patient (for example) is over/under the limits, and to accomplish that &lt;strong&gt;I need to create an array with all the previous measures of the patient&lt;/strong&gt;.&lt;/p&gt;
&lt;hr&gt;
&lt;h2&gt;Example:&lt;/h2&gt;
&lt;pre&gt;&lt;code&gt;- John (id:12) comes to appointment#1 (id:55) on jan,1 2019; he have 1 month age; his Measures (id:47): Weight=30kg, Height=120cm, Head=[not taken];
- John (id:12) comes to appointment#2 (id:67) on feb,3 2019; he have 2 month age; his Measures (id:72): Weight=35kg, Height=127cm, Head=[not taken];
- John (id:12) comes to appointment#3 (id:89) on mar,9 2019; he have 3 month age; and none of his Measures are taken;
- John (id:12) comes to appointment#4 (id:99) on apr,5 2019; he have 4 month age; his Measures (id:93): Weight=42kg, Height=135cm, Head=[not taken];
&lt;/code&gt;&lt;/pre&gt;
&lt;h2&gt;Result Needed:&lt;/h2&gt;
&lt;pre&gt;&lt;code&gt;    weightArray = {"30","35",,"42"}
    heightArray = {"120","127",,"135"}
    headArray = {,,,}
&lt;/code&gt;&lt;/pre&gt;
&lt;p&gt;&lt;strong&gt;Legend:&lt;/strong&gt;&lt;/p&gt;
&lt;p&gt;&lt;strong&gt;&lt;em&gt;array-Name&lt;/strong&gt; = {&lt;strong&gt;measure-With-One-Month-Age&lt;/strong&gt;, &lt;strong&gt;measure-With-Two-Months-Age&lt;/strong&gt;, &lt;strong&gt;measure-With-Three-Months-Age&lt;/strong&gt;, &lt;strong&gt;etc&lt;/strong&gt;... }&lt;/em&gt;&lt;/p&gt;
&lt;hr&gt;
&lt;h2&gt;Datasources Structure:&lt;/h2&gt;
&lt;pre&gt;&lt;code&gt;app.datasources.Patients.item.idPatient
                             .Name
app.datasources.Appointments.item.idAppointment
                                 .Date
                                 .Time
                            .relations.Measures.item.idMeasure  (one to one)
                                                    .Weight
                                                    .Height
                                                    .Head
                                                    .Age
                            .relations.Patients (many to one)
&lt;/code&gt;&lt;/pre&gt;
&lt;hr&gt;
&lt;h2&gt;Workflow:&lt;/h2&gt;
&lt;ul&gt;
&lt;li&gt;We create new patients directly into the "&lt;strong&gt;Patients&lt;/strong&gt;" datasource ;&lt;/li&gt;
&lt;li&gt;When an &lt;strong&gt;Appointment&lt;/strong&gt; is created, we select a "&lt;strong&gt;Patients&lt;/strong&gt;" record for the "&lt;strong&gt;Appointments &gt; Patients&lt;/strong&gt;" relation ;&lt;/li&gt;
&lt;li&gt;When the patient arrives in the clinic, we create a "&lt;strong&gt;Measures&lt;/strong&gt;" record inside the "&lt;strong&gt;Appointments &gt; Measures&lt;/strong&gt;" relation.&lt;/li&gt;
&lt;/ul&gt;
&lt;hr&gt;
&lt;h2&gt;Client-side Code&lt;/h2&gt;
&lt;h2&gt; (I have tried a lot of different codes with no success, this was just my last unsuccessful try):&lt;/h2&gt;
&lt;pre&gt;&lt;code&gt;function getHistoryPatient (patientId){
  var weightArr = [], heightArr = [], headArr = [], ageArr = [];
  var dataSource = app.datasources.Appointments;
    dataSource.query.filters.Patients.idPatient._equals = patientId;
    dataSource.load(function (){
      var appointmentItems = dataSource.items.forEach(function (appointment){
        var data = appointment.Measures;
        weightArr.push(data.Weight);    
        heightArr.push(data.Height);
        headArr.push(data.Head);
        ageArr.push(data.Age);
      });
    });
  return {Age: ageArr, Weight: weightArr, Height: heightArr, Head: headArr};
}
&lt;/code&gt;&lt;/pre&gt;
&lt;p&gt;Actually, calling: &lt;strong&gt;getHistoryPatient(patientId).Weight&lt;/strong&gt;, for example, returns nothing, including no errors.&lt;/p&gt;
&lt;p&gt;So, how could I return these arrays?&lt;/p&gt;
</t>
  </si>
  <si>
    <t xml:space="preserve">&lt;p&gt;When I deploy my AppMaker app to a deployment, I'd like to execute some code to automatically install the relevant triggers.&lt;/p&gt;
&lt;p&gt;Is there a way to install triggers when the app is deployed?&lt;/p&gt;
</t>
  </si>
  <si>
    <t xml:space="preserve">&lt;p&gt;I have a gallery and a radio button. 
In the gallery where the user has to answer questions. &lt;/p&gt;
&lt;p&gt;Each question can be a radio button with multiple choice answers, for example  one could be a yes no response another could be a yes no unknown choice. &lt;/p&gt;
&lt;p&gt;These choices are determined from the list field called answerchoice . &lt;/p&gt;
&lt;p&gt;In the answerchoice field it might be populated with &lt;/p&gt;
&lt;pre&gt;&lt;code&gt;yes\no or yes\no\unknown or 1\2\3\4.  
&lt;/code&gt;&lt;/pre&gt;
&lt;p&gt;Therefore in the items of the radio button I need to pass the values of the answerchoice field&lt;/p&gt;
&lt;p&gt;Thank you&lt;/p&gt;
</t>
  </si>
  <si>
    <t xml:space="preserve">&lt;p&gt;Could someone point me to documentation that shows how to create a record in a model with one to many relation via client side script.&lt;/p&gt;
&lt;p&gt;Thanks in advance!&lt;/p&gt;
</t>
  </si>
  <si>
    <t xml:space="preserve">&lt;p&gt;I am trying to get access_token and refresh_token in zohocrm using api v2 in postman. I set client_id, client_secret and self client code but it still asking redirect_url. I am not sure why it is asking. As per documentation, it is not required redirect url in case of self_client.
&lt;a href="https://www.zoho.com/accounts/protocol/oauth-setup.html" rel="nofollow noreferrer"&gt;https://www.zoho.com/accounts/protocol/oauth-setup.html&lt;/a&gt;&lt;/p&gt;
&lt;p&gt;Self Client
If the client does not have a domain and a redirect URL, the Self Client option can be used to get an authorization grant code. This code can be exchanged for an access token and a refresh token.&lt;/p&gt;
&lt;p&gt;Use the self client option to receive an authorization code
On the API Credentials page, click the drop-down button next to your respective registration and click Self Client.&lt;/p&gt;
&lt;p&gt;&lt;a href="https://i.stack.imgur.com/gncYG.png" rel="nofollow noreferrer"&gt;&lt;img src="https://i.stack.imgur.com/gncYG.png" alt=","&gt;&lt;/a&gt;&lt;/p&gt;
</t>
  </si>
  <si>
    <t xml:space="preserve">&lt;p&gt;When I apply: &lt;/p&gt;
&lt;pre&gt;&lt;code&gt;sfdx force:source:push -f 
&lt;/code&gt;&lt;/pre&gt;
&lt;p&gt;(Sorry, orginally posted wrong command)
The deployment fails because the compiler throws errors regarding files that are no longer part of my local filesystem. &lt;/p&gt;
&lt;p&gt;I cleared following files: &lt;/p&gt;
&lt;ul&gt;
&lt;li&gt;metadataTypeInfos.json &lt;/li&gt;
&lt;li&gt;sourcePathInfos.json &lt;/li&gt;
&lt;/ul&gt;
&lt;p&gt;To no avail.&lt;br&gt;
Is there some cache anywhere that I need to clear?  &lt;/p&gt;
</t>
  </si>
  <si>
    <t xml:space="preserve">&lt;p&gt;I have a page which contains a form. I want that form to be printed when I click on a button. &lt;/p&gt;
&lt;p&gt;From this link(&lt;a href="https://stackoverflow.com/questions/41944876/print-friendly-page/41948542#41948542"&gt;Print Friendly Page&lt;/a&gt;) I got the below code but its not working as expected.&lt;/p&gt;
&lt;pre&gt;&lt;code&gt;       function print(widget, title){
         var content=widget.getElement().innerHTML;
         var win = window.open('', 'printWindow', 'height=600,width=800');
         win.document.write('&amp;lt;head&amp;gt;&amp;lt;title&amp;gt;'+title+'/title&amp;gt;&amp;lt;/head&amp;gt;');
         win.document.write('&amp;lt;body&amp;gt;'+content+'&amp;lt;/body&amp;gt;');
         win.document.close(); 
         win.focus(); 
         win.print();
         win.close();
       }  
&lt;/code&gt;&lt;/pre&gt;
&lt;p&gt;Calling function&lt;/p&gt;
&lt;pre&gt;&lt;code&gt;        print(app.currentPage.descendants.Form1,'User Details');
&lt;/code&gt;&lt;/pre&gt;
&lt;p&gt;Expected Result - Print page should appear with the form rendered.&lt;/p&gt;
&lt;p&gt;Actual Result - Print page appears with form not rendered, only html code appears.&lt;/p&gt;
</t>
  </si>
  <si>
    <t xml:space="preserve">&lt;p&gt;I previously created a personal environment in Outsystems 11, I need to create a new one in Outsytems 10 because it is the version I needed. I searched over the internet and saw how to add another environment in Lifetime cloud but the options in my environment management looks like this only.&lt;/p&gt;
&lt;p&gt;&lt;a href="https://i.stack.imgur.com/FixdU.png" rel="nofollow noreferrer"&gt;&lt;img src="https://i.stack.imgur.com/FixdU.png" alt="enter image description here"&gt;&lt;/a&gt;&lt;/p&gt;
&lt;p&gt;How can I add a new environment? Thanks for any help.&lt;/p&gt;
</t>
  </si>
  <si>
    <t xml:space="preserve">&lt;p&gt;I'm trying to automate my workflow between Podio and Zoho People. For example, when an Employee is added in my HR app, I want to call the Zoho People API to add it there too.&lt;/p&gt;
&lt;p&gt;However, I get stuck in the validation phase. I don't get what's the validation process needs to be? What the endpoint I must call? I don't have control over what the Zoho API returns, obviously.&lt;/p&gt;
&lt;p&gt;I never worked with webhooks before so I'm probably missing something obvious.&lt;/p&gt;
</t>
  </si>
  <si>
    <t xml:space="preserve">&lt;p&gt;I have an aura component bundle (let's say B) with a simple form. On submission of the form, redirects to the target URL mentioned in the action attribute.&lt;/p&gt;
&lt;p&gt;My question is, When I invoke B from the component A, I will set the component and/ form attributes and I do not want to display component B to the user. Instead, I want form to be submitted automatically on initialization of component B.&lt;/p&gt;
&lt;p&gt;Here is the component B:&lt;/p&gt;
&lt;pre&gt;&lt;code&gt;
&amp;lt;aura:component &amp;gt;
    &amp;lt;aura:attribute access="PRIVATE" name="attribute1" type="String" /&amp;gt;
    &amp;lt;aura:attribute access="PRIVATE" name="attribute2" type="String" /&amp;gt;
    &amp;lt;aura:attribute access="PRIVATE" name="attribute3" type="String" /&amp;gt;
    &amp;lt;aura:attribute access="PRIVATE" name="attribute4" type="String" default="1" /&amp;gt;
    &amp;lt;aura:handler name="init" action="{!c.doInit}" value="{!this}"/&amp;gt;
        &amp;lt;div class="slds-m-around--medium slds-hidden"&amp;gt;
        &amp;lt;div class="slds-page-header" role="banner"&amp;gt;
            &amp;lt;div class="slds-media__body"&amp;gt;
                &amp;lt;form  name="testForm" aura:id="viewForm" action="https://test.test123.com" method="post" enctype="application/x-www-form-urlencoded" target="_top" &amp;gt;    
                 &amp;lt;b&amp;gt; Attribute 1: &amp;lt;/b&amp;gt;&amp;lt;input type="text" name="inputfield1" value="{!v.attribute1}"/&amp;gt;&amp;lt;br/&amp;gt;&amp;lt;br/&amp;gt;
                 &amp;lt;b&amp;gt; Attribute 2: &amp;lt;/b&amp;gt;&amp;lt;input type="text" name="inputfield2" value="{!v.attribute2}"/&amp;gt;&amp;lt;br/&amp;gt;&amp;lt;br/&amp;gt;
                 &amp;lt;b&amp;gt; Attribute 3: &amp;lt;/b&amp;gt;&amp;lt;input type="text" name="inputfield3" value="{!v.attribute3}"/&amp;gt;&amp;lt;br/&amp;gt;&amp;lt;br/&amp;gt;
                 &amp;lt;b&amp;gt; Attribute 4: &amp;lt;/b&amp;gt;&amp;lt;input type="text" name="inputfield1" value="{!v.attribute4}"/&amp;gt;&amp;lt;br/&amp;gt;&amp;lt;br/&amp;gt;
                    &amp;lt;input type="submit" value="Submit" name="testSubmit"/&amp;gt;
                &amp;lt;/form&amp;gt;
            &amp;lt;/div&amp;gt;
        &amp;lt;/div&amp;gt;
    &amp;lt;/div&amp;gt;
&amp;lt;/aura:component&amp;gt;
&lt;/code&gt;&lt;/pre&gt;
&lt;p&gt;I am looking for some suggestions to auto submit form in lightning component. Any help is greatly appreciated.&lt;/p&gt;
</t>
  </si>
  <si>
    <t xml:space="preserve">&lt;p&gt;I am trying to create a record in zohocrm. i am using  API version2 code.
i recieve this following error which i stated below. I tried stackoverflow  for solutions but can't find relevant solution. I tried this Stackoverflow answer &lt;a href="https://stackoverflow.com/questions/51352265/zoho-api-v2-update-record"&gt;Zoho API V2 Update Record&lt;/a&gt;. It doesn't work for me. Help me with some solution. i use php version&lt;br&gt;
7.1 &lt;/p&gt;
&lt;p&gt;Here's the Code i used:&lt;/p&gt;
&lt;pre&gt;&lt;code&gt;public function createRecord($module, $module_fields)
{
    global $HelperObj;
    $WPCapture_includes_helper_Obj = new WPCapture_includes_helper_PRO();
    $activateplugin = $WPCapture_includes_helper_Obj-&amp;gt;ActivatedPlugin;
    $moduleslug = $this-&amp;gt;ModuleSlug = rtrim(strtolower($module), "s");
    $zohoapi = new SmackZohoApi();
    $module_field['data'] = array($module_fields);
    $module_field['Owner']['id'] = $module_fields['SMOWNERID'];
    $fields_to_skip = ['Digital_Interaction_s', 'Solution'];
    foreach ($module_fields as $fieldname =&amp;gt; $fieldvalue) {
        if (!in_array($fieldname, $fields_to_skip)) {
            continue;
        }
        $module_fields[$fieldname] = array();
        if (is_string($fieldvalue)) {
            array_push($module_fields[$fieldname], $fieldvalue);
        } else if (is_array($fieldvalue)) {
            array_push($module_fields[$fieldname], $fieldvalue);
        }
    }
    //$fields = json_encode($module_fields);
    $attachments = $module_fields['attachments'];
    $body_json = array();
    $body_json["data"] = array();
    array_push($body_json["data"], $module_fields);
    $record = $zohoapi-&amp;gt;Zoho_CreateRecord($module, $body_json, $attachments);
    if ($record['code'] == 'INVALID_TOKEN' || $record['code'] == 'AUTHENTICATION_FAILURE') {
        $get_access_token = $zohoapi-&amp;gt;refresh_token();
        if (isset($get_access_token['error'])) {
            if ($get_access_token['error'] == 'access_denied') {
                $data['result'] = "failure";
                $data['failure'] = 1;
                $data['reason'] = "Access Denied to get the refresh token";
                return $data;
            }
        }
        $exist_config = get_option("wp_wpzohopro_settings");
        $config['access_token'] = $get_access_token['access_token'];
        $config['api_domain'] = $get_access_token['api_domain'];
        $config['key'] = $exist_config['key'];
        $config['secret'] = $exist_config['secret'];
        $config['callback'] = $exist_config['callback'];
        $config['refresh_token'] = $exist_config['refresh_token'];
        update_option("wp_wpzohopro_settings", $config);
        $this-&amp;gt;createRecord($module, $module_fields);
    } elseif ($record['data'][0]['code'] == 'SUCCESS') {
        $data['result'] = "success";
        $data['failure'] = 0;
    } else {
        $data['result'] = "failure";
        $data['failure'] = 1;
        $data['reason'] = "failed adding entry";
    }
    return $data;
}
&lt;/code&gt;&lt;/pre&gt;
&lt;p&gt;API Call Code:&lt;/p&gt;
&lt;pre&gt;&lt;code&gt;public function Zoho_CreateRecord($module = "Lead",$data_array,$extraParams) {
    try{
        $apiUrl = "https://www.zohoapis.com/crm/v2/$module";
        $fields = json_encode($data_array);
        $headers = array(
            'Content-Type: application/json',
            'Content-Length: ' . strlen($fields),
            sprintf('Authorization: Zoho-oauthtoken %s', $this-&amp;gt;access_token),
        );
        $ch = curl_init();
        curl_setopt($ch, CURLOPT_URL, $apiUrl);
        curl_setopt($ch, CURLOPT_HTTPHEADER, $headers);
        curl_setopt($ch, CURLOPT_CUSTOMREQUEST, "POST");
        curl_setopt($ch, CURLOPT_POSTFIELDS, $fields);
        curl_setopt($ch, CURLOPT_RETURNTRANSFER, 1);
        curl_setopt($ch, CURLOPT_CONNECTTIMEOUT, 60);
        curl_setopt($ch, CURLOPT_TIMEOUT, 60);
        $result = curl_exec($ch);
        curl_close($ch);
        $result_array = json_decode($result,true);
        if($extraParams != "")
        {
            foreach($extraParams as $field =&amp;gt; $path){
                $this-&amp;gt;insertattachment($result_array,$path,$module);
            }
        }
    }catch(\Exception $exception){
        // TODO - handle the error in log
    }
    return $result_array;
}
&lt;/code&gt;&lt;/pre&gt;
&lt;p&gt;error i got:&lt;/p&gt;
&lt;pre&gt;&lt;code&gt;Array
(
    [data] =&amp;gt; Array
        (
            [0] =&amp;gt; Array
                (
                    [code] =&amp;gt; INVALID_DATA
                    [details] =&amp;gt; Array
                        (
                            [expected_data_type] =&amp;gt; jsonarray
                            [api_name] =&amp;gt; Solution_Interest
                        )
                    [message] =&amp;gt; invalid data
                    [status] =&amp;gt; error
                )
        )
)
&lt;/code&gt;&lt;/pre&gt;
</t>
  </si>
  <si>
    <t xml:space="preserve">&lt;p&gt;I'm building a project time tracker and need some guidance on how to record weekly hours.&lt;/p&gt;
&lt;p&gt;I essentially have two tables: projectTable and weeklyReportTable with a one to many relation.&lt;/p&gt;
&lt;p&gt;ProtectTable will keeping a record of all projects being worked on along with other information, such as owner, status, etc...&lt;/p&gt;
&lt;p&gt;weeklyReportTable is supposed to keep a track of weekly activity on the project and there can only be one entry per week per project. On a weekly basis users will log number of hours and an activity report of what happened during that week.&lt;/p&gt;
&lt;p&gt;The UI to update project status will consist of panel listing all projects by the logged in user along with an input field to log hours and activity. There will be a widget that the user can use to move forward and backward to select the week they want to log activity against. &lt;/p&gt;
&lt;p&gt;Question: what would be the best approach to ensure that there is only one entry per week per project in the weeklyReportTable? If a user tried to log activity on a project for a week that already exists I don't want to create a new record but rather update the existing one.&lt;/p&gt;
</t>
  </si>
  <si>
    <t xml:space="preserve">&lt;p&gt;How can I access my Google SQL models days created in Google App Maker from outside the application?&lt;/p&gt;
&lt;p&gt;For example, how do I access my App Maker model data through an App Script in a Google Spreadsheet?&lt;/p&gt;
</t>
  </si>
  <si>
    <t xml:space="preserve">&lt;p&gt;I have a custom object in salesforce called &lt;code&gt;Classes&lt;/code&gt; and I am using the &lt;code&gt;Leads&lt;/code&gt; object for storing student information. I have a web-to-lead form for capturing student registrations, but I would like to have the students select which class they are registering for, from a dropdown select field.&lt;/p&gt;
&lt;p&gt;Is that possible using the web-to-lead form, or do I have to create a custom one with SQL queries?&lt;/p&gt;
&lt;p&gt;Thanks in advance.&lt;/p&gt;
</t>
  </si>
  <si>
    <t xml:space="preserve">&lt;p&gt;I'm really just wondering if anyone has stumbled across this...&lt;/p&gt;
&lt;p&gt;In the Widgets API documentation for the Multiselect widget in Google App Maker, the "Styles" section includes a style name for a disabled item:&lt;/p&gt;
&lt;p&gt;&lt;code&gt;.app-MultiSelect-Item.disabled&lt;/code&gt;   Style for the disabled item or items.&lt;/p&gt;
&lt;p&gt;I have a case where I'm adding options and values to a multiselect by script based on data pulled from elsewhere. The initial values include the currently selected set of choices, but based on other actions taken by the user, they may not be eligible (via our internal rules and processes) to make that choice anymore.&lt;/p&gt;
&lt;p&gt;If there's a way to set a specific item as disabled, I'm envisioning being able to style it with a strike through to communicate that even though that choice is selected now, it's not available as a new choice, and it's going to be removed from the other data source.&lt;/p&gt;
&lt;p&gt;So it might be like this:&lt;/p&gt;
&lt;p&gt;X Choice A&lt;br&gt;
_  Choice B&lt;br&gt;
X &lt;del&gt;Choice C&lt;/del&gt;&lt;br&gt;
_ &lt;del&gt;Choice D&lt;/del&gt;&lt;/p&gt;
&lt;p&gt;Thoughts?&lt;/p&gt;
</t>
  </si>
  <si>
    <t xml:space="preserve">&lt;p&gt;I am trying to load lightning pages in react-native app web-view through lightningout.js and getting the below error&lt;/p&gt;
&lt;p&gt;Access to &lt;code&gt;XMLHttpRequest&lt;/code&gt; at &lt;a href="https://company.lightning.force.com/c/PP_Mobile.app?aura.format=JSON&amp;amp;aura.formatAdapter=LIGHTNING_OUT" rel="nofollow noreferrer"&gt;https://company.lightning.force.com/c/PP_Mobile.app?aura.format=JSON&amp;amp;aura.formatAdapter=LIGHTNING_OUT&lt;/a&gt; from origin 'null' has been blocked by CORS policy: Response to preflight request doesn't pass access control check: No '&lt;strong&gt;Access-Control-Allow-Origin&lt;/strong&gt;' header is present on the requested resource.&lt;/p&gt;
&lt;p&gt;We have a native iOS and Android app, where the lightning pages are loaded into a Cordova browser and it is working fine. I am using the same index.html file (used in native app Cordova browser) in react-native webview. Are there any differences when calling lightningout.js from SF Cordova webview and react native webview?&lt;/p&gt;
</t>
  </si>
  <si>
    <t xml:space="preserve">&lt;p&gt;I am trying to re-write a old validation and only have it flag on certain record types if the conditions are true. &lt;/p&gt;
&lt;p&gt;I tried to Add an AND OR condition however it seems to be flagging all records &lt;/p&gt;
&lt;pre&gt;&lt;code&gt;IF(
    ISBLANK(CreatedDate),
    AND(
        (Expiration_Date__c &amp;gt; (TODAY() +90)),
        (Expiration_Date__c &amp;lt; (TODAY() +180)), 
        ISBLANK(Expiration_Date_Explanation__c),
        AND(
            OR(
                $RecordType.Name = 'Sales',
                $RecordType.Name = 'Marketing'
            )
        )
    ),
    AND(
        (Quote_Expiration_Date__c &amp;gt; DATEVALUE(CreatedDate) +90),
        (Quote_Expiration_Date__c &amp;lt; DATEVALUE(CreatedDate) +180), 
        ISBLANK(Quote_Expiration_Date_Explanation__c),
        AND(
            OR(
                $RecordType.Name = 'Sales',
                $RecordType.Name = 'Marketing'
            )
        )
    )
)
&lt;/code&gt;&lt;/pre&gt;
&lt;p&gt;I wish Salesforce had Between but in either case my validation is firing on all records.&lt;/p&gt;
</t>
  </si>
  <si>
    <t xml:space="preserve">&lt;p&gt;I am using the URLFOR() function in a list view button to re-direct to a lightning component that implements the lightning:isUrlAddressable interface. As part of the URLFOR() function, I am passing in some  URL parameters in the third argument, one being a merge field and the other a static string  value:&lt;/p&gt;
&lt;p&gt;{!URLFOR("lightning/cmp/c__MyComponent", null, [id=Related_Object__c.Id,sObjectName="My_SObject_Name__c"])}&lt;/p&gt;
&lt;p&gt;This is working correctly in our DEV sandbox (API version 45.0) but the same configuration does not work in our QA sandbox (API version 46.0).&lt;/p&gt;
&lt;p&gt;When clicking the list view button in our QA sandbox, I notice that the URL parameters are not being populated at all for "id" and "sObjectName". I confirmed this by logging the value of the PageReference variable in the Lightning component as well. &lt;/p&gt;
&lt;p&gt;Are there any differences between the API versions or other issues that might cause this behavior?&lt;/p&gt;
</t>
  </si>
  <si>
    <t xml:space="preserve">&lt;p&gt;Per the Summer '19 Release Notes:&lt;/p&gt;
&lt;pre&gt;&lt;code&gt;Add a Namespace Prefix to Query Parameters and pageReference.state Properties was a critical update in Winter ’19 and is enforced for the Summer ’19 release. This critical update resolves naming conflicts for query parameters between package components.
&lt;/code&gt;&lt;/pre&gt;
&lt;p&gt;In this way, the above query parameters need to at a minimum use the default namespace "c__":&lt;/p&gt;
&lt;pre&gt;&lt;code&gt;{!URLFOR("lightning/cmp/c__MyComponent", null, [c__id=Related_Object__c.Id,c__sObjectName="My_SObject_Name__c"])}
&lt;/code&gt;&lt;/pre&gt;
&lt;p&gt;Documentation:
&lt;a href="https://releasenotes.docs.salesforce.com/en-us/winter19/release-notes/rn_forcecom_general_namespace_prefix_cruc.htm" rel="nofollow noreferrer"&gt;https://releasenotes.docs.salesforce.com/en-us/winter19/release-notes/rn_forcecom_general_namespace_prefix_cruc.htm&lt;/a&gt;&lt;/p&gt;
</t>
  </si>
  <si>
    <t xml:space="preserve">&lt;p&gt;Recently i customized my SharePoint form using PowerApps. After unlocking and customizing some of my columns, the columns converted into custom cards and have no entry into my original SharePoint List columns. So When i fill out the form and submit, those custom column don't update on SharePoint column tables. How do i get around this and ensure my custom cards field reflect on my original SharePoint Column tables when submitted? &lt;/p&gt;
&lt;p&gt;&lt;a href="https://i.stack.imgur.com/sDOQx.png" rel="nofollow noreferrer"&gt;POWER APP COLUMS CONVERTED TO CUSTOM CARDS&lt;/a&gt; &lt;a href="https://i.stack.imgur.com/BEFns.png" rel="nofollow noreferrer"&gt;COLUMS NOT BEEN UPDATED IN THE LIST&lt;/a&gt;&lt;/p&gt;
</t>
  </si>
  <si>
    <t xml:space="preserve">&lt;p&gt;Can you check the following properties to see if you somehow ended up modifying them when you unlocked the data card?&lt;/p&gt;
&lt;ul&gt;
&lt;li&gt;In PowerApps Studio, select your Data Card and in the property pane, go to Advanced.&lt;/li&gt;
&lt;li&gt;&lt;p&gt;Under DataField you should see the name of the field the card is mapped to. &lt;/p&gt;
&lt;ul&gt;
&lt;li&gt;Note that this is the internal name used by SharePoint list. If you want to validate that the field name is correct you can go to your SharePoint site &gt; List settings &gt; Edit the column that the data card is connected to. In the query string you should see "&amp;amp;Field" parameter with the field name as the value.&lt;/li&gt;
&lt;/ul&gt;&lt;/li&gt;
&lt;li&gt;&lt;p&gt;In PowerApps Studio also validate that Default is also set to ThisItem.[DataField from step above] and Update is set to Value(DataCardValue[N].Text).&lt;/p&gt;&lt;/li&gt;
&lt;/ul&gt;
</t>
  </si>
  <si>
    <t xml:space="preserve">&lt;p&gt;I am having an issue with a table with self relations lets call it Table1&lt;/p&gt;
&lt;p&gt;I created a table with two fields Id and name
Then i created a one to many relation from this Table1 to Table1 where one parent record can have many child records&lt;/p&gt;
&lt;p&gt;Then i created a page lets call it Page1&lt;/p&gt;
&lt;p&gt;This page has an insert for where you enter the name and select a parent record&lt;/p&gt;
&lt;p&gt;This issue is that when i create a record and select a parent record. the first time i reload the application it takes the parent and makes the parent of that parent the child record.&lt;/p&gt;
&lt;p&gt;Example I enter the following data in the insert form&lt;/p&gt;
&lt;pre&gt;&lt;code&gt;Id        Name           Parent
1         USA            No Selection
2         Canada         No Selection
3         Houston        USA
4         Toronto        Canada
5         Minute Maid    Houston
&lt;/code&gt;&lt;/pre&gt;
&lt;p&gt;This goes fine, but when I refresh the application the data changes to&lt;/p&gt;
&lt;pre&gt;&lt;code&gt;Id        Name           Parent
1         USA            Houston
2         Canada         Toronto
3         Houston        Minute Maid
4         Toronto        Canada
5         Minute Maid    Houston
&lt;/code&gt;&lt;/pre&gt;
&lt;p&gt;if i change it back it stays correct until i make a new entry then the issue repeats. Any ideas on what is causing this issue?&lt;/p&gt;
&lt;p&gt;&lt;a href="https://i.stack.imgur.com/Njr94.png" rel="nofollow noreferrer"&gt;&lt;img src="https://i.stack.imgur.com/Njr94.png" alt="Page View"&gt;&lt;/a&gt;&lt;/p&gt;
&lt;p&gt;&lt;a href="https://i.stack.imgur.com/oOzMO.png" rel="nofollow noreferrer"&gt;&lt;img src="https://i.stack.imgur.com/oOzMO.png" alt="Relation"&gt;&lt;/a&gt;&lt;/p&gt;
&lt;p&gt;&lt;a href="https://i.stack.imgur.com/CWb7I.png" rel="nofollow noreferrer"&gt;&lt;img src="https://i.stack.imgur.com/CWb7I.png" alt="Table"&gt;&lt;/a&gt;&lt;/p&gt;
&lt;p&gt;&lt;a href="https://i.stack.imgur.com/GQsJe.png" rel="nofollow noreferrer"&gt;&lt;img src="https://i.stack.imgur.com/GQsJe.png" alt="Test1"&gt;&lt;/a&gt;&lt;/p&gt;
&lt;p&gt;&lt;a href="https://i.stack.imgur.com/npGZy.png" rel="nofollow noreferrer"&gt;&lt;img src="https://i.stack.imgur.com/npGZy.png" alt="Test2"&gt;&lt;/a&gt;&lt;/p&gt;
</t>
  </si>
  <si>
    <t xml:space="preserve">&lt;p&gt;I want to fetch the specified column from a data source(i.e. exclude certain columns) because even I don't show the data in UI, the data is loaded. (it is visible from Network tabs in Browser DevTools).&lt;/p&gt;
&lt;p&gt;So far, I found the automatic data load and query builder/ query script provide the filters and sorting of the data but loads all the columns.&lt;/p&gt;
&lt;p&gt;I have tried record owner security and role based security but this will make the data inaccessible to some users.&lt;/p&gt;
</t>
  </si>
  <si>
    <t xml:space="preserve">&lt;p&gt;You can try creating a Calculated SQL Model to limit columns being pulled.&lt;/p&gt;
&lt;p&gt;Let's take an example where you have a Student model with Name and City as the only two fields. You can add a new Calculated SQL with this SQL query and only Name column would be pulled.&lt;/p&gt;
&lt;pre&gt;&lt;code&gt;SELECT Name FROM Student
&lt;/code&gt;&lt;/pre&gt;
&lt;p&gt;Please refer to the official guide &lt;a href="https://developers.google.com/appmaker/models/cloudsql#calculated_sql_models" rel="nofollow noreferrer"&gt;here&lt;/a&gt;. Feel free to comment if you want some clarification!&lt;/p&gt;
&lt;p&gt;Hope this helps.&lt;/p&gt;
</t>
  </si>
  <si>
    <t xml:space="preserve">&lt;p&gt;We have registered an &lt;code&gt;Azure AD App&lt;/code&gt; and updated the manifest file to include 2 app roles, thereafter assigned user to the App Role.&lt;/p&gt;
&lt;pre&gt;&lt;code&gt;    {
        "allowedMemberTypes": [
            "User"
        ],
        "description": "Approvers can approve the information",
        "displayName": "Approver",
        "id": "8f29f99b-5c77-4fba-a310-4a5c0574e8ff",
        "isEnabled": true,
        "lang": null,
        "origin": "Application",
        "value": "approver"
    }
&lt;/code&gt;&lt;/pre&gt;
&lt;p&gt;The manifest file also has,&lt;/p&gt;
&lt;pre&gt;&lt;code&gt;"oauth2AllowIdTokenImplicitFlow": true,
"oauth2AllowImplicitFlow": true,
"groupMembershipClaims": "All",
&lt;/code&gt;&lt;/pre&gt;
&lt;p&gt;The AAD app has both enabled &lt;code&gt;ID Token&lt;/code&gt; and &lt;code&gt;Access Token&lt;/code&gt;&lt;/p&gt;
&lt;p&gt;In &lt;code&gt;Azure API Management&lt;/code&gt;, we have enabled &lt;code&gt;OAuth2&lt;/code&gt; with following properties:&lt;/p&gt;
&lt;ul&gt;
&lt;li&gt;Authorization Code&lt;/li&gt;
&lt;li&gt;Access token sending mechanism: Authorization Header&lt;/li&gt;
&lt;li&gt;Client ID / Secret as retrieved from AAD App&lt;/li&gt;
&lt;/ul&gt;
&lt;p&gt;When we login to Developer Portal and test the API, we are able to retrieve the AAD JWT token; however, &lt;code&gt;Roles&lt;/code&gt; assigned to user are not included in the token even if the user is already assigned application role. &lt;/p&gt;
&lt;pre&gt;&lt;code&gt;{
  "aud": "https://management.core.windows.net/",
  "iss": "https://sts.windows.net/xxxxxxxxxxxxx/",
  "iat": 1559283639,
  "nbf": 1559283639,
  "exp": 1559287539,
  "acr": "1",
  "aio": "xxxxxxxxxx",
  "amr": [
    "rsa",
    "mfa"
  ],
  "appid": "dbccd1a6-1dab-4013-8601-ee6054b5a12",
  "appidacr": "1",
  "deviceid": "d1c0faa8-xxxx-xxxx-xxxx-7f2a791387a7",
  "family_name": "Gxxxx",
  "given_name": "Pxxxxxxx",
  "name": "Pxxxxxxx Gxxxx",
  "oid": "741232d8-xxxx-xxxx-xxxx-aed51374ec7a",
  "scp": "email offline_access openid profile",
  "sub": "",
  "tenant_region_scope": "WW",
  "tid": "72f988bf-xxxx-xxxx-xxxx-xxxxxxxxx",
  "unique_name": "email@host.com",
  "upn": "email@host.com",
  "uti": "rMaJcHJTLUKFBvkPXLpDAQ",
  "ver": "1.0"
}
&lt;/code&gt;&lt;/pre&gt;
&lt;p&gt;This token is generated from PowerApps custom connector using &lt;code&gt;OAuth2&lt;/code&gt;&lt;/p&gt;
&lt;p&gt;&lt;a href="https://i.stack.imgur.com/ROMqt.png" rel="nofollow noreferrer"&gt;&lt;img src="https://i.stack.imgur.com/ROMqt.png" alt="Custom Connector"&gt;&lt;/a&gt;&lt;/p&gt;
&lt;p&gt;The &lt;code&gt;backend API&lt;/code&gt; is expecting the role information as well.&lt;/p&gt;
&lt;p&gt;Is there something wrong in the configuration? How do we also retrieve &lt;code&gt;Application Roles&lt;/code&gt; for the user?&lt;/p&gt;
</t>
  </si>
  <si>
    <t xml:space="preserve">&lt;p&gt;I'm creating a form for the end user to edit.  In this form I want there to be dropdown lists that look like this when clicked:&lt;/p&gt;
&lt;p&gt;&lt;code&gt;________________V
Add new item
Item 1
Item 2
Item 3&lt;/code&gt;&lt;/p&gt;
&lt;p&gt;If the user were to select "Add new item", is there a way that they would be allowed to add an item to the dropdown selection that can not only be used for the current form but will be saved there for use in future forms? So that in the future, after adding a new item, the dropdown will look like this:&lt;/p&gt;
&lt;p&gt;&lt;code&gt;________________V
Add new item
Item 1
Item 2
Item 3
Item 4&lt;/code&gt;&lt;/p&gt;
&lt;p&gt;I tried adding a custom card to the form and linking the dropdown in that card to a collection.  I was planning on having a text input and collect button become visible when "add item" was selected but this wont be allowed because it "Expected a table value".  Can I add a lookup field to this entity that looks up a value in a collection?&lt;/p&gt;
</t>
  </si>
  <si>
    <t xml:space="preserve">&lt;p&gt;I have referenced this article with a view to finding a way of displaying a confirmation message on record creation. Otherwise the user is left in limbo as to whether a new record has been created and how to reference it.&lt;/p&gt;
&lt;p&gt;&lt;a href="https://developers.google.com/appmaker/scripting/client#asynchronous_operations" rel="nofollow noreferrer"&gt;https://developers.google.com/appmaker/scripting/client#asynchronous_operations&lt;/a&gt;&lt;/p&gt;
&lt;p&gt;and implemented this code in a Save onClick button&lt;/p&gt;
&lt;pre&gt;&lt;code&gt;widget.datasource.createItem(function (record) {
  alert('Record with ID ' + record.id + ' was created in the database.');
});
&lt;/code&gt;&lt;/pre&gt;
&lt;p&gt;on a standard create form, datasource is inherited: Client (create)&lt;/p&gt;
&lt;p&gt;and the alert displays &lt;/p&gt;
&lt;pre&gt;&lt;code&gt;Client Record with ID undefined was created in the database
&lt;/code&gt;&lt;/pre&gt;
&lt;p&gt;The record is created.&lt;/p&gt;
&lt;p&gt;But is there any way to get this code to work. I don't want to resort to manual save mode. I'm guessing that the createItem&lt;/p&gt;
</t>
  </si>
  <si>
    <t xml:space="preserve">&lt;p&gt;I am currently working trying to get preview link for the file which I uploaded to AWS s3. So my problem is with the files which are having spaces in their name example- "test upload.txt". So while previewing I am not getting the preview link. Can anyone give me any suggestion on how to go about this?&lt;/p&gt;
</t>
  </si>
  <si>
    <t xml:space="preserve">&lt;p&gt;I am trying to show the contents of a specific SharePoint document library folder in a powerapps gallery.  I am using the filter function&lt;/p&gt;
&lt;p&gt;Filter function against a SharePoint document library not returning all expected content of the filtered folder.&lt;/p&gt;
&lt;p&gt;Filtering to Folder A returns both sub folders and files, filtering to folder B returns just subfolders.&lt;/p&gt;
&lt;p&gt;Both folders A and B have sub folders AND files.  I do not believe it is a permissions issue as I am the owner/creator of both folders A and B and all the sub content&lt;/p&gt;
&lt;p&gt;I have been trying to understand if the 2000 limit is @ play here but both folders only have around 10 sub-items and filter is delegable, so my understanding is that it should not be.  Does anyone have any suggestions?&lt;/p&gt;
&lt;p&gt;Returns both subfolders and files :- &lt;code&gt;Filter(Documents,'Folder path' = "Shared Documents/FolderA/")&lt;/code&gt;&lt;/p&gt;
&lt;p&gt;Returns just subfolders :- &lt;code&gt;Filter(Documents,'Folder path' = "Shared Documents/FolderB/")&lt;/code&gt;&lt;/p&gt;
&lt;p&gt;I am deliberately hardcoding the folder path for the moment to aid debugging.&lt;/p&gt;
</t>
  </si>
  <si>
    <t xml:space="preserve">&lt;p&gt;I have written method for the pop up as the value is appearing from different code.&lt;/p&gt;
&lt;p&gt;I have written method for the pop up as the value is appearing from different code.&lt;/p&gt;
&lt;p&gt;function center()&lt;br&gt;
       {
           var District  = j$("[id$='CITY_DISTRICT']").val();  //Value is coming from differenr code&lt;br&gt;
           if(District == 'In')
           {&lt;br&gt;
                alert('Can you confirm');  //Pop up is not working&lt;br&gt;
                        j$("[id*='caseComments']").val('Case comments is confirmed');&lt;/p&gt;
&lt;pre&gt;&lt;code&gt;       }
   } 
&lt;/code&gt;&lt;/pre&gt;
&lt;p&gt;//VF Code
    &lt;/p&gt;
&lt;p&gt;Pop Up is not working. I tried confirm as well but both are not working only for this code. i am using confirm for other methods but only for this method its not working&lt;/p&gt;
</t>
  </si>
  <si>
    <t xml:space="preserve">&lt;p&gt;i have a requirement where i need to display Base64 string as PDF in lightning component without saving that string as file or attachment in salesforce.&lt;/p&gt;
</t>
  </si>
  <si>
    <t xml:space="preserve">&lt;p&gt;my html file:&lt;/p&gt;
&lt;pre&gt;&lt;code&gt;
&amp;lt;template&amp;gt; &amp;lt;lightning-button variant="brand" label={label} title={label} onclick={navigateNext}&amp;gt;&amp;lt;/lightning-button&amp;gt; &amp;lt;/template&amp;gt;
&lt;/code&gt;&lt;/pre&gt;
&lt;p&gt;my js file is:&lt;/p&gt;
&lt;pre&gt;&lt;code&gt;
var object = "Account";
var action = "edit";
export default class Navtab extends NavigationMixin(LightningElement) {
@api tabName;
@api label = '';
@api object = '';
@api action = '';
@api record = '';
navigateNext() {// Opens the new Account record modal// to create an Account.this[NavigationMixin.Navigate]({type: 'standard__objectPage',attributes:
{objectApiName: object,
actionName: action,
}});}}
&lt;/code&gt;&lt;/pre&gt;
&lt;p&gt;my xml file is:&lt;/p&gt;
&lt;pre&gt;&lt;code&gt;
&amp;lt;LightningComponentBundle xmlns="http://soap.sforce.com/2006/04/metadata" fqn="testingnew"&amp;gt;
&amp;lt;apiVersion&amp;gt;45.0&amp;lt;/apiVersion&amp;gt;
&amp;lt;isExposed&amp;gt;true&amp;lt;/isExposed&amp;gt;
&amp;lt;targets&amp;gt;
&amp;lt;target&amp;gt;lightning\\\_\\\_AppPage&amp;lt;/target&amp;gt;
&amp;lt;target&amp;gt;lightning\\\_\\\_RecordPage&amp;lt;/target&amp;gt;
&amp;lt;target&amp;gt;lightning\\\_\\\_HomePage&amp;lt;/target&amp;gt;
&amp;lt;/targets&amp;gt;
&amp;lt;targetConfigs&amp;gt;
&amp;lt;targetConfig targets="lightning\\\\\\\_\\\\\\\_RecordPage,lightning\\\\\\\_\\\\\\\_HomePage"&amp;gt;
&amp;lt;property name="label" type="String" default="Button" label="Enter the button label"/&amp;gt;
&amp;lt;property name="object" type="String" default="" label="Enter the object label"/&amp;gt;
&amp;lt;property name="action" type="String" default="" label="Enter the action label"/&amp;gt;
&amp;lt;property name="record" type="String" default="" label="Enter the button label"/&amp;gt;
&amp;lt;property name="url" type="String" default="" label="Enter the url label"/&amp;gt;
&amp;lt;/targetConfig&amp;gt;
&amp;lt;/targetConfigs&amp;gt;
&amp;lt;/LightningComponentBundle&amp;gt;
&lt;/code&gt;&lt;/pre&gt;
&lt;p&gt;so basically what i want here is that whenever i change the api object property, i want it to change the variable object in the js file as well. In my js file there are attributes by the name of objectapiname and actionname which equals the variables object and action so basically when i change the api property object, i want the variable object to be changed as well. I can change the api properties in salesforce but that doesn't change the variables object and action.&lt;/p&gt;
</t>
  </si>
  <si>
    <t xml:space="preserve">&lt;p&gt;I'm using "quick Action" on Task object in order to replace an old js button.
I tried to replace some ajax toll queries with "recordData" and use the data in the controller.
the result is always null.   &lt;/p&gt;
&lt;p&gt;I tried both - default and layoutType="FULL", same results null.&lt;/p&gt;
&lt;pre&gt;&lt;code&gt;&amp;lt;aura:component implements="flexipage:availableForAllPageTypes,force:hasRecordId,force:lightningQuickAction" controller="wsc_checkResponse"&amp;gt;
    &amp;lt;aura:attribute name="record" type="Task" /&amp;gt;
&amp;lt;force:recordData layoutType="FULL"
                  recordId="{!v.recordId}"
                  targetFields="{!v.record}"
                  recordUpdated="{!c.recordUpdate}" /&amp;gt;
    &amp;lt;aura:attribute name="taskWhoId" type="id"/&amp;gt;
    &amp;lt;force:recordData aura:id="recordLoader"
    recordId="{!v.recordId}"
    fields="WhoId"
    targetFields="{!v.taskWhoId}"
    targetError="{!v.recordLoadError}"
    recordUpdated="{!c.onTaskLoadingCompleted}"
    /&amp;gt;
    &amp;lt;div class="Record Details"&amp;gt; 
        &amp;lt;lightning:card iconName="standard:account"  &amp;gt;
            &amp;lt;div class="slds-p-horizontal--small"&amp;gt;
                &amp;lt;p class="slds-text-heading--medium"&amp;gt;&amp;lt;lightning:formattedPhone title="taskWhoId" value="{!v.record.Id}" /&amp;gt;&amp;lt;/p&amp;gt;
                &amp;lt;p class="slds-text-heading--medium"&amp;gt;&amp;lt;lightning:formattedPhone title="taskWhoId" value="{!v.record.taskWhoId}" /&amp;gt;&amp;lt;/p&amp;gt;
            &amp;lt;/div&amp;gt;
        &amp;lt;/lightning:card&amp;gt;
    &amp;lt;/div&amp;gt;
&amp;lt;/aura:component&amp;gt;
&lt;/code&gt;&lt;/pre&gt;
&lt;p&gt;ctrl.js&lt;/p&gt;
&lt;pre&gt;&lt;code&gt;({
    recordUpdate: function(component, event, helper){
        console.log('record',component.get("v.record"));
    },
    onTaskLoadingCompleted : function(component, event, helper) {
    var taskWhoId = component.get("v.taskWhoId");
        console.log('taskWhoId',taskWhoId);
    }
})
&lt;/code&gt;&lt;/pre&gt;
&lt;p&gt;task record or at last WhoId is expected but nada.&lt;/p&gt;
</t>
  </si>
  <si>
    <t xml:space="preserve">&lt;p&gt;Like other base Lightning components, including &lt;a href="https://developer.salesforce.com/docs/component-library/bundle/lightning:recordEditForm/documentation" rel="nofollow noreferrer"&gt;&lt;code&gt;&amp;lt;lightning:recordEditForm&amp;gt;&lt;/code&gt;&lt;/a&gt;, &lt;code&gt;&amp;lt;force:recordData&amp;gt;&lt;/code&gt; does not support the Task or Event objects. &lt;/p&gt;
&lt;p&gt;The list of supported objects is &lt;a href="https://developer.salesforce.com/docs/atlas.en-us.lightning.meta/lightning/data_service_considerations.htm" rel="nofollow noreferrer"&gt;here&lt;/a&gt;, in the Lightning Aura Components Developer Guide. The underlying limitation appears to come from the &lt;a href="https://developer.salesforce.com/docs/atlas.en-us.uiapi.meta/uiapi/ui_api_get_started_supported_objects.htm" rel="nofollow noreferrer"&gt;UI API&lt;/a&gt;, which doesn't support Task and Event.&lt;/p&gt;
</t>
  </si>
  <si>
    <t xml:space="preserve">&lt;p&gt;I'm new to Outsystems and we are stuck with a scenario where we want to launch a specific screen of Outsystems mobile application from our native iOS and Android app.&lt;/p&gt;
&lt;p&gt;We have already added URL Schemes to Outsystems mobile app using corodova plugin. Also added &lt;code&gt;LSApplicationQueriesSchemes&lt;/code&gt; to my native iOS app. Android app is still in development.&lt;/p&gt;
&lt;p&gt;Outsystems app is launching from native iOS app, but we need launch it to a specific screen. We have a login page in Outsystems app, we need to bypass that. &lt;/p&gt;
&lt;p&gt;I assumed the outsystems app must be working on URLs or deeplinking, but looks like its not the case.&lt;/p&gt;
&lt;p&gt;Can you guys help me out here?? Even a vague idea to achieve it will be helpful.&lt;/p&gt;
&lt;p&gt;&lt;strong&gt;For Android developers who need native code (Kotlin) to launch Outsystems app&lt;/strong&gt;&lt;/p&gt;
&lt;pre&gt;&lt;code&gt;val packageName = "in.co.companyname.appname"
            val context = getActivity()
            val pm = context!!.packageManager
            val myAction = Uri.parse("in.co.companyname.appname://Module/Screen?parameter1=para1&amp;amp;parameter2=para2")
            // Initialize a new Intent
            val intent: Intent? = pm.getLaunchIntentForPackage(packageName)
            if(intent!=null){
                intent!!.setAction(Intent.ACTION_VIEW)
                intent!!.setData(myAction)
                context!!.startActivity(intent)
            }else{
                Toast.makeText(activity!!, "Please install the App", Toast.LENGTH_SHORT).show()
            }
&lt;/code&gt;&lt;/pre&gt;
&lt;p&gt;&lt;strong&gt;For iOS developers&lt;/strong&gt;&lt;/p&gt;
&lt;pre&gt;&lt;code&gt;UIApplication.shared.open(URL.init(string: "in.co.companyname.appname://Module/Screen?parameter1=para1&amp;amp;parameter2=para2")!, options: [:], completionHandler: nil)
&lt;/code&gt;&lt;/pre&gt;
</t>
  </si>
  <si>
    <t xml:space="preserve">&lt;p&gt;&lt;a href="https://success.outsystems.com/Documentation/Development_FAQs/How_to_Define_Mobile_App_Deep_Links" rel="nofollow noreferrer"&gt;This documentation&lt;/a&gt; should help...I have tested with Android, and was able to successfully construct deep links and encode them in an NFC tag.&lt;/p&gt;
&lt;p&gt;Short version: the deep link is constructed with the following syntax:&lt;/p&gt;
&lt;pre&gt;&lt;code&gt;&amp;lt;app-identifier&amp;gt;://&amp;lt;module&amp;gt;/&amp;lt;screen&amp;gt;
&lt;/code&gt;&lt;/pre&gt;
&lt;p&gt;where app-identifier is the native app identifier for your app, and module and screen are the module and screen name you want to open with the deep link.&lt;/p&gt;
&lt;p&gt;As I do not have an iOS device handy, I was not able to test on iOS specifically.&lt;/p&gt;
</t>
  </si>
  <si>
    <t xml:space="preserve">&lt;p&gt;I need to validate uniqueness of a field when user changes this field in an existing record. I already have &lt;code&gt;unique&lt;/code&gt; constraint in DB and it throws an exception when item is changed, but I need to implement a message for user. &lt;/p&gt;
&lt;p&gt;The point is that I have this datasource in autosave mode and I don't want to switch to the manual, so the workaround with success/failure callback in &lt;code&gt;.saveChanges()&lt;/code&gt; won't work for me.&lt;/p&gt;
</t>
  </si>
  <si>
    <t xml:space="preserve">&lt;p&gt;I have a Quick Action on my Account object called "Follow Up" which I didn't create, it was already there. I can't see it in Object manager but I added to the Mobile and Lightning Experience Actions in the page layout. Still, I can't see that in the record page.&lt;/p&gt;
</t>
  </si>
  <si>
    <t xml:space="preserve">&lt;p&gt;I want to create a multi paged form to insert a record with the datasource &lt;code&gt;Car&lt;/code&gt; which has ownership over some other datasources like &lt;code&gt;Engine&lt;/code&gt;, &lt;code&gt;Wheel&lt;/code&gt;, etc. which are also forms on other pages and in a ONE-TO-ONE relationship with car.
How can I create a record for &lt;code&gt;Car&lt;/code&gt;,  &lt;code&gt;Engine&lt;/code&gt;,... and and link them to each other?&lt;/p&gt;
</t>
  </si>
  <si>
    <t xml:space="preserve">&lt;p&gt;I am attempting to write a formula that will calculate an amount but if the serviceFee field has a value it will use that value.&lt;/p&gt;
&lt;p&gt;So &lt;/p&gt;
&lt;pre&gt;&lt;code&gt;Field1 = Amount
Field2 = ServiceFee
&lt;/code&gt;&lt;/pre&gt;
&lt;p&gt;If ServiceFee has a value the amount must equal the servicefee&lt;br/&gt;
If any of the ClientTypes are matched the formula will not look at the ServiceFee &lt;/p&gt;
&lt;p&gt;I have tried deploying this but the formula seems to execure the ServiceFee section only&lt;/p&gt;
&lt;pre&gt;&lt;code&gt;IF(ClientType.Id = '123456', 
   Amount- Discount, 
   IF(ClientType.Id = '7891011', 
      Amount + 1,
      IF(NOT(ISBLANK(ServiceFee)), 
         Amount = ServiceFee, 
      )
   )
)
&lt;/code&gt;&lt;/pre&gt;
</t>
  </si>
  <si>
    <t xml:space="preserve">&lt;p&gt;The problem is you are trying to assign &lt;code&gt;Amount&lt;/code&gt; a value in the last statement, which doesn't work in formula syntax. It won't compile because that is actually parsed as a comparison statement (returning a boolean value).&lt;/p&gt;
&lt;p&gt;Instead, first determine what the formula should return. If you have several Client Ids, try the &lt;code&gt;CASE&lt;/code&gt; function. That way it's clear what happens in each of the scenarios. For example:&lt;/p&gt;
&lt;pre&gt;&lt;code&gt;CASE(ClientType.Id,
  '123456',  Amount - Discount,
  '7891011', Amount + 1,
  IF(ISBLANK(ServiceFee), 0, ServiceFee)
)
&lt;/code&gt;&lt;/pre&gt;
&lt;p&gt;The last argument is the default of the &lt;code&gt;CASE&lt;/code&gt; function and will be evaluated if &lt;code&gt;ClientType.Id&lt;/code&gt; isn't either of the previous values.&lt;/p&gt;
</t>
  </si>
  <si>
    <t xml:space="preserve">&lt;h2&gt;Goal&lt;/h2&gt;
&lt;p&gt;Use App Maker to collect User Birthdays and display only the Birthdays this Month.&lt;/p&gt;
&lt;h2&gt;Issue&lt;/h2&gt;
&lt;p&gt;I have a data model, &lt;code&gt;persons&lt;/code&gt;. In that model are two Datasources, the default &lt;code&gt;persons&lt;/code&gt; and a second &lt;code&gt;birthdaysThisMonth&lt;/code&gt;. The datasource query script in &lt;code&gt;birthdaysThisMonth&lt;/code&gt; properly runs and returns only the birthdays this month from the &lt;code&gt;persons&lt;/code&gt; model.&lt;/p&gt;
&lt;p&gt;However, when I change a birthdate in the &lt;code&gt;persons&lt;/code&gt; datasource, the &lt;code&gt;birthdaysThisMonth&lt;/code&gt; datasource remains unchanged, e.g., the Query script in &lt;code&gt;birthdaysThisMonth&lt;/code&gt; is not &lt;em&gt;re-executed&lt;/em&gt;.&lt;/p&gt;
&lt;p&gt;To change the birthdate, I select a new date from the date picker, and the new value is shown in a table. I am not using a submit button, I see the change when the date picker looses focus.&lt;/p&gt;
&lt;h2&gt;What I've Tried&lt;/h2&gt;
&lt;p&gt;This script is executed as a &lt;em&gt;Query script&lt;/em&gt; in the &lt;code&gt;birthdaysThisMonth&lt;/code&gt; datasource &lt;em&gt;which is &lt;strong&gt;not&lt;/strong&gt; set to &lt;code&gt;Manual save mode&lt;/code&gt;&lt;/em&gt;. It returns the records I want.&lt;/p&gt;
&lt;pre&gt;&lt;code&gt;function setBirthdays() {
  var calcRecords = [];
  var personsRecords = app.models.persons.newQuery().run();
  for (i=0; i&amp;lt;personsRecords.length; i++) {
    var id = app.models.persons.newQuery().filters.Id._equals = i;
    if (personsRecords[i].birthdate.getMonth() == thisMonth())  {
      var calcRecord = app.models.persons.newRecord();
      calcRecord.emailSecondary = personsRecords[i].emailSecondary;
      calcRecord.birthdate = personsRecords[I].birthdate;
      calcRecord.Id = personsRecords[i].Id;
      calcRecords.push(calcRecord);
    }
  }
  return calcRecords;
}
&lt;/code&gt;&lt;/pre&gt;
&lt;h2&gt;Question&lt;/h2&gt;
&lt;p&gt;How do I re-execute the query script in &lt;code&gt;birthdaysThisMonth&lt;/code&gt; when the data in &lt;code&gt;persons&lt;/code&gt; has been updated. How do I trigger the query so it reevaluates the data in &lt;code&gt;persons&lt;/code&gt; and filters accordingly.&lt;/p&gt;
&lt;p&gt;Using Events and &lt;code&gt;onAfterSave&lt;/code&gt; seems promising, but I haven't found an example of this.&lt;/p&gt;
&lt;h2&gt;BTW&lt;/h2&gt;
&lt;p&gt;I'd like this work to happen on the server side if possible. &lt;/p&gt;
</t>
  </si>
  <si>
    <t xml:space="preserve">&lt;p&gt;See Markus Malessa's comment for the answer.&lt;/p&gt;
&lt;blockquote&gt;
  &lt;p&gt;Unfortunately you can't use server events like onAfterSave to trigger reloading a datasource on the client, so your proposed solution won't work. It would seem that your only possible solution would be to make your persons datasource a manual save datasource, in the form where you change the birth date you will need a 'Save' button that calls widget.datasource.saveChanges() and in that function incorporate a callback that will reload your birthdaysThisMonth datasource&lt;/p&gt;
&lt;/blockquote&gt;
&lt;p&gt;The way I'm attempting to push/pull data isn't great. Looks like Manual Mode provides the types of features I need.&lt;/p&gt;
</t>
  </si>
  <si>
    <t xml:space="preserve">&lt;p&gt;I must get access token with OAuth to read data from crm-zoho. But, everytime when I get access token, I must go to link: &lt;a href="https://accounts.zoho.com/developerconsole" rel="nofollow noreferrer"&gt;https://accounts.zoho.com/developerconsole&lt;/a&gt; to get new grant token after that I use grant token to get access token.&lt;/p&gt;
&lt;p&gt;So, how can I get grant token automatic?&lt;/p&gt;
</t>
  </si>
  <si>
    <t xml:space="preserve">&lt;p&gt;Building an app with calendar events and am able to book events and list them, also hightlight event that is active.&lt;/p&gt;
&lt;p&gt;However for the life of me i cannot figure out how to prevent booking a calendar event that overlaps with an existing one - any advice please?&lt;/p&gt;
&lt;p&gt;Also is there a way to delete events based on the event name in calendar?&lt;/p&gt;
</t>
  </si>
  <si>
    <t xml:space="preserve">&lt;p&gt;I have an event listener listening for click events and am running this function:&lt;/p&gt;
&lt;pre&gt;&lt;code&gt;  handleClick = e =&amp;gt; {
    const neutralState =
      "slds-button slds-button_neutral slds-m-around_xx-small";
    const selectedState =
      "slds-button slds-button_brand slds-m-around_xx-small";
    const target = e.currentTarget;
    const targetClass = target.getAttribute("class");
    const value = target.innerHTML;
    if (targetClass === neutralState) {
      target.setAttribute("class", selectedState);
      this.saveData(value, this.props.modifier);
    } else if (targetClass === selectedState) {
      target.setAttribute("class", neutralState);
      this.removeData(value, this.props.modifier);
    }
  };
  saveData(value, modifier) {
    if (modifier === "kinds of loss") {
      this.props.dispatch(addKindsOfLoss(value));
    } else if (modifier === "type of loss") {
      this.props.dispatch(addTypeOfLoss(value));
    } else if (modifier === "water loss") {
      this.props.dispatch(addWaterLoss(value));
    }
  }
  removeData(value, modifier) {
    if (modifier === "kinds of loss") {
      this.props.dispatch(removeKindsOfLoss(value));
    } else if (modifier === "type of loss") {
      this.props.dispatch(removeTypeOfLoss(value));
    } else if (modifier === "water loss") {
      this.props.dispatch(removeWaterLoss(value));
    }
  }
&lt;/code&gt;&lt;/pre&gt;
&lt;p&gt;The saveData and removeData actions basically add items or remove items from an array.&lt;/p&gt;
&lt;p&gt;So in my handleClick function, if I comment out the functions for &lt;code&gt;this.saveData&lt;/code&gt; and &lt;code&gt;this.removeData&lt;/code&gt; the buttons change as expected. But if the &lt;code&gt;saveData&lt;/code&gt; and &lt;code&gt;removeData&lt;/code&gt; functions are in place, the change does not happen. It basically stays at the neutral state for the button.&lt;/p&gt;
&lt;p&gt;Does anyone see what I am doing wrong or have any suggestion on how to be able to change the button state and fire the action?&lt;/p&gt;
</t>
  </si>
  <si>
    <t xml:space="preserve">&lt;p&gt;I wrote a small program with your code segment. It is working as you expected. It changes the class in the button as you expected. &lt;/p&gt;
&lt;pre&gt;&lt;code&gt;const root = document.getElementById("root");
class App extends React.Component {
   constructor(props) {
       super(props);
   }
  handleClick = e =&amp;gt; {
    const neutralState =
      "slds-button slds-button_neutral slds-m-around_xx-small";
    const selectedState =
      "slds-button slds-button_brand slds-m-around_xx-small";
    const target = e.currentTarget;
    const targetClass = target.getAttribute("class");
    const value = target.innerHTML;
    if (targetClass === neutralState) {
      target.setAttribute("class", selectedState);
      this.saveData(value, this.props.modifier);
    } else if (targetClass === selectedState) {
      target.setAttribute("class", neutralState);
      this.removeData(value, this.props.modifier);
    }
  };
  saveData(value, modifier) {
    if (modifier === "kinds of loss") {
      this.props.dispatch(addKindsOfLoss(value));
    } else if (modifier === "type of loss") {
      this.props.dispatch(addTypeOfLoss(value));
    } else if (modifier === "water loss") {
      this.props.dispatch(addWaterLoss(value));
    }
  }
  removeData(value, modifier) {
    if (modifier === "kinds of loss") {
      this.props.dispatch(removeKindsOfLoss(value));
    } else if (modifier === "type of loss") {
      this.props.dispatch(removeTypeOfLoss(value));
    } else if (modifier === "water loss") {
      this.props.dispatch(removeWaterLoss(value));
    }
  }
   render() {
       return(
           &amp;lt;div&amp;gt;
               &amp;lt;input type="button" value="button" class="slds-button slds-button_neutral slds-m-around_xx-small" onClick={this.handleClick} /&amp;gt;
           &amp;lt;/div&amp;gt;
       );
   }
}
ReactDOM.render(&amp;lt;App /&amp;gt;, root); 
&lt;/code&gt;&lt;/pre&gt;
&lt;p&gt;I am not sure any issues with the special methods addKindsOfLoss, removeKindsOfLoss etc. but the on click action is triggered.&lt;/p&gt;
</t>
  </si>
  <si>
    <t xml:space="preserve">&lt;p&gt;&lt;strong&gt;Background:&lt;/strong&gt;&lt;/p&gt;
&lt;p&gt;I'm quite new to App Maker, but have been involved in programming/IT for over 2 decades.&lt;/p&gt;
&lt;p&gt;I have created an App Maker app, which works fine.  It is deployed, and functions internally in our organization.&lt;/p&gt;
&lt;p&gt;It accesses a Team Drive spreadsheet, makes modifications to it based on input criteria, and sends an email out to a hardcoded user.  It uses no external GCP database or other resource.&lt;/p&gt;
&lt;p&gt;The OAuth scopes it requires are:&lt;/p&gt;
&lt;ul&gt;
&lt;li&gt;admin.directory.user.readonly&lt;/li&gt;
&lt;li&gt;drive.readonly&lt;/li&gt;
&lt;li&gt;script.send_mail&lt;/li&gt;
&lt;li&gt;spreadsheets&lt;/li&gt;
&lt;li&gt;userinfo.email&lt;/li&gt;
&lt;/ul&gt;
&lt;p&gt;&lt;strong&gt;Problem:&lt;/strong&gt;&lt;/p&gt;
&lt;p&gt;I can no longer preview the app.&lt;/p&gt;
&lt;p&gt;When I click on "Preview" at the top right, a new tab opens and a spinning wheels seems to indicate that the preview is loading.  Within about 4 seconds, the tab closes and the original tab (with the scripts, UI etc) gives a "Previewing failed.  Dismiss" error in the bottom centre.&lt;/p&gt;
&lt;p&gt;I am both able to deploy the exact same code/UI/etc, as well as run it without issue.&lt;/p&gt;
&lt;p&gt;I do not know what I changed, since being able to preview the app, but cannot seem to regress to that state.&lt;/p&gt;
&lt;p&gt;&lt;strong&gt;What I've tried:&lt;/strong&gt;&lt;/p&gt;
&lt;p&gt;Admittedly not much, as I don't know where to look.  I'm rather certain that there must be some setting somewhere, but for all my googling, I've come up empty.&lt;/p&gt;
&lt;p&gt;This can't be a client/server script or other syntax issue, as otherwise the deployment also wouldn't work.&lt;/p&gt;
&lt;p&gt;With a more meaningful error, I would know where to look.&lt;/p&gt;
&lt;p&gt;&lt;strong&gt;Expected Result:&lt;/strong&gt;&lt;/p&gt;
&lt;p&gt;Obviously, I should be able to preview the app if it is deployable.&lt;/p&gt;
</t>
  </si>
  <si>
    <t xml:space="preserve">&lt;p&gt;Following @Morfinismo's comment, I contacted G Suite Support; my matter was escalated to the API Team.&lt;/p&gt;
&lt;ol&gt;
&lt;li&gt;&lt;p&gt;I was asked by Google Cloud Support ("Support") to provide network traffic info using &lt;a href="http://www.telerik.com/fiddler/fiddlercap" rel="nofollow noreferrer"&gt;FiddlerCap&lt;/a&gt;.  As I am on a linux machine and FiddlerCap is a windows application, I suggested alternatives (eg:&lt;a href="https://www.wireshark.org/" rel="nofollow noreferrer"&gt;Wireshark&lt;/a&gt;).  It was eventually not required and never provided.&lt;/p&gt;&lt;/li&gt;
&lt;li&gt;&lt;p&gt;I noticed that on the &lt;a href="http://script.google.com" rel="nofollow noreferrer"&gt;Google scripts&lt;/a&gt; page, when accessing the project in question selecting "Preview", it was missing the following OAuth:
&lt;a href="https://www.googleapis.com/auth/admin.directory.user.readonly" rel="nofollow noreferrer"&gt;https://www.googleapis.com/auth/admin.directory.user.readonly&lt;/a&gt;
The functioning deployed version did not have this missing.&lt;/p&gt;&lt;/li&gt;
&lt;li&gt;&lt;p&gt;Still in the Preview, I selected "Stackdriver (logs)", which gave me an error that the project had been deleted.  The actual wording was:&lt;/p&gt;&lt;/li&gt;
&lt;/ol&gt;
&lt;p&gt;Access forbidden&lt;/p&gt;
&lt;p&gt;Project XXXX is shut down and scheduled to be deleted.  A project owner can cancel the shutdown on the projects list page.&lt;/p&gt;
&lt;ol start="4"&gt;
&lt;li&gt;&lt;p&gt;Clicking on the link in the error "Go to projects list page" brought me to a page with the title "Resources pending deletion", which did not load a list of projects (but otherwise fully loaded) and would display the spinning wheel in perpetuity.  I attempted this multiple times, including leaving it overnight once.&lt;/p&gt;&lt;/li&gt;
&lt;li&gt;&lt;p&gt;Support presumed that I had deleted the GCP project, although I honestly don't/didn't think I had.  I also confirmed that creating new previews did not work, but creating new deployments did.  I also confirm(ed) that this particular App Maker app did not require (eg) a GCP SQL database.&lt;/p&gt;&lt;/li&gt;
&lt;li&gt;&lt;p&gt;Support pointed me toward the following website: &lt;a href="https://cloud.google.com/resource-manager/reference/rest/v1/projects/undelete" rel="nofollow noreferrer"&gt;Google undelete project&lt;/a&gt; and I was asked to follow these steps (copy-pasted here):&lt;/p&gt;&lt;/li&gt;
&lt;/ol&gt;
&lt;p&gt;a. For projectId, enter your project ID. From the screenshot you provided, this is "XXX (redacted)" (the quotes are just to emphasise the project ID, you shouldn't enter them.&lt;/p&gt;
&lt;p&gt;b. Click EXECUTE.&lt;/p&gt;
&lt;p&gt;c. You'll be prompted to grant authorisation, which may be preceded by a prompt to choose your admin account. Please do so.&lt;/p&gt;
&lt;p&gt;d. You should receive a 200 response, with an empty body, that is {}.&lt;/p&gt;
&lt;p&gt;e. Attempt to access the project via &lt;a href="https://console.cloud.google.com/iam-admin/settings?project=XXX" rel="nofollow noreferrer"&gt;Project link&lt;/a&gt; (with the actual project id redacted here).&lt;/p&gt;
&lt;ol start="7"&gt;
&lt;li&gt;The above yielded some strange behaviour:&lt;/li&gt;
&lt;/ol&gt;
&lt;p&gt;a. undeleteing the project gave it a different name that the App Maker app;&lt;/p&gt;
&lt;p&gt;b. I notice that I had 3 other projects all called correctly (the App Maker app name).&lt;/p&gt;
&lt;p&gt;c. When asked to reauthorize, I was provided with yet another project name ("Untitled project"), which was different from the correct one and different from the one in para. 7a, above.&lt;/p&gt;
&lt;p&gt;d. I then also obtained another error in a new window which read:&lt;/p&gt;
&lt;ol start="401"&gt;
&lt;li&gt;That's an error&lt;/li&gt;
&lt;/ol&gt;
&lt;p&gt;Request Details
(a bunch of stuff)
That's all we know.&lt;/p&gt;
&lt;ol start="8"&gt;
&lt;li&gt;Support advised that there may be a propagation issue, and that I should wait up to 30 minutes.  I did, and it then worked!  The only weird thing was the project name was wrong, but it was only for the preview, so I didn't really care.&lt;/li&gt;
&lt;/ol&gt;
&lt;p&gt;If anyone needs additional information, I can PM screenshots I took along the way.&lt;/p&gt;
&lt;p&gt;Hope this helps someone!&lt;/p&gt;
&lt;p&gt;SJL&lt;/p&gt;
</t>
  </si>
  <si>
    <t xml:space="preserve">&lt;p&gt;Salesforce Classic Reports : I need to be able to create a field which subtracts value of one cell from the previous cell and display the difference. Basically, these are two revenue fields, say Jan FY2018 and Jan FY2019, I want a new column which displays the difference in revenues between them.&lt;/p&gt;
&lt;p&gt;Can this be done through custom summary formula ? If so, please advise how.&lt;/p&gt;
</t>
  </si>
  <si>
    <t xml:space="preserve">&lt;p&gt;See &lt;a href="https://stackoverflow.com/questions/56159484/datasource-paging-issue-revised"&gt;Datasource Paging Issue (Revised)&lt;/a&gt;
for the original question.&lt;/p&gt;
&lt;p&gt;Markus, you were kind enough to help with out with the issue of incorporating a record count into a query using a calculated datasource. I have a search form with 15 widgets - a mix of date ranges, dropdowns, text values and ._contains, ._equals, ._greaterThanOrEquals, ._lessThanOrEquals, etc.&lt;/p&gt;
&lt;p&gt;I have tested this extensively against mySQL SQL code and it works fine.&lt;/p&gt;
&lt;p&gt;I have now added a 16th parameter PropertyNames, which is a list with binding @datasource.query.filters.Property.PropertyName._in and Options blank. The widget on the form is hidden because it is only used for additional filtering. &lt;/p&gt;
&lt;p&gt;Logic such as the following is used, such that a particular logged-in user can only view their own properties. So if they perform a search and the Property is not specified we do:-&lt;/p&gt;
&lt;pre&gt;&lt;code&gt;if (params.param_Property === null &amp;amp;&amp;amp; canViewAllRecords === false) {
    console.log(params.param_PropertyNames); // correct output
    ds.filters.Property.PropertyName._in  = params.param_PropertyNames;
}
&lt;/code&gt;&lt;/pre&gt;
&lt;p&gt;The record count (records.length) is correct, and if I for loop through the array of records the record set is correct. &lt;/p&gt;
&lt;p&gt;However, on the results page the table displays a larger resultset which omits the PropertyNames filter. So if I was to search on Status 'Open' (mySQL results 50) and then I add a single value ['Property Name London SW45'] for params.param_PropertyNames the record count is 6, the records array is 6 but the datasource display is 50. So the datasource is not filtering on the property array.&lt;/p&gt;
&lt;p&gt;Initially I tried without adding the additional parameter and form widget and just using code such as&lt;/p&gt;
&lt;pre&gt;&lt;code&gt;if (params.param_Property === null &amp;amp;&amp;amp; canViewAllRecords === false) {
    console.log(params.param_PropertyNames); // correct output
    ds.filters.Property.PropertyName._in  = properties; // an array of 
        properties to filter out
}
&lt;/code&gt;&lt;/pre&gt;
&lt;p&gt;But this didn't work, hence the idea of adding a form widget and an additional parameter to the calculated recordcount datasource.&lt;/p&gt;
&lt;p&gt;If I inspect at query.parameters then I see:-&lt;/p&gt;
&lt;pre&gt;&lt;code&gt;"param_Status": "Open", 
"param_PropertyNames": ["Property Name London SW45"],
&lt;/code&gt;&lt;/pre&gt;
&lt;p&gt;If I inspect query.filters:-&lt;/p&gt;
&lt;pre&gt;&lt;code&gt;name=param_Status, value=Open
name=param_PropertyNames, value=[]}]}
&lt;/code&gt;&lt;/pre&gt;
&lt;p&gt;It looks as though the filter isn't set. Even hard coding
ds.filters.Property.PropertyName._in  = ['Property Name London SW45'],
I get the same reuslt.&lt;/p&gt;
&lt;p&gt;Have you got any idea what would be causing this issue and what I can do for a workaround ?&lt;/p&gt;
</t>
  </si>
  <si>
    <t xml:space="preserve">&lt;p&gt;I have a custom object Training__c on the Lightning experience which has lookup with Account it's working fine in a desktop However, when I open the same on my mobile this lookup field is not showing any option to create a new contact. Screenshot attached. Could you please suggest me?&lt;/p&gt;
&lt;p&gt;&lt;a href="https://i.stack.imgur.com/3cGLQ.jpg" rel="nofollow noreferrer"&gt;&lt;img src="https://i.stack.imgur.com/3cGLQ.jpg" alt="s"&gt;&lt;/a&gt;&lt;/p&gt;
&lt;p&gt;Thanks,
Vijay.&lt;/p&gt;
</t>
  </si>
  <si>
    <t xml:space="preserve">&lt;p&gt;I would like to import records from a PostgreSQL external database on a scheduled basis and import it into the connected Cloud SQL database (the app maker connected instance).  How would I accomplish that with a script inside of app maker?&lt;/p&gt;
&lt;p&gt;The scheduling part I have figured out already.&lt;/p&gt;
</t>
  </si>
  <si>
    <t xml:space="preserve">&lt;p&gt;We are now getting an error within our Book A Room powerapp when trying to find available meeting times.  The error has only started since we added a new room which takes us to 21 rooms in our Office 365. The error is as follows:
&lt;img src="https://i.imgur.com/IAnXPbg.png" alt="error" title="Error"&gt;&lt;/p&gt;
&lt;p&gt;The issue seems to be that in the API request all 21 rooms are included in the requiredAttendees json attribute. Once I remove the newly added room on Office365 the error goes away. &lt;/p&gt;
&lt;p&gt;All rooms in the catalogue need to be included in the request to see whether they are available for booking but is this limit of 20 a hard limit on the API side? If so, what alternatives do I have?&lt;/p&gt;
</t>
  </si>
  <si>
    <t xml:space="preserve">&lt;p&gt;I'm setting a new Salesforce Community with different &lt;strong&gt;Navigation Menu Item&lt;/strong&gt; and I'd like to make a &lt;strong&gt;LWC&lt;/strong&gt; with a link to one of this custom menu item.&lt;/p&gt;
&lt;p&gt;I'm making it with the &lt;strong&gt;Javascript navigation tools&lt;/strong&gt; provided by Salesforce. I used the page type &lt;strong&gt;standard__namedPage&lt;/strong&gt; as explain in the LWC doc and fill the attributes pageName with the name of my custom navigation item.&lt;/p&gt;
&lt;pre&gt;&lt;code&gt;        this[NavigationMixin.Navigate]({
            type: "standard__namedPage",
            attributes: {
                pageName: "my-custom-nav-item-name"
            }
        });
&lt;/code&gt;&lt;/pre&gt;
&lt;p&gt;The result is just an "invalid page" and I don't know why.&lt;/p&gt;
</t>
  </si>
  <si>
    <t xml:space="preserve">&lt;p&gt;How to integrate the Embed Widget Code from Zoho Subscriptions in angular code&lt;/p&gt;
&lt;pre&gt;&lt;code&gt; &amp;lt;div id="zf-widget-root-id"&amp;gt;&amp;lt;/div&amp;gt;
    &amp;lt;script type="text/javascript" src='https://js.zohostatic.com/books/zfwidgets/assets/js/zf-widget.js'&amp;gt;&amp;lt;/script&amp;gt;
    &amp;lt;script&amp;gt;
    var pricingTableComponentOptions = {
        id: 'zf-widget-root-id',
        product_id: '2-af63b261dc2e0358fdbd15e2c9066cf2b1d696ba014e3b56170c90ed9a54e6ccf0b48bbb8f7f67d2dcd6c241ff4b3036a073444c5559f6aae8f94ecca8061732',
        template: 'elegant_pro',
        most_popular_plan: '',
        is_group_by_frequency: false,
        group_options: [
        ],
        plans: [
          {
      plan_code: 'SILVER_01'
  },
{
      plan_code: 'GOLD_01'
  },
{
      plan_code: 'PLATINUM_01'
  },
        ],
        theme: { color: '#2AC497', theme_color_light: ''},
        button_text: 'Subscribe',
        product_url: 'https://subscriptions.zoho.in',
        price_caption: '',
        language_code: 'en'
    };
    ZFWidget.init('zf-pricing-table', pricingTableComponentOptions);
    &amp;lt;/script&amp;gt; 
&lt;/code&gt;&lt;/pre&gt;
&lt;p&gt;this is my embed widget code from zoho subscriptions which has 3 plans. the above code does not work with angular 5. is there any other way where i can integrate the Zoho subscriptions with the Angular 5 or should i want to make changes in the above code to work with angular 5.&lt;/p&gt;
</t>
  </si>
  <si>
    <t xml:space="preserve">&lt;p&gt;Put library call in index.html file.&lt;/p&gt;
&lt;pre&gt;&lt;code&gt; &amp;lt;script type="text/javascript" src='https://js.zohostatic.com/books/zfwidgets/assets/js/zf-widget.js'&amp;gt;&amp;lt;/script&amp;gt;
    &amp;lt;script&amp;gt;
&lt;/code&gt;&lt;/pre&gt;
&lt;p&gt;In the html of the component where you want to show zoho ad.&lt;/p&gt;
&lt;pre&gt;&lt;code&gt;&amp;lt;div id="zf-widget-root-id"&amp;gt;&amp;lt;/div&amp;gt;
&lt;/code&gt;&lt;/pre&gt;
&lt;p&gt;In the class of the component.&lt;/p&gt;
&lt;pre&gt;&lt;code&gt;       pricingTableComponentOptions = {
        id: 'zf-widget-root-id',
        product_id: '2-af63b261dc2e0358fdbd15e2c9066cf2b1d696ba014e3b56170c90ed9a54e6ccf0b48bbb8f7f67d2dcd6c241ff4b3036a073444c5559f6aae8f94ecca8061732',
        template: 'elegant_pro',
        most_popular_plan: '',
        is_group_by_frequency: false,
        group_options: [
        ],
        plans: [
          {
      plan_code: 'SILVER_01'
  },
{
      plan_code: 'GOLD_01'
  },
{
      plan_code: 'PLATINUM_01'
  },
        ],
        theme: { color: '#2AC497', theme_color_light: ''},
        button_text: 'Subscribe',
        product_url: 'https://subscriptions.zoho.in',
        price_caption: '',
        language_code: 'en'
    };
    ngAfterViewInit() {
      setTimeout(()=&amp;gt;{
        ZFWidget.init('zf-pricing-table', this.pricingTableComponentOptions);
      }, 6000);
    }
&lt;/code&gt;&lt;/pre&gt;
&lt;p&gt;&lt;a href="https://stackblitz.com/edit/angular-s89z2d" rel="nofollow noreferrer"&gt;https://stackblitz.com/edit/angular-s89z2d&lt;/a&gt;&lt;/p&gt;
</t>
  </si>
  <si>
    <t xml:space="preserve">&lt;p&gt;I have a requirement in our community where a Question is generated as a Feeditem whenever our customers ask. There would be answers from other users which are Feeditems. Now when a Feeditem(Question) is deleted, I would want all the associated Feedcomments to be deleted. &lt;/p&gt;
&lt;p&gt;Feedcomment have a FeedItemID associated with them. I am new to development, it would be great if someone could help me atleast a skeleton of the handler and trigger.&lt;/p&gt;
</t>
  </si>
  <si>
    <t xml:space="preserve">&lt;p&gt;I want to add the data into a custom object say "Custom opportunity Object" when "opportunity object" is close a won.
The data should be:
1. Opportunity name
2. Closed by Agent name(who is assigned to that lead), etc&lt;/p&gt;
&lt;p&gt;Please suggest some way out to solve this problem.&lt;/p&gt;
</t>
  </si>
  <si>
    <t xml:space="preserve">&lt;p&gt;Using &lt;strong&gt;MxBuild&lt;/strong&gt; for creating the deployment package(.mda file) for Mendix app&lt;/p&gt;
&lt;p&gt;Command executed :&lt;/p&gt;
&lt;pre&gt;&lt;code&gt;mono modeler/mxbuild.exe --output="Automation" --java-home =/usr/lib/jvm --java-exe-path=/usr/lib/jvm/bin/java Automation.mpr
&lt;/code&gt;&lt;/pre&gt;
&lt;p&gt;Error I am getting :&lt;/p&gt;
&lt;p&gt;ERROR: System.TypeLoadException: Could not load type 'Mendix.Modeler.Utility.AssemblyResolver' from assembly 'Mendix.Modeler.Utility, Version=1.0.0.0, Culture=neutral, PublicKeyToken=null'. at Mendix.CommandLine.Shared.ProgramHelper.InitializeAndRun[T] (System.Func`2[T,TResult] program, System.Reflection.Assembly[] extraAssemblies) [0x00000] in &amp;lt;009e4959434f43ae9753a7ededb54a25&gt;:0&lt;/p&gt;
&lt;p&gt;I am referring the directions mentioned &lt;a href="https://docs.mendix.com/refguide/mxbuild" rel="nofollow noreferrer"&gt;here&lt;/a&gt;.&lt;/p&gt;
&lt;p&gt;As mentioned in this documentation, we can use MxBuild on Windows as well as Linux. If I use Windows here, no issue is occurring.&lt;/p&gt;
&lt;p&gt;&lt;strong&gt;Mono version 4.6&lt;/strong&gt; is used here as I have to use mxbuild.exe on debian.(Suggested in documentation)&lt;/p&gt;
&lt;p&gt;Is this something related to Mono or Mendix ?&lt;/p&gt;
</t>
  </si>
  <si>
    <t xml:space="preserve">&lt;p&gt;I want to generate the report based on status of case record type and also in profiles who are working on it&lt;/p&gt;
&lt;p&gt;I want to generate the report based on status of case record type and also in profiles who are working on it&lt;/p&gt;
</t>
  </si>
  <si>
    <t xml:space="preserve">&lt;p&gt;I want to sort a list gallery ordening by date with the formula:&lt;/p&gt;
&lt;pre&gt;&lt;code&gt;SortByColumns(
    AddColumns(
        Tabela4;
        "CalcDate";
        Max(
            DateValue(Data)+Qtde_dias_para_contato;
            DateValue(Data_cotação)+Qtde_dias_para_contato;
            DateValue(data_contato_1)+Qtde_dias_para_contato;
            DateValue(data_contato_2)+Qtde_dias_para_contato;
            DateValue(data_contato_3)+Qtde_dias_para_contato;
            DateValue(data_contato_4)+Qtde_dias_para_contato;
            DateValue(data_contato_5)+Qtde_dias_para_contato;
            DateValue(data_contato_6)+Qtde_dias_para_contato;
            DateValue(data_contato_7)+Qtde_dias_para_contato;
            DateValue(data_contato_8)+Qtde_dias_para_contato;
            DateValue(data_contato_9)+Qtde_dias_para_contato;
            DateValue(data_contato_10)+Qtde_dias_para_contato;
            DateValue(data_contato_11)+Qtde_dias_para_contato;
            DateValue(data_contato_12)+Qtde_dias_para_contato));
    "CalcDate";
    Ascending)
&lt;/code&gt;&lt;/pre&gt;
&lt;p&gt;That code works but I need that this happens only when a column table has a determined value.&lt;/p&gt;
&lt;p&gt;I tried  this code:&lt;/p&gt;
&lt;pre&gt;&lt;code&gt;SortByColumns(
    AddColumns(
        Tabela4;
        "CalcDate";
        If(
            Tabela4.finalizado = "";
            Max(
                DateValue(Data)+Qtde_dias_para_contato;
                DateValue(Data_cotação)+Qtde_dias_para_contato;
                DateValue(data_contato_1)+Qtde_dias_para_contato;
                DateValue(data_contato_2)+Qtde_dias_para_contato;
                DateValue(data_contato_3)+Qtde_dias_para_contato;
                DateValue(data_contato_4)+Qtde_dias_para_contato;
                DateValue(data_contato_5)+Qtde_dias_para_contato;
                DateValue(data_contato_6)+Qtde_dias_para_contato;
                DateValue(data_contato_7)+Qtde_dias_para_contato;
                DateValue(data_contato_8)+Qtde_dias_para_contato;
                DateValue(data_contato_9)+Qtde_dias_para_contato;
                DateValue(data_contato_10)+Qtde_dias_para_contato;
                DateValue(data_contato_11)+Qtde_dias_para_contato;
                DateValue(data_contato_12)+Qtde_dias_para_contato)));
    "CalcDate";
    Ascending)
&lt;/code&gt;&lt;/pre&gt;
&lt;p&gt;But it isn´t working. How can I write this code?&lt;/p&gt;
</t>
  </si>
  <si>
    <t xml:space="preserve">&lt;p&gt;If I understand it correctly, you want to sort by the calculated date if &lt;code&gt;Tabela4.finalizado&lt;/code&gt; is empty. What would you want to happen if it is not empty? If the expected outcome is for the result not to be sorted, you can have the If expression outside of the SortByColumns:&lt;/p&gt;
&lt;pre&gt;&lt;code&gt;If(
    Tabela4.finalizado = "";
    SortByColumns(
        AddColumns(
            Tabela4;
            "CalcDate";
            Max(
                DateValue(Data)+Qtde_dias_para_contato;
                DateValue(Data_cotação)+Qtde_dias_para_contato;
                DateValue(data_contato_1)+Qtde_dias_para_contato;
                DateValue(data_contato_2)+Qtde_dias_para_contato;
                DateValue(data_contato_3)+Qtde_dias_para_contato;
                DateValue(data_contato_4)+Qtde_dias_para_contato;
                DateValue(data_contato_5)+Qtde_dias_para_contato;
                DateValue(data_contato_6)+Qtde_dias_para_contato;
                DateValue(data_contato_7)+Qtde_dias_para_contato;
                DateValue(data_contato_8)+Qtde_dias_para_contato;
                DateValue(data_contato_9)+Qtde_dias_para_contato;
                DateValue(data_contato_10)+Qtde_dias_para_contato;
                DateValue(data_contato_11)+Qtde_dias_para_contato;
                DateValue(data_contato_12)+Qtde_dias_para_contato));
        "CalcDate";
        Ascending);
    Tabela4)
&lt;/code&gt;&lt;/pre&gt;
&lt;p&gt;Notice that there's something strange with the &lt;code&gt;If&lt;/code&gt; condition. Tabela4 is a table (i.e., contains multiple records / rows), so &lt;code&gt;Tabela4.finalizado&lt;/code&gt; is not a string, it's a table of string values, so the expression above will not work.&lt;/p&gt;
&lt;p&gt;If you want to sort by the calculated date &lt;em&gt;for rows that have finalizado = ""&lt;/em&gt;, and not show the other rows, then you can filter the table prior to sorting it:&lt;/p&gt;
&lt;pre&gt;&lt;code&gt;SortByColumns(
    AddColumns(
        Filter(Tabela4; finalizado = "");
        "CalcDate";
        Max(
            DateValue(Data)+Qtde_dias_para_contato;
            DateValue(Data_cotação)+Qtde_dias_para_contato;
            DateValue(data_contato_1)+Qtde_dias_para_contato;
            DateValue(data_contato_2)+Qtde_dias_para_contato;
            DateValue(data_contato_3)+Qtde_dias_para_contato;
            DateValue(data_contato_4)+Qtde_dias_para_contato;
            DateValue(data_contato_5)+Qtde_dias_para_contato;
            DateValue(data_contato_6)+Qtde_dias_para_contato;
            DateValue(data_contato_7)+Qtde_dias_para_contato;
            DateValue(data_contato_8)+Qtde_dias_para_contato;
            DateValue(data_contato_9)+Qtde_dias_para_contato;
            DateValue(data_contato_10)+Qtde_dias_para_contato;
            DateValue(data_contato_11)+Qtde_dias_para_contato;
            DateValue(data_contato_12)+Qtde_dias_para_contato));
    "CalcDate";
    Ascending)
&lt;/code&gt;&lt;/pre&gt;
&lt;p&gt;If you need something else, please clarify your question and we will be able to help you.&lt;/p&gt;
</t>
  </si>
  <si>
    <t xml:space="preserve">&lt;p&gt;I struggle to understand something that make no sense to me.&lt;/p&gt;
&lt;p&gt;So I have a database under google app maker which have &lt;code&gt;relation&lt;/code&gt; and &lt;code&gt;foreign_key&lt;/code&gt;.&lt;/p&gt;
&lt;p&gt;But one relation's foreign_key doesn't appear inside mysql terminal in Google Cloud Platform Cloud console / Google App Maker / Google App Script, but it works in appmaker.&lt;/p&gt;
&lt;p&gt;I have a web app from google app script where I try to create Row using &lt;code&gt;jdbc&lt;/code&gt;, but without the &lt;code&gt;foreign_key&lt;/code&gt;, I can't finish what I started.&lt;/p&gt;
&lt;p&gt;Today I have tried to add a new relation and it's foreign_key appears in the console.&lt;/p&gt;
&lt;p&gt;I had already tried to contact the google support who don't know how to help me.&lt;/p&gt;
&lt;h3&gt;Things I tried:&lt;/h3&gt;
&lt;p&gt;I tried to rename a foreign_key to the foreign_key missing.&lt;/p&gt;
&lt;p&gt;I tried to alter the sql table.&lt;/p&gt;
&lt;p&gt;I tried to create manual a foreign_key&lt;/p&gt;
&lt;p&gt;So Does anyone have any idea on how to bypass the foreign_key which doesn't appear?&lt;/p&gt;
</t>
  </si>
  <si>
    <t xml:space="preserve">&lt;p&gt;Thank @TheMaster &amp;amp; @Morfinismo for the help.&lt;/p&gt;
&lt;p&gt;So i found the source of my problem.&lt;/p&gt;
&lt;p&gt;When you create a Many to Many relation in Google App Maker the Foreign_Key will not appear, it will create a jointure table to save all fk.&lt;/p&gt;
&lt;blockquote&gt;
  &lt;p&gt;Imagine you have two table A and B and you create a Many to Many it will create a new tablea Called A_Has_B and it will contaign two Foreign_key A_fk and B_fk.&lt;/p&gt;
&lt;/blockquote&gt;
</t>
  </si>
  <si>
    <t xml:space="preserve">&lt;p&gt;I'm trying to connect Zoho Analytics and Python via Zoho client library here: &lt;a href="https://www.zoho.com/analytics/api/#python-library" rel="nofollow noreferrer"&gt;https://www.zoho.com/analytics/api/#python-library&lt;/a&gt; &lt;/p&gt;
&lt;p&gt;I downloaded the client library file but now have no idea how to use it. What I want to do is importing data from Zoho Analytics to Python and the suggested code on Zoho is:&lt;/p&gt;
&lt;pre class="lang-py prettyprint-override"&gt;&lt;code&gt;from __future__ import with_statement
from ReportClient import ReportClient
import sys
from __future__ import with_statement
from ReportClient import ReportClient
import sys
class Sample:
    LOGINEMAILID="abc@zoho.com"
    AUTHTOKEN="************"
    DATABASENAME="Workspace Name"
    TABLENAME="Table Name"
    rc = None
    rc = ReportClient(self.AUTHTOKEN)
    def importData(self,rc):
        uri = rc.getURI(self.LOGINEMAILID,self.DATABASENAME,self.TABLENAME)
        try:
            with open('StoreSales.csv', 'r') as f:
            importContent = f.read()
        except Exception,e:
            print "Error Check if file StoreSales.csv exists in
                                        the current directory"
            print "(" + str(e) + ")"
            return
        impResult = rc.importData(uri,"APPEND",importContent,None)
        print "Added Rows :" +str(impResult.successRowCount) + " and Columns :"
                    + str(impResult.selectedColCount)
obj = Sample()
obj.importData(obj.rc)
&lt;/code&gt;&lt;/pre&gt;
&lt;p&gt;How do I make &lt;code&gt;from ReportClient import ReportClient&lt;/code&gt; work? &lt;/p&gt;
&lt;p&gt;Also, how does &lt;code&gt;rc = ReportClient(self.AUTHTOKEN)&lt;/code&gt; work if self wasn't predefined?&lt;/p&gt;
</t>
  </si>
  <si>
    <t xml:space="preserve">&lt;p&gt;On the site you linked, you can download a zip file containing the file &lt;code&gt;Zoho/ZohoReportPythonClient/com/adventnet/zoho/client/report/python/ReportClient.py&lt;/code&gt;. I'm not sure why it's so deeply nested, or why most of the folders contain an &lt;code&gt;__init__.py&lt;/code&gt; file which only has &lt;code&gt;#$Id$&lt;/code&gt; in it.&lt;/p&gt;
&lt;p&gt;You'll need to extract that file, and place it somewhere where your Python interpreter can find it. For more information about where Python will look for the module (ReportClient.py), see this question: &lt;a href="https://stackoverflow.com/questions/15252040"&gt;How does python find a module file if the import statement only contains the filename?&lt;/a&gt;&lt;/p&gt;
&lt;p&gt;Please note that the file is Python 2 code. You'll need to use a Python 2 interpreter, or convert it to Python 3 code. Once you've got it importing properly, you can use their API reference to start writing code with it: &lt;a href="https://css.zohostatic.com/db/api/v7_m2/docs/python/" rel="nofollow noreferrer"&gt;https://css.zohostatic.com/db/api/v7_m2/docs/python/&lt;/a&gt;&lt;/p&gt;
</t>
  </si>
  <si>
    <t xml:space="preserve">&lt;p&gt;As zoho has announced its API v2.0. So I am using javascript to migrate from v1.0 to v2.0, but when I am trying to insert my form data into zoho leads. &lt;/p&gt;
&lt;p&gt;I am using JSON to post data in zoho crm But when I am submiting the form, then it is showing IAM Security error. I am stuck on it. If anyone has any idea about it then help me to fix it.&lt;/p&gt;
&lt;p&gt;Below is the javascript code I am using to post data into crm&lt;/p&gt;
&lt;pre class="lang-js prettyprint-override"&gt;&lt;code&gt;//taking input data from my custom form and storing in js variable 
var name = document.forms['myForm']['full_Name'].value;
var email = document.forms['myForm']['Email'].value;
var Referrals = document.forms['myForm']['referrals'].value;
var url = document.forms['myForm']['url_parameter'].value;
var website = document.forms['myForm']['Website'].value;
//converting above value into json object(key:value or api- name: value)
var arr = [{
  "First_Name": "name",
  "Email": "email",
  "No_of_Referrals": "Referrals",
  "URL_Parameter": "url",
  "Website": "website"
}]
//using ajax to post above data into zoho 
$.ajax({
  url: 'https://www.zohoapis.com/crm/v2/Leads',
  type: 'POST',
  data: JSON.stringify(arr),
  async: true,
  dataType: 'json',
  beforeSend: function(x) {
    if (x &amp;amp;&amp;amp; x.overrideMimeType) {
      x.overrideMimeType("application/j-son;charset=UTF-8");
    }
  },
  success: function(Response) {
    alert(Response);
  }
});
&lt;/code&gt;&lt;/pre&gt;
&lt;p&gt;I expect that when I post form data then a new  lead is created&lt;/p&gt;
&lt;p&gt;I have tried content security policy rule in .htaccess also used in header with  meta tag &lt;/p&gt;
&lt;p&gt;I included this line in header &lt;/p&gt;
&lt;pre class="lang-html prettyprint-override"&gt;&lt;code&gt;&amp;lt;meta http-equiv="Content-Security-Policy" content="default-src 'self'; script src 'self' *.https://scripts.zohospotlight.com/track' 'unsafe-inline';"&amp;gt;
&lt;/code&gt;&lt;/pre&gt;
&lt;p&gt;image of error:&lt;/p&gt;
&lt;p&gt;&lt;a href="https://i.stack.imgur.com/enwte.png" rel="nofollow noreferrer"&gt;&lt;img src="https://i.stack.imgur.com/enwte.png" alt=""&gt;&lt;/a&gt;&lt;/p&gt;
</t>
  </si>
  <si>
    <t xml:space="preserve">&lt;p&gt;I'm new here. Thanks in advance for your advice.&lt;/p&gt;
&lt;p&gt;I’m working on an app which will ask the user how many items they made.
The user will enter a number. My app should then create that many new records in a table called 'Items_Made'.&lt;/p&gt;
&lt;p&gt;E.g. The app asks “How many items did you make?”, the user enters “19”, the app then creates 19 new records in the 'Items_Made' table.&lt;/p&gt;
&lt;p&gt;I've managed to pull together some code (shown below) that creates ONE new record, but I would like it to create several. I probably need some kind of loop or 'while' function but am unsure how to do so.&lt;/p&gt;
&lt;pre&gt;&lt;code&gt;var ceateDatasource = app.datasources.Items_Made.modes.create;
var newItem = ceateDatasource.item;
ceateDatasource.createItem();
&lt;/code&gt;&lt;/pre&gt;
&lt;p&gt;This code successfully creates 1 record. I would like it to be able to create several.&lt;/p&gt;
</t>
  </si>
  <si>
    <t xml:space="preserve">&lt;p&gt;Creating a lot of records via client script is not recommended, especially if you loose connection or the app gets closed by mistake. In my opinion, the best way to handle this would be via &lt;a href="https://developers.google.com/appmaker/scripting/server#creating_records" rel="nofollow noreferrer"&gt;server script&lt;/a&gt; for two things: First, It's more reliable and second, it's faster. As in the example from the official documentation, to create a record you need to do something like this:&lt;/p&gt;
&lt;pre&gt;&lt;code&gt;// Assume a model called "Fruits" with a string field called "Name".
var newRecord = app.models.Fruits.newRecord();
newRecord.Name = "Kiwi";  // properties/fields can be read and written.
app.saveRecords([newRecord]);  // save changes to database.
&lt;/code&gt;&lt;/pre&gt;
&lt;p&gt;The example above is a clear example on how to create only one record. To create several records at once, you can use a &lt;code&gt;for&lt;/code&gt; statement like this:&lt;/p&gt;
&lt;pre&gt;&lt;code&gt;  function createRecordsInBulk(){
    var newRecords = [];
    for(var i=0; i&amp;lt;19; i++){
        var newRecord = app.models.Fruits.newRecord();
        newRecord.Name = "Kiwi " + i;
        newRecords.push(newRecord);
    }
    app.saveRecords(newRecords);
  }
&lt;/code&gt;&lt;/pre&gt;
&lt;p&gt;In the example above, you initiate &lt;strong&gt;newRecords&lt;/strong&gt;, an empty array that will be responsible for holding all the new records to create at once. Then using a &lt;code&gt;for&lt;/code&gt; statement, you generate 19 new records and push them into the &lt;strong&gt;newRecords&lt;/strong&gt;. Finally, once the loop is finished, you save all the records at once by using &lt;strong&gt;app.saveRecords&lt;/strong&gt; and passing the &lt;strong&gt;newRecords&lt;/strong&gt; array as an argument.&lt;/p&gt;
&lt;p&gt;Now, all this is happening on the server side. Obviously you need a way to call this from the client side. For that, you need to use the &lt;a href="https://developers.google.com/appmaker/scripting/client#call_a_server_script" rel="nofollow noreferrer"&gt;google.script.run&lt;/a&gt; method. So from the client side you need to do the following:&lt;/p&gt;
&lt;pre&gt;&lt;code&gt;  google.script.run.withSuccessHandler(function(result) {
      app.datasources.Fruits.load();
  }).createRecordsInBulk();
&lt;/code&gt;&lt;/pre&gt;
&lt;p&gt;All this information is clearly documented on the &lt;a href="https://developers.google.com/appmaker/" rel="nofollow noreferrer"&gt;app maker official documentation site&lt;/a&gt;. I strongly suggest you to always check there first as I believe you can get a faster resolution by reading the documentation.&lt;/p&gt;
</t>
  </si>
  <si>
    <t xml:space="preserve">&lt;p&gt;I have a Datatable of 500 entries, each page contains 50 entries.&lt;/p&gt;
&lt;p&gt;When I try to filter a property, I excepted it to filter all 500 entries, and paging the filtered result.
But it only filter the 50 entries of the current page.
Is this a bug? Can I configure somewhere to make it works as I excepted?&lt;/p&gt;
&lt;pre&gt;&lt;code&gt;handleKeyChange(event) {
      var ordLst = JSON.parse(JSON.stringify(this.data));  
      const searchWord = event.detail.value;
      var results = ordLst, regex;
      var count;
      if(searchWord !==""){
      try {
        regex = new RegExp(searchWord, "i");
        // filter checks each row, constructs new array where function returns true
        results = ordLst.filter(row=&amp;gt;regex.test(row.CustomerNo) || regex.test(row.OrderStatus) || regex.test(row.SalesDocument) || regex.test(row.ShiptoCity) || regex.test(row.OrderDate.toString()));
      } catch(e) {
        // invalid regex, use full list
    }
       count = Object.keys(results).length;
      this.data = results;
      this.searchData(count,results,searchWord);
    }
    else {
      this.LoadData(this.value);
    }
    }
&lt;/code&gt;&lt;/pre&gt;
</t>
  </si>
  <si>
    <t xml:space="preserve">&lt;p&gt;Trying to have control over the date picker control in PowerApps to set minDate and MaxDate for the start and end dates. Requirement is to disable the start date selection for past dates and enable only from today's date. Similarly for end date to enable selection from start date.&lt;/p&gt;
&lt;p&gt;I do not find any property in Powerapps to set the date range. StartYear and EndYear properties do not help!&lt;/p&gt;
</t>
  </si>
  <si>
    <t xml:space="preserve">&lt;p&gt;The date picker control by itself does not have a way to set hard date ranges (please consider creating a new feature request in the &lt;a href="https://aka.ms/powerapps-ideas" rel="nofollow noreferrer"&gt;PowerApps Ideas board&lt;/a&gt; for that). What you can do is to use visual cues and other controls to prevent the user from entering such dates, like in the example below (where the current date was June 13th):&lt;/p&gt;
&lt;p&gt;&lt;a href="https://i.stack.imgur.com/Xcqmi.gif" rel="nofollow noreferrer"&gt;&lt;img src="https://i.stack.imgur.com/Xcqmi.gif" alt="enter image description here"&gt;&lt;/a&gt;&lt;/p&gt;
&lt;p&gt;To implement it, I updated the following properties:&lt;/p&gt;
&lt;ul&gt;
&lt;li&gt;In the date picker - which in my app is called &lt;code&gt;DatePicker1&lt;/code&gt; - itself (to change its border to red when there is a problem), set the &lt;code&gt;BorderColor&lt;/code&gt; property to &lt;code&gt;If(DatePicker1.SelectedDate &amp;lt; Today(), Color.Red, RGBA(0, 18, 107, 1))&lt;/code&gt;&lt;/li&gt;
&lt;li&gt;In the label behind the picker, set its &lt;code&gt;Visible&lt;/code&gt; property to &lt;code&gt;DatePicker1.SelectedDate &amp;lt; Today()&lt;/code&gt;&lt;/li&gt;
&lt;li&gt;In the button that the user would click to perform an action with the selected date, set its &lt;code&gt;DisplayMode&lt;/code&gt; property to &lt;code&gt;If(DatePicker1.SelectedDate &amp;lt; Today(), DisplayMode.Disabled, DisplayMode.Edit)&lt;/code&gt;&lt;/li&gt;
&lt;/ul&gt;
&lt;p&gt;Hope this helps!&lt;/p&gt;
</t>
  </si>
  <si>
    <t xml:space="preserve">&lt;p&gt;I'm having this error when trying to push some changes in my project to my scratch org in Salesforce.&lt;/p&gt;
&lt;p&gt;I'm following this tutorial &lt;a href="https://trailhead.salesforce.com/content/learn/modules/lightning-web-components-basics/push-lightning-web-component-files" rel="nofollow noreferrer"&gt;https://trailhead.salesforce.com/content/learn/modules/lightning-web-components-basics/push-lightning-web-component-files&lt;/a&gt;
and I'm stuck in the last part after creating the html and js, when having it to push to the scrath org I get this error.
Have been googleing for a while but couldn't find anything usefull.&lt;/p&gt;
&lt;p&gt;Any help ?&lt;/p&gt;
&lt;pre&gt;&lt;code&gt;ignacio.delatorre@NTBK-APIA-2 MINGW64 ~/Desktop/trail-comp/ebikes-lwc (master)
$ sfdx force:org:open
Access org 00D2h0000000S5nEAE as user test-03buztqxu1ek@example.com with the following URL: https://agility-computing-854-dev-ed.cs36.my.salesforce.com/secur/frontdoor.jsp?sid=00D2h0000000S5n!AQIAQBD5XRMniuKVNf0DEVTgJo8y7rlM7PjE2nKJEZnhfTrwF4F7RtWmgZjHNg07NoNu3qmWYaXiHC5R_Gg8l7ODz3guhE.N
ignacio.delatorre@NTBK-APIA-2 MINGW64 ~/Desktop/trail-comp/ebikes-lwc (master)
$ sfdx force:source:push -u my-scratch-org
ERROR running force:source:push:  No org configuration found for name my-scratch-org
ignacio.delatorre@NTBK-APIA-2 MINGW64 ~/Desktop/trail-comp/ebikes-lwc (master)
$ sfdx force:source:push -u myOrg
ERROR running force:source:push:  The "path" argument must be of type string. Received type undefined
&lt;/code&gt;&lt;/pre&gt;
</t>
  </si>
  <si>
    <t xml:space="preserve">&lt;p&gt;I'm trying to connect to the &lt;code&gt;zcrmsdk&lt;/code&gt; python API by Zoho CRM. &lt;/p&gt;
&lt;p&gt;At first when I would try to connect the API would tell me that the MySQL database refused connection and couldn't connect on port 3306. Here's the error:&lt;/p&gt;
&lt;pre&gt;&lt;code&gt;  File "/Users/hgducharme/Programming/Environments/SentriForceEnvironment/lib/python3.7/site-packages/mysql/connector/network.py", line 512, in open_connection
    errno=2003, values=(self.get_address(), _strioerror(err)))
mysql.connector.errors.InterfaceError: 2003: Can't connect to MySQL server on '127.0.0.1:3306' (61 Connection refused)
&lt;/code&gt;&lt;/pre&gt;
&lt;p&gt;So next I opened up port 3306 on my localhost by running &lt;code&gt;nc -l localhost 3306&lt;/code&gt;. &lt;/p&gt;
&lt;p&gt;Now when I send the command to connect to the API, my terminal just hangs.&lt;/p&gt;
&lt;p&gt;Here is my python code to connect with the API:&lt;/p&gt;
&lt;pre&gt;&lt;code&gt;from zcrmsdk import ZCRMRestClient, ZohoOAuth
# Tell Zoho it's me
config = {
    'sandbox': 'False',
    'applicationLogFilePath': './log',
    'client_id': '1000.xxxxxxxxxxxxxxxx'
    'client_secret': 'e9xxxxxxxxxxxxxxxxxxxxxxxxx',
    'redirect_uri': 'http://localhost:8000/some_path',
    'accounts_url': 'https://accounts.zoho.com',
    'token_persistance_path': '.',
    'currentUserEmail': 'email@gmail.com'
}
# Get an access token
ZCRMRestClient.initialize(config)
oauthClient = ZohoOAuth.get_client_instance()
grantToken = "1000.xxxxxxxxxxxxxxxxxxxxxxxxxxxxxxxxx"
oauthTokens = oauthClient.generate_access_token(grantToken)
&lt;/code&gt;&lt;/pre&gt;
</t>
  </si>
  <si>
    <t xml:space="preserve">&lt;p&gt;I'm looking to define a custom primary key in my datamodel. 
Using Google App Maker, i didn't find a way to achieve that. &lt;/p&gt;
&lt;p&gt;I want to define a table as following: &lt;/p&gt;
&lt;pre&gt;&lt;code&gt;CREATE TABLE INFO (
    t1ID INT,
    t2ID INT,
    PRIMARY KEY (t1ID, t2ID)
) 
&lt;/code&gt;&lt;/pre&gt;
&lt;p&gt;Thanks.&lt;/p&gt;
</t>
  </si>
  <si>
    <t xml:space="preserve">&lt;p&gt;I am a no voice in PowerApps and have been developing a custom form from the SharePoint list. I am unable to save the form data from SharePoint list through Powerapp form, I am able to save data from Powerapp tool to SharePoint list though.&lt;/p&gt;
&lt;p&gt;I have tried refreshing the SP list, form by removing the powerapp form option in Form settings and adding back the powerapp form multiple times. Still no luck! Also verified if the list had any mandatory columns to be filled, but none.&lt;/p&gt;
&lt;p&gt;&lt;a href="https://i.stack.imgur.com/YeVxY.png" rel="nofollow noreferrer"&gt;On click of save/submit error message is notified - Data Source may be invalid&lt;/a&gt;&lt;/p&gt;
&lt;p&gt;Since I am unable to debug the Powerapp form, I do not understand the exact issue. Please help me with this. Thanks.&lt;/p&gt;
</t>
  </si>
  <si>
    <t xml:space="preserve">&lt;p&gt;For regression automation using selenium in Salesforce application, 
I have to select commodity. Commodity field is search box where if we start typing then it will query database and bring you results suggestions and you have to select option from that result suggestions.&lt;/p&gt;
&lt;p&gt;basically we have to start typing in that searchbox and pick from suggested results.&lt;/p&gt;
&lt;ol&gt;
&lt;li&gt;I have tried to use all selenium locators like cssSelector, Id.&lt;/li&gt;
&lt;li&gt;also tried with javascript executor:  executor.executeScript("arguments[0].value = 'abcd';", enterCommodity)&lt;/li&gt;
&lt;li&gt;also tried send Exact value using sendKeys but not able to send value. &lt;/li&gt;
&lt;/ol&gt;
&lt;p&gt;How to send data to the search box and how to pick it from suggested results shown on that search box?&lt;/p&gt;
</t>
  </si>
  <si>
    <t xml:space="preserve">&lt;p&gt;I am learning Google App Maker and trying to list all email groups in my company.&lt;/p&gt;
&lt;p&gt;I have used the code provide in one of the previous posts, but I am not getting any output nor errors. Not even Server Log errors. 
I added a server and client script as shown below.
I use a button with onClick custom call: liAAAoups();&lt;/p&gt;
&lt;pre&gt;&lt;code&gt;---clientScript
function liAAAoups() {
google.script.run.withSuccessHandler(function(response){
    console.log(response);
 }).withFailureHandler(function(err){
    console.log(err);
}).listAllGroups();
}
---
---serverScript
/**
 * Lists all the groups in the domain.
 */
function listAllGroups() {
  var pageToken;
  var page;
  do {
    page = AdminDirectory.Groups.list({
      domain: 'mydomain.com',
      maxResults: 100,
      pageToken: pageToken
    });
    var groups = page.groups;
    if (groups) {
      for (var i = 0; i &amp;lt; groups.length; i++) {
        var group = groups[i];    
        Logger.log('%s (%s)', group.name, group.email);
      }
    } else {
      Logger.log('No groups found.');
    }
    pageToken = page.nextPageToken;
  } while (pageToken);
}
---
&lt;/code&gt;&lt;/pre&gt;
&lt;p&gt;There are no error messages nor desired log output after clicking on the button and invoking the client script function.
I am running the code as Super Administrator.
Please be so kind to help me display the groups in any way.&lt;/p&gt;
&lt;p&gt;Thanks!!!&lt;/p&gt;
</t>
  </si>
  <si>
    <t xml:space="preserve">&lt;p&gt;I have a function in my AppMaker app that works like a charm -- when you click on a button, it takes the data from the current record, applies some logic to it, and mashes it up and styles it as HTML. I want to deliver the results to the user in two ways:&lt;/p&gt;
&lt;ol&gt;
&lt;li&gt;Print -- the function has a return that sends the HTML back to the browser, which opens up a print dialog as expected.&lt;/li&gt;
&lt;li&gt;PDF by Email -- the function also generates a PDF which is attached to an email sent to the user.&lt;/li&gt;
&lt;/ol&gt;
&lt;p&gt;I heard feedback from users that the PDF version cuts off the bottom two lines, so I'm trying to find out why.&lt;/p&gt;
&lt;ul&gt;
&lt;li&gt;To send the PDF as an email attachment, I use &lt;code&gt;Utilities.newBlob()&lt;/code&gt; to first blobify my HTML. Then I get the blob as a PDF, and then I send the PDF as an email attachment. The code looks like this:&lt;/li&gt;
&lt;/ul&gt;
&lt;pre&gt;&lt;code&gt;var pdfContent = Utilities.newBlob(html, 'text/html', 'PE-' + name + '.html')
var pdf = pdfContent.getAs("application/pdf");
GmailApp.sendEmail(to, subject, body, {attachments: pdf});
&lt;/code&gt;&lt;/pre&gt;
&lt;p&gt;The email is delivered correctly with a PDF attached to it, and when you open it up, it looks pretty much like the HTML that gets sent to the print dialog. When you go to print it, though, the last lines clearly get cut off. My advice to users (until I could dig into the problem) was to use the "Fit to Page" function in the print dialog. Looking at it more closely, though, I had an inkling that it might be a page size issue -- there's something off about the proportions when you view the PDF. Sure enough, upon changing the paper size from letter to A4 in the print dialog, the page lays out perfectly.&lt;/p&gt;
&lt;p&gt;So now I can't figure out where the default to A4 is happening.&lt;/p&gt;
&lt;ul&gt;
&lt;li&gt;I tried setting the &lt;code&gt;@page&lt;/code&gt; attribute for size in the &lt;code&gt;&amp;lt;style&amp;gt;&lt;/code&gt; tag, with no effect -- it doesn't seem to survive the transition from HTML to blob to PDF: &lt;/li&gt;
&lt;/ul&gt;
&lt;pre&gt;&lt;code&gt;html += '&amp;lt;style&amp;gt;@page {size: 215.9mm 279.4mm; margin: 15mm;}&amp;lt;/style&amp;gt; etc...';
&lt;/code&gt;&lt;/pre&gt;
&lt;p&gt;For size I've used millimeters (as above) and px as units, and I've tried just using the word 'letter'. No version of the above works.&lt;/p&gt;
&lt;p&gt;Is there some other place where I can specify page size to make this stop happening?&lt;/p&gt;
</t>
  </si>
  <si>
    <t xml:space="preserve">&lt;p&gt;I have a very simple app to learn on, just displaying parts of an imported spreadsheet, but I'm not sure how to make it update automatically and repull the data. I'm not adding any additional information inside appmaker, so clearing and repulling is fine. I just want it to update the sheet either every day or when the app is opened, either would be fine. &lt;/p&gt;
&lt;p&gt;I was able to get the sheets data into my model in the first place with &lt;a href="https://developers.google.com/appmaker/models/import-export" rel="nofollow noreferrer"&gt;https://developers.google.com/appmaker/models/import-export&lt;/a&gt; but i'm not sure how to write a script so that it auto updates. &lt;/p&gt;
</t>
  </si>
  <si>
    <t xml:space="preserve">&lt;p&gt;I think, if I'm not mistaken, that you want to run a process every certain time to import data into Google App Maker from a Google Spreadsheet. If that is the case, you can use a &lt;a href="https://developers.google.com/apps-script/guides/triggers/installable#time-driven_triggers" rel="nofollow noreferrer"&gt;time trigger&lt;/a&gt;. An example on how to manage time triggers is &lt;a href="https://stackoverflow.com/a/49051555/5983596"&gt;available here&lt;/a&gt;.&lt;/p&gt;
&lt;p&gt;The trigger must invoke a function that reads data from the spreadsheet using the &lt;a href="https://developers.google.com/apps-script/reference/spreadsheet/spreadsheet-app#openbyidid" rel="nofollow noreferrer"&gt;SpreadsheetApp service&lt;/a&gt; and then save all the records in bulk. Here is an example of how you can &lt;a href="https://stackoverflow.com/a/55477432/5983596"&gt;update several records in bulk&lt;/a&gt;.&lt;/p&gt;
</t>
  </si>
  <si>
    <t xml:space="preserve">&lt;p&gt;&lt;a href="https://i.stack.imgur.com/DMqJB.png" rel="nofollow noreferrer"&gt;&lt;img src="https://i.stack.imgur.com/DMqJB.png" alt="enter image description here"&gt;&lt;/a&gt;&lt;/p&gt;
&lt;p&gt;Dear all,&lt;/p&gt;
&lt;p&gt;I would like to use data card in PowerApps to save data on my premise SQL Server.&lt;/p&gt;
&lt;p&gt;In the picture left hand side, this app created when SQL server table status field is allow null.&lt;/p&gt;
&lt;p&gt;In the picture right hand side, this app create when SQL server table status field is not allow null.&lt;/p&gt;
&lt;p&gt;My problem is can I create app on SQL server with table status field in not allow null and not prompt error like the picture right hand side (I also set STATUS data card property required = false).&lt;/p&gt;
&lt;p&gt;Thank you for your help and reply.&lt;/p&gt;
&lt;p&gt;Regards,&lt;/p&gt;
&lt;p&gt;Tommy&lt;/p&gt;
</t>
  </si>
  <si>
    <t xml:space="preserve">&lt;p&gt;&lt;em&gt;Thanks in advance for your advice!&lt;/em&gt;&lt;/p&gt;
&lt;p&gt;&lt;strong&gt;Background&lt;/strong&gt;
I’m creating a database to track orders placed by customers.&lt;/p&gt;
&lt;p&gt;An ‘&lt;code&gt;Orders&lt;/code&gt;’ table stores general details about an order like the customer’s name, order date, and delivery-required date.&lt;/p&gt;
&lt;p&gt;A separate ‘&lt;code&gt;Order_Items&lt;/code&gt;’ table stores the specific items that the customer has ordered.&lt;/p&gt;
&lt;p&gt;The is a one-to-many relationship between the ‘&lt;code&gt;Orders&lt;/code&gt;’ table and ‘&lt;code&gt;Order_Items&lt;/code&gt;’ table, i.e. one ‘&lt;code&gt;Order&lt;/code&gt;’ can have many ‘&lt;code&gt;Order_Items&lt;/code&gt;’, but each ‘&lt;code&gt;Order_Item&lt;/code&gt;’ must be associated with only one ‘&lt;code&gt;Order&lt;/code&gt;’.&lt;/p&gt;
&lt;p&gt;&lt;strong&gt;Current State&lt;/strong&gt;
Currently, I have a page where the user creates a new ‘&lt;code&gt;Order&lt;/code&gt;’ record. The user is then taken to another page where they can create as many ‘&lt;code&gt;Order_Item&lt;/code&gt;’ records as are needed for the order.&lt;/p&gt;
&lt;p&gt;&lt;strong&gt;Desired State&lt;/strong&gt;
What I would like to achieve is: When a user creates new ‘&lt;code&gt;Order_Item&lt;/code&gt;’ records, it automatically allocates the current ‘&lt;code&gt;Order&lt;/code&gt;’ record as the foreign key for the new ‘&lt;code&gt;Order_Item&lt;/code&gt;’ record.&lt;/p&gt;
&lt;p&gt;&lt;strong&gt;What I've Tried So Far&lt;/strong&gt;&lt;/p&gt;
&lt;p&gt;&lt;em&gt;Manual Action By The User:&lt;/em&gt; One way of establishing the link between an '&lt;code&gt;Order&lt;/code&gt;' and all of its '&lt;code&gt;Order_Items&lt;/code&gt;' would be to add a drop-down widget which which effectively asks the user something like &lt;em&gt;"Which order number do all of these items belong to"?&lt;/em&gt; The user's action would then establish the link between the two tables and associate one '&lt;code&gt;Order&lt;/code&gt;' with many '&lt;code&gt;Order_Items&lt;/code&gt;'. However, my goal is for this step to be handled programatically instead.&lt;/p&gt;
&lt;p&gt;&lt;em&gt;Official Documentation:&lt;/em&gt; I’ve referred to the &lt;a href="https://developers.google.com/appmaker/models/overview" rel="nofollow noreferrer"&gt;offical documentation&lt;/a&gt; which was useful, but as I'm still learning I don’t really know exactly what to search for. The &lt;a href="https://developers.google.com/appmaker/models/datasources#prefetch" rel="nofollow noreferrer"&gt;prefetch&lt;/a&gt; feature appeared promising but does not actually establish a link; it just loads associated records more efficiently.&lt;/p&gt;
&lt;p&gt;&lt;em&gt;App Maker Tutorials:&lt;/em&gt; I found an App Maker &lt;a href="https://developers.google.com/appmaker/tutorials/connect-data-models/" rel="nofollow noreferrer"&gt;tutorial&lt;/a&gt; which creates an HR App where a user can create a list of ‘&lt;code&gt;Departments&lt;/code&gt;’, then create a list of ‘&lt;code&gt;Employees&lt;/code&gt;’, and then link an ‘&lt;code&gt;Employee&lt;/code&gt;’ to a ‘&lt;code&gt;Department&lt;/code&gt;’. However, in the example app this connection is established manually by the user. In my desired state I would like the link to be established programatically.&lt;/p&gt;
&lt;p&gt;&lt;em&gt;Manual Save Mode:&lt;/em&gt; 
I’ve also tried switching to &lt;a href="https://developers.google.com/appmaker/models/datasources#manual_save_mode" rel="nofollow noreferrer"&gt;manual save mode&lt;/a&gt; so that the user has to create a draft ‘&lt;code&gt;Orders&lt;/code&gt;’ record and then several draft ‘&lt;code&gt;Order Items&lt;/code&gt;’ records and then save them all at once. However, I haven’t managed to make this work. I’m not sure whether the failure of this approach is because 1) I’m try to create draft records on more than one table, 2) I’m just not doing it correctly, or 3) I thought I read somewhere that draft records are deprecated. &lt;/p&gt;
&lt;p&gt;&lt;strong&gt;Other Ideas&lt;/strong&gt;&lt;/p&gt;
&lt;p&gt;I'm very new to this field and am may be wrong, but I have a feeling I may need to use some scripting to establish the link. For example, maybe I could use a global variable to remember which '&lt;code&gt;Order&lt;/code&gt;' the user creates. Then, for each '&lt;code&gt;Order_Item&lt;/code&gt;' I could use the &lt;code&gt;onBeforeCreate&lt;/code&gt; event to trigger a script that establishes the link between the '&lt;code&gt;Order_Item&lt;/code&gt;' and the '&lt;code&gt;Order&lt;/code&gt;' that was remembered from the previously established global variable. &lt;/p&gt;
&lt;p&gt;&lt;strong&gt;Updated Question&lt;/strong&gt;&lt;/p&gt;
&lt;p&gt;Thanks Markus and Morfinismo for your answers. I have been using both answers with some success.&lt;/p&gt;
&lt;p&gt;Morfinismo: I've successfully used the code you directed me to on existing records but cannot seem to get it to work for newly created records.&lt;/p&gt;
&lt;p&gt;For example:&lt;/p&gt;
&lt;pre&gt;&lt;code&gt;
widget.datasource.createItem(); // This creates a new record
var managerRecord = app.datasources.Manager.item; // This sets the Manager of the currently selected parent record as a variable successfully. 
var teamRecord = app.datasources.Teams.item; // This attempts to set the Manager of the currently selected record as a variable. However, the record that was created in line 1 is not selected. Therefore, App Maker does not seem to know which record this line of code relates to and returns the error Cannot set property ‘Manager’ of null.
// Assign the manager to the team.
teamRecord.Manager = managerRecord; // This successfully assigns the manager but only in cases where the previous line of code was successful (i.e. existing records and not newly created ones).
&lt;/code&gt;&lt;/pre&gt;
&lt;p&gt;Do you have any suggestions or comments on how to apply this code to records that are created by the initial line of code in line 1?&lt;/p&gt;
</t>
  </si>
  <si>
    <t xml:space="preserve">&lt;p&gt;I have found the easiest way to create related items for situations such as yours is to actually import a form with the datasource set to &lt;code&gt;Parent: Child (relation)&lt;/code&gt; or &lt;code&gt;Parent: Child (relation) (create)&lt;/code&gt;. So in your case the datasource would need to be set to &lt;code&gt;Order: Order_Items (relation)&lt;/code&gt;.&lt;/p&gt;
&lt;p&gt;You can get this accomplished in two different ways using the form widget wizard:&lt;/p&gt;
&lt;p&gt;Option 1:&lt;/p&gt;
&lt;ol&gt;
&lt;li&gt;If your page datasource is set to Order_Items, drag your form on your page.&lt;/li&gt;
&lt;li&gt;In the datasource selection section, your datasource in the form widget should default to `Inherited: Order_Items'. Click the 'Advanced' button in the bottom left corner, then from the datasources category find Order as your datasource, then select relations in the next field, and then Order_Items in the next field, choose 'Insert only' or 'Edit' form and then the appropriate fields you want in the form.&lt;/li&gt;
&lt;li&gt;Now every item that gets created in that form will automatically be a child record of the currently selected record in your Order datasource.&lt;/li&gt;
&lt;/ol&gt;
&lt;p&gt;Option 2:&lt;/p&gt;
&lt;ol&gt;
&lt;li&gt;If your page datasource is set to Order, drag your form on your page.&lt;/li&gt;
&lt;li&gt;In the datasource selection section, your datasource in the form widget should default to &lt;code&gt;Inherited: Order&lt;/code&gt;. Scroll down in your datasource selection section until you find &lt;code&gt;Order: Order_Items (relation)&lt;/code&gt;, then choose 'Insert only' or 'Edit' form and then the appropriate fields you want in the form.&lt;/li&gt;
&lt;li&gt;Now every item that gets created in that form will automatically be a child record of the currently selected record in your Order datasource.&lt;/li&gt;
&lt;/ol&gt;
&lt;p&gt;In your Order model, make sure that the security setting is set appropriately that a user is allowed to create relations of Order_Items in Order. That is the simplest approach in my opinion since you don't have to hard code the parent into your form or client/server scripts. It is automatically based on the currently selected parent, and is essentially doing the same thing that @Morfinismo explained in the client script section.&lt;/p&gt;
</t>
  </si>
  <si>
    <t xml:space="preserve">&lt;p&gt;I am creating an HTMLText form so that I could integrate my form with MS Flow to allow my form to be printable. &lt;/p&gt;
&lt;p&gt;However, the Stakeholders variable does not work because I think it is treated as an array instead of Text. My other people columns worked fine but that's because it only allowed single selection.&lt;/p&gt;
&lt;p&gt;I tried using the ClearCollect, Collect, and Listbox Control but none seem to work&lt;/p&gt;
&lt;p&gt;The prompt always says "Invalid Argument: Expecting Text..."&lt;/p&gt;
</t>
  </si>
  <si>
    <t xml:space="preserve">&lt;p&gt;I want to convert my mailing from Swift Mailer to the Mailer Component, since I upgraded to Symfony 4.3.&lt;/p&gt;
&lt;p&gt;I've translated my MAILER_URL to a MAILER_DSN, the following way:&lt;/p&gt;
&lt;pre&gt;&lt;code&gt;MAILER_URL=smtp://smtp.zoho.eu:465?encryption=ssl&amp;amp;auth_mode=login&amp;amp;username=bar@foo.com&amp;amp;password=password123
MAILER_DSN=smtp://bar@foo.com:password123@smtp.zoho.eu:465/?encryption=ssl&amp;amp;auth_mode=login
&lt;/code&gt;&lt;/pre&gt;
&lt;p&gt;As you can see, I'm using Zoho as my mail provider.&lt;/p&gt;
&lt;p&gt;However, I'm getting the following internal server error:&lt;/p&gt;
&lt;pre&gt;&lt;code&gt;Expected response code "250" but got an empty response.
&lt;/code&gt;&lt;/pre&gt;
&lt;p&gt;I've tried switching from SSL to TLS, with no (different) result.&lt;/p&gt;
&lt;p&gt;The code I've written to send my test mail, is as follows:&lt;/p&gt;
&lt;pre&gt;&lt;code&gt;$email = (new TemplatedEmail())
  -&amp;gt;from('bar@foo.com')
  -&amp;gt;to('foo@bar.com')
  -&amp;gt;subject('Test')
  -&amp;gt;htmlTemplate('email.html.twig')
  -&amp;gt;context([
    'expiration_date' =&amp;gt; new \DateTime('+7 days'),
    'username' =&amp;gt; 'foo',
  ])
;
$this-&amp;gt;mailer-&amp;gt;send($email);
&lt;/code&gt;&lt;/pre&gt;
&lt;p&gt;I expect my code to send a mail to "foo@bar.com", but instead it turns the empty response as described.&lt;/p&gt;
</t>
  </si>
  <si>
    <t xml:space="preserve">&lt;p&gt;I have setup Live Agent in my salesforce Org and added to communities "snap Ins" everthing is setup i added it in community as well but instead of live chat window , i am getting : just a contact Us Window which is just allowing to submit a case and there is no live chat button.&lt;/p&gt;
&lt;p&gt;really appreciate help here, thanks &lt;/p&gt;
&lt;p&gt;Fallowed the steps in Article : &lt;a href="https://www.thecloudfountain.com/how-to-configure-live-agent-in-communities/" rel="nofollow noreferrer"&gt;https://www.thecloudfountain.com/how-to-configure-live-agent-in-communities/&lt;/a&gt;&lt;/p&gt;
</t>
  </si>
  <si>
    <t xml:space="preserve">&lt;p&gt;First week with appmaker so baby steps here.&lt;/p&gt;
&lt;p&gt;I'm trying to modify the people viewer template app to pull information on a list of people in my org. &lt;/p&gt;
&lt;p&gt;I imported the list of peoples email addresses and a couple new items of information to the existing template (which works, I can see my new information in a table). &lt;/p&gt;
&lt;p&gt;But when I try to link the new field to the localdata field, the relation does not offer me a choice on how to link them, and when I try to create a new table widget I see that it is trying to join them on ID (which is autogenerated in both tables) rather than email address. Attempts to move primary key to email are resisted/reverted instantly, as are attempts to just delete the id column.&lt;/p&gt;
&lt;p&gt;Tips on where to go next with this?&lt;/p&gt;
</t>
  </si>
  <si>
    <t xml:space="preserve">&lt;p&gt;In my GoogleAppMaker code, I've copied and pasted this sample from &lt;a href="https://developers.google.com/apps-script/guides/docs" rel="nofollow noreferrer"&gt;https://developers.google.com/apps-script/guides/docs&lt;/a&gt;.&lt;/p&gt;
&lt;pre&gt;&lt;code&gt;function createDoc() {
  var doc = DocumentApp.create('Sample Document');
  var body = doc.getBody();
  var rowsData = [['Plants', 'Animals'], ['Ficus', 'Goat'], ['Basil', 'Cat'], ['Moss', 'Frog']];
  body.insertParagraph(0, doc.getName())
      .setHeading(DocumentApp.ParagraphHeading.HEADING1);
  table = body.appendTable(rowsData);
  table.getRow(0).editAsText().setBold(true);
}
&lt;/code&gt;&lt;/pre&gt;
&lt;p&gt;But I'm getting the following error:&lt;/p&gt;
&lt;blockquote&gt;
  &lt;p&gt;DocumentApp isn't defined.&lt;/p&gt;
&lt;/blockquote&gt;
&lt;p&gt;I thought I had defined it here:&lt;/p&gt;
&lt;pre&gt;&lt;code&gt;var doc = DocumentApp.create('Sample Document');
&lt;/code&gt;&lt;/pre&gt;
&lt;p&gt;Can anyone help with this problem?&lt;/p&gt;
</t>
  </si>
  <si>
    <t xml:space="preserve">&lt;p&gt;I'm trying to implement a loading animation with CSS using keyframes. The sample code is &lt;a href="https://codepen.io/aji/pen/evMKWN" rel="nofollow noreferrer"&gt;here&lt;/a&gt;&lt;/p&gt;
&lt;pre&gt;&lt;code&gt;@keyframes placeHolderShimmer{
    0%{
        background-position: -468px 0
    }
    100%{
        background-position: 468px 0
    }
}
.animated-background {
    animation-duration: 1.25s;
    animation-fill-mode: forwards;
    animation-iteration-count: infinite;
    animation-name: placeHolderShimmer;
    animation-timing-function: linear;
    background: darkgray;
    background: linear-gradient(to right, #eeeeee 10%, #dddddd 18%, #eeeeee 33%);
    background-size: 800px 104px;
    height: 100px;
    position: relative;
}
&lt;/code&gt;&lt;/pre&gt;
&lt;p&gt;Nonetheless, when I place the css code inside the global css of App Maker, it won't work when applied to any widget/element. The curious part is that if I put the css into a css file and use it as an external css, then it works!&lt;/p&gt;
&lt;p&gt;I am trying to add this animation to a horizontal panel widget and I'm applying the css using the &lt;strong&gt;styles&lt;/strong&gt; in the property editor.&lt;/p&gt;
&lt;p&gt;&lt;a href="https://i.stack.imgur.com/on5aE.png" rel="nofollow noreferrer"&gt;&lt;img src="https://i.stack.imgur.com/on5aE.png" alt="enter image description here"&gt;&lt;/a&gt;&lt;/p&gt;
&lt;p&gt;When I check the developer console, I can see that the keyframe is recognized but its content is somehow stripped off.&lt;/p&gt;
&lt;p&gt;&lt;a href="https://i.stack.imgur.com/XuZrt.png" rel="nofollow noreferrer"&gt;&lt;img src="https://i.stack.imgur.com/XuZrt.png" alt="enter image description here"&gt;&lt;/a&gt;&lt;/p&gt;
&lt;p&gt;I looked in the &lt;a href="https://groups.google.com/forum/#!searchin/appmaker-users/animation%7Csort:relevance/appmaker-users/krVysM_Mn0s/xkE_EBE_BAAJ" rel="nofollow noreferrer"&gt;App Maker group&lt;/a&gt; and saw that someone has the same problem but no answer yet. I also looked in the &lt;a href="https://issuetracker.google.com/issues?q=status:open%20componentid:192783%2B%20type:bug" rel="nofollow noreferrer"&gt;issue tracker&lt;/a&gt; and there is nothing reported. Before I open a issue report, has someone else made it work inside App Maker's global css?&lt;/p&gt;
</t>
  </si>
  <si>
    <t xml:space="preserve">&lt;p&gt;I'm using the following function, to create a new doc. (this function's bound with a googledoc using appscript)(it work when i execute the script)&lt;/p&gt;
&lt;pre&gt;&lt;code&gt;function createDoc() {
  var doc = DocumentApp.create('Document Design Compatibility');
  var body = doc.getBody();
  var rowsData = [['Ex', 'xE'], ['Ex', 'xE'], ['Ex', 'xE'], ['Ex', 'xE']];
  body.insertParagraph(0, doc.getName())
      .setHeading(DocumentApp.ParagraphHeading.HEADING1);
  table = body.appendTable(rowsData);
  table.getRow(0).editAsText().setBold(true);
}
&lt;/code&gt;&lt;/pre&gt;
&lt;p&gt;And actually , I would like to execute this function when i click on a button in my GoogleAppMaker application. &lt;/p&gt;
&lt;p&gt;When I call &lt;code&gt;createDoc()&lt;/code&gt; on the &lt;code&gt;onClick()&lt;/code&gt; method of my button , it's doesn't work.&lt;/p&gt;
</t>
  </si>
  <si>
    <t xml:space="preserve">&lt;p&gt;I have a date in format dd/mm/yyyy and I have tried to add days to it.
My following code writes the label 18:&lt;/p&gt;
&lt;pre&gt;&lt;code&gt;Text(DateValue(Label17.Text);"[$-pt-BR]dd/mm/yyyy";"pt-BR")
&lt;/code&gt;&lt;/pre&gt;
&lt;p&gt;and this code add days(qtd_dias_para_contato) on label18:&lt;/p&gt;
&lt;pre&gt;&lt;code&gt;DateAdd(DateValue(Label18.Text);Value(ThisItem.Qtde_dias_para_contato);Days)
&lt;/code&gt;&lt;/pre&gt;
&lt;p&gt;On my computer the above code works but when I open it on my cellphone the data appears like  mm/dd/yyyy. Why?&lt;/p&gt;
</t>
  </si>
  <si>
    <t xml:space="preserve">&lt;p&gt;I´m trying to set up unique values in my PowerApp-Form. The data is stored in a Sharepoint list. I have a column called &lt;code&gt;watches&lt;/code&gt;, items in this column have a unique number, which have to be unique. People can pick multiple of those watches in a LookUp-field. But before submitting the form, I need to check if those picked values already exist in my list and at least display an error message. &lt;/p&gt;
&lt;p&gt;I have setup a regular text field and added following rule to it: &lt;/p&gt;
&lt;pre&gt;&lt;code&gt;If(LookUp(MyList.Watches;DataCardValue4.SelectedItems.Value in Watches;"OK")&amp;lt;&amp;gt;"OK";"No Error";"Watch already exist")
&lt;/code&gt;&lt;/pre&gt;
&lt;p&gt;&lt;code&gt;DataCardValue4&lt;/code&gt; is my LookUp field, where people can pick those watches. With this rule I want to check if a item already is in my column watches and let my text field display the error. Somehow the rule doesn´t work. &lt;/p&gt;
&lt;p&gt;Can you tell me how I compare multiple lookup choices to my table/column entries? &lt;/p&gt;
</t>
  </si>
  <si>
    <t xml:space="preserve">&lt;p&gt;I have some javascript files downloaded from which there is one file "conversationclient" which has dependencies on the other files downloaded so I have made them in zip file and create static resource with MIME "application/zip" type. Now when I am creating instance of the "conversationclient" itis giving me error of "Unsupported MIME type".
Please help me resolve it.
NexmoDialer Component : &lt;/p&gt;
&lt;p&gt;include the library from static resource :&lt;/p&gt;
&lt;pre&gt;&lt;code&gt;&amp;lt;ltng:require scripts="{!$Resource.NexmoSdkNew + '/NexmoSdk/nexmo_modules/nexmo-client/dist/conversationClient.min.js'}" afterScriptsLoaded="{!c.scriptsLoaded}" 
/&amp;gt;
&lt;/code&gt;&lt;/pre&gt;
&lt;p&gt;Controller&lt;/p&gt;
&lt;pre&gt;&lt;code&gt;scriptsLoaded: function(component, event, helper){
     //alert('I am here !!!!!!!!!!!!!!!!!');
     var nexmo = new ConversationClient();
}
&lt;/code&gt;&lt;/pre&gt;
</t>
  </si>
  <si>
    <t xml:space="preserve">&lt;p&gt;I have creating a handover form in PowerApps using a SharePoint list as data collection point, I would like when a new form is selected information from the last submitted form is auto populated into data card values.&lt;/p&gt;
&lt;p&gt;e.g. if the last form has text in the &lt;code&gt;'Safety Information'&lt;/code&gt; &lt;code&gt;DataCardValue&lt;/code&gt; then it should be copied into the new form, they also need to be able to edit the field if needed.&lt;/p&gt;
&lt;p&gt;I have tried the following in the &lt;code&gt;DataCard&lt;/code&gt; and the &lt;code&gt;DataCardValue&lt;/code&gt; default sections. &lt;/p&gt;
&lt;pre&gt;&lt;code&gt;If(!IsBlank(EditForm1.LastSubmit.ID), EditForm1.LastSubmit.'Safety Information',ThisItem.'Safety Information')
&lt;/code&gt;&lt;/pre&gt;
&lt;p&gt;I would expect that just the &lt;code&gt;DataCard&lt;/code&gt; &lt;code&gt;'Safety Information'&lt;/code&gt; (text field) to be populated with the last submitted data in that field but with the code it will set the form back to the last submit form. 
In the SharePoint list it will create a new row for the new form but no information has been copied across from the last form.&lt;/p&gt;
</t>
  </si>
  <si>
    <t xml:space="preserve">&lt;p&gt;It sounds like what you need to do is save the value you want before you call SubmitForm(). You can do this with code like:&lt;/p&gt;
&lt;pre&gt;&lt;code&gt;Set(LastSavedTitle, DataCardValue5.Text); SubmitForm(EditForm1)
&lt;/code&gt;&lt;/pre&gt;
&lt;p&gt;Then update the data card default value by doing something like:&lt;/p&gt;
&lt;pre&gt;&lt;code&gt;If(EditForm1.Mode = FormMode.New, LastSavedTitle, ThisItem.Title)
&lt;/code&gt;&lt;/pre&gt;
&lt;p&gt;In the above code, I default to using the last saved value only when the EditForm is in 'New' mode (versus 'Edit'). The above code is pretty rough and you'll probably want to tweak it even further for a smoother end to end experience.&lt;/p&gt;
</t>
  </si>
  <si>
    <t xml:space="preserve">&lt;p&gt;I Started create App from empty canvas and connected it in to Mysql db and add some entry to the UI with some field when its test show empty canvas power app&lt;/p&gt;
</t>
  </si>
  <si>
    <t xml:space="preserve">&lt;p&gt;Change Form.DefaultMode from .Edit to .New.&lt;/p&gt;
</t>
  </si>
  <si>
    <t xml:space="preserve">&lt;p&gt;I am reading a JSON object from Salesforce. The object is irregular in the sense that some nested arrays are empty and some are not. How to deal with this in tidyjson?&lt;/p&gt;
&lt;p&gt;I am setting up an API with Salesforce in R. The objective is to get meaningful data out of Salesforce to process in R.&lt;/p&gt;
&lt;pre&gt;&lt;code&gt;json &amp;lt;- '
{
  "totalSize": [
    355710
  ],
  "done": [
    false
  ],
  "nextRecordsUrl": [
    "/services/data/v45.0/query/01gc000001L8zdkAAB-749"
  ],
  "records": [
    {
      "attributes": {
        "type": "Order_Line__c",
        "url": "/services/data/v45.0/sobjects/Order_Line__c/a0T1N000009aZ9lUAE"
      },
      "Id": "a0T1N000009aZ9lUAE",
      "Name": "OrderLine-1099369",
      "SO_Number_Formula__c": "548402-2.3",
      "Ship_From_Inventory__c": "XXX",
      "RMA_Number__c": "548402",
      "Part_Number__c": "01t1N00000JNeAQQA1",
      "Marketing_Part__c": "XXXXXXXXXXX",
      "Family__c": "XXXXXXXX",
      "Serial_Numbers__r": {
        "records": {}
      }
    },
    {
      "attributes": {
        "type": "Order_Line__c",
        "url": "/services/data/v45.0/sobjects/Order_Line__c/a0T1N000009aZ9mUAE"
      },
      "Id": "a0T1N000009aZ9mUAE",
      "Name": "OrderLine-1099370",
      "SO_Number_Formula__c": "962816-1.1",
      "Ship_From_Inventory__c": "XXX",
      "RMA_Number__c": "962816",
      "Part_Number__c": "01t1N00000JNc3qQAD",
      "Marketing_Part__c": "XXXXXXXXXX",
      "Family__c": "XXXXXXX",
      "RMA_Received_Date__c": "2019-02-18",
      "Serial_Numbers__r": {
        "totalSize": 1,
        "done": true,
        "records": [
          {
            "attributes": {
              "type": "Serial_Number__c",
              "url": "/services/data/v45.0/sobjects/Serial_Number__c/a0X1N00000NoyAjUAJ"
            },
            "Id": "a0X1N00000NoyAjUAJ",
            "Name": "SN217426",
            "Legacy_Line_Id__c": "962816SN217426",
            "Customer_Name__c": "XXXXXX",
            "Original_Shipment_Date__c": "2018-06-26",
            "Disposition__c": "Pending",
            "Status__c": "FailureVerification"
          }
        ]
      }
    }
  ]
}
'
mydata &amp;lt;- json %&amp;gt;% 
    as.tbl_json %&amp;gt;%
    enter_object("records") %&amp;gt;%
    gather_array() %&amp;gt;%
    spread_values(
      Id = jstring("Id"),
      Name = jstring("Name"),
      SO_Number_Formula = jstring("SO_Number_Formula__c"),
      Ship_From_Inventory = jstring("Ship_From_Inventory__c"),
      RMA_Number = jstring("RMA_Number__c"),
      Part_Number = jstring("Part_Number__c"),
      Marketing_Part = jstring("Marketing_Part__c"),
      Family = jstring("Family__c")) %&amp;gt;%
    enter_object("Serial_Numbers__r") %&amp;gt;%
    enter_object("records") %&amp;gt;%
    gather_ %&amp;gt;%
      spread_values(
    Id = jstring("Id"))
&lt;/code&gt;&lt;/pre&gt;
&lt;p&gt;The irregularity is in the [records][Serial_Numbers__r][records]. In this example, the first occurrence is empty {} and the second occurrence is not empty.
The code generates the following error when executing gather_keys or gather _array:
Error in gather_keys(.) : 1 records are values not objects
Error in gather_array(.) : 1 records are values not arrays&lt;/p&gt;
&lt;p&gt;I am thinking that this is caused by the empty array [records]. There is plenty of such irregularity in the Salesforce output: some records have detailed nested data, some do not.
How can I deal with this?&lt;/p&gt;
</t>
  </si>
  <si>
    <t xml:space="preserve">&lt;p&gt;This is a fantastic question, and is something that we should really have a cleaner way to handle. &lt;code&gt;enter_object()&lt;/code&gt; proves problematic in these types of cases where you lose records based on irregular JSON practices.&lt;/p&gt;
&lt;p&gt;I submitted an issue to track improvements here: &lt;a href="https://github.com/colearendt/tidyjson/issues/121" rel="nofollow noreferrer"&gt;https://github.com/colearendt/tidyjson/issues/121&lt;/a&gt;&lt;/p&gt;
&lt;p&gt;In the meantime, the way I typically do this is by splitting records based on the characteristic that delineates them. In this case, you can use &lt;code&gt;gather_object()&lt;/code&gt; on the parent object to get the same effect as &lt;code&gt;enter_object()&lt;/code&gt;, and then use &lt;code&gt;filter&lt;/code&gt; / &lt;code&gt;bind_rows&lt;/code&gt; to treat the rows differently.&lt;/p&gt;
&lt;p&gt;Ideally &lt;code&gt;bind_rows()&lt;/code&gt; would work better in the pipe here... that is something I would like to see as an improvement for &lt;code&gt;dplyr&lt;/code&gt; &lt;a href="https://github.com/tidyverse/dplyr/issues/4988" rel="nofollow noreferrer"&gt;(Issue here)&lt;/a&gt;! I'm curious to see if this solves your problem! (Also, keep &lt;code&gt;spread_all()&lt;/code&gt; in mind to simplify some of the column specifying at a cost of some "guessing" on the package's part!).&lt;/p&gt;
&lt;pre class="lang-r prettyprint-override"&gt;&lt;code&gt;  json &amp;lt;- '{
  "totalSize": [
    355710
  ],
  "done": [
    false
  ],
  "nextRecordsUrl": [
    "/services/data/v45.0/query/01gc000001L8zdkAAB-749"
  ],
  "records": [
    {
      "attributes": {
        "type": "Order_Line__c",
        "url": "/services/data/v45.0/sobjects/Order_Line__c/a0T1N000009aZ9lUAE"
      },
      "Id": "a0T1N000009aZ9lUAE",
      "Name": "OrderLine-1099369",
      "SO_Number_Formula__c": "548402-2.3",
      "Ship_From_Inventory__c": "XXX",
      "RMA_Number__c": "548402",
      "Part_Number__c": "01t1N00000JNeAQQA1",
      "Marketing_Part__c": "XXXXXXXXXXX",
      "Family__c": "XXXXXXXX",
      "Serial_Numbers__r": {
        "records": {}
      }
    },
    {
      "attributes": {
        "type": "Order_Line__c",
        "url": "/services/data/v45.0/sobjects/Order_Line__c/a0T1N000009aZ9mUAE"
      },
      "Id": "a0T1N000009aZ9mUAE",
      "Name": "OrderLine-1099370",
      "SO_Number_Formula__c": "962816-1.1",
      "Ship_From_Inventory__c": "XXX",
      "RMA_Number__c": "962816",
      "Part_Number__c": "01t1N00000JNc3qQAD",
      "Marketing_Part__c": "XXXXXXXXXX",
      "Family__c": "XXXXXXX",
      "RMA_Received_Date__c": "2019-02-18",
      "Serial_Numbers__r": {
        "totalSize": 1,
        "done": true,
        "records": [
          {
            "attributes": {
              "type": "Serial_Number__c",
              "url": "/services/data/v45.0/sobjects/Serial_Number__c/a0X1N00000NoyAjUAJ"
            },
            "Id": "a0X1N00000NoyAjUAJ",
            "Name": "SN217426",
            "Legacy_Line_Id__c": "962816SN217426",
            "Customer_Name__c": "XXXXXX",
            "Original_Shipment_Date__c": "2018-06-26",
            "Disposition__c": "Pending",
            "Status__c": "FailureVerification"
          }
        ]
      }
    }
  ]
}
'
  library(dplyr)
#&amp;gt; 
#&amp;gt; Attaching package: 'dplyr'
#&amp;gt; The following objects are masked from 'package:stats':
#&amp;gt; 
#&amp;gt;     filter, lag
#&amp;gt; The following objects are masked from 'package:base':
#&amp;gt; 
#&amp;gt;     intersect, setdiff, setequal, union
  library(tidyr)
  library(tidyjson)
#&amp;gt; 
#&amp;gt; Attaching package: 'tidyjson'
#&amp;gt; The following object is masked from 'package:dplyr':
#&amp;gt; 
#&amp;gt;     bind_rows
#&amp;gt; The following object is masked from 'package:stats':
#&amp;gt; 
#&amp;gt;     filter
  prep_data &amp;lt;- json %&amp;gt;%
    as.tbl_json %&amp;gt;%
    enter_object("records") %&amp;gt;%
    gather_array() %&amp;gt;%
    spread_values(
      Id = jstring("Id"),
      Name = jstring("Name"),
      SO_Number_Formula = jstring("SO_Number_Formula__c"),
      Ship_From_Inventory = jstring("Ship_From_Inventory__c"),
      RMA_Number = jstring("RMA_Number__c"),
      Part_Number = jstring("Part_Number__c"),
      Marketing_Part = jstring("Marketing_Part__c"),
      Family = jstring("Family__c")) %&amp;gt;%
    enter_object("Serial_Numbers__r")
  # show that types are different
  prep_data %&amp;gt;%
    gather_object("key") %&amp;gt;%
    json_types() %&amp;gt;%
    select(key, type) %&amp;gt;%
    filter(key == "records")
#&amp;gt; # A tbl_json: 2 x 2 tibble with a "JSON" attribute
#&amp;gt;   `attr(., "JSON")`      key     type  
#&amp;gt;   &amp;lt;chr&amp;gt;                  &amp;lt;chr&amp;gt;   &amp;lt;fct&amp;gt; 
#&amp;gt; 1 "{}"                   records object
#&amp;gt; 2 "[{\"attributes\":..." records array
  # handle
  taller &amp;lt;- prep_data %&amp;gt;%
    gather_object("key") %&amp;gt;%
    json_types("type") %&amp;gt;%
    filter(key == "records")
  final &amp;lt;- tidyjson::bind_rows(
    taller %&amp;gt;% filter(type == "object"),
    taller %&amp;gt;% filter(type == "array") %&amp;gt;%
      gather_array("record_row") %&amp;gt;%
      spread_values(
        RecordId = jstring("Id")
      )
  )
  final %&amp;gt;% select(key, type, record_row, RecordId)
#&amp;gt; # A tbl_json: 2 x 4 tibble with a "JSON" attribute
#&amp;gt;   `attr(., "JSON")`      key     type   record_row RecordId          
#&amp;gt;   &amp;lt;chr&amp;gt;                  &amp;lt;chr&amp;gt;   &amp;lt;fct&amp;gt;       &amp;lt;int&amp;gt; &amp;lt;chr&amp;gt;             
#&amp;gt; 1 "{}"                   records object         NA &amp;lt;NA&amp;gt;              
#&amp;gt; 2 "{\"attributes\":{..." records array           1 a0X1N00000NoyAjUAJ
&lt;/code&gt;&lt;/pre&gt;
&lt;p&gt;&lt;sup&gt;Created on 2020-03-15 by the &lt;a href="https://reprex.tidyverse.org" rel="nofollow noreferrer"&gt;reprex package&lt;/a&gt; (v0.3.0)&lt;/sup&gt;&lt;/p&gt;
</t>
  </si>
  <si>
    <t xml:space="preserve">&lt;p&gt;I am trying to make a call to a third-party API in my Django app, more specifically in a &lt;code&gt;views.py&lt;/code&gt;. Once I make this call, Django fails to find the template &lt;code&gt;base.html&lt;/code&gt;. &lt;/p&gt;
&lt;p&gt;Essentially this is what's happening:&lt;/p&gt;
&lt;ol&gt;
&lt;li&gt;user searches for a term in a search form&lt;/li&gt;
&lt;li&gt;the request gets sent to my view&lt;/li&gt;
&lt;li&gt;the view has an if statement to handle when the user is making a GET request, so this piece of logic handles the request&lt;/li&gt;
&lt;li&gt;the view makes a call to a separate function &lt;code&gt;search_by_jobsite()&lt;/code&gt; written by me&lt;/li&gt;
&lt;li&gt;inside &lt;code&gt;search_by_jobsite()&lt;/code&gt;, a call to a third-party API is made, and I pass the location of a &lt;code&gt;.pkl&lt;/code&gt; file to the API. The location is &lt;code&gt;/webapp/camera_search/api/pickle/config.pkl&lt;/code&gt;. &lt;/li&gt;
&lt;li&gt;Everything is fine and &lt;code&gt;search_by_jobsite()&lt;/code&gt; retrieves the necessary information&lt;/li&gt;
&lt;li&gt;It returns the information back to the view, and the view goes on to define the context dictionary and attempts to &lt;code&gt;render(request, 'siren_search.html', context)&lt;/code&gt;. However, this is where it fails. &lt;/li&gt;
&lt;/ol&gt;
&lt;p&gt;The first line in &lt;code&gt;siren_search.html&lt;/code&gt; is &lt;code&gt;{% extends 'base.html' %}&lt;/code&gt;, so it starts looking for &lt;code&gt;base.html&lt;/code&gt; but it's looking in the wrong directory. It is searching for &lt;code&gt;base.html&lt;/code&gt; in &lt;code&gt;/webapp/camera_search/api/pickle/&lt;/code&gt; when &lt;code&gt;base.html&lt;/code&gt; is located in &lt;code&gt;/webapp/webapp/templates/base.html&lt;/code&gt;. For some reason when django goes to the &lt;code&gt;pickle/&lt;/code&gt; folder to send the info to the third-party API, it starts searching for &lt;code&gt;base.html&lt;/code&gt; there also, but it can find &lt;code&gt;siren_search.html&lt;/code&gt; just find.&lt;/p&gt;
&lt;p&gt;&lt;strong&gt;Summary of what django is doing&lt;/strong&gt;:&lt;/p&gt;
&lt;ol&gt;
&lt;li&gt;Starts in &lt;code&gt;/webapp/camera_search/views.py&lt;/code&gt; and makes third party API call&lt;/li&gt;
&lt;li&gt;During API call, django moves to &lt;code&gt;/webapp/camera_search/api/pickle/&lt;/code&gt;&lt;/li&gt;
&lt;li&gt;Goes back to view &lt;code&gt;/webapp/camera_search/views.py&lt;/code&gt;&lt;/li&gt;
&lt;li&gt;Attempts to render &lt;code&gt;siren_search.html&lt;/code&gt; and finds it in correct location &lt;code&gt;/webapp/camera_search/templates/siren_search.html&lt;/code&gt;&lt;/li&gt;
&lt;li&gt;Attempts to extend &lt;code&gt;base.html&lt;/code&gt; and searches in &lt;code&gt;/webapp/camera_search/api/pickle/&lt;/code&gt; but it's actually located in &lt;code&gt;/webapp/webapp/templates/base.html&lt;/code&gt;.&lt;/li&gt;
&lt;/ol&gt;
&lt;p&gt;Here is a link to the full traceback: &lt;a href="http://dpaste.com/3ZTBJAG" rel="nofollow noreferrer"&gt;http://dpaste.com/3ZTBJAG&lt;/a&gt;&lt;/p&gt;
&lt;p&gt;My question is, what is going on and how do I re-route Django back to the proper directories?&lt;/p&gt;
&lt;p&gt;&lt;strong&gt;EDIT&lt;/strong&gt;:&lt;/p&gt;
&lt;p&gt;Here is my TEMPLATES setting and my relevant code from &lt;code&gt;views.py&lt;/code&gt;.&lt;/p&gt;
&lt;pre class="lang-py prettyprint-override"&gt;&lt;code&gt;# /webapp/webapp/settings.py
TEMPLATES = [
    {
        'BACKEND': 'django.template.backends.django.DjangoTemplates',
        'DIRS': ['webapp/templates/'],
        'APP_DIRS': True,
        'OPTIONS': {
            'context_processors': [
                'django.template.context_processors.debug',
                'django.template.context_processors.request',
                'django.contrib.auth.context_processors.auth',
                'django.contrib.messages.context_processors.messages',
            ],
        },
    },
]
&lt;/code&gt;&lt;/pre&gt;
&lt;pre class="lang-py prettyprint-override"&gt;&lt;code&gt;# /webapp/camera_search/views.py
from .models import CameraSystem, JobSite
from django.core.exceptions import ObjectDoesNotExist
from django.shortcuts import render, redirect
from django.conf import settings
from zcrmsdk import ZCRMRecord, ZCRMRestClient, ZCRMModule
def siren_search(request):
    term = request.GET.get('query', '')
    context = {}
    #
    # ...
    #
    # Handle when the user presses enter
    elif 'query' in request.GET and term != '' and not request.is_ajax():
        try:
            deployed = search_by_jobsite('JOBSITE') # --- This is what i'm attempting to do. Currently the search works using the below functionality, but i'm trying to integrate this third party API call.
            jobsite = JobSite.objects.get(name__iexact=term)
            cameras = jobsite.camerasystem_set.all()
            context = {
                'cameras': cameras,
            }
        except ObjectDoesNotExist:
            context = {}
            pass
        return render(request, 'siren_search.html', context) # Django fails here
def search_by_jobsite(jobsite):
    # config is a dictionary with API authentication settings.
    config = settings.ZOHO_CONFIG 
    client = ZCRMRestClient.initialize(config)
    all_cameras = ZCRMModule.get_instance('Vendors').search_records(f'{jobsite}')
    deployed_cameras = {}
    # ... process data
    return deployed_cameras
&lt;/code&gt;&lt;/pre&gt;
&lt;p&gt;Here is a sample config dictionary that I am passing to the API client.&lt;/p&gt;
&lt;pre class="lang-py prettyprint-override"&gt;&lt;code&gt;config = {
    'sandbox': 'False',
    'applicationLogFilePath': '/Users/user/Programming/suitee/webapp/camera_search/api/log/',
    'client_id': 'xxxx.xxxxxxxxxxxxx',
    'client_secret': 'xxxxxxxxxxxxxxxxxxxxxxxxx',
    'redirect_uri': 'http://localhost:8000/',
    'accounts_url': 'https://accounts.zoho.com',
    'token_persistence_path': '/Users/user/Programming/suite/webapp/camera_search/api/pickle/',
    'currentUserEmail': 'email@domain.com'
}
&lt;/code&gt;&lt;/pre&gt;
</t>
  </si>
  <si>
    <t xml:space="preserve">&lt;p&gt;I have a large set of data with their own time stamps and name tags. 
The data looks like this and it is stored in google sheets. The data is already imported to a data-model.&lt;/p&gt;
&lt;pre&gt;&lt;code&gt;TIMESTAMP,Data1,Data2,Data3
2019-02-27T11:51:00,        13.10052,   1.267216,   872.339
2019-02-27T11:53:00,        13.09499,   1.373402,   872.368
.
.
.
&lt;/code&gt;&lt;/pre&gt;
&lt;p&gt;I need to build an app to plot each these data and let user define the beginning and end date for the plot. Also, it needs to let the user to choose which set of data, data1, data2 .. be plotted.&lt;/p&gt;
&lt;p&gt;Is there any way for me to control the max/min values of the plot from user input?
How can I control the axis of the line chart(right now I cannot have date labels in the axis of line chart)&lt;/p&gt;
&lt;p&gt;I have imported the data into to the G-suite SQL data-model and data are names and sorted. I know how to use Line Chart to get a plot of these data but I cannot control the limits.&lt;/p&gt;
</t>
  </si>
  <si>
    <t xml:space="preserve">&lt;p&gt;So I am using Salesforce and Magento for order management in the backend. My customers are placing orders on my marketplace in Magento and then Magento sends the orders to salesforce for reporting. I would like process the orders in salesforce; however, I don't want to be flagged to xss attack or middle man attack by Authorize.net. I want to know if I can use the transaction token and ID that I received for authorizing amount on the customer's card in Magento to capture the funds in Salesforce? &lt;/p&gt;
&lt;p&gt;Magento makes api call to authorize.net to auth amount on customer's credit card.
Then Salesforce uses that same authorization token in capture funds.&lt;/p&gt;
</t>
  </si>
  <si>
    <t xml:space="preserve">&lt;p&gt;I have tried what I can think of but can't get the email to be sent from my application using flask-mail with Zoho mail.&lt;/p&gt;
&lt;p&gt;I've tried setting up an app password and I have tried the following examples of configuration using some of the information from their site:&lt;/p&gt;
&lt;p&gt;&lt;a href="https://www.zoho.com/mail/help/pop-access.html" rel="nofollow noreferrer"&gt;https://www.zoho.com/mail/help/pop-access.html&lt;/a&gt;&lt;/p&gt;
&lt;pre&gt;&lt;code&gt;app.config['MAIL_SERVER'] = 'smtp.zoho.com' 
app.config['MAIL_PORT'] = 465 
app.config['MAIL_USE_SSL'] = True 
app.config['MAIL_USERNAME'] = '_@whatever.com' 
app.config['MAIL_PASSWORD'] = 'XXXXXXXXXXXX'
app.config['MAIL_SERVER'] = 'smtp.zoho.com' 
app.config['MAIL_PORT'] = 587 
app.config['MAIL_USE_TLS'] = True 
app.config['MAIL_USERNAME'] = '__@whatever.com' 
app.config['MAIL_PASSWORD'] = 'XXXXXXXXXXX'
&lt;/code&gt;&lt;/pre&gt;
&lt;p&gt;I would expect to be able to send an email using flask-mail with my custom domain which is setup with zoho.&lt;/p&gt;
</t>
  </si>
  <si>
    <t xml:space="preserve">&lt;p&gt;Im pretty new at powerapps.&lt;/p&gt;
&lt;p&gt;Anyway I have a gallery where I have a variable which contains questions and another row which contains the answer to the questions. On a few questions the answer is not text but rather an image. When the user scrolls through the gallery I would like the row column height for the Image answer to be bigger than the row column height where there is text. I tried in a million ways with no success.&lt;/p&gt;
&lt;p&gt;If anyone can help me and show me the way . I would really appreciate it&lt;/p&gt;
&lt;p&gt;If you do not have the answer thank you as well for taking the time to read my post&lt;/p&gt;
&lt;p&gt;Thank you&lt;/p&gt;
&lt;p&gt;Ive tried to crate a text label (ie Label4_Height)which determines if the result is an image or text ans setting that variable to a value
In the height of the Text variable or Image variable i set its height to the value of the Label4_Height variable&lt;/p&gt;
</t>
  </si>
  <si>
    <t xml:space="preserve">&lt;p&gt;I am trying to build a solution out of the custom controller using power apps components framework:&lt;/p&gt;
&lt;p&gt;Using&lt;/p&gt;
&lt;ul&gt;
&lt;li&gt;Microsoft PowerApps Cli&lt;/li&gt;
&lt;li&gt;.net framework 4.6.2 development pack&lt;/li&gt;
&lt;li&gt;.Net SDK 2.2 Core&lt;/li&gt;
&lt;li&gt;Visual Studio code&lt;/li&gt;
&lt;li&gt;Node.js&lt;/li&gt;
&lt;/ul&gt;
&lt;p&gt;I used &lt;a href="https://community.dynamics.com/crm/b/bitsandbytesbydanish/archive/2019/05/18/create-custom-controls-using-powerapp-component-framework" rel="nofollow noreferrer"&gt;this link&lt;/a&gt; as a guidenence&lt;/p&gt;
&lt;p&gt;However, I am getting this error:&lt;/p&gt;
&lt;blockquote&gt;
  &lt;p&gt;"MSB4057: The target "GetProjectOutputPath" does not exist in the project"&lt;/p&gt;
&lt;/blockquote&gt;
&lt;p&gt;after executing msbuild in the desired location and no zipped solution is created..? Why?&lt;/p&gt;
&lt;p&gt;I want to consume it in the D365 later.&lt;/p&gt;
</t>
  </si>
  <si>
    <t xml:space="preserve">&lt;p&gt;I am trying to connect with Zoho CRM using PHP. I followed &lt;a href="https://github.com/zoho/zcrm-php-sdk" rel="nofollow noreferrer"&gt;PHP SDK&lt;/a&gt; for Zoho CRM and installed the package.&lt;/p&gt;
&lt;pre&gt;&lt;code&gt;&amp;lt;?php
require 'vendor/autoload.php';
use zcrmsdk\crm\setup\restclient\ZCRMRestClient;
use zcrmsdk\oauth\ZohoOAuth;
$configuration =array("client_id"=&amp;gt;"clientid","client_secret"=&amp;gt;"clientsecret","redirect_uri"=&amp;gt;"redirecturl","currentUserEmail"=&amp;gt;"useremail");
$a = ZCRMRestClient::initialize($configuration);
$oAuthClient = ZohoOAuth::getClientInstance();
$refreshToken = "refreshtoken";
$userIdentifier = "emailid";
$oAuthTokens = $oAuthClient-&amp;gt;generateAccessTokenFromRefreshToken($refreshToken,$userIdentifier);
$result = ZCRMRestClient::getModule("Contacts");
print_r($result);
exit;
?&amp;gt;
&lt;/code&gt;&lt;/pre&gt;
&lt;p&gt;&lt;strong&gt;error I am getting:&lt;/strong&gt;&lt;/p&gt;
&lt;pre&gt;&lt;code&gt;Not able to get access token from refresh token, invalid client_id.
&lt;/code&gt;&lt;/pre&gt;
&lt;p&gt;But I am using correct credentials to connect Zoho API.&lt;/p&gt;
</t>
  </si>
  <si>
    <t xml:space="preserve">&lt;p&gt;Is there any eqivalent of LIKE option in PowerApp that allow use sql special characters like "%" or "_" in Search or Filter to find any records?&lt;/p&gt;
&lt;p&gt;I would like to write in search: "DAP%55" and find all redords like: 
DAPAAA55
DAPoooo55
... and so on...&lt;/p&gt;
&lt;ul&gt;
&lt;li&gt;eqivalent to 
SELECT * FROM sth WHERE name like 'DAP%55'&lt;/li&gt;
&lt;/ul&gt;
&lt;p&gt;Is that possoble?&lt;/p&gt;
&lt;p&gt;Thanks.&lt;/p&gt;
</t>
  </si>
  <si>
    <t xml:space="preserve">&lt;p&gt;I am working within a Salesforce report where I list the organization name in one column and the organizational types in the other. Some organizations only have one org type and as such would only have one record/line in the report. Other organizations have two or more organization types and appear multiple times in the report (one line for each org type). Is there a way within Reports in Lighting in cases where more than one org type exists to condense/concatenate them all in one cell so that the record only appears once?&lt;/p&gt;
</t>
  </si>
  <si>
    <t xml:space="preserve">&lt;p&gt;I am having a complex application where I have 10 child component in a master component that is inside an application.&lt;/p&gt;
&lt;p&gt;I am passing complex type from master component to all the 10 components.&lt;/p&gt;
&lt;p&gt;This works but when I try to introduce an auraif to hide/show/render child components the aura application hangs on load.&lt;/p&gt;
&lt;p&gt;Parent app:&lt;/p&gt;
&lt;pre&gt;&lt;code&gt;&amp;lt;aura:application ...
    &amp;lt;c:masterComp /&amp;gt;
&amp;lt;/aura:application&amp;gt;
&lt;/code&gt;&lt;/pre&gt;
&lt;p&gt;Master Comp:
    &lt;/p&gt;
&lt;pre&gt;&lt;code&gt;&amp;lt;aura:attribute name="complexWrpObj" type="ComplexWrapperClass" /&amp;gt;
&amp;lt;c:child1 complexWrpObj="{!v.complexWrpObj}" /&amp;gt;
&amp;lt;c:child2 complexWrpObj="{!v.complexWrpObj}" /&amp;gt;
&amp;lt;c:child3 complexWrpObj="{!v.complexWrpObj}" /&amp;gt;
...
&amp;lt;/aura:component&amp;gt;
&lt;/code&gt;&lt;/pre&gt;
&lt;p&gt;Master Comp JS:&lt;/p&gt;
&lt;pre&gt;&lt;code&gt;({
doInit: function(cmp) {
    var action = cmp.get("c.severValue");
    action.setCallback(this, function(response) {
        var state = response.getState();
        if (state === "SUCCESS") {
            cmp.set("v.complexWrpObj", response.getReturnValue());
        }
        else if (state === "INCOMPLETE") {
        }
        else if (state === "ERROR") {
        }
    });
    $A.enqueueAction(action);
}
})
&lt;/code&gt;&lt;/pre&gt;
&lt;p&gt;Class:&lt;/p&gt;
&lt;pre&gt;&lt;code&gt;public class ComplexWrapperClass{
@AuraEnabled Map&amp;lt;String,Account&amp;gt; wrpMap {get;set;}
@AuraEnabled Map&amp;lt;String,boolean&amp;gt; showHideMap {get;set;}
@AuraEnabled Map&amp;lt;String,String&amp;gt; etc {get;set;}
public ComplexWrapperClass(){
showHide = Map&amp;lt;String,boolean&amp;gt;{'child1' : true, 'child2' : false ...};
}
}
&lt;/code&gt;&lt;/pre&gt;
&lt;p&gt;Now when I do this, the page stops loading, goes stuck and hangs altogether.&lt;/p&gt;
&lt;pre&gt;&lt;code&gt;&amp;lt;aura:If isTrue="{!v.complexWrpObj.showHideMap.child1}"&amp;gt;
&amp;lt;c:child1 complexWrpObj="{!v.complexWrpObj}" /&amp;gt;
&amp;lt;/aura:If&amp;gt;
&amp;lt;c:child2 complexWrpObj="{!v.complexWrpObj}" /&amp;gt;
&amp;lt;c:child3 complexWrpObj="{!v.complexWrpObj}" /&amp;gt;
&lt;/code&gt;&lt;/pre&gt;
&lt;p&gt;Not sure what am I doing wrong.&lt;/p&gt;
&lt;p&gt;Also a side question, will passing objects in attributes to child have performance impact, also does not rending will help in performance improvement.&lt;/p&gt;
</t>
  </si>
  <si>
    <t xml:space="preserve">&lt;p&gt;How to get average time since the case was created in Salesforce till resolved  &lt;/p&gt;
&lt;p&gt;I have prepared a custom report with each and every field but not able to use formula.&lt;/p&gt;
</t>
  </si>
  <si>
    <t xml:space="preserve">&lt;p&gt;I try to send an email with Nodemailer and always get the same error: &lt;/p&gt;
&lt;pre&gt;&lt;code&gt;    hostname: 'smtp.zoho.com',
    secure: true,
    port: 465,
    auth: {
        user: 'maria@mydomain.my',
        pass: 'apppassgenerated'
    }
});
&lt;/code&gt;&lt;/pre&gt;
&lt;p&gt;I tried too: &lt;/p&gt;
&lt;pre&gt;&lt;code&gt;   service: 'Zoho',
    auth: {
        user: 'maria@mydomain.my',
        pass: 'apppassgenerated'
    }
});
&lt;/code&gt;&lt;/pre&gt;
&lt;p&gt;I always get: { Error: queryA EREFUSED smtp.zoho.com
    at QueryReqWrap.onresolve [as oncomplete] (dns.js:213:19)
  errno: 'EREFUSED',
  code: 'EDNS',
  syscall: 'queryA',
  hostname: 'smtp.zoho.com',
  command: 'CONN' }&lt;/p&gt;
</t>
  </si>
  <si>
    <t xml:space="preserve">&lt;p&gt;I have created a dynamic table in Google App Maker to display class attendance information.  Each row contains information for one student and there are multiple rows for the entire class.  I would like to use a radio group so the teacher can select a one of several attendance options (i.e., Present, Tardy, Excused, Unexcused).  However, the radio group buttons are displayed vertically within each row and take up a lot of space.  Is there any way in Google App Maker to change the orientation of the radio group to display horizontally?&lt;/p&gt;
&lt;p&gt;I have checked the Google App Maker Widget API which describes properties for the radio group and there is some discussion about in-flow widgets and how they behave with different layout widgets.  I am using a vertical panel for the table.  However, the radio group behaves the same for horizontal and fixed panels.  Other app programs (like for Android) include properties for orientation, however, I see no such property in Google App Maker.&lt;/p&gt;
&lt;p&gt;I prefer to use a radio group since the options are mutually exclusive.  If I can't change the radio group orientation, I could use individual check boxes but I would need to add the code so the options are automatically treated as mutually exclusive.&lt;/p&gt;
&lt;p&gt;Thanks for any help!&lt;/p&gt;
</t>
  </si>
  <si>
    <t xml:space="preserve">&lt;p&gt;Thank you, Markus!  I'm including a picture and repeating your answer to highlight it for others.&lt;/p&gt;
&lt;p&gt;Towards the top next to your 'Widgets' menu, there is a dropdown menu to select style variants.  Horizontal is listed as an option under this category for a radio group.  For other objects, this menu usually lists the background color or text style.&lt;/p&gt;
&lt;p&gt;&lt;a href="https://i.stack.imgur.com/lcOKV.png" rel="nofollow noreferrer"&gt;&lt;img src="https://i.stack.imgur.com/lcOKV.png" alt="Screenshot of dropdown menu to choose orientation for radio group"&gt;&lt;/a&gt;&lt;/p&gt;
</t>
  </si>
  <si>
    <t xml:space="preserve">&lt;p&gt;I'm developing some automation/integration between a CRM software and my google account. I am attempting to use the Google Apps Script API so I can remotely execute functions in Google Apps Script through the integration I'm building from within the CRM software. &lt;/p&gt;
&lt;p&gt;The only problem is, when attempting to run a function which calls a GAS function through the API, I get the following error:&lt;/p&gt;
&lt;p&gt;"Apps Script API has not been used in project &lt;em&gt;project number&lt;/em&gt; before or it is disabled. Enable it by visiting &lt;a href="https://console.developers.google.com/apis/api/script.googleapis.com/overview?project=103424032563" rel="nofollow noreferrer"&gt;https://console.developers.google.com/apis/api/script.googleapis.com/overview?project=103424032563&lt;/a&gt; then retry. If you enabled this API recently, wait a few minutes for the action to propagate to our systems and retry."&lt;/p&gt;
&lt;p&gt;This would normally be no problem, as I would simply access the GCP portal through the link and enable the GAS API, but when I try to access my project, I don't have access at all, and get the "failed to load data" error.&lt;/p&gt;
&lt;p&gt;Further complicating my issue, GCP support will not help because they suspect I am a hacker trying to obtain access to a project that, for all they know, isn't mine.&lt;/p&gt;
&lt;p&gt;And because I cannot access this project to authorize the API, I also cannot associate my google script with the same project, as this is a requirement for the Google Apps Script API to function.&lt;/p&gt;
&lt;p&gt;I suspect it's the CRM software piece in which I'm developing this integration that is causing this error, (somehow the GCP project is being created by a different user,) but they haven't been all that helpful in determining what's going on.&lt;/p&gt;
&lt;p&gt;Have any of you had a similar situation? And, if so, how did you approach solving it?&lt;/p&gt;
</t>
  </si>
  <si>
    <t xml:space="preserve">&lt;p&gt;I am in the process of upgrading my customer's site from Zoho's end of life v1 API to it's new v2 API.&lt;/p&gt;
&lt;p&gt;I have followed the guide and I am not able to have requests to create a new 'Lead' save in the Zoho system.&lt;/p&gt;
&lt;p&gt;I have the v2 API installed 'correctly' (no errors and it authenticates correctly) but go to insert a new lead.&lt;/p&gt;
&lt;p&gt;Running the v1 code works so I believe the account is OK still. It is on a test domain but I have not seen anywhere that this might restrict this.&lt;/p&gt;
&lt;p&gt;The v1 API Code:&lt;/p&gt;
&lt;pre&gt;&lt;code&gt;$xml  = '&amp;lt;?xml version="1.0" encoding="UTF-8"?&amp;gt;'; // same error with or without this line
$xml .= '&amp;lt;Leads&amp;gt;';
$xml .= '&amp;lt;row no="1"&amp;gt;';
$xml .= '&amp;lt;FL val="Lead Owner"&amp;gt;'.'luke@example.com'.'&amp;lt;/FL&amp;gt;';
$xml .= '&amp;lt;FL val="First Name"&amp;gt;'.$_POST['enquiry-firstname'].'&amp;lt;/FL&amp;gt;';
$xml .= '&amp;lt;FL val="Last Name"&amp;gt;'.$_POST['enquiry-lastname'].'&amp;lt;/FL&amp;gt;';
$xml .= '&amp;lt;FL val="Email"&amp;gt;'.$_POST['enquiry-email'] .'&amp;lt;/FL&amp;gt;';
$xml .= '&amp;lt;FL val="Company"&amp;gt;'.$_POST['enquiry-company'].'&amp;lt;/FL&amp;gt;';
$xml .= '&amp;lt;FL val="Lead Source"&amp;gt;Web Site&amp;lt;/FL&amp;gt;';
$xml .= '&amp;lt;FL val="Phone"&amp;gt;'.$_POST['enquiry-phone'].'&amp;lt;/FL&amp;gt;';
$xml .= '&amp;lt;FL val="Description"&amp;gt;
            Enquiry Type: ' . htmlentities($_POST['enquiry-enquiry'], ENT_QUOTES | ENT_IGNORE, "UTF-8") . '
            Message: '.htmlentities($_POST['enquiry-message'], ENT_QUOTES | ENT_IGNORE, "UTF-8") . '
            Board: ' . $zoho_descr;
$xml .= '&amp;lt;/FL&amp;gt;';
$xml .= '&amp;lt;/row&amp;gt;';
$xml .= '&amp;lt;/Leads&amp;gt;';
$url ="https://crm.zoho.com/crm/private/xml/Leads/insertRecords";
$query="authtoken=&amp;lt;secret&amp;gt;&amp;amp;scope=crmapi&amp;amp;newFormat=1&amp;amp;xmlData=".$xml;
$ch = curl_init();
curl_setopt($ch, CURLOPT_URL, $url);
curl_setopt($ch, CURLOPT_FOLLOWLOCATION, 1);
curl_setopt($ch, CURLOPT_RETURNTRANSFER, 1);
curl_setopt($ch, CURLOPT_TIMEOUT, 30);
curl_setopt($ch, CURLOPT_POST, 1);
curl_setopt($ch, CURLOPT_POSTFIELDS, $query);// Set the request as a POST FIELD for curl.
$response = curl_exec($ch);
curl_close($ch);
&lt;/code&gt;&lt;/pre&gt;
&lt;p&gt;Which I have modified to work in the v2:
** EDIT **
Changed this to match the documentatio. Field values changed to API value.&lt;/p&gt;
&lt;pre&gt;&lt;code&gt;require_once('vendor/autoload.php');
ZCRMRestClient::initialize();
try {
    $moduleIns = ZCRMRestClient::getInstance()-&amp;gt;getModuleInstance("Leads");
    $leads = array();
    $lead = ZCRMRecord::getInstance("Leads", null);
    $lead-&amp;gt;setFieldValue("Owner", "luke@example.com");
    $lead-&amp;gt;setFieldValue("First_Name", $_POST['enquiry-firstname']);
    $lead-&amp;gt;setFieldValue("Last_Name", $_POST['enquiry-lastname']);
    $lead-&amp;gt;setFieldValue("Email", $_POST['enquiry-email']);
    $lead-&amp;gt;setFieldValue("Company", $_POST['enquiry-company']);
    $lead-&amp;gt;setFieldValue("Lead_Source", "Web Site");
    $lead-&amp;gt;setFieldValue("Phone", $_POST['enquiry-phone']);
    $lead-&amp;gt;setFieldValue("Description",  "Enquiry Type: " . htmlentities($_POST['enquiry-enquiry'], ENT_QUOTES | ENT_IGNORE, "UTF-8") . ' Message: '.htmlentities($_POST['enquiry-message'], ENT_QUOTES | ENT_IGNORE, 'UTF-8') . '  Board: ' . $zoho_descr);
    array_push($leads, $lead);
    $responseIn = $moduleIns-&amp;gt;createRecords($records);
    foreach($responseIn-&amp;gt;getEntityResponses() as $responseIns){
        echo "HTTP Status Code:".$responseIn-&amp;gt;getHttpStatusCode();
        echo "Status:".$responseIns-&amp;gt;getStatus();
        echo "Message:".$responseIns-&amp;gt;getMessage();
        echo "Code:".$responseIns-&amp;gt;getCode();
        echo "Details:".json_encode($responseIns-&amp;gt;getDetails());
    }       
    echo "&amp;lt;pre&amp;gt;";
    var_dump($responseIn);
    echo "&amp;lt;/pre&amp;gt;";
    die("Should be fine");
} catch (ZCRMException $e) {
    echo $e-&amp;gt;getCode();
    echo $e-&amp;gt;getMessage();
    echo $e-&amp;gt;getExceptionCode();
    die("ZCRM Exception Dead");
} catch (Exception $e) {
    echo "&amp;lt;pre&amp;gt;";
    echo $e-&amp;gt;getMessage();
    echo "&amp;lt;/pre&amp;gt;";
    die("Exception Dead");
}   
&lt;/code&gt;&lt;/pre&gt;
&lt;p&gt;** Edit **&lt;/p&gt;
&lt;p&gt;$responseIn returns:&lt;/p&gt;
&lt;pre&gt;&lt;code&gt;object(BulkAPIResponse)#1161 (12) {
  ["bulkData":"BulkAPIResponse":private]=&amp;gt;
  array(0) {
  }
  ["status":"BulkAPIResponse":private]=&amp;gt;
  NULL
  ["info":"BulkAPIResponse":private]=&amp;gt;
  NULL
  ["bulkEntitiesResponse":"BulkAPIResponse":private]=&amp;gt;
  NULL
  ["httpStatusCode":"CommonAPIResponse":private]=&amp;gt;
  int(0)
  ["responseJSON":"CommonAPIResponse":private]=&amp;gt;
  NULL
  ["responseHeaders":"CommonAPIResponse":private]=&amp;gt;
  array(0) {
  }
  ["code":"CommonAPIResponse":private]=&amp;gt;
  NULL
  ["message":"CommonAPIResponse":private]=&amp;gt;
  NULL
  ["details":"CommonAPIResponse":private]=&amp;gt;
  NULL
  ["response":"CommonAPIResponse":private]=&amp;gt;
  bool(false)
  ["apiName":"CommonAPIResponse":private]=&amp;gt;
  NULL
}
&lt;/code&gt;&lt;/pre&gt;
&lt;p&gt;Runing the v2 code produces a 'completed' messge so there was not error directly but nothing ends up in the dashboard and more interestingly the API useage reporter shows that nothing is sent (but it does show the authentication requests, so I believe it is connected).&lt;/p&gt;
&lt;p&gt;How do I send 'leads' to Zoho via v2 API?&lt;/p&gt;
&lt;p&gt;** Edit **
Updated the field names to be the API names.&lt;/p&gt;
</t>
  </si>
  <si>
    <t xml:space="preserve">&lt;p&gt;I have to create a report in Einstein Analytics where I can show the user's login details. For that I need to create a dataset using Dataflow and join User object with LoginHistory object in salesforce. But I am unable to access the LoginHistory object from Einstein Analytics dataflow. Can anyone suggest how to access LoginHistory object from Einstein analytics ??&lt;/p&gt;
</t>
  </si>
  <si>
    <t xml:space="preserve">&lt;p&gt;Salesforce token end point was working fine previously but recently it's password got expired. I asked SF team to extend the same password and after that I am able to login to SF portal and able to get SF access token using same password and security token by postman.&lt;/p&gt;
&lt;p&gt;But when my prod application is making calls to SF it still gives same error message:&lt;/p&gt;
&lt;p&gt;This session could not be mutually authenticated for use with the REST API","errorCode":"MUTUAL_AUTHENTICATION_FAILED"&lt;/p&gt;
&lt;p&gt;Could you please help me that why after extending the same password (by changing some setting in sf) when the .net core application hit it, its getting same error message. Does it got cashed and SF service need to be restarted???&lt;/p&gt;
</t>
  </si>
  <si>
    <t xml:space="preserve">&lt;p&gt;I've made a PowerApps app which uploads an image to SharePoint. When Flow detects that this image is uploaded, I want to run a custom script that can interact with the Excel file. PowerShell should accomplish that, but I'm completely lost when it comes to running the PowerShell code from Flow.&lt;/p&gt;
&lt;p&gt;My goal is to use an Excel macro to combine the image and an Excel file that is stored in the same location in SharePoint. PowerShell will execute the macro and delete the picture after.&lt;/p&gt;
&lt;p&gt;I've found this guide "&lt;a href="https://flow.microsoft.com/en-us/blog/flow-of-the-week-local-code-execution/" rel="nofollow noreferrer"&gt;https://flow.microsoft.com/en-us/blog/flow-of-the-week-local-code-execution/&lt;/a&gt;", but I don't think it will work for me as the app will be running on more devices than just my local computer.&lt;/p&gt;
&lt;p&gt;What technology can I use to run code using Flow as a trigger? The code must have access to a specific SharePoint site as well.&lt;/p&gt;
</t>
  </si>
  <si>
    <t xml:space="preserve">&lt;p&gt;I believe you can create an &lt;a href="https://docs.microsoft.com/en-us/azure/azure-functions/functions-reference-powershell" rel="nofollow noreferrer"&gt;Azure Function that will execute PowerShell&lt;/a&gt;. This will execute from the cloud rather than on your local machine.&lt;/p&gt;
</t>
  </si>
  <si>
    <t xml:space="preserve">&lt;p&gt;I have a PowerApp which updates a cell in an Excel file hosted in OneDrive. The Excel file contains a macro that is supposed to run when the PowerApp changes the Excel file. However, it doesn't do that. If I update a cell manually, the macro works just fine. It's just not activated when the file is updated by PowerApps. &lt;/p&gt;
&lt;p&gt;Is there a different function I can use that will be triggered when PowerApp changes the file?&lt;/p&gt;
&lt;p&gt;If that is not possible, could I use a Flow to activate the macro?&lt;/p&gt;
&lt;p&gt;Here is the current script that works with manual changes, but not the automatic PowerApps changes.&lt;/p&gt;
&lt;pre&gt;&lt;code&gt;Private Sub Worksheet_Change(ByVal Target As Range)
    Call InsertImageTest
End Sub
&lt;/code&gt;&lt;/pre&gt;
&lt;p&gt;Here is the macro that I want to trigger using the code above.&lt;/p&gt;
&lt;pre&gt;&lt;code&gt;Sub InsertImageTest()
' This macro inserts an image from a set location to a set cell.
Dim ws As Worksheet
Dim imagePath As String
Dim cell As String
Dim posText As String
Dim imgLeft As Double
Dim imgTop As Double
Dim rngX As Range
Dim activeSheetName As String
' Customizable variables
imagePath = ActiveWorkbook.Path &amp;amp; Range("$B$2").Value
posText = "Signature"
activeSheetName = "Data" ' Set to "Data" by default, but will change to the Active sheets name, if the active sheet is not called "Data"
' For i = 1 To Sheets.Count
'    If CStr(Sheets(i).Name) Is CStr(activeSheetName) Then
'        Debug.Print "Code can be executed! Data tab was found"
'    End If
' Next i
cell = "$A$1"
Set ws = ActiveSheet
Set rngX = Worksheets(activeSheetName).Range("A1:Z1000").Find(posText, lookat:=xlPart)
If Not rngX Is Nothing Then
    cell = rngX.Address
    Debug.Print cell
    Debug.Print rngX.Address &amp;amp; " cheating"
    Worksheets(activeSheetName).Range(cell).Value = ""
    Debug.Print rngX.Address &amp;amp; " real"
    imgLeft = Range(cell).Left
    imgTop = Range(cell).Top
    ' Width &amp;amp; Height = -1 means keep original size
    ws.Shapes.AddPicture _
    Filename:=imagePath, _
    LinkToFile:=msoFalse, _
    SaveWithDocument:=msoTrue, _
    Left:=imgLeft, _
    Top:=imgTop, _
    Width:=-1, _
    Height:=-1
End If
' The code beaneath will resize the cell to fit the picture
For Each Picture In ActiveSheet.DrawingObjects
PictureTop = Picture.Top
PictureLeft = Picture.Left
PictureHeight = Picture.Height
PictureWidth = Picture.Width
For N = 2 To 256
If Columns(N).Left &amp;gt; PictureLeft Then
PictureColumn = N - 1
Exit For
End If
Next N
For N = 2 To 65536
If Rows(N).Top &amp;gt; PictureTop Then
PictureRow = N - 1
Exit For
End If
Next N
Rows(PictureRow).RowHeight = PictureHeight
Columns(PictureColumn).ColumnWidth = PictureWidth * (54.29 / 288)
Picture.Top = Cells(PictureRow, PictureColumn).Top
Picture.Left = Cells(PictureRow, PictureColumn).Left
Next Picture
End Sub
&lt;/code&gt;&lt;/pre&gt;
</t>
  </si>
  <si>
    <t xml:space="preserve">&lt;p&gt;How can I filter product option while creating a quote in salesforce cpq.&lt;/p&gt;
&lt;p&gt;Example I have a main product "Dell Laptop" - I create 2 features "Hardware" and "Software". I have a "region" field in product option with values X or Y&lt;/p&gt;
&lt;p&gt;I add below product options in relevant feature and region
Hardware - CPU,RAM etc (no region)
Software - 
X region: MS Office, Notepad
Y region: Firefox&lt;/p&gt;
&lt;p&gt;Now when I create a quote. I should be able to select add options and in software feature I need a filter value based on which only the RELEVANT PRODUCT OPTIONS will load
So I select X region only MSOffice and Notepad should load.&lt;/p&gt;
&lt;p&gt;How can I solve this problem?&lt;/p&gt;
&lt;p&gt;I have tried looking in lookup query and lookup data. The problem is I may have  15-20 options in one feature and adding lookup data with show and hide for two feature will increase manual work and creating combination for each feature&lt;/p&gt;
</t>
  </si>
  <si>
    <t xml:space="preserve">&lt;p&gt;I made a custom connector that is using the Graph API to return deleted groups.
I shared and app using this connector with our Service Desk, but looks like it doesn't work for them, it returns nothing. The connector is using a service account, so probably not a permission issue.&lt;/p&gt;
&lt;p&gt;I would like to capture where the error is. Is it possible to somehow monitor the traffic that goes through the connector?&lt;/p&gt;
</t>
  </si>
  <si>
    <t xml:space="preserve">&lt;p&gt;Need to get the top 3 most occuring items out of a Excel data connection in PowerApps.&lt;/p&gt;
&lt;p&gt;The connected Excel file holds lots of items added by this PowerApps App. I want to show the three users having the most items added. The Excel file holds a column "created".&lt;/p&gt;
</t>
  </si>
  <si>
    <t xml:space="preserve">&lt;p&gt;If you allow organization wide access to your application, how do you default users to a specific role in your app?&lt;/p&gt;
&lt;p&gt;i'm following an example from a tutorial, and it works great if I specify individual users to have specific roles, but I need to be able to leave this open to the broader org but I only want them using the "user" level.&lt;/p&gt;
</t>
  </si>
  <si>
    <t xml:space="preserve">&lt;p&gt;I would suggest using Google Groups for roles that may involve many individuals where it would become cumbersome to update members in the App Maker deployment settings. There is some information here &lt;a href="https://developers.google.com/appmaker/security/secure-your-app#add_members_to_roles" rel="nofollow noreferrer"&gt;https://developers.google.com/appmaker/security/secure-your-app#add_members_to_roles&lt;/a&gt;.&lt;/p&gt;
&lt;p&gt;If this is strictly an access restriction to the application itself to a subset of individuals within a domain then groups can still be used to restrict access to the application within the application settings.&lt;/p&gt;
</t>
  </si>
  <si>
    <t xml:space="preserve">&lt;p&gt;Hypothetical:&lt;/p&gt;
&lt;p&gt;Say i'm having someone order a cake and they choose vanilla or chocolate, and then they have to choose a frosting&lt;/p&gt;
&lt;pre&gt;&lt;code&gt;if vanilla: strawberry or buttercream   
if chocolate: mocha, dark chocolate or buttercream.
&lt;/code&gt;&lt;/pre&gt;
&lt;p&gt;Right now the frosting value in the data model can accept all four options, so all four show up in the dropdown.&lt;/p&gt;
&lt;p&gt;a) is there a way to change the binding for the second dropdown after the first is chosen?&lt;/p&gt;
</t>
  </si>
  <si>
    <t xml:space="preserve">&lt;p&gt;Im guessing you set the dropdown "possible value" options in the data source and you have those fields as just string fields in your table.&lt;/p&gt;
&lt;p&gt;the quick and dirty way to do this is go to the Cake drop down and on the Property Editor&gt;Events&gt;OnValueChange select Custom Action and use this Code&lt;/p&gt;
&lt;pre&gt;&lt;code&gt;if(widget.value==="Vanilla"){
   widget.root.descendants.Field.options = ['Strawberry','Buttercream'];
}else if (widget.value === "Chocolate"){
  widget.root.descendants.Field.options = ['Mocha','Dark Chocolate','Buttercream'];
}
&lt;/code&gt;&lt;/pre&gt;
&lt;p&gt;"Field" here is replaced with the name of the dropdown box for your frostings&lt;/p&gt;
&lt;p&gt;also go to the property editor of the frostings dropdown and delete everything in the options field there.&lt;/p&gt;
</t>
  </si>
  <si>
    <t xml:space="preserve">&lt;p&gt;I am using the tag "lightning-formatted-date-time" in my lightning web components with the value "2019-06-02" but it is displaying the previous date. &lt;/p&gt;
&lt;p&gt;I am not getting if the value is not a valid one for the tag. Please suggest.&lt;/p&gt;
&lt;p&gt;Here is the playground code.&lt;/p&gt;
&lt;p&gt;&lt;a href="https://developer.salesforce.com/docs/component-library/tools/playground/nLT72mjyV/1/edit" rel="nofollow noreferrer"&gt;https://developer.salesforce.com/docs/component-library/tools/playground/nLT72mjyV/1/edit&lt;/a&gt;&lt;/p&gt;
&lt;p&gt;Thank you.&lt;/p&gt;
</t>
  </si>
  <si>
    <t xml:space="preserve">&lt;p&gt;I am trying to make an app where a user can click a button 'start' when he starts an action and 'stop' when he stops an action. Both of these actions should result in adding a timestamp to the record (column in excel file)&lt;/p&gt;
&lt;p&gt;the following function is linked to my button 'start': &lt;/p&gt;
&lt;pre&gt;&lt;code&gt;OnSelect = Patch( Planning, First(Filter( Planning, StartTime = "" ) ), { StartTime: Text( Now() ) } ) 
&lt;/code&gt;&lt;/pre&gt;
&lt;p&gt;(Planning is the name of the table in my excel file, StarTime= name of the column in Excel where the timestamp should be added)&lt;/p&gt;
&lt;p&gt;When I try the app, clicking the button doesn't result in the addition of the timestamp in my excel file.&lt;/p&gt;
&lt;p&gt;link to pictures of powerapps and excel table: &lt;a href="https://imgur.com/a/XgQF56y" rel="nofollow noreferrer"&gt;https://imgur.com/a/XgQF56y&lt;/a&gt;?&lt;/p&gt;
&lt;p&gt;What is wrong with my function/code?&lt;/p&gt;
&lt;p&gt;Thanks in Advance!!&lt;/p&gt;
&lt;pre&gt;&lt;code&gt;OnSelect = Patch( Planning, First(Filter( Planning, StartTime = "" ) ), { StartTime: Text( Now() ) } )
&lt;/code&gt;&lt;/pre&gt;
&lt;p&gt;I expect the timestamp to be added to the right row and right column (StartTime) in the record (excel file) with table name 'Planning'&lt;/p&gt;
</t>
  </si>
  <si>
    <t xml:space="preserve">&lt;p&gt;I have a question regarding permissions on PowerApps. I know external users from the current tenant are not able to use any PowerApps app. Here the &lt;a href="https://docs.microsoft.com/en-us/powerapps/maker/canvas-apps/share-app" rel="nofollow noreferrer"&gt;official documentation&lt;/a&gt; and here from &lt;a href="https://powerusers.microsoft.com/t5/General-Discussion/Sharing-PowerApps-with-External-Users/td-p/113818" rel="nofollow noreferrer"&gt;PowerApps Q&amp;amp;A&lt;/a&gt;.&lt;/p&gt;
&lt;p&gt;But, is there a way to have trusted accounts or accounts from trusted domains and grant access to PowerApps apps? If not, is it in the current PowerApps roadmap and the roll out date for it?&lt;/p&gt;
</t>
  </si>
  <si>
    <t xml:space="preserve">&lt;p&gt;Very good research, and those are great links.  &lt;/p&gt;
&lt;p&gt;Yes, currently PowerApps is limited to single Organization (tenant), nothing can be done to open it up/share across any other trusted tenants.&lt;/p&gt;
&lt;p&gt;PowerApps portals is the one you are looking for, which can be established to external domain users (B2C &amp;amp; B2B).&lt;/p&gt;
&lt;p&gt;PowerApps portals in private preview now, it will be available for Public preview from Jul '19 maybe. This was announced on Microsoft Business Applications Summit on June 10th 2019.&lt;/p&gt;
&lt;p&gt;&lt;a href="https://powerapps.microsoft.com/en-us/blog/introducing-powerapps-portals-powerful-low-code-websites-for-external-users/" rel="nofollow noreferrer"&gt;Introducing PowerApps Portals: powerful low-code websites for external users&lt;/a&gt;&lt;/p&gt;
</t>
  </si>
  <si>
    <t xml:space="preserve">&lt;p&gt;I have a PowerApp associated with a SharePoint list access through Edit Form in list from SharePoint Online. I have an image I would like to use as a button. When said button is clicked I want to set a value in the list to update the list value.&lt;/p&gt;
</t>
  </si>
  <si>
    <t xml:space="preserve">&lt;p&gt;Having trouble filtering a database by a series of columns. I'm not even sure how to accurately summarize what I'm looking for, which is why I haven't been able to find the right information most likely. So here's the setup and pseudo-code as I understand it:&lt;/p&gt;
&lt;p&gt;I have a dropdown list with a series of Counties listed:&lt;/p&gt;
&lt;p&gt;County A&lt;/p&gt;
&lt;p&gt;County B&lt;/p&gt;
&lt;p&gt;County C&lt;/p&gt;
&lt;p&gt;etc&lt;/p&gt;
&lt;p&gt;However, in the excel sheet I was given as a database, each County is broken up into a column, and any county that applies to the object in that row, is given an X mark. &lt;/p&gt;
&lt;p&gt;What I need, is for Database to filter by whether the column that matches the value of the Counties dropdown has an X or not, and then display those objects that do. &lt;/p&gt;
&lt;p&gt;But I'm not even sure how to word that into a question to ask the internet.&lt;/p&gt;
&lt;p&gt;Thanks for any tips related&lt;/p&gt;
</t>
  </si>
  <si>
    <t xml:space="preserve">&lt;p&gt;I have created a Zoho Form and linked it to a custom module in Zoho CRM.  I can manually invoke a send mail, pick up the form link and send it, and this is working: the form pre-fills with the relevant values, and can be used to update the record in the CRM.  Super.&lt;/p&gt;
&lt;p&gt;However, what I need to do is provide the same functionality from an HTML email I already generate using sendmail in a function at the point I create the record in the custom module.  The encoding of the URL is obtuse, so I can’t currently see how to build the parameters in the URL in my email such that the form will behave as it does when I do this from the on-line system. In particular, the last 32 characters of the 64 character crm_entity_id change between records, and this all looks rather hex like.  &lt;/p&gt;
&lt;p&gt;Zoho support tell me that “these params are generated in the back end, and while generating this param there are decoding and encoding process are involved”, but won’t go beyond that.  Has anyone else reverse-engineered this?&lt;/p&gt;
</t>
  </si>
  <si>
    <t xml:space="preserve">&lt;p&gt;I am setting up a large (2000+ records) "task tracking register" using a SharePoint List, and intend to use Powerapps as the UI.&lt;/p&gt;
&lt;p&gt;As you would imagine there numerous drop drown fields in the list which I would like to use as a filter within the Powerapp, but being that these are "Complex" fields, they are non-delegatable.  &lt;/p&gt;
&lt;p&gt;I'm lead to believe that I can avoid this by creating additional Columns in the SharePoint list that use a Flow that populates them with plain text based on the Drop-down selected.  &lt;/p&gt;
&lt;p&gt;This is a bit of pain, so I'd like to limit the quantity of these helper columns as much as possible.&lt;/p&gt;
&lt;p&gt;Can anyone advise if a Powerapps Gallery will initially filter the results being returned using the delegateable functions first, and then perform the non-delegatable search functions on those items, or whether the inclusion of a non-delgatable search criteria means that the whole query is performed in a non-delegatable manner?&lt;/p&gt;
&lt;p&gt;i.e. &lt;/p&gt;
&lt;p&gt;Filter 3000 records down to 800 using delegatable search, then perform the additional filtering of those 800 on the app for the non-delegatable search criteria.&lt;/p&gt;
&lt;p&gt;I understand that it may be possible to do this via loading the initial filtered results into a collection within the app and potentially filtering that list, but have read some conflicting information as to the efficacy of this method, so not such if this is the route I should take.&lt;/p&gt;
</t>
  </si>
  <si>
    <t xml:space="preserve">&lt;p&gt;We are able to use APIv2 of Zoho crm to access crm.zoho.com/in/cn. &lt;/p&gt;
&lt;p&gt;&lt;a href="https://www.zoho.com/crm/developer/docs/api/multi-dc.html" rel="nofollow noreferrer"&gt;https://www.zoho.com/crm/developer/docs/api/multi-dc.html&lt;/a&gt;&lt;/p&gt;
&lt;p&gt;Is it possible to login to crmplus accounts using this API? Is there a separate API for the same?&lt;/p&gt;
</t>
  </si>
  <si>
    <t xml:space="preserve">&lt;p&gt;I have a master table which is basically the default one that power-apps creates when you start with data. It’s linked to an Azure SQL table. &lt;/p&gt;
&lt;p&gt;I have also created something similar using a stored SQL procedure which can populate text boxes. This used flow to execute the stored query. This has been great as I can dynamically change the table name I’m querying using a local variable. However, building the views is time-consuming and it eats into my flow count. &lt;/p&gt;
&lt;p&gt;Has anyone found a way to use the inbuilt PowerApps table (edit &amp;amp; view) to view a variable table name? &lt;/p&gt;
&lt;p&gt;All tables are stored in the same database. &lt;/p&gt;
&lt;p&gt;All help is appreciated!&lt;/p&gt;
</t>
  </si>
  <si>
    <t xml:space="preserve">&lt;p&gt;I have problem with PowerApps function, that I cannot resolve myself.
Below you can find a code, that work (allthough I assume it isn't well optimized). As in topic, the if condition is executed inside switch, as one of it's arguments, instead of being executed AFTER switch. The end result should be: user presses the button, that applies filter on table, and after that if condition comes in to play, and does it's job.&lt;/p&gt;
&lt;p&gt;The main part is if condition, when user selects criteria in dropdown menu, the condition sorts table with name or rating. Inside that condition, there are functions to support search engine and sort ascending/descending button.
After that I wanted to add support for filter buttons, and the buttons itself work fine, but the if condition is executed only when the last button is pressed (so when e. g. I press It-related button, it sets category to "1" and navigates to next screen, but searching/sorting doesn't work).
I tried to separate conditions with more parenthesises, adding ";;"at the end of switch, but it didn't resolve problem (additionaly broke app).&lt;/p&gt;
&lt;pre&gt;&lt;code&gt;Switch(
    category;
    1;
    Filter(
        Table1_2;
        '4. Area of training' = "IT-related"
    );
    //here is a bunch of filters for categories from 2 to 4
    5; //no filter as it should display table without any filter
If( //the problematic if, that is executed only when category is "5"
        dropdown_sort.Selected.Value = "Name of the training"; //check what the value of dropdown is, and the execute positive or negative case
        SortByColumns(
            Search(
                Table1_2;
                search_engine.Text; //takes text input and searches inside column below
                "3. Name of the training"
            );
            "3. Name of the training"; //sorting on this column
            If( //to change ascendin/descending on button press
                sort;
                Ascending;
                Descending
            )
        );
        //here is second part of if, that is basically identical to above (it sorts different column), and executes case when selected value of dropdown is different that "Name..."
    )
)
&lt;/code&gt;&lt;/pre&gt;
&lt;p&gt;I would like if to execute regardless of the switch. Additionally, if there is a way to do it better, please write your suggestions. Thank you.&lt;/p&gt;
</t>
  </si>
  <si>
    <t xml:space="preserve">&lt;p&gt;This might not be the final answer but based on what I read I will try something like below.&lt;/p&gt;
&lt;pre&gt;&lt;code&gt;if( category=1;
    Filter(
        Table1_2;
        '4. Area of training' = "IT-related"
    );;If( //the problematic if, that is executed only when category is "5"
        dropdown_sort.Selected.Value = "Name of the training"; //check what the value of dropdown is, and the execute positive or negative case
        SortByColumns(
            Search(
                Table1_2;
                search_engine.Text; //takes text input and searches inside column below
                "3. Name of the training"
            );
            "3. Name of the training"; //sorting on this column
            If( //to change ascendin/descending on button press
                sort;
                Ascending;
                Descending
            )
        );
        //here is second part of if, that is basically identical to above (it sorts different column), and executes case when selected value of dropdown is different that "Name..."
    )
    category=2;
    Filter(
        Table1_2;
        '4. Area of training' = "IT-related"
    );;If( //the problematic if, that is executed only when category is "5"
        dropdown_sort.Selected.Value = "Name of the training"; //check what the value of dropdown is, and the execute positive or negative case
        SortByColumns(
            Search(
                Table1_2;
                search_engine.Text; //takes text input and searches inside column below
                "3. Name of the training"
            );
            "3. Name of the training"; //sorting on this column
            If( //to change ascendin/descending on button press
                sort;
                Ascending;
                Descending
            )
        );
        //here is second part of if, that is basically identical to above (it sorts different column), and executes case when selected value of dropdown is different that "Name..."
    )
    //here is a bunch of filters for categories from 2 to 4
    category=5;  
)
&lt;/code&gt;&lt;/pre&gt;
</t>
  </si>
  <si>
    <t xml:space="preserve">&lt;p&gt;In One screen, I have a gallery list with a button along each rows. Upon hitting the button it will display the details in a form. This form should be editable. Is it possible to do it? &lt;/p&gt;
&lt;p&gt;My source is a SQL table.&lt;/p&gt;
&lt;p&gt;Here's my code&lt;/p&gt;
&lt;p&gt;Form: &lt;/p&gt;
&lt;pre&gt;&lt;code&gt;  Item Property
  Gallery2.Selected
&lt;/code&gt;&lt;/pre&gt;
&lt;p&gt;Edit button: OnSelect&lt;/p&gt;
&lt;pre&gt;&lt;code&gt; EditForm(Form1);Navigate(Form1, ScreenTransition.None)
&lt;/code&gt;&lt;/pre&gt;
&lt;p&gt;Thanks for the usual help.&lt;/p&gt;
</t>
  </si>
  <si>
    <t xml:space="preserve">&lt;p&gt;I have registered the application and generate &lt;code&gt;clientId&lt;/code&gt;, &lt;code&gt;clientsceret&lt;/code&gt;, code from the application.&lt;/p&gt;
&lt;p&gt;I have configured and initialize it but unable to generate access token. &lt;/p&gt;
&lt;p&gt;This is my code:&lt;/p&gt;
&lt;pre&gt;&lt;code&gt;ZohoOAuthClient client = ZohoOAuthClient.GetInstance();
string grantToken = "1000.fd54383a88527ee4a9dfd589f4bba161.95bdbba47dffb77a5d830b2561b2d7a3";
                ZohoOAuthTokens tokens = client.GenerateAccessToken(grantToken);
                string accessToken = tokens.AccessToken;
                string refreshToken = tokens.RefreshToken;
&lt;/code&gt;&lt;/pre&gt;
&lt;p&gt;I'm getting error of &lt;strong&gt;"error": "invalid_code"&lt;/strong&gt;&lt;/p&gt;
</t>
  </si>
  <si>
    <t xml:space="preserve">&lt;p&gt;I am brand new to both Apex and Salesforce and am trying to convert a Salesforce Page to a Lightning Component. I have provided the original code, and where I have gotten to below for reference. I believe I am missing something for getting the current Case's AccountID. I may be way off but I am here for help and to learn.
The component should list all child domain (urls) of the parent account in a table. Image shown below of what the completed work should be.
Right now the component does display and no problems or errors in the debugger, but now child domains are displaying. Not even the table label "Domain Name."
&lt;a href="https://i.stack.imgur.com/B6rJt.png" rel="nofollow noreferrer"&gt;Children Domains&lt;/a&gt;&lt;/p&gt;
&lt;pre&gt;&lt;code&gt;UPDATED CONTROLLER CLASS
public class CollectionCaseDomainsController {
    public List&amp;lt;Domain__c&amp;gt; domains {get;set;}
    @AuraEnabled
    public static void queryDomains(Domain__C domains, Id AccountId) {
        if (AccountId == null) { return; }
        //query all the children accounts (if any)
        Set&amp;lt;Id&amp;gt; allAccountIds = new Set&amp;lt;Id&amp;gt;{AccountId};
        Boolean done = false;
        Set&amp;lt;Id&amp;gt; currentLevel = new Set&amp;lt;Id&amp;gt;{AccountId};
        Integer count = 0;
        while(!done) {
            List&amp;lt;Account&amp;gt; children = [ SELECT Id FROM Account WHERE Parent.Id IN :currentLevel ];
            count++;
            currentLevel = new Set&amp;lt;Id&amp;gt;();
            for (Account child : children) {
                currentLevel.add(child.Id);
                allAccountIds.add(child.Id);
            }
            //added in a count, to prevent this getting stuck in an infinate loop
            if (currentLevel.size() == 0 || count &amp;gt; 9) {
                done = true;
            }
        }
        //query the assets
        List&amp;lt;Asset&amp;gt; assets = [ SELECT Domain__c FROM Asset WHERE AccountId IN :allAccountIds ];
        Set&amp;lt;Id&amp;gt; domainIds = new Set&amp;lt;Id&amp;gt;();
        for (Asset a : assets) {
            domainIds.add(a.Domain__c);
        }
        domains = [ SELECT Name FROM Domain__c WHERE Id IN :domainIds ];
    }
}
&lt;/code&gt;&lt;/pre&gt;
&lt;pre&gt;&lt;code&gt;LIGHTNING COMPONENT
&amp;lt;aura:component controller="CollectionCaseDomainsController" implements="flexipage:availableForRecordHome,force:hasRecordId" access="global" &amp;gt;
    &amp;lt;aura:attribute name="AccountId" type="Id" /&amp;gt;
    &amp;lt;aura:attribute name="Domains" type="Domain__c" /&amp;gt;
    &amp;lt;aura:attribute name="Columns" type="List" /&amp;gt;
    &amp;lt;aura:handler name="init" value="{!this}" action="{!c.doInit}"/&amp;gt;
    &amp;lt;force:recordData aura:id="childDomains"
                      recordId="{!v.AccountId}"
                      targetFields="{!v.Domains}"
                      layoutType="FULL"
                      /&amp;gt;
    &amp;lt;lightning:accordion activeSectionName="Domains"&amp;gt;
        &amp;lt;lightning:accordionSection name="Domains" label="Domains"&amp;gt;
            &amp;lt;lightning:datatable data="{ !v.Domains }" columns="{ !v.Columns }" keyField="Id" hideCheckboxColumn="true"/&amp;gt;
        &amp;lt;/lightning:accordionSection&amp;gt;
    &amp;lt;/lightning:accordion&amp;gt;
&amp;lt;/aura:component&amp;gt;
&lt;/code&gt;&lt;/pre&gt;
&lt;pre&gt;&lt;code&gt;LIGHTNING CONTROLLER
({
    doInit : function(component, event, helper) {
        component.set("v.Columns", [
            {label:"Domain Name", fieldName:"Domain__c", type:"url"}
        ]);
        var action = component.get("c.queryDomains");
        action.setParams({
            AccountId: component.get("v.AccountId")
        });
        action.setCallback(this, function(data) {
            component.set("v.Domains", data.getReturnValue());
        });
        $A.enqueueAction(action);
    }
})
&lt;/code&gt;&lt;/pre&gt;
&lt;pre&gt;&lt;code&gt;ORIGINAL PAGE
&amp;lt;apex:page standardController="Case" extensions="CollectionCaseDomainsController"&amp;gt; 
    &amp;lt;apex:slds /&amp;gt;
    &amp;lt;!-- Lightning --&amp;gt;
    &amp;lt;apex:outputPanel rendered="{! $User.UIThemeDisplayed == 'Theme4d' || $User.UIThemeDisplayed == 'Theme4t' }"&amp;gt;
        &amp;lt;div class="slds-scope"&amp;gt;
            &amp;lt;!-- Domains Found --&amp;gt;
            &amp;lt;apex:outputPanel rendered="{!NOT(ISNULL(domains)) &amp;amp;&amp;amp; domains.size &amp;gt; 0}"&amp;gt;
                &amp;lt;table role="grid" class="slds-table slds-table_fixed-layout slds-table_bordered slds-no-row-hover slds-scrollable_none"&amp;gt;
                    &amp;lt;thead&amp;gt;
                        &amp;lt;tr class="slds-line-height_reset"&amp;gt;
                            &amp;lt;th aria-label="Domain Name" aria-sort="none" class="slds-text-title_caps" scope="col"&amp;gt;Domain Name&amp;lt;/th&amp;gt;
                        &amp;lt;/tr&amp;gt;
                    &amp;lt;/thead&amp;gt;
                    &amp;lt;tbody&amp;gt;
                        &amp;lt;apex:repeat var="domain" value="{!domains}"&amp;gt;
                            &amp;lt;tr class="slds-hint-parent"&amp;gt;
                                &amp;lt;th scope="row"&amp;gt;
                                    &amp;lt;a href="{!'/one/one.app?#/sObject/'+ domain.Id + '/view'}" target="_blank"&amp;gt;{!domain.Name}&amp;lt;/a&amp;gt;
                                &amp;lt;/th&amp;gt;
                            &amp;lt;/tr&amp;gt;
                        &amp;lt;/apex:repeat&amp;gt;
                    &amp;lt;/tbody&amp;gt;
                &amp;lt;/table&amp;gt;
            &amp;lt;/apex:outputPanel&amp;gt;
            &amp;lt;!-- No Domains --&amp;gt;
            &amp;lt;apex:outputLabel value="No records to display" rendered="{!(ISNULL(domains)) || domains.size == 0}" styleClass="noRowsHeader"&amp;gt;&amp;lt;/apex:outputLabel&amp;gt;
        &amp;lt;/div&amp;gt;
    &amp;lt;/apex:outputPanel&amp;gt;
    &amp;lt;!-- Classic --&amp;gt;
    &amp;lt;apex:form rendered="{! $User.UIThemeDisplayed == 'Theme3' }"&amp;gt;                 
        &amp;lt;apex:pageblock id="DomainList"&amp;gt; 
            &amp;lt;br/&amp;gt; 
            &amp;lt;!-- Domains Found --&amp;gt;
            &amp;lt;apex:pageBlockTable value="{!domains}" var="domain" rendered="{!NOT(ISNULL(domains)) &amp;amp;&amp;amp; domains.size &amp;gt; 0}"&amp;gt;                
                &amp;lt;apex:column headerValue="Domain Name"&amp;gt;
                    &amp;lt;apex:outputLink value="/{!domain.id}" target="_blank"&amp;gt;{!domain.Name}&amp;lt;/apex:outputLink&amp;gt;
                &amp;lt;/apex:column&amp;gt;
            &amp;lt;/apex:pageBlockTable&amp;gt;
            &amp;lt;!-- No Domains --&amp;gt;
            &amp;lt;apex:outputLabel value="No records to display" rendered="{!(ISNULL(domains)) || domains.size == 0}" styleClass="noRowsHeader"&amp;gt;&amp;lt;/apex:outputLabel&amp;gt; 
        &amp;lt;/apex:pageblock&amp;gt; 
    &amp;lt;/apex:form&amp;gt;
&amp;lt;/apex:page&amp;gt;
&lt;/code&gt;&lt;/pre&gt;
&lt;pre&gt;&lt;code&gt;ORIGINAL CONTROLLER
public class CollectionCaseDomainsController {
    public List&amp;lt;Domain__c&amp;gt; domains {get;set;}
    public Case current_case;
    public CollectionCaseDomainsController(ApexPages.StandardController stdController) {
        if (!Test.isRunningTest()) stdController.addFields(new List&amp;lt;String&amp;gt;{'AccountId'});
        this.current_case = (Case) stdController.getRecord();
        queryDomains();
    }
    public void queryDomains() {
        if (this.current_case.AccountId == null) { return; }
        //query all the children accounts (if any)
        Set&amp;lt;Id&amp;gt; allAccountIds = new Set&amp;lt;Id&amp;gt;{this.current_case.AccountId};
        Boolean done = false;
        Set&amp;lt;Id&amp;gt; currentLevel = new Set&amp;lt;Id&amp;gt;{this.current_case.AccountId};
        Integer count = 0;
        while(!done) {
            List&amp;lt;Account&amp;gt; children = [ SELECT Id FROM Account WHERE Parent.Id IN :currentLevel ];
            count++;
            currentLevel = new Set&amp;lt;Id&amp;gt;();
            for (Account child : children) {
                currentLevel.add(child.Id);
                allAccountIds.add(child.Id);
            }
            //added in a count, to prevent this getting stuck in an infinate loop
            if (currentLevel.size() == 0 || count &amp;gt; 9) {
                done = true;
            }
        }
        //query the assets
        List&amp;lt;Asset&amp;gt; assets = [ SELECT Domain__c FROM Asset WHERE AccountId IN :allAccountIds ];
        Set&amp;lt;Id&amp;gt; domainIds = new Set&amp;lt;Id&amp;gt;();
        for (Asset a : assets) {
            domainIds.add(a.Domain__c);
        }
        this.domains = [ SELECT Name FROM Domain__c WHERE Id IN :domainIds ];
    }
}
&lt;/code&gt;&lt;/pre&gt;
</t>
  </si>
  <si>
    <t xml:space="preserve">&lt;p&gt;Here's what I'm trying to do:&lt;/p&gt;
&lt;ul&gt;
&lt;li&gt;&lt;strong&gt;Remotely execute a Google Apps Script function from an online automation service (Zoho Flow, similar in purpose to Zapier.)*&lt;/strong&gt;&lt;/li&gt;
&lt;li&gt;&lt;strong&gt;&lt;em&gt;This function that I am remotely executing is to add gmail labels to everyone in an organization.&lt;/em&gt;&lt;/strong&gt;&lt;/li&gt;
&lt;/ul&gt;
&lt;p&gt;In order to do this, I've done the following: &lt;/p&gt;
&lt;ol&gt;
&lt;li&gt;&lt;p&gt;Created a service account with domain-wide-delegation in the same GCP project associated with the function that adds gmail labels.&lt;/p&gt;&lt;/li&gt;
&lt;li&gt;&lt;p&gt;Used the &lt;a href="https://github.com/gsuitedevs/apps-script-oauth2" rel="nofollow noreferrer"&gt;OAuth2 library&lt;/a&gt; for Google Apps Script to perpetuate JWT authorization for that service account in my script.&lt;/p&gt;&lt;/li&gt;
&lt;li&gt;&lt;p&gt;Verified that function works with service account functionality for all users in a Google oragnization within google apps script&lt;/p&gt;&lt;/li&gt;
&lt;li&gt;&lt;p&gt;Deployed this script as an API Executable to enable remote execution&lt;/p&gt;&lt;/li&gt;
&lt;li&gt;&lt;p&gt;Created authtokens authorized with the mail scope for the Apps Script API (&lt;a href="https://mail.google.com/" rel="nofollow noreferrer"&gt;https://mail.google.com/&lt;/a&gt;), as well as an additional scope required by the &lt;a href="https://github.com/gsuitedevs/apps-script-oauth2" rel="nofollow noreferrer"&gt;OAuth2 library&lt;/a&gt; in my script. This is done in the &lt;a href="https://developers.google.com/oauthplayground/" rel="nofollow noreferrer"&gt;google developer playground&lt;/a&gt;, using OAuth2.0 Client ID credentials that are authorized as a part of that same GCP project.&lt;/p&gt;&lt;/li&gt;
&lt;li&gt;&lt;p&gt;Successfully executed the function remotely using the Google Apps Script API with &lt;a href="https://www.getpostman.com/" rel="nofollow noreferrer"&gt;Postman&lt;/a&gt;&lt;/p&gt;&lt;/li&gt;
&lt;/ol&gt;
&lt;p&gt;Now, in order to actually make this functionality official, I now have to replace postman and the google developer console with the actual client, which is this Zoho Flow platform for api connections and process automation.&lt;/p&gt;
&lt;p&gt;In order to make the switch I've done the following;&lt;/p&gt;
&lt;ol&gt;
&lt;li&gt;Added the authorized redirect URl for the client (Zoho Flow) under the same credentials that are used for the Google Developer Playground:&lt;/li&gt;
&lt;/ol&gt;
&lt;p&gt;&lt;a href="https://i.stack.imgur.com/M3ZAC.png" rel="nofollow noreferrer"&gt;&lt;img src="https://i.stack.imgur.com/M3ZAC.png" alt="enter image description here"&gt;&lt;/a&gt;&lt;/p&gt;
&lt;ol start="2"&gt;
&lt;li&gt;&lt;p&gt;Utilized the credentials found from the JSON representation of those credentials** for creating what's called a "connection" in this software, which is basically an easy-to-use OAuth2.0 connection with a nice front-end that can be used for accessing API data (this is the part where I create this connection):
&lt;a href="https://i.stack.imgur.com/25AX4.png" rel="nofollow noreferrer"&gt;&lt;img src="https://i.stack.imgur.com/25AX4.png" alt="enter image description here"&gt;&lt;/a&gt;&lt;/p&gt;&lt;/li&gt;
&lt;li&gt;&lt;p&gt;Entered the same scope for this connection that were authorized in the &lt;a href="https://developers.google.com/oauthplayground/" rel="nofollow noreferrer"&gt;google developer playground&lt;/a&gt;, as well as that additional scope (&lt;a href="https://www.googleapis.com/auth/script.external_request" rel="nofollow noreferrer"&gt;https://www.googleapis.com/auth/script.external_request&lt;/a&gt;) that the OAuth2.0 library for Google Apps Script uses:
&lt;a href="https://i.stack.imgur.com/rr9ij.png" rel="nofollow noreferrer"&gt;&lt;img src="https://i.stack.imgur.com/rr9ij.png" alt="enter image description here"&gt;&lt;/a&gt;&lt;/p&gt;&lt;/li&gt;
&lt;/ol&gt;
&lt;p&gt;Lo and behold, I get the error below when attempting to gain access to Google API data from a web application, and the scopes that are said to cause the error is every scope &lt;strong&gt;&lt;em&gt;except&lt;/em&gt;&lt;/strong&gt; for the mail scope: &lt;a href="https://mail.google.com/" rel="nofollow noreferrer"&gt;https://mail.google.com/&lt;/a&gt;. I've done additional testing to verify that every other scope that is a part of the google apps script API also create this error, not just this external scope for the OAuth2 library. &lt;/p&gt;
&lt;p&gt;&lt;a href="https://i.stack.imgur.com/y4MW5.png" rel="nofollow noreferrer"&gt;&lt;img src="https://i.stack.imgur.com/y4MW5.png" alt="enter image description here"&gt;&lt;/a&gt;&lt;/p&gt;
&lt;p&gt;Support said it was likely an issue with my credential permissions; is my line of logic for this correct? If it is, then it is an issue with their software that I will have them pursue further.&lt;/p&gt;
</t>
  </si>
  <si>
    <t xml:space="preserve">&lt;p&gt;I'm using &lt;a href="https://www.zoho.com/people/help/api/fetch-record-api.html#6" rel="nofollow noreferrer"&gt;"Search Records based on record values"&lt;/a&gt; People Zoho API in order to get the list of the users that have a birthday today.&lt;/p&gt;
&lt;blockquote&gt;
  &lt;p&gt;Purpose: This API is used to fetch all the records of a form based on
  the record values.&lt;/p&gt;
  &lt;p&gt;Request URL:
  &lt;a href="https://people.zoho.com/people/api/forms/" rel="nofollow noreferrer"&gt;https://people.zoho.com/people/api/forms/&lt;/a&gt;/getRecords?authtoken=****&amp;amp;searchParams={searchField:
  '', searchOperator: '', searchText :
  ''}&lt;/p&gt;
&lt;/blockquote&gt;
&lt;p&gt;but none of the operators allow me to search for &lt;code&gt;Date_of_birth&lt;/code&gt; in "like" mode. For example:&lt;/p&gt;
&lt;pre&gt;&lt;code&gt;https://people.zoho.com/people/api/forms/employee/getRecords?authtoken=c****&amp;amp;searchParams={searchField : 'Date_of_birth', searchOperator : 'Starts_With', searchText : '2-Jul'}
&lt;/code&gt;&lt;/pre&gt;
&lt;p&gt;will return error:&lt;/p&gt;
&lt;blockquote&gt;
  &lt;p&gt;The search operator 'Starts_With' is invalid for the search field 'Date_of_birth'&lt;/p&gt;
&lt;/blockquote&gt;
&lt;p&gt;and other date operators, not allowing to get a list of records that have a birthday in the specified date.&lt;/p&gt;
&lt;ol&gt;
&lt;li&gt;Am I using the correct method and what are the proper parameters?&lt;/li&gt;
&lt;li&gt;If I'm using the incorrect method, what is the correct one and proper parameters to be used?&lt;/li&gt;
&lt;/ol&gt;
</t>
  </si>
  <si>
    <t xml:space="preserve">&lt;p&gt;The received official answer from Zoho support states such functionality doesn't exist in Zoho API. Hence it's not possible to get a list of employees who have a birthday today:&lt;/p&gt;
&lt;blockquote&gt;
  &lt;p&gt;Hello Oleg, 
  Greetings from Zoho people! 
  With regards to your query, 
  As of now, we do not have any options to fetch the employee whose birthday falls today through API. If he wants to be notified when the employee has their birthday, we can set the mail alert via workflows.
  Have a great day !&lt;/p&gt;
&lt;/blockquote&gt;
</t>
  </si>
  <si>
    <t xml:space="preserve">&lt;p&gt;I have the following code:&lt;/p&gt;
&lt;pre&gt;&lt;code&gt;&amp;lt;ui:outputDateTime value="{!v.selectedOrder.order.CreateTime__c}" format="dd-MMM-yyyy hh:mm a"/&amp;gt;
&lt;/code&gt;&lt;/pre&gt;
&lt;p&gt;Which outputs: 05-Jun-2019 05:20 PM&lt;/p&gt;
&lt;p&gt;However, when I try to use the newer version:&lt;/p&gt;
&lt;pre&gt;&lt;code&gt;&amp;lt;lightning:formattedDateTime value="{!v.selectedOrder.order.CreateTime__c}" year="numeric" month="numeric" day="numeric" hour="2-digit" minute="2-digit" timeZoneName="short" hour12="true"/&amp;gt;
&lt;/code&gt;&lt;/pre&gt;
&lt;p&gt;I get the error:&lt;/p&gt;
&lt;blockquote&gt;
  &lt;p&gt; The value attribute accepts either a Date object, a timestamp, or a valid ISO8601 formatted string with timezone offset. but we are getting the string value "2019-06-06T00:20:25.000+0000" instead.&lt;/p&gt;
&lt;/blockquote&gt;
&lt;p&gt;I understand the error message (and incidentally, it means the Javascript Date object versus the Apex Date object), but I don't understand why it is necessary to do a conversion of an SObject date field to use this widget.&lt;/p&gt;
&lt;p&gt;It would be great if someone could share an inline way to do this without having to resort to building a custom Javascript method to convert Apex dates.  Thanks!&lt;/p&gt;
</t>
  </si>
  <si>
    <t xml:space="preserve">&lt;p&gt;I'm building a custom CRM in Google AppMaker and am learning to use calculated models with server side script for the sake of generating reports. In this case, I'm trying to calculate the total monthly revenue from a customer based on the product of a calculation done on each of their multiple contract records. I'd like to keep this all calculated server-side, but am open to recommendations otherwise.                 &lt;/p&gt;
&lt;p&gt;Each contract includes three key elements: base cost, number of additional licenses, and the fee for each additional license. The total monthly revenue from each contract is:&lt;/p&gt;
&lt;p&gt;base cost + (additional licenses * license fee)&lt;/p&gt;
&lt;p&gt;I've figured out how to generate a calculated model that compiles this for every contract that matches a particular customer by key ("client").&lt;/p&gt;
&lt;p&gt;I'm in a little over my head already, though, and can't work out how to generate a sum of the total for every contract. &lt;/p&gt;
&lt;p&gt;The contract data is housed in "contract." The calculated model is "revenues."&lt;/p&gt;
&lt;p&gt;The base, fee, and licenses data exists in "contract." "revenues" pulls this data in and calculates a total for the record. I've managed all of this successfully.&lt;/p&gt;
&lt;p&gt;What I'm after is the sum total (480) as illustrated here:&lt;/p&gt;
&lt;pre&gt;&lt;code&gt;key | base | fee | licenses | total
   1    100   20       3       160
   2    100   20       5       200
   3    100   20       1       120
SUM TOTAL                      480
&lt;/code&gt;&lt;/pre&gt;
&lt;p&gt;Generates a report of the base, fee, licenses, and total for every contract record associated with a specific client.&lt;/p&gt;
&lt;pre&gt;&lt;code&gt;function getSiteMRR(query) {
    var mrrs = [];
  var allcontracts = app.models.contract.newQuery();
  allcontracts.filters.client.id._equals = query.parameters.current;
  var allcontracts2 = allcontracts.run();
  var records = {};
  for (var i = 0; i &amp;lt; allcontracts2.length; i++) {
    var record = allcontracts2[i];
    var mrr = app.models.revenues.newRecord();
    mrr.base = record.base_cost;
    mrr.fee = record.license_fee;
    mrr.licenses = record.additional_licenses;
    mrr.total = record.base_cost + (record.license_fee * record.additional_licenses);
    mrrs.push(mrr);
  }
  return mrrs;
}
&lt;/code&gt;&lt;/pre&gt;
</t>
  </si>
  <si>
    <t xml:space="preserve">&lt;p&gt;I am trying to import an Apps Script library into App Maker as outlined in this page: &lt;a href="https://developers.google.com/appmaker/scripting/libraries" rel="nofollow noreferrer"&gt;https://developers.google.com/appmaker/scripting/libraries&lt;/a&gt;&lt;/p&gt;
&lt;p&gt;However, after successfully importing it into the App Maker app, upon trying to use the library within a server script (typing in "TestLibrary.", normally when autocomplete would appear), it immediately errors with the message "Unexpected client error" in a snackbar and a popup "Refresh Required"&lt;img src="https://i.imgur.com/4qtpAdK.png" alt=""&gt;.&lt;/p&gt;
&lt;p&gt;It is important to note that the library contains many functions, each with a JSDoc comment. However, in testing, I've found that many of them don't cause App Maker to crash in isolation. My conclusion is that it's not JSDoc comments in general that is causing App Maker to crash, but rather something to do specifically with certain ones.&lt;/p&gt;
&lt;p&gt;I attach an example of an offending function which does cause App Maker to exhibit the described behavior.&lt;/p&gt;
&lt;p&gt;If the JSDoc comments are removed, then the function works without issue.
If the JSDoc comments are left in the library source code, then the error appears as described.&lt;/p&gt;
&lt;p&gt;Perplexingly enough, if the library is imported into another Apps Script project, rather than an App Maker app, then it will function fully as expected, JSDoc comments intact or not.&lt;/p&gt;
&lt;p&gt;The above research leads me to believe that the issue lies within the JSDoc parsing engine used by App Maker to provide autocomplete suggestions, since:&lt;/p&gt;
&lt;ol&gt;
&lt;li&gt;The issue doesn't appear on the initial library adding to the app.&lt;/li&gt;
&lt;li&gt;The issue only appears immediately when autocomplete would normally appear.&lt;/li&gt;
&lt;li&gt;The issue only appears if (certain) JSDoc comments are present.&lt;/li&gt;
&lt;li&gt;The issue never appears trying to use the library in another Apps Script project.&lt;/li&gt;
&lt;/ol&gt;
&lt;p&gt;I've published a sample library with the ID &lt;code&gt;1KSnHTkbPnzxFuiX-QuDqVYGoLjCLXNaNwePmPZFDE63lVPN3GvKHDr_j&lt;/code&gt;.
- Version 1 has the JSDoc intact, exhibiting the issue.
- Version 2 is the exact same function but without the JSDoc. No issue.&lt;/p&gt;
&lt;pre&gt;&lt;code&gt;/**
 * Remove the first element of an array with a given value.
 *
 * Last updated: 2019-06-29
 *
 * Example 1. Input { [1,2,3,4,3,2,1] , 3   } returns { [1,2,4,3,2,1]   }.
 * Example 2. Input { [1,2,3,4,3,2,1] , 5   } returns { [1,2,3,4,3,2,1] }.
 * Example 3. Input { [1,2,3,4,3,2,1] , "3" } returns { [1,2,3,4,3,2,1] }.
 *
 * @author  My Name &amp;lt;my@email.address&amp;gt;
 * @param   {Object[]}         arr  - Array of strings or numbers (can be mixed).
 * @param   {(String|Number)}  val  - Value to remove from the array.
 * @return  {Object[]}              - Array with the selected value removed, if any.
 *
 */
function Arrays_removeElementOfValue(arr, val) {
  var index = arr.indexOf(val);
  if (index &amp;gt; -1) {
    arr.splice(index, 1); // splice removes n element(s) in-place from an array; in this case, 1
  }
  return arr;
}
&lt;/code&gt;&lt;/pre&gt;
&lt;p&gt;I would expect that the library is able to be used within App Maker without having to strip the JSDoc comments out.&lt;/p&gt;
&lt;p&gt;The error I receive is not helpful, other than &lt;/p&gt;
&lt;blockquote&gt;
  &lt;p&gt;"Generic client error" and "Refresh Required".&lt;/p&gt;
&lt;/blockquote&gt;
</t>
  </si>
  <si>
    <t xml:space="preserve">&lt;p&gt;I'm building an application to add employee activities to our ERP, and then assign attendees to those activities.&lt;/p&gt;
&lt;p&gt;First I have to make a call to our ERP to add an activity, which then returns the Activity ID from ERP. Then using that, I'm supposed to add all of the attendees to the activity.&lt;/p&gt;
&lt;p&gt;Theres multiple activities that can have multiple attendees.&lt;/p&gt;
&lt;p&gt;During the process, I'm saving all of the Activities to a table in my database, and Attendees to another table (and they're connected by activity_id field in Attendees table.&lt;/p&gt;
&lt;p&gt;Then I make a call to get AllActivities into a collection to loop through.&lt;/p&gt;
&lt;p&gt;This is what I currently have:&lt;/p&gt;
&lt;pre&gt;&lt;code&gt;    ForAll(
    AllActivities;
    Collect(
        AddedActivity;
        'MyApi'.AddActivitiesToBusinessPartner(
            {
        }
        )
    );;
    ForAll(
        Filter(
            '[dbo].[attendees]';
            activity_id = AllActivities[@id]
        );
        'MyApi'.AddAttendantsToAnExistingActivity(
            {
            }
        )
    )
)
&lt;/code&gt;&lt;/pre&gt;
&lt;p&gt;So basically: 
1. add activity
2. get ID from the ERP
3. loop trough database and see if there's attendees
4. add attendees to ERP&lt;/p&gt;
&lt;p&gt;The second ForAll is not executing at all.&lt;/p&gt;
</t>
  </si>
  <si>
    <t xml:space="preserve">&lt;p&gt;So this works but it takes 15 seconds for a spreadsheet with 60 items.&lt;/p&gt;
&lt;pre&gt;&lt;code&gt;function addToModel(name,birth,age){
  var newRecord = app.models.ImportData.newRecord();
  newRecord['PRESIDENT'] = name; 
  newRecord['BIRTH_PLACE'] = birth; 
  newRecord['AGE_ELECTED'] = age; 
  app.saveRecords([newRecord]);
}
function getSpreadsheet(){
var sh = SpreadsheetApp.openById("zzz");
var ss = sh.getSheetByName("Sheet1");
var data = ss.getDataRange().getValues();
 THIS WAS WAY ONE, TAKES 15 SECONDS  
for (var i=1; i&amp;lt;data.length;i++)
    {
     addToModel(data[i][1],data[i][2],data[i][3].toString());
    }//for loop
}
&lt;/code&gt;&lt;/pre&gt;
&lt;p&gt;but I noticed that the command is saveRecordS not saveRecord and with anything in google apps script, the fewer calls the better, so I tried this but it doesn't work&lt;/p&gt;
&lt;pre&gt;&lt;code&gt;//SAME SPREADSHEET INFO
var result = [];
for (var i=0; i&amp;lt;data.length;i++)
    {
    var newRecord = app.models.ImportData.newRecord();
    newRecord['PRESIDENT'] = data[i][1]; 
    newRecord['BIRTH_PLACE'] = data[i][2]; 
    newRecord['AGE_ELECTED'] = data[i][3].toString(); 
    result.push(newRecord);
    }//for loop  
app.saveRecords([result]);
&lt;/code&gt;&lt;/pre&gt;
&lt;p&gt;Expected result: new records in my table, much faster than the first version. Actual result: "Cannot read property "key" from undefined" which is triggered from the last line (saveRecords). I tried both app.saveRecords(result) and ([result]), same problem both times. &lt;/p&gt;
&lt;p&gt;Note: this example is from an appmaker university tutorial that no longer works because of the changes for appmaker v2.&lt;/p&gt;
</t>
  </si>
  <si>
    <t xml:space="preserve">&lt;p&gt;I need to create a link (icon) in app maker that will jump to a specific part of the same page. The widget I am trying to link to is a simple horizontal panel with a label in it. Basically just creating a shortcut for a user to jump to a section lower down the page. I can figure out how to jump to a specific page in my app but not a specific position or widget on the same page?&lt;/p&gt;
</t>
  </si>
  <si>
    <t xml:space="preserve">&lt;p&gt;I am trying to get an access token from the ZOHO api per their documentation.  I am using the RestSharp package. I already have a grant token and ZOHO requires the parameters to be passed in the body for client_id, client_secret, and grant_type.  However my sample code returns no response.  Any idea what I am missing in my code?&lt;/p&gt;
&lt;pre&gt;&lt;code&gt;    TokenUrl = "https://accounts.zoho.com/oauth/v2/token"
    Try
        client = New RestClient(TokenUrl)
        request = New RestRequest(TokenUrl, Method.POST)
        request.AddHeader("content-type", "application/json")
        request.AddHeader("authorization", "Bearer " &amp;amp; Grant_Token)
        request.AddHeader("accept", "application/json")
        request.AddParameter("grant_type", "authorization_code", ParameterType.GetOrPost)
        request.AddParameter("client_id", Client_ID, ParameterType.GetOrPost)
        request.AddParameter("client_secret", Client_Secret, ParameterType.GetOrPost)
        request.AddParameter("code", Grant_Token, ParameterType.GetOrPost)
        response = client.Execute(request)
&lt;/code&gt;&lt;/pre&gt;
&lt;p&gt;Nothing is returned in the response and the status code is zero.&lt;/p&gt;
</t>
  </si>
  <si>
    <t xml:space="preserve">&lt;p&gt;When I export a JSON view from ZohoDB, it returns me something like this - &lt;/p&gt;
&lt;pre&gt;&lt;code&gt;"Image":"/sharedBy/appLinkName/viewLinkName/fieldName/image/1561141006827_106rj.png"
&lt;/code&gt;&lt;/pre&gt;
&lt;p&gt;Not sure how to get the full URL. What should I do here?&lt;/p&gt;
&lt;p&gt;Please help!&lt;/p&gt;
</t>
  </si>
  <si>
    <t xml:space="preserve">&lt;p&gt;I have a Lightning Accordion containing a Data-table which is not receiving the object data to populate the table. The component grabs the Case Object storing it as the recordData and sends to my controller class. 
It should display a datatable of all child Domain's of the Parent Account as seen below in an example.
&lt;a href="https://i.stack.imgur.com/aIFKQ.png" rel="nofollow noreferrer"&gt;enter image description here&lt;/a&gt;&lt;/p&gt;
&lt;pre&gt;&lt;code&gt;CONTROLLER CLASS:
public class CollectionCaseDomainsController {
    @AuraEnabled
    public static List&amp;lt;Domain__c&amp;gt; queryDomains(Case CurrentCase) {        
        // if (CurrentCase.AccountId == null) { return;}
        //query all the children accounts (if any)
        Set&amp;lt;Id&amp;gt; allAccountIds = new Set&amp;lt;Id&amp;gt;{CurrentCase.AccountId};
        Boolean done = false;
        Set&amp;lt;Id&amp;gt; currentLevel = new Set&amp;lt;Id&amp;gt;{CurrentCase.AccountId};
        Integer count = 0;
        while(!done) {
            List&amp;lt;Account&amp;gt; children = [ SELECT Id FROM Account WHERE Parent.Id IN :currentLevel ];
            count++;
            currentLevel = new Set&amp;lt;Id&amp;gt;();
            for (Account child : children) {
                currentLevel.add(child.Id);
                allAccountIds.add(child.Id);
            }
            //added in a count, to prevent this getting stuck in an infinate loop
            if (currentLevel.size() == 0 || count &amp;gt; 9) {
                done = true;
            }
        }
        //query the assets
        List&amp;lt;Asset&amp;gt; assets = [ SELECT Domain__c FROM Asset WHERE AccountId IN :allAccountIds ];
        Set&amp;lt;Id&amp;gt; domainIds = new Set&amp;lt;Id&amp;gt;();
        for (Asset a : assets) {
            domainIds.add(a.Domain__c);
        }
        return [ SELECT Name FROM Domain__c WHERE Id IN :domainIds ];
    }
}
&lt;/code&gt;&lt;/pre&gt;
&lt;pre&gt;&lt;code&gt;LIGHTNING COMPONENT:
&amp;lt;aura:component controller="CollectionCaseDomainsController" implements="flexipage:availableForRecordHome,force:hasRecordId" access="global" &amp;gt;
    &amp;lt;aura:attribute name="recordId" type="Id" /&amp;gt;
    &amp;lt;aura:attribute name="CurrentCase" type="Case" /&amp;gt;
    &amp;lt;aura:attribute name="Domains" type="List" /&amp;gt;
    &amp;lt;aura:attribute name="Columns" type="List" /&amp;gt;
    &amp;lt;aura:handler name="init" value="{!this}" action="{!c.doInit}"/&amp;gt;
    &amp;lt;force:recordData aura:id="caseRecord"
                      recordId="{!v.recordId}"
                      targetFields="{!v.CurrentCase}"
                      layoutType="FULL"
                      /&amp;gt;
    &amp;lt;lightning:accordion activeSectionName="Domains"&amp;gt;
        &amp;lt;lightning:accordionSection name="Domains" label="Domains"&amp;gt;
            &amp;lt;lightning:datatable data="{ !v.Domains }" columns="{ !v.Columns }" keyField="Id" hideCheckboxColumn="true"/&amp;gt;
        &amp;lt;/lightning:accordionSection&amp;gt;
    &amp;lt;/lightning:accordion&amp;gt;
&amp;lt;/aura:component&amp;gt;
&lt;/code&gt;&lt;/pre&gt;
&lt;pre&gt;&lt;code&gt;COMPONENT CONTROLLER:
({
    doInit : function(component, event, helper) {
        component.set("v.Columns", [
            {label:"Domain Name", fieldName:"Name", type:"text"}
        ]);
        var action = component.get("c.queryDomains");
        action.setParams({
            CurrentCase: component.get("v.CurrentCase")
        });
        action.setCallback(this, function(data) {
            var state = data.getState();
            if (state === "SUCCESS") {
                component.set("v.Domains", data.getReturnValue());
            } else {
                console.log("Failed with state: " + state);
            }
        });
        // Send action off to be executed
        $A.enqueueAction(action);
    }
})
&lt;/code&gt;&lt;/pre&gt;
</t>
  </si>
  <si>
    <t xml:space="preserve">&lt;p&gt;I am very new to GCP and G-Suite. I wanted to understand one basic thing:
If I create an application (to be used within a domain) using App Maker, do I also need access to GCP? &lt;/p&gt;
&lt;p&gt;I have done lots of googling [&lt;a href="https://support.google.com/a/answer/9142070?hl=en]" rel="nofollow noreferrer"&gt;https://support.google.com/a/answer/9142070?hl=en]&lt;/a&gt; but couldn't find answer to this.While watching to one video on AppMaker I realised that- I can create application which could interact with G-Suite apps but we &lt;strong&gt;can not&lt;/strong&gt; preview/publish this application without having account/access to GCP as "previewing" an app actually deploys the app on App Engine which is part of GCP. Also "publish" would definitely be doing the same.&lt;/p&gt;
&lt;p&gt;Can any one help me in understanding this? I want to start my page development in App Maker and want to spend money on GCP later, this is doable only when preview is not dependent on GCP?&lt;/p&gt;
&lt;p&gt;Any quick reference would be appreciated.&lt;/p&gt;
&lt;p&gt;Regards.&lt;/p&gt;
</t>
  </si>
  <si>
    <t xml:space="preserve">&lt;p&gt;App Maker is dependant on GCP products: Google Cloud SQL and Google App Engine; Although, the latter one is not being charged. This information is located in the &lt;a href="https://developers.google.com/appmaker/models/cloudsql" rel="nofollow noreferrer"&gt;official documentation&lt;/a&gt;.&lt;/p&gt;
&lt;blockquote&gt;
  &lt;p&gt;App Maker apps usually store data in Cloud SQL, a Google Cloud Platform (GCP) service that delivers fully managed SQL databases in the cloud.&lt;/p&gt;
&lt;/blockquote&gt;
&lt;p&gt;&lt;a href="https://i.stack.imgur.com/SO5Z5.png" rel="nofollow noreferrer"&gt;&lt;img src="https://i.stack.imgur.com/SO5Z5.png" alt="enter image description here"&gt;&lt;/a&gt;&lt;/p&gt;
</t>
  </si>
  <si>
    <t xml:space="preserve">&lt;p&gt;I want to put two regex into same pattern attribute .First regex is for user should not enter same ten digit number in telephone  number and second regex is for User shouldn't enter 0,1 on 1st and 4th position of 10 digit phone number.
I have tried but its not working&lt;/p&gt;
&lt;pre&gt;&lt;code&gt;&amp;lt;lightning:input type="text" aura:id="textInputin" messageWhenPatternMismatch="enter a valid format" 
pattern="(^(\d)\1{9}$)|(^[2-9]\d{2}[2-9]\d{2}\d{4}$)"  minlength="10"  maxlength="10" label="Pattern"  /&amp;gt;.
&lt;/code&gt;&lt;/pre&gt;
</t>
  </si>
  <si>
    <t xml:space="preserve">&lt;p&gt;I am using  inside my component. I have already passed the values to the attributes "body" and "tag" and now I want to pass a class to be utilized in the relevant html tag. I am wondering how to do it through HtmlAttributes.&lt;/p&gt;
&lt;pre&gt;&lt;code&gt;&amp;lt;aura:component &amp;gt;
&amp;lt;!-- private attributes --&amp;gt;
&amp;lt;aura:attribute name="bodyText" type="String" default=""/&amp;gt;
&amp;lt;aura:attribute name="tagName" type="String" default=""/&amp;gt;
&amp;lt;aura:html tag="{!v.tagName}"&amp;gt;{!v.bodyText}&amp;lt;/aura:html&amp;gt;
&amp;lt;/aura:component&amp;gt;
&lt;/code&gt;&lt;/pre&gt;
&lt;p&gt;I want to pass the following.&lt;/p&gt;
&lt;pre&gt;&lt;code&gt;  HTMLAttributes: {
        'class': 'slds-text-heading--medium'
  }
&lt;/code&gt;&lt;/pre&gt;
&lt;p&gt;I tried doing this the same way I have done with the other two attribute values. But it didn't work&lt;/p&gt;
&lt;p&gt;Can someone help me with this ?&lt;/p&gt;
</t>
  </si>
  <si>
    <t xml:space="preserve">&lt;p&gt;i have a requirement where i have a contacts table and table has also a row of checkboxes i want to select only one checkbox at a time&lt;/p&gt;
&lt;p&gt;I have tried some by myself but it is not working&lt;/p&gt;
&lt;p&gt;controller&lt;/p&gt;
&lt;pre&gt;&lt;code&gt;     selectone : function(component, event, helper){
    var abc = event.getSource().get("v.class");
    alert(abc);
      var checkboxes = component.find("checkedbox");
    for(var i = 0; i &amp;lt; checkboxes.length; i++)
    {
        if(checkboxes[i].checked == true )
        {
            checkboxes[i].checked = false;
        }
        if(checkboxes.checked==true)
        {
            checkboxes.checked=false;
        }
        else{
            checkboxes.checked=true;
        }
    }
&lt;/code&gt;&lt;/pre&gt;
&lt;p&gt;component&lt;/p&gt;
&lt;pre&gt;&lt;code&gt;   &amp;lt;aura:iteration items="{!v.lstcon}" var="objWrap" indexVar="ind"&amp;gt;
        &amp;lt;tr class="slds-hint-parent"&amp;gt;
            &amp;lt;td data-label="Account Name"&amp;gt;
                &amp;lt;div class="slds-truncate" &amp;gt;
                    &amp;lt;lightning:input class="{!ind+' '+'slds-show'}" 
    type="checkbox" name="input1" value="{!objWrap.isSelected}" 
     aura:id="checkedbox" onchange="{!c.selectone}"/&amp;gt;
                &amp;lt;/div&amp;gt;
&lt;/code&gt;&lt;/pre&gt;
</t>
  </si>
  <si>
    <t xml:space="preserve">&lt;p&gt;Is there a way to have dependent dropdown in table columns? Example in table A I have ColumnA1 &amp;amp; ColumnB1, both have dropdowns, B1 dropdown values should be filtered based on Value selected in A1. Any help on this is really appreciated.&lt;/p&gt;
&lt;p&gt;Example: 
I have a page with Tabular data entry, few columns in table has Dropdown attached. I want to filter data in dropdown based on value selected in previous column in same row. 
I am unable to find any code example in Appmaker help or in templates. 
Can someone please help me to achieve dependent dropdown in Table widget?&lt;/p&gt;
</t>
  </si>
  <si>
    <t xml:space="preserve">&lt;p&gt;I am working on salesforce code and generating a pdf. I follow the table structure like &lt;/p&gt;
&lt;pre&gt;&lt;code&gt;&amp;lt;thead&amp;gt;&amp;lt;tr&amp;gt;&amp;lt;th&amp;gt;Main heading&amp;lt;/th&amp;gt;&amp;lt;/tr&amp;gt;&amp;lt;thead&amp;gt;
&lt;/code&gt;&lt;/pre&gt;
&lt;p&gt;but the header is not coming on every page. table header only coming on the first page. after page break header is missing. I read about more on google but did not get any solution. I follow all rules but no solution.&lt;/p&gt;
&lt;p&gt;when I am running my HTML on my location then the header is coming but when I am running on salesforce visual force editor then the header of table is missing.&lt;/p&gt;
&lt;p&gt;I don't know where is my mistake. can anyone help me?&lt;/p&gt;
&lt;p&gt;below is my code&lt;/p&gt;
&lt;pre&gt;&lt;code&gt;        &amp;lt;apex:page standardController="Test_Specification__c"  Extensions="SEGTS_Print_TestSpec_CTRL" applyHtmlTag="false" standardStylesheets="false" showHeader="false"  renderAs="PDF" &amp;gt;
        &amp;lt;html xmlns="http://www.w3.org/1999/xhtml"&amp;gt;
        &amp;lt;body&amp;gt;
        &amp;lt;head&amp;gt;
         &amp;lt;style type="text/css" media="print"&amp;gt;
          @page {
                        padding-top:2px;
                        margin-top: 100px;
                        margin-bottom:80px;
                        margin-bottom: 3cm;
                        size:12in 13in;
                        @top-left {
                        content: element(header);
                        }
                        @bottom-left {
                        content: element(footer);
                        }
                      }
        &amp;lt;/style&amp;gt;
        &amp;lt;/head&amp;gt;
            &amp;lt;h1&amp;gt;Position sticky&amp;lt;/h1&amp;gt;
        &amp;lt;div class="testTable"&amp;gt;
        &amp;lt;table class="stickyHead"&amp;gt;
            &amp;lt;thead&amp;gt;
                &amp;lt;tr&amp;gt;
                    &amp;lt;th&amp;gt;column 1&amp;lt;/th&amp;gt;
                    &amp;lt;th&amp;gt;column 2&amp;lt;/th&amp;gt;
                    &amp;lt;th&amp;gt;column 3&amp;lt;/th&amp;gt;
                    &amp;lt;th&amp;gt;column 4&amp;lt;/th&amp;gt;            
                &amp;lt;/tr&amp;gt;    
            &amp;lt;/thead&amp;gt;
            &amp;lt;tbody&amp;gt;
              &amp;lt;tr&amp;gt;
                    &amp;lt;td&amp;gt;1&amp;lt;/td&amp;gt;
                    &amp;lt;td&amp;gt;2&amp;lt;/td&amp;gt;
                    &amp;lt;td&amp;gt;3&amp;lt;/td&amp;gt;
                    &amp;lt;td&amp;gt;4&amp;lt;/td&amp;gt;
                &amp;lt;/tr&amp;gt;
                &amp;lt;tr&amp;gt;
                    &amp;lt;td&amp;gt;1&amp;lt;/td&amp;gt;
                    &amp;lt;td&amp;gt;2&amp;lt;/td&amp;gt;
                    &amp;lt;td&amp;gt;3&amp;lt;/td&amp;gt;
                    &amp;lt;td&amp;gt;4&amp;lt;/td&amp;gt;
                &amp;lt;/tr&amp;gt;
                &amp;lt;tr&amp;gt;
                    &amp;lt;td&amp;gt;1&amp;lt;/td&amp;gt;
                    &amp;lt;td&amp;gt;2&amp;lt;/td&amp;gt;
                    &amp;lt;td&amp;gt;3&amp;lt;/td&amp;gt;
                    &amp;lt;td&amp;gt;4&amp;lt;/td&amp;gt;
                &amp;lt;/tr&amp;gt;
                &amp;lt;tr&amp;gt;
                    &amp;lt;td&amp;gt;1&amp;lt;/td&amp;gt;
                    &amp;lt;td&amp;gt;2&amp;lt;/td&amp;gt;
                    &amp;lt;td&amp;gt;3&amp;lt;/td&amp;gt;
                    &amp;lt;td&amp;gt;4&amp;lt;/td&amp;gt;
                &amp;lt;/tr&amp;gt;
                &amp;lt;tr&amp;gt;
                    &amp;lt;td&amp;gt;1&amp;lt;/td&amp;gt;
                    &amp;lt;td&amp;gt;2&amp;lt;/td&amp;gt;
                    &amp;lt;td&amp;gt;3&amp;lt;/td&amp;gt;
                    &amp;lt;td&amp;gt;4&amp;lt;/td&amp;gt;
                &amp;lt;/tr&amp;gt;
            &amp;lt;/tbody&amp;gt;
        &amp;lt;/table&amp;gt;
        &amp;lt;/div&amp;gt;​
        &amp;lt;/body&amp;gt;
        &amp;lt;/html&amp;gt;
        &amp;lt;/apex:page&amp;gt;
&lt;/code&gt;&lt;/pre&gt;
</t>
  </si>
  <si>
    <t xml:space="preserve">&lt;p&gt;Omni-Channel always assigned new cases when agent logout and logged in again in omni-channel&lt;/p&gt;
&lt;ol&gt;
&lt;li&gt;I configured Omni Channel.&lt;/li&gt;
&lt;li&gt;In Routing Configuration Unit of capacity = 1&lt;/li&gt;
&lt;li&gt;In Presence Configurations Capacity = 5&lt;/li&gt;
&lt;li&gt;I opened Service Cloud console app.&lt;/li&gt;
&lt;li&gt;Then agent login into Omni-Channel console, as per configuration omni channel assigned some cases and those new cases opened in new tabs.&lt;/li&gt;
&lt;li&gt;agent logout from Omni Channel. agent assigned cases tabs are still opened in console app.&lt;/li&gt;
&lt;li&gt;Again agent login into Omni Channel console and Omni channel again assigned new cases to agent.&lt;/li&gt;
&lt;/ol&gt;
&lt;p&gt;Whenever I logout and relogin in Omni Channel console, omni channel  assigned new cases to agent. actually it should not assigned new cases after relogin because i have already cases for process as per capacity?&lt;/p&gt;
</t>
  </si>
  <si>
    <t xml:space="preserve">&lt;p&gt;I'm looking for some information about uploading an image file to my Zoho CRM (Potentials) with a custom layout using ZOHO CRM API V2 into a custom file upload fields.&lt;/p&gt;
&lt;p&gt;I inserted all my other data using &lt;a href="https://www.zoho.com/crm/developer/docs/api/insert-records.html" rel="nofollow noreferrer"&gt;ZOHO CRM V2 API&lt;/a&gt; in PHP.
I am stuck in uploading images to my custom file input fields.&lt;/p&gt;
&lt;p&gt;These are my API field names where I want to upload images&lt;/p&gt;
&lt;pre&gt;&lt;code&gt;"image1"  =&amp;gt; "",
"image2"  =&amp;gt; "",
"image3" =&amp;gt; "",
"image4" =&amp;gt; " ",
"image5"  =&amp;gt; "",
&lt;/code&gt;&lt;/pre&gt;
</t>
  </si>
  <si>
    <t xml:space="preserve">&lt;p&gt;I currently have rest api call being done, with responseOne &amp;amp; responseTwo. I then add these response to a list casted to a wrapperclass. And this list is looped on to be displayed on vf page. Issue is that now I need 2 fields from the responseTwo to add these to my vf page. BOth response are linked with an ID with which data in the list can be linked. So from my responseTwo, i need number and Amount field to add this to my responseOne list to be displayed on vf page. I don't know how to achieve this based on adding the Amount to each specific data found in my responseOne.&lt;/p&gt;
&lt;p&gt;So am trying to do looping in both datasets received.&lt;/p&gt;
&lt;pre&gt;&lt;code&gt;for (Data.dataWrapper responseOne : listOne){
   for(Data.dataWrapper responseTwo : listTwo){
       if(responseOne.Id = responseTwo.id){
       /* i need to add the amount field from responseTwo to this specific  line of data at ID xxxx */
        }
    }
}
&lt;/code&gt;&lt;/pre&gt;
</t>
  </si>
  <si>
    <t xml:space="preserve">&lt;p&gt;I am working on performance testing using jmeter for my application&lt;/p&gt;
&lt;p&gt;I am able to successfully record a test plan. Each http request to server has got &lt;code&gt;__OSVSTATE&lt;/code&gt; &amp;amp; &lt;code&gt;viewstate&lt;/code&gt; attribute value in request.&lt;/p&gt;
&lt;p&gt;While navigating from one page to another I am able to extract this attribute from page using Regular expression extractor and used it in the new subsequent request.&lt;/p&gt;
&lt;p&gt;I have some pages in my applications which sends ajax requests multiple times, for each response of request a new &lt;code&gt;__OSVSTATE&lt;/code&gt; attribute value is getting generated and sent in the &lt;code&gt;&amp;lt;script&amp;gt; &amp;lt;/script&amp;gt;&lt;/code&gt; tag &lt;code&gt;json&lt;/code&gt; format and it seems this value gets used in the new request.&lt;/p&gt;
&lt;p&gt;Can someone give me suggestions to achieve this in &lt;code&gt;JMeter&lt;/code&gt;?&lt;/p&gt;
&lt;p&gt;Each record inside container has html button using which user clicks accept button.&lt;/p&gt;
&lt;p&gt;In JMeter I am recording this whole process, after successful recording when I start script again in the JMeter - result tree shows response only in json format and not in HTML view like other pages.
I am able to execute http request there is one request- &lt;code&gt;'/PerformanceProbe/rest/BeaconInternal/WebScreenClientExecutedEvent'&lt;/code&gt; which internally gets execute and fails.
Do you know reason behind this or if you have any other suggestions or solutions please share here.&lt;/p&gt;
</t>
  </si>
  <si>
    <t xml:space="preserve">&lt;p&gt;I am following this tutorial : &lt;a href="https://archive-2_1_4.lightningdesignsystem.com/resources/lightning-svg-icon-component-helper" rel="nofollow noreferrer"&gt;https://archive-2_1_4.lightningdesignsystem.com/resources/lightning-svg-icon-component-helper&lt;/a&gt; on how to use svg on lightning component but for some reason it is not working for my case:&lt;/p&gt;
&lt;p&gt;I have already created the component svgIcon and added all the code into it.&lt;/p&gt;
&lt;p&gt;In my case it does not seem to work since its showing a non sense blue square.&lt;/p&gt;
&lt;p&gt;I uploaded the svg file into static resource and tried smth like this:&lt;/p&gt;
&lt;pre&gt;&lt;code&gt;&amp;lt;c:svgIcon svgPath="{!$Resource.feedIcon}" category="standard" size="large" name="user" /&amp;gt;
&lt;/code&gt;&lt;/pre&gt;
&lt;p&gt;While this part on the tutorial looks as following:&lt;/p&gt;
&lt;pre&gt;&lt;code&gt;&amp;lt;c:svgIcon svgPath="/resource/slds214/assets/icons/standard-sprite/svg/symbols.svg#user" category="standard" size="large" name="user" /&amp;gt;
&lt;/code&gt;&lt;/pre&gt;
&lt;p&gt;Dosnt specify where does they store the svg and also dont know what #user stands for in this case&lt;/p&gt;
&lt;p&gt;The svg file I uploaded to salesforce static resources looks as below:&lt;/p&gt;
&lt;p&gt;&lt;div class="snippet" data-lang="js" data-hide="false" data-console="true" data-babel="false"&gt;
&lt;div class="snippet-code"&gt;
&lt;pre class="snippet-code-html lang-html prettyprint-override"&gt;&lt;code&gt; &amp;lt;?xml version="1.0" encoding="UTF-8"?&amp;gt;
    &amp;lt;svg width="82px" height="82px" viewBox="0 0 82 82" version="1.1" xmlns="http://www.w3.org/2000/svg" xmlns:xlink="http://www.w3.org/1999/xlink"&amp;gt;
        &amp;lt;!-- Generator: Sketch 55.2 (78181) - https://sketchapp.com --&amp;gt;
        &amp;lt;title&amp;gt;Group 4&amp;lt;/title&amp;gt;
        &amp;lt;desc&amp;gt;Created with Sketch.&amp;lt;/desc&amp;gt;
        &amp;lt;g id="Page-1" stroke="none" stroke-width="1" fill="none" fill-rule="evenodd"&amp;gt;
            &amp;lt;g id="Icons-for-svg-export" transform="translate(-119.000000, -118.000000)" fill="#8B8D8E"&amp;gt;
                &amp;lt;g id="Group-4" transform="translate(120.000000, 119.000000)"&amp;gt;
                    &amp;lt;g id="Group-3" stroke="#8B8D8E" stroke-width="0.4"&amp;gt;
                        &amp;lt;g id="chat"&amp;gt;
                            &amp;lt;path d="M68.2614576,11.7212036 C60.7001948,4.16069852 50.6693958,0 39.979772,0 C29.2899367,0 19.2593492,4.16069852 11.6980863,11.7212036 C-2.91552041,26.3339658 -3.9306097,49.72521 9.17822921,65.5056316 C7.8922944,68.0929603 5.8291323,71.1039699 2.76758412,72.6094747 C1.2957998,73.3363284 0.467405755,74.9094868 0.720913785,76.5331741 C0.974421815,78.1568613 2.22652736,79.4253669 3.85033192,79.6788567 C4.61106745,79.7976733 5.69381525,79.9158558 7.01273359,79.9158558 C10.5485257,79.9158558 15.758232,79.0866759 21.0861293,75.2481778 C27.0229533,78.4441778 33.5185944,80 39.9632802,80 C50.3144,80 60.5646663,75.9921564 68.2779494,68.2796421 C75.8390008,60.7189256 80,50.6899085 80,40 C80,29.3111486 75.8216633,19.2810744 68.2614576,11.7212036 Z M65.0303403,65.0489696 C53.6129644,76.4655204 35.9369638,78.7314944 22.0335601,70.5631637 C21.12017,70.0213003 19.9868898,70.1906458 19.2593492,70.9181338 C19.1916907,70.9521721 19.1238207,71.0024894 19.0734997,71.0528068 C14.4896347,74.6048341 9.99013149,75.3488126 7.01273359,75.3488126 L6.99624183,75.3488126 C10.429489,72.8458396 12.5949846,69.1253125 13.863582,66.2331196 C14.066769,65.7426308 14.1005982,65.2348057 13.9817729,64.7614417 C13.9314519,64.3047796 13.7456024,63.8481176 13.4233787,63.4755998 C1.04229177,49.4882108 1.68483631,28.1779502 14.9125005,14.9512418 C28.7317539,1.13298696 51.2112983,1.13298696 65.0130028,14.9512418 C78.8495937,28.7692852 78.8495937,51.2307148 65.0303403,65.0489696 Z" id="Fill-1"&amp;gt;&amp;lt;/path&amp;gt;
                        &amp;lt;/g&amp;gt;
                    &amp;lt;/g&amp;gt;
                    &amp;lt;path d="M40,39 C45.5228475,39 50,34.5228475 50,29 C50,23.4771525 45.5228475,19 40,19 C34.4771525,19 30,23.4771525 30,29 C30,34.5228475 34.4771525,39 40,39 Z M40,34 C37.2385763,34 35,31.7614237 35,29 C35,26.2385763 37.2385763,24 40,24 C42.7614237,24 45,26.2385763 45,29 C45,31.7614237 42.7614237,34 40,34 Z" id="Oval" fill-rule="nonzero"&amp;gt;&amp;lt;/path&amp;gt;
                    &amp;lt;path d="M53.3820358,52.1419451 L53.3820358,58.0287934 L58.3820358,58.0287934 L58.3820358,52.0610237 C58.3820358,50.6620146 57.7745968,49.3319332 56.7172836,48.4157917 L56.7172836,48.4157917 C47.0341731,40.0255636 32.5627654,40.3598339 23.2773818,49.188209 C22.7810083,49.660152 22.5,50.3150789 22.5,51 L22.5,58.0287934 L27.5,58.0287934 L27.5,52.1101962 C34.9103462,45.7645802 45.9109476,45.7203441 53.3820358,52.1419451 Z" id="Path-3" fill-rule="nonzero"&amp;gt;&amp;lt;/path&amp;gt;
                &amp;lt;/g&amp;gt;
            &amp;lt;/g&amp;gt;
        &amp;lt;/g&amp;gt;
    &amp;lt;/svg&amp;gt;&lt;/code&gt;&lt;/pre&gt;
&lt;/div&gt;
&lt;/div&gt;
&lt;/p&gt;
&lt;p&gt;Any idea how can I use svg icons in lightening component?&lt;/p&gt;
</t>
  </si>
  <si>
    <t xml:space="preserve">&lt;p&gt;I have an existing Quick Action button on an object, which I would like to display as a button for Community Users&lt;/p&gt;
&lt;p&gt;I have tried implementing lightning:quickActionAPI in a Lightning Component that I created, then added the component to the record detail page in Community Builder. I have changed the actual names of objects and fields with  general names &lt;/p&gt;
&lt;pre&gt;&lt;code&gt;&amp;lt;lightning:quickActionAPI aura:id="quickActionAPI" /&amp;gt;
&amp;lt;lightning:button label="Update" onclick="{!c.updateRequestStatus }" /&amp;gt;
updateRequestStatus : function(component, event, helper) {
    //debugger;
    var actionAPI = component.find("quickActionAPI");
    var fields = {fieldApiName: {value:"Closed"}};
    var args = {actionName: "objectApiName.quickActionName", entityName: "objectApiName", targetFields: fields};
    actionAPI.setActionFieldValues(args).then(function(){
        actionAPI.invokeAction(args);
    }).catch(function(e){
        console.error(e.errors);
    });
}
&lt;/code&gt;&lt;/pre&gt;
&lt;p&gt;Expected result: when clicking on the button in the community, the quick action will be called and a window will open
Actual result: clicking on the button executes the JS method but nothing happens&lt;/p&gt;
</t>
  </si>
  <si>
    <t xml:space="preserve">&lt;p&gt;I have a requirement where I need to read the copied data from the clipboard. So I have used a javascript method to get the clipboard content. This method is working perfectly in VF page js. But now the requirement is that we need the same functionality in the lighting component. So I create a new component and put the same code in component javascript. When I tried to run the method it throws the error " Cannot read property 'readText' of undefined " because navigator.clipboard is undefined in component javascript.
FYI clipboard read access is allowed&lt;/p&gt;
&lt;p&gt;visual force javascript method (Works)-&lt;/p&gt;
&lt;pre&gt;&lt;code&gt;function paste() {
         navigator.clipboard.readText()
        .then(text =&amp;gt; {
            console.log(text);
        })
            .catch(err =&amp;gt; {
            alert('Need permission for clipboard access');
        });
        }
&lt;/code&gt;&lt;/pre&gt;
&lt;p&gt;lightning component js (Not Working)- &lt;/p&gt;
&lt;pre&gt;&lt;code&gt;parse : function(component, event, helper) {
        navigator.clipboard.readText() /* this line is not working */
        .then(text =&amp;gt; {
            console.log(text);
        })
            .catch(err =&amp;gt; {
            alert('Need permission for clipboard access');
        });
 }
&lt;/code&gt;&lt;/pre&gt;
&lt;p&gt;I expected it to work in lightning component js too. I there any fix or workaround to get the copied data from the clipboard in lightning component.&lt;/p&gt;
</t>
  </si>
  <si>
    <t xml:space="preserve">&lt;p&gt;I am trying to send the below JSON object in Window.Open, but when i trying to retrieve it, i am getting&lt;/p&gt;
&lt;blockquote&gt;
  &lt;p&gt;"[object Object]"&lt;/p&gt;
&lt;/blockquote&gt;
&lt;pre&gt;&lt;code&gt;@track InputValues = {
    strName: "test",
    strAddress: "test",
    strCountry: "test",
    strCode: "1",
    strNumber: "1"
  };
 window.open("/c/testApp.app?recordId="+this.recordId +"&amp;amp;getallinputs="+this.InputValues,'_blank');
&lt;/code&gt;&lt;/pre&gt;
&lt;p&gt;Aura testApp&lt;/p&gt;
&lt;pre&gt;&lt;code&gt;&amp;lt;aura:application extends="force:slds" access="GLOBAL" implements="force:appHostable,force:hasRecordId"&amp;gt;
    &amp;lt;aura:attribute name="recordId" type="String" default="123"/&amp;gt;
     &amp;lt;aura:attribute name="getallinputs" type="String"/&amp;gt;
    &amp;lt;aura:handler name="init" value="{!this}" action="{!c.doInit}"/&amp;gt;
    &amp;lt;c:test recordId="{!v.recordId}" jsonDetails="{!v.getallinputs}"/&amp;gt;
&amp;lt;/aura:application&amp;gt;
&lt;/code&gt;&lt;/pre&gt;
&lt;p&gt;At Receiving LWC end -&lt;/p&gt;
&lt;pre&gt;&lt;code&gt;renderedCallback() {
    this.dataJson = JSON.stringify(this.InputValues);
  }
&lt;/code&gt;&lt;/pre&gt;
</t>
  </si>
  <si>
    <t xml:space="preserve">&lt;p&gt;How can I use &lt;code&gt;Lightning:empApi&lt;/code&gt; in order to get Push Notifications for Lightning Standalone Apps? &lt;/p&gt;
&lt;p&gt;I have referred to a few docs which say &lt;code&gt;Lightning:empApi&lt;/code&gt; can only be used in Lightning experience or Salesforce mobile? &lt;/p&gt;
&lt;p&gt;Please suggest if there is any other way through which we can achieve the Push Notification functionality for Standalone Apps as well. &lt;/p&gt;
&lt;p&gt;I have used the CometD Library of java before, but after Spring 19 release the functionality is showing intermittent behaviour.&lt;/p&gt;
</t>
  </si>
  <si>
    <t xml:space="preserve">&lt;p&gt;I have a power app that wants to collect some data from a rest API, I am using Flow as this seems to be the recommended way. &lt;/p&gt;
&lt;p&gt;I have a collection: &lt;/p&gt;
&lt;pre&gt;&lt;code&gt;[
    {id: 1,name: "test",lines: [
            {id: 244,
                StrategyId: 1,
                TypeId: 0,
                Weight: 10,
                toWeight: 200
            }
        ]
    },
    {id: 3,name: "test2",lines: [
            {id: 262,
                StrategyId: 3,
                TypeId: 0,
                Weight: 0,
                toWeight: 200
            }
        ]
    }
]
&lt;/code&gt;&lt;/pre&gt;
&lt;p&gt;When I enter this into a formula straight up, it works fine:&lt;/p&gt;
&lt;pre&gt;&lt;code&gt;ClearCollect( CityPopulations, json...)
&lt;/code&gt;&lt;/pre&gt;
&lt;p&gt;However, when I try to fetch the data from Flow it only returns a collection with one single entry that is the json data as string.&lt;/p&gt;
&lt;pre&gt;&lt;code&gt; Set('CityPopulations','PowerApp-&amp;gt;Sendmeamobilenotification'.Run());ClearCollect(NewTable, CityPopulations.testoutput);
&lt;/code&gt;&lt;/pre&gt;
&lt;p&gt;In Microsoft flow I use PowerApps trigger and Respond to PowerApps. &lt;/p&gt;
&lt;p&gt;Also note that there are no " on the propertynames in json structure, but this was the only way I could get Power Apps to actually accept typing in json manually. I have tried having the respons propper, as well as this way. I had to adjust the flow to remove the " around propertynames. Still same result. &lt;/p&gt;
&lt;p&gt;This is how the table looks in collections: 
&lt;a href="https://i.stack.imgur.com/WtoVS.png" rel="nofollow noreferrer"&gt;&lt;img src="https://i.stack.imgur.com/WtoVS.png" alt="enter image description here"&gt;&lt;/a&gt;&lt;/p&gt;
&lt;p&gt;This is how it looks when I am entering the data manually: &lt;/p&gt;
&lt;p&gt;&lt;a href="https://i.stack.imgur.com/YVisO.png" rel="nofollow noreferrer"&gt;&lt;img src="https://i.stack.imgur.com/YVisO.png" alt="enter image description here"&gt;&lt;/a&gt;&lt;/p&gt;
&lt;p&gt;this is the direct output from : &lt;/p&gt;
&lt;pre&gt;&lt;code&gt;{
  "testoutput": "[{id:1,name:\"test\",lines:[{id:244,StrategyId:1,TypeId:0,fromWeight:10,toWeight:200}]},{id:2,name:\"tester\",lines:[{id:154,StrategyId:2,TypeId:0,fromWeight:10,toWeight:200}]}]"
}
&lt;/code&gt;&lt;/pre&gt;
&lt;p&gt;The biggest difference is the escape characters added from flow. &lt;/p&gt;
&lt;p&gt;&lt;a href="https://i.stack.imgur.com/zXcE7.png" rel="nofollow noreferrer"&gt;&lt;img src="https://i.stack.imgur.com/zXcE7.png" alt="enter image description here"&gt;&lt;/a&gt; &lt;/p&gt;
</t>
  </si>
  <si>
    <t xml:space="preserve">&lt;p&gt;I am trying to group all svg icons in one file like this:&lt;/p&gt;
&lt;pre&gt;&lt;code&gt;    &amp;lt;?xml version="1.0" encoding="UTF-8"?&amp;gt;
&amp;lt;svg width="83px" height="83px" viewBox="0 0 83 83" version="1.1" xmlns="http://www.w3.org/2000/svg" xmlns:xlink="http://www.w3.org/1999/xlink"&amp;gt;
    &amp;lt;!-- Generator: Sketch 55.2 (78181) - https://sketchapp.com --&amp;gt;
    &amp;lt;title&amp;gt;Portal-icons&amp;lt;/title&amp;gt;
    &amp;lt;desc&amp;gt;Created with Sketch.&amp;lt;/desc&amp;gt;
    &amp;lt;defs&amp;gt;
        &amp;lt;polygon id="path-1" points="0 79.425641 0 0 72 2.79558034e-14 72 79.425641"&amp;gt;&amp;lt;/polygon&amp;gt;
    &amp;lt;/defs&amp;gt;
    &amp;lt;g id="Portal-icons" stroke="none" stroke-width="1" fill="none" fill-rule="evenodd"&amp;gt;
        &amp;lt;g id="Feed-icons" transform="translate(21.000000, 39.000000)"&amp;gt;
            &amp;lt;g id="Bell"&amp;gt;
                &amp;lt;mask id="mask-2" fill="white"&amp;gt;
                    &amp;lt;use xlink:href="#path-1"&amp;gt;&amp;lt;/use&amp;gt;
                &amp;lt;/mask&amp;gt;
                &amp;lt;g id="Clip-2"&amp;gt;&amp;lt;/g&amp;gt;
                &amp;lt;path d="M62.6326313,35.8889917 L54.4410302,50.1708277 C50.9353026,56.2809355 51.6158699,63.4926726 52.527012,69.7562216 C52.5803169,70.1916275 52.6546958,70.7214587 52.7303144,71.2499784 L52.7439506,71.3522725 L7.79551449,42.4961441 C7.90832255,42.4436856 8.02360992,42.391227 8.13889728,42.34008 C8.652112,42.1066395 9.16656637,41.873199 9.56201443,41.6764795 C10.0950635,41.4469734 10.6615832,41.2122215 11.2516561,40.9682893 C15.6908395,39.1309291 21.7700786,36.6142309 24.8778788,31.1926414 L33.06948,16.9108053 C38.5673237,7.33056543 49.3398742,3.97584214 57.5984164,9.2754656 C61.6210777,11.8590484 64.3507849,16.0321249 65.2830011,21.0288003 C66.2127379,26.0110496 65.2706046,31.2883782 62.6326313,35.8889917 L62.6326313,35.8889917 Z M33.1041902,66.6323159 C32.1186691,68.059188 30.6930727,69.0768836 29.0344222,69.528027 C27.1637918,70.0355633 25.2522529,69.7496643 23.6518659,68.721477 C21.9882568,67.6539459 20.821747,65.9831415 20.3680355,64.0172579 C19.9614306,62.26252 20.1610141,60.4382744 20.9271172,58.8146828 L33.1041902,66.6323159 Z M71.4800068,19.4786506 C70.151103,12.7062538 66.3962059,7.03417471 60.9045605,3.51027265 C49.5902833,-3.75392294 34.969862,0.597512511 27.6199826,13.4118211 L19.4283815,27.6949686 C17.3842001,31.259526 12.785102,33.1283613 9.08970813,34.6299868 C8.42029762,34.9014598 7.7781594,35.162441 7.18684679,35.4181763 C3.75673777,36.8489829 0.208862098,38.3283135 0.00803894627,41.7997571 C-0.120884558,44.1315389 1.29975329,46.2154542 4.35176933,48.173469 L15.6871205,55.4520907 C12.2644494,62.0828495 14.3544978,70.4827723 20.521752,74.4407688 C26.6877665,78.4000767 34.6958996,76.4814058 38.6751731,70.2086765 L50.2299422,77.6263133 C51.1100931,78.191554 53.0303095,79.425641 55.0013516,79.425641 C55.7897684,79.425641 56.5868627,79.2276101 57.3269332,78.7108935 C60.0529216,76.7279609 59.4876416,72.8499637 58.8876514,68.7424604 C58.2864216,64.1667648 57.4632946,57.9032157 59.9574686,53.5530917 L68.0821287,39.3866645 C71.5915752,33.2699993 72.7977538,26.1999003 71.4800068,19.4786506 L71.4800068,19.4786506 Z" id="Fill-1" fill="#8B8D8E" mask="url(#mask-2)"&amp;gt;&amp;lt;/path&amp;gt;
            &amp;lt;/g&amp;gt;
            &amp;lt;g id="Chat" transform="translate(122.000000, 0.000000)" fill="#8B8D8E"&amp;gt;
                &amp;lt;path d="M68.2614576,11.7212036 C60.7001948,4.16069852 50.6693958,0 39.979772,0 C29.2899367,0 19.2593492,4.16069852 11.6980863,11.7212036 C-2.91552041,26.3339658 -3.9306097,49.72521 9.17822921,65.5056316 C7.8922944,68.0929603 5.8291323,71.1039699 2.76758412,72.6094747 C1.2957998,73.3363284 0.467405755,74.9094868 0.720913785,76.5331741 C0.974421815,78.1568613 2.22652736,79.4253669 3.85033192,79.6788567 C4.61106745,79.7976733 5.69381525,79.9158558 7.01273359,79.9158558 C10.5485257,79.9158558 15.758232,79.0866759 21.0861293,75.2481778 C27.0229533,78.4441778 33.5185944,80 39.9632802,80 C50.3144,80 60.5646663,75.9921564 68.2779494,68.2796421 C75.8390008,60.7189256 80,50.6899085 80,40 C80,29.3111486 75.8216633,19.2810744 68.2614576,11.7212036 Z M65.0303403,65.0489696 C53.6129644,76.4655204 35.9369638,78.7314944 22.0335601,70.5631637 C21.12017,70.0213003 19.9868898,70.1906458 19.2593492,70.9181338 C19.1916907,70.9521721 19.1238207,71.0024894 19.0734997,71.0528068 C14.4896347,74.6048341 9.99013149,75.3488126 7.01273359,75.3488126 L6.99624183,75.3488126 C10.429489,72.8458396 12.5949846,69.1253125 13.863582,66.2331196 C14.066769,65.7426308 14.1005982,65.2348057 13.9817729,64.7614417 C13.9314519,64.3047796 13.7456024,63.8481176 13.4233787,63.4755998 C1.04229177,49.4882108 1.68483631,28.1779502 14.9125005,14.9512418 C28.7317539,1.13298696 51.2112983,1.13298696 65.0130028,14.9512418 C78.8495937,28.7692852 78.8495937,51.2307148 65.0303403,65.0489696 Z" id="Fill-1" stroke="#8B8D8E" stroke-width="0.4"&amp;gt;&amp;lt;/path&amp;gt;
                &amp;lt;path d="M40,39 C45.5228475,39 50,34.5228475 50,29 C50,23.4771525 45.5228475,19 40,19 C34.4771525,19 30,23.4771525 30,29 C30,34.5228475 34.4771525,39 40,39 Z M40,34 C37.2385763,34 35,31.7614237 35,29 C35,26.2385763 37.2385763,24 40,24 C42.7614237,24 45,26.2385763 45,29 C45,31.7614237 42.7614237,34 40,34 Z" id="Oval" fill-rule="nonzero"&amp;gt;&amp;lt;/path&amp;gt;
                &amp;lt;path d="M53.3820358,52.1419451 L53.3820358,58.0287934 L58.3820358,58.0287934 L58.3820358,52.0610237 C58.3820358,50.6620146 57.7745968,49.3319332 56.7172836,48.4157917 L56.7172836,48.4157917 C47.0341731,40.0255636 32.5627654,40.3598339 23.2773818,49.188209 C22.7810083,49.660152 22.5,50.3150789 22.5,51 L22.5,58.0287934 L27.5,58.0287934 L27.5,52.1101962 C34.9103462,45.7645802 45.9109476,45.7203441 53.3820358,52.1419451 Z" id="Path-3" fill-rule="nonzero"&amp;gt;&amp;lt;/path&amp;gt;
            &amp;lt;/g&amp;gt;
        &amp;lt;/g&amp;gt;
    &amp;lt;/g&amp;gt;
&amp;lt;/svg&amp;gt;
&lt;/code&gt;&lt;/pre&gt;
&lt;p&gt;For some reason &lt;/p&gt;
&lt;p&gt;&lt;code&gt;&amp;lt;c:svg xlinkHref="{! $Resource.feedIcon + '#Bell'}" size="large"/&amp;gt;&lt;/code&gt; works while &lt;/p&gt;
&lt;pre&gt;&lt;code&gt;&amp;lt;c:svg xlinkHref="{! $Resource.feedIcon + '#Chat'}" size="large"/&amp;gt; 
&lt;/code&gt;&lt;/pre&gt;
&lt;p&gt;doesnt work.&lt;/p&gt;
&lt;p&gt;Any idea if I have to re-strucure my svg file?&lt;/p&gt;
</t>
  </si>
  <si>
    <t xml:space="preserve">&lt;p&gt;I am trying to use the REST lightning API for salesforce. So far I can have it connect succesfully and get info on some things, however I am struggling to get it to actually create new records. Below is the code, I have excluding my connection code and getting my Bearer token, as both those work fine and don't impact the second half of creating a record.&lt;/p&gt;
&lt;pre&gt;&lt;code&gt;&amp;lt;?php
             $url = $instance_url.'/services/data/v20.0/sobjects/Account/';
             $headers = array(
                'Content-Type: application/json'
            );
        $data = array(
            'Name' =&amp;gt; "AccountHEX"
        );
            $ch2 = curl_init();
            curl_setopt($ch2,CURLOPT_URL, $url);
            curl_setopt($ch, CURLOPT_POST, 1);
            curl_setopt($ch, CURLOPT_POSTFIELDS, json_encode($data));
            curl_setopt($ch, CURLOPT_HTTPHEADER, $headers);
            curl_setopt($ch2,CURLOPT_SSL_VERIFYPEER, false);
            curl_setopt($ch2,CURLOPT_RETURNTRANSFER, true);
            $head = 'Authorization: Bearer '.$access_token;
            curl_setopt($ch2, CURLOPT_HTTPHEADER, array($head));
            //execute post
            $result = null;
            $result = curl_exec($ch2);
             echo $result;
?&amp;gt;
&lt;/code&gt;&lt;/pre&gt;
&lt;p&gt;The result I get seems to be just the info on the account object:&lt;/p&gt;
&lt;pre&gt;&lt;code&gt;{
   "objectDescribe":{
      "activateable":false,
      "createable":true,
      "custom":false,
      "customSetting":false,
      "deletable":true,
      "deprecatedAndHidden":false,
      "feedEnabled":true,
      "keyPrefix":"001",
      "label":"Account",
      "labelPlural":"Accounts",
      "layoutable":true,
      "mergeable":true,
      "name":"Account",
      "queryable":true,
      "replicateable":true,
      "retrieveable":true,
      "searchable":true,
      "triggerable":true,
      "undeletable":true,
      "updateable":true,
      "urls":{
         "rowTemplate":"/services/data/v20.0/sobjects/Account/{ID}",
         "describe":"/services/data/v20.0/sobjects/Account/describe",
         "sobject":"/services/data/v20.0/sobjects/Account"
      }
   },
   "recentItems":[
   ]
}
&lt;/code&gt;&lt;/pre&gt;
&lt;p&gt;So it is treating it more as a query rather than a creation. I have tried a couple different $data arrangments. Incluidng just doing name right away, and putting it inside the fields array.&lt;/p&gt;
&lt;p&gt;Trying to do this bassed on this:&lt;/p&gt;
&lt;p&gt;&lt;a href="https://developer.salesforce.com/docs/atlas.en-us.api_rest.meta/api_rest/dome_sobject_create.htm" rel="nofollow noreferrer"&gt;https://developer.salesforce.com/docs/atlas.en-us.api_rest.meta/api_rest/dome_sobject_create.htm&lt;/a&gt;&lt;/p&gt;
&lt;p&gt;Any ideas how to get it to create the record? &lt;/p&gt;
</t>
  </si>
  <si>
    <t xml:space="preserve">&lt;p&gt;When I try to user design-system-react, errors happen like below:
ReferenceError: IconSettings is not defined
IconSettings include in the library so it should be used without definition.&lt;/p&gt;
&lt;pre&gt;&lt;code&gt;&amp;lt;script type="text/babel"&amp;gt;
  class Example extends React.Component {
    render() {
      return (
        &amp;lt;IconSettings iconPath="/assets/icons"&amp;gt;
          &amp;lt;AlertContainer&amp;gt;
            &amp;lt;Alert
              icon={&amp;lt;Icon category="utility" name="user" /&amp;gt;}
              labels={{
                heading: 'Logged in as John Smith (johnsmith@acme.com).',
                headingLink: 'Log out',
              }}
              onClickHeadingLink={() =&amp;gt; {
                console.log('Link clicked.');
              }}
            /&amp;gt;
          &amp;lt;/AlertContainer&amp;gt;
        &amp;lt;/IconSettings&amp;gt;
      );
    }
  }
  Example.displayName = 'AlertExample';
  ReactDOM.render(&amp;lt;Example /&amp;gt;, document.getElementById('root'));
&amp;lt;/script&amp;gt;
&lt;/code&gt;&lt;/pre&gt;
</t>
  </si>
  <si>
    <t xml:space="preserve">&lt;p&gt;I'm trying to create an powerapps app for audits. These audits have multiple questions and I want to create a screen where the user can awnser multiple questions in 1 screen. But all questions have to be linked to the audit. So if a question is already filled in it will display the awnser and is able to edit this if needed. 
Every question needs to get a grade (1-10) and a description of the awnser. &lt;/p&gt;
&lt;p&gt;I already have a detail screen for the audit itself with the base information. idealy i want a button that can go to the questions and fill them in. I'm using multiple sharepoint databases to store the information. So i would like to store the awnsers here as wel. For the awnsers i made a seperate database linked to the audit and the question.
I also have a database for the information of the audit and one for all the questions.&lt;/p&gt;
&lt;p&gt;So my question is how do filter a gallery based on the audittitle? and also how do i save this information easily in the sharepoint envoirment&lt;/p&gt;
</t>
  </si>
  <si>
    <t xml:space="preserve">&lt;p&gt;Set standard approvers and maintain proper route operation in the Document Approval Template.&lt;/p&gt;
&lt;p&gt;I am using the code developed by Darpan in this &lt;a href="https://stackoverflow.com/questions/51186512/app-maker-document-approval-template-how-can-i-add-default-approvers"&gt;post&lt;/a&gt;, but I am having problems in the routes for document approval.
Now I need to solve the same problem that &lt;a href="https://stackoverflow.com/a/54086193/11750756"&gt;@alep&lt;/a&gt; commented. Using the code, the 2 stages send an email at the same time to both approvers.  I need Approver 1 to receive it first and then send it to Approver 2 just as it is in the default Documentation Approval template.&lt;/p&gt;
&lt;p&gt;Approver 1 must be current, not both approvers.&lt;/p&gt;
&lt;p&gt;Does anyone have any ideas?&lt;/p&gt;
&lt;pre&gt;&lt;code&gt;if (requestDs.item.WorkflowStages.length === 0) {
    requestDs.relations.WorkflowStages.createItem(function() {
    var createDatasource = requestDs.relations.WorkflowStages.relations.Approvers.modes.create;
    var draft = createDatasource.item;
    draft.Email = 'darpan.sanghavi@abc.com';
    draft.Name = 'Darpan Sanghavi';          
    createDatasource.createItem(function(createdRecord) { });
    });      
     requestDs.relations.WorkflowStages.createItem(function() {
    var createDatasource = requestDs.relations.WorkflowStages.relations.Approvers.modes.create;
    var draft = createDatasource.item;
    draft.Email = 'darpan.sanghavi@xyz.com';
    draft.Name = 'Darn Alarm';          
    createDatasource.createItem(function(createdRecord) { });
    app.closeDialog();
    }); 
}
&lt;/code&gt;&lt;/pre&gt;
&lt;p&gt;The code automatically add approvers and works ok, but the approval routes are sent at the same time as in the example below.&lt;/p&gt;
&lt;p&gt;The idea is to include approver 1 automatically, where the user can not modify it. And approver 2 is manually added by the user.
example:&lt;/p&gt;
&lt;pre&gt;&lt;code&gt;    if (requestDs.item.WorkflowStages.length === 0) {
          requestDs.relations.WorkflowStages.createItem(function() {
      var createDatasource = requestDs.relations.WorkflowStages.relations.Approvers.modes.create;
    var draft = createDatasource.item;
    draft.Email = 'employee@abc.com.br';
    draft.Name = 'Employee';
    createDatasource.createItem(function(createdRecord) { });
            });
requestDs.relations.WorkflowStages.createItem(function() {
     app.closeDialog();
  }); 
&lt;/code&gt;&lt;/pre&gt;
&lt;p&gt;&lt;strong&gt;Aprover 1 automatically + Approver 2 Manual  :&lt;/strong&gt;&lt;br&gt;
&lt;a href="https://i.stack.imgur.com/tDMt6.png" rel="nofollow noreferrer"&gt;&lt;img src="https://i.stack.imgur.com/tDMt6.png" alt="enter image description here"&gt;&lt;/a&gt;&lt;br&gt;
&lt;strong&gt;Both remain as current  :&lt;/strong&gt;&lt;br&gt;
&lt;a href="https://i.stack.imgur.com/QZYn4.png" rel="nofollow noreferrer"&gt;&lt;img src="https://i.stack.imgur.com/QZYn4.png" alt="enter image description here"&gt;&lt;/a&gt;  &lt;/p&gt;
&lt;p&gt;When we add the 2 approvers manually, the first is the current one and the second one is on hold.
I do not understand why it works manually but adding the approver automatically all are marked as current.&lt;/p&gt;
&lt;p&gt;I think the solution is in the code below, but I have not done well yet.&lt;/p&gt;
&lt;p&gt;RequestManagementPrivate
    /**
     * Update list of request's approvers marking those currently 
     * responsible for approval with Pending status.
     *
     * @param {Request} request - request to process.
     */&lt;/p&gt;
&lt;blockquote&gt;
&lt;pre&gt;&lt;code&gt;function initializeNextStageAndApprovers_(request) {
  var allStages = request.WorkflowStages;
  sortByOrderNo_(allStages);
  var updateApproverStatus = function(a) {
    a.Status = Status.Pending;
  };
  var currentLevel = -1;
  for (var i = 0; i &amp;lt; allStages.length; i++) {
    var stage = allStages[i];
    if (stage.Status === Status.Draft || stage.Status === Status.Pending) {
      if (currentLevel === -1) {
        currentLevel = stage.OrderNo;
      }
      if (currentLevel === stage.OrderNo &amp;amp;&amp;amp; stage.Status === Status.Draft) {
        stage.Status = Status.Pending;
        stage.Approvers.forEach(updateApproverStatus);
        app.saveRecords([stage].concat(stage.Approvers));
      }
    }
  }
}
&lt;/code&gt;&lt;/pre&gt;
&lt;/blockquote&gt;
</t>
  </si>
  <si>
    <t xml:space="preserve">&lt;p&gt;I currently have a reset button that removes all attachments and resets some things - but we built it in Classic and I'm unsure how to modify it to include Files, seeing as that changed with the move to lightning.&lt;/p&gt;
&lt;p&gt;Can anyone give me some pointers of how to includes all types of attachments and make it lightning ready?&lt;/p&gt;
&lt;pre&gt;&lt;code&gt;{!REQUIRESCRIPT("/soap/ajax/24.0/connection.js")} 
function resetDemo(oppId) { 
var query = "select Id, OrderNumber__c, eContract_Status__c, StageName from Opportunity where Id = '" + oppId + "'"; 
console.log("resetDemo("+oppId+"): "+query); 
var result = sforce.connection.query(query); 
if(!result || result['size'] != 1) { 
alert("Couldn't retrieve the Opportunity. " + result); 
return null; 
} 
var obj = result.getArray('records')[0]; 
obj.OrderNumber__c = ' '; 
obj.eContract_Status__c = ' '; 
obj.StageName = 'Negotiation/Review'; 
result = sforce.connection.update([obj]); 
/* 
if(!result || result['success'] != 'true') { 
alert("Couldn't udpate the Opportunity. " + result); 
return null; 
} 
*/ 
} 
function deleteFeedItems(oppId) { 
var query = "select Id, Body, ParentId from FeedItem where ParentId = '" + oppId + "' limit 200"; 
console.log("deleteFeedItems("+oppId+"): "+query); 
var result = sforce.connection.query(query); 
if(!result) { 
alert("Couldn't retrieve FeedItems. " + result); 
return null; 
} 
var feedList = result.getArray('records'); 
var delList = []; 
for(var i = 0; i &amp;lt; feedList.length; i++) { 
//if(feedList[i].Body != null &amp;amp;&amp;amp; feedList[i].Body.indexOf("Envelope for Opportunity ") == 0) { 
delList.push(feedList[i].Id); 
//} 
} 
console.log('Deleting FeedItems:\n' + delList); 
result = sforce.connection.deleteIds(delList); 
console.log(result); 
return result; 
} 
function deleteStatusRecords(id) { 
var query = "select Id from dsfs__DocuSign_Status__c where dsfs__Opportunity__c = '" + id + "' limit 200"; 
console.log("deleteStatusRecords("+oppId+"): "+query); 
var result = sforce.connection.query(query); 
if(!result) { 
alert("Couldn't retrieve DocuSign Statuses. " + result); 
return null; 
} 
var feedList = result.getArray('records'); 
var delList = []; 
for(var i = 0; i &amp;lt; feedList.length; i++) { 
//if(feedList[i].Body != null &amp;amp;&amp;amp; feedList[i].Body.indexOf("Envelope for ") == 0) { 
delList.push(feedList[i].Id); 
//} 
} 
console.log('Deleting statuses:\n' + delList); 
result = sforce.connection.deleteIds(delList); 
console.log(result); 
return result; 
} 
var oppId = "{!Opportunity.Id}"; 
resetDemo(oppId); 
deleteFeedItems(oppId); 
deleteStatusRecords(oppId); 
window.location.reload();
&lt;/code&gt;&lt;/pre&gt;
</t>
  </si>
  <si>
    <t xml:space="preserve">&lt;p&gt;I am creating an application that will help our employees manage tasks. Employees are divided into regions in the country. I would like the employees from a given region to see tasks related only to this region.&lt;/p&gt;
&lt;p&gt;&lt;strong&gt;&lt;em&gt;Workflow&lt;/em&gt;&lt;/strong&gt;:&lt;/p&gt;
&lt;ol&gt;
&lt;li&gt;&lt;p&gt;A task is submitted through the form. One of the fields in the form is the "name of the region".&lt;/p&gt;&lt;/li&gt;
&lt;li&gt;&lt;p&gt;The task falls into view for region.&lt;/p&gt;&lt;/li&gt;
&lt;li&gt;&lt;p&gt;Employees can take over the task from the view for their region. &lt;/p&gt;&lt;/li&gt;
&lt;/ol&gt;
&lt;p&gt;I have MAIN data model named &lt;code&gt;Service&lt;/code&gt; where embedded is form for submitting a task.&lt;br&gt;
I also have data dictionary modal, where I have imported data about employee and his region. &lt;/p&gt;
&lt;p&gt;&lt;strong&gt;Questions:&lt;/strong&gt;  &lt;/p&gt;
&lt;ul&gt;
&lt;li&gt;How to create a view for employees from certain region?&lt;/li&gt;
&lt;li&gt;Should I do some relation? &lt;/li&gt;
&lt;/ul&gt;
&lt;p&gt;&lt;strong&gt;&lt;em&gt;EDIT&lt;/em&gt;&lt;/strong&gt;: I have tried to do datasource on Service modal and write some query doing filters, but I don't exactly understand how the query works. &lt;/p&gt;
&lt;p&gt;&lt;strong&gt;&lt;em&gt;EDIT 2&lt;/em&gt;&lt;/strong&gt;: This is how modals look like: &lt;/p&gt;
&lt;p&gt;&lt;strong&gt;Service:&lt;/strong&gt;&lt;br&gt;
&lt;img src="https://i.stack.imgur.com/NkgaN.png" alt="1"&gt; &lt;/p&gt;
&lt;p&gt;&lt;strong&gt;DOT:&lt;/strong&gt;&lt;br&gt;
&lt;img src="https://i.stack.imgur.com/eKZcA.png" alt="2"&gt;&lt;/p&gt;
</t>
  </si>
  <si>
    <t xml:space="preserve">&lt;p&gt;The way to go here probably would be to have a datasource under your Service model that filters your Service records on Province via a subquery of the DOT model. This can be accomplished via a query server script in this datasource.&lt;/p&gt;
&lt;p&gt;Example code would be (recall that 'query' is a default variable for the current model server script so the subquery needs it's own variable):&lt;/p&gt;
&lt;pre&gt;&lt;code&gt;var DOTmodelquery = app.models.DOT.newQuery();
DOTmodelquery.filters.email._equals = Session.getActiveUser().getEmail();
var result = DOTmodelquery.run();
if (result === undefined || result.length === 0) {
  throw new app.ManagedError('Could not retrieve user to perform this query!');
} else if (result[0].Province === null) {
  throw new app.ManagedError('User does not have a Province value to perform this query!');
} else {
  query.filters.Province._equals = result[0].Province;
}
return query.run();
&lt;/code&gt;&lt;/pre&gt;
&lt;p&gt;Not sure that a relationship between Service and DOT would be the way to go here but you could possibly consider establishing a Province model and then having a relationship between Province-Service and Province-DOT and then try running a query in Service like so &lt;code&gt;query.filters.Province.DOT.email._equals = Session.getActiveUser().getEmail();&lt;/code&gt;. Hopefully this will get you what you were hoping for.&lt;/p&gt;
</t>
  </si>
  <si>
    <t xml:space="preserve">&lt;p&gt;App Maker has a &lt;a href="https://developers.google.com/appmaker/ui/input-widgets#user-picker" rel="nofollow noreferrer"&gt;User Picker widget&lt;/a&gt; that connects to the domain directory (nice) but the documentation says nothing about what happens when a user goes missing.&lt;/p&gt;
&lt;p&gt;The obvious example is an employee leaving the company and being deleted after some safe period (3 months for us).&lt;/p&gt;
&lt;p&gt;What would happend in the App Maker application in such case when there are records that the User Picker based field points to a user that no longer exists?&lt;/p&gt;
&lt;p&gt;Super crash? Validation problems? Random ugly numeric ID shown instead of the old username?&lt;/p&gt;
&lt;p&gt;Has anyone faced this?&lt;/p&gt;
&lt;p&gt;thanks,
marc&lt;/p&gt;
</t>
  </si>
  <si>
    <t xml:space="preserve">&lt;p&gt;Ultimately I want to filter based on values pulled from a form, but for now, hardcoding it, this isn't working. The tricky part is that which fields are being fitlered on is also dynamic:&lt;/p&gt;
&lt;p&gt;m1 and m2 are the metadata fields, v1 and v2 are the value fields.&lt;/p&gt;
&lt;p&gt;What I have is this:&lt;/p&gt;
&lt;pre&gt;&lt;code&gt;function basicQuery (m1, m2, v1, v2){
  var results = [];
  var query = app.models.DATASOURCE.newQuery();
  query.filters.m1._contains = v1;
  query.filters.m2._contains = v2;
  return query.run();
}
&lt;/code&gt;&lt;/pre&gt;
&lt;p&gt;This throws "TypeError: Cannot set property "_contains" of undefined to "Textvalue". But while v1 and v2 are being correctly recognized, m1 and m2 are not.I think what I need is something like&lt;/p&gt;
&lt;pre&gt;&lt;code&gt;m1 = app.model.DATASOURCE.getField(m1);
&lt;/code&gt;&lt;/pre&gt;
&lt;p&gt;None of the tutorials I watched were quite what I wanted, if someone can point me in the right direction I'd be thrilled.&lt;/p&gt;
&lt;p&gt;I just need to dynamically filter my table. &lt;/p&gt;
&lt;p&gt;(adding the handler function, although I don't think this is the problem):&lt;/p&gt;
&lt;pre&gt;&lt;code&gt;function handleBasicQuery(){ 
  var m1 = "document_name";
  var v1 ="TextValue";
  var m2 = "Region";
  var v2 = "North America";
  console.log("--handleBasicQuery--");
  google.script.run.withSuccessHandler(
    function successHandler(expectedValue){
      console.Log (expectedValue);})
  .withFailureHandler(
    function failureHandler(){
      console.log("undefined");})
  .basicQuery(m1, m2, v1, v2);
}
&lt;/code&gt;&lt;/pre&gt;
</t>
  </si>
  <si>
    <t xml:space="preserve">&lt;p&gt;Beginner in Salesforce so please bear with me.
I have created a lightning component and I would like to display on a page a value as returned by a component controller.&lt;/p&gt;
&lt;pre&gt;&lt;code&gt;public class My_Controller { 
@AuraEnabled
public static Decimal getRate(String currFrom, String currTo) {
Decimal value = 1.067773;
return value;  
}
}
&amp;lt;aura:component controller="My_Controller"&amp;gt;
&amp;lt;lightning:input type="string" name="res" aura:id="res" value= " 
{!c.My_Controller.getRate('A', 'B')}" label="Result"/&amp;gt;
&lt;/code&gt;&lt;/pre&gt;
&lt;p&gt;But it could not be so simple :) as I get: "Failed to save Rate.cmp: unexpected token: '(' at column 46 of expression: c.My_Controller.getRate('A', 'B'): Source"&lt;/p&gt;
&lt;p&gt;What is the proper way to call the method?&lt;/p&gt;
</t>
  </si>
  <si>
    <t xml:space="preserve">&lt;p&gt;You cannot call an Apex server controller method directly from Lightning clientside markup.&lt;/p&gt;
&lt;p&gt;Instead, you'd need to declare an &lt;a href="https://developer.salesforce.com/docs/atlas.en-us.lightning.meta/lightning/ref_aura_attribute.htm" rel="nofollow noreferrer"&gt;&lt;code&gt;&amp;lt;aura:attribute&amp;gt;&lt;/code&gt;&lt;/a&gt; in your component markup and bind the value to that attribute.&lt;/p&gt;
&lt;pre&gt;&lt;code&gt;&amp;lt;aura:attribute name="rate" type="String" /&amp;gt;
&amp;lt;lightning:input type="string" name="res" aura:id="res" value="{! v.rate }" label="Result"/&amp;gt;
&lt;/code&gt;&lt;/pre&gt;
&lt;p&gt;Then, your JavaScript client-side controller needs to make a &lt;a href="https://developer.salesforce.com/docs/atlas.en-us.lightning.meta/lightning/controllers_server_actions_call.htm" rel="nofollow noreferrer"&gt;server-side call&lt;/a&gt;, asynchronously, to get the value from Apex. Finally, the Lightning JavaScript callback from that async method would populate the return value into the &lt;code&gt;&amp;lt;aura:attribute&amp;gt;&lt;/code&gt;, and the framework's data binding infrastructure will take care of updating the &lt;code&gt;&amp;lt;lightning:input&amp;gt;&lt;/code&gt;.&lt;/p&gt;
&lt;p&gt;It sounds complex, but it's mostly boilerplate code. The documentation linked above includes detailed examples.&lt;/p&gt;
</t>
  </si>
  <si>
    <t xml:space="preserve">&lt;p&gt;I'm trying to use the Admin SDK Reports Service to get the last login time and some other data for 20 users. It's not feasible to get the data for the whole domain and then filter down due to the size of the domain, so I want to get the data for only these 20 users, but I can't seem to find a way to do that. My current code fails with &lt;code&gt;Admin user usage reports get failed with error: GoogleJsonResponseException: API call to reports.userUsageReport.get failed with error: Bad Request
&lt;/code&gt;&lt;/p&gt;
&lt;p&gt;I know this is wrong but looking at the docs I'm not sure what to do. I can use one user and that works fine on the website, but it seems weird that the only option would be to get all users or one user. I tried to modify my code to get one user multiple times in a loop, but fails with the above error. the &lt;code&gt;userList&lt;/code&gt; value is pulled from a table in the AppMaker user interface. I can also use the documentation website's API explorer with no problems.&lt;/p&gt;
&lt;p&gt;Here's my current function:&lt;/p&gt;
&lt;pre class="lang-js prettyprint-override"&gt;&lt;code&gt;function generateLoginActivityReport(userList) {
  var today = new Date();
  var oneWeekAgo = new Date(today.getTime() - (7 * 24 * 60 * 60 * 1000));
  var timezone = Session.getScriptTimeZone();
  var date = Utilities.formatDate(oneWeekAgo, timezone, 'yyyy-MM-dd');
  userList = JSON.parse(userList);
  //console.log("server code: " + list);
  for (var a = 0; a &amp;lt; userList.length; a++) {
    //console.log(userList[a]);
    var parameters = [
      'accounts:last_login_time',
      'drive:num_items_created'
    ];
    var rows = [];
    var pageToken;
    var page;
    do {
    page = AdminReports.UserUsageReport.get('all', date, {
      parameters: parameters.join(','),
      maxResults: 1,
      pageToken: pageToken,
      userKey: userList[a]
    });
    var reports = page.usageReports;
    if (page.warnings) {
      for (var q = 0; q &amp;lt; page.warnings.length; q++) {
        var warning = page.warnings[a];
        Logger.log(warning.message);
      }
    }
    if (reports) {
      for (var i = 0; i &amp;lt; reports.length; i++) { 
        var report = reports[i];
        try {
          var parameterValues = getParameterValues(report.parameters);
          var row = [
            report.date,
            report.entity.userEmail,
            parameterValues['accounts:last_login_time'],
            //parameterValues['drive:num_items_created']
          ];
          rows.push(row);
          var ar = app.models.ActivityReport.newRecord();
          ar.LastLogin = parameterValues['accounts:last_login_time'];
          console.log(report.entity.userEmail);
          ar.DocsAdded = 0; //getting this value is another issue but unrelated so it's set to 0 for now.
          ar.Email = report.entity.userEmail.toString();
          app.saveRecords([ar]);
        }
        catch(error) {
          console.error("Error! Did not write last item to model: \n"+error);
        }
      }
    }
  } while (pageToken);
  }
}
&lt;/code&gt;&lt;/pre&gt;
</t>
  </si>
  <si>
    <t xml:space="preserve">&lt;p&gt;The problem is caused by the way how you call the method &lt;code&gt;AdminReports.UserUsageReport()&lt;/code&gt;.
The right syntax is:&lt;/p&gt;
&lt;pre&gt;&lt;code&gt;AdminReports.UserUsageReport.get(userKey, date, optionalArgs) 
&lt;/code&gt;&lt;/pre&gt;
&lt;p&gt;Thus, you need to substitute the userkey &lt;code&gt;‘all’&lt;/code&gt; through &lt;code&gt;userList[a]&lt;/code&gt;, rather than inserting the &lt;code&gt;userkey&lt;/code&gt; in the parameters:&lt;/p&gt;
&lt;pre&gt;&lt;code&gt;page = AdminReports.UserUsageReport.get(userList[a], date, {
  parameters: parameters.join(','),
  maxResults: 1,
  pageToken: pageToken,
});
&lt;/code&gt;&lt;/pre&gt;
</t>
  </si>
  <si>
    <t xml:space="preserve">&lt;p&gt;I have multiple SharePoint lists and the data is entered from PowerApps forms.
One form is for supervisor and the others are for the areas (workers).
I would like to send some information from the area forms (DataCardValue) into the supervisor form. &lt;/p&gt;
&lt;p&gt;I have tried using variables for each of the data points with a icon on the supervisors form that has a If statement that checks the date on the area form and supervisor's match, If this is true the variable is placed into the DataCardValue in the supervisor's form if not it reads data from the SharePoint list. This works but to refresh the variables PowerApps needs to be shutdown and restarted and all area form need to be entered before the supervisor can transfer the data across &lt;/p&gt;
&lt;p&gt;The following is the variables collection from icon: &lt;/p&gt;
&lt;pre&gt;&lt;code&gt;    Set(ERDate,DataCardValue29.Text);
    Set(SVDate,DataCardValue152.Text);
    If(
       ERDate = SVDate,
       Set(ERD1,DataCardValue84.Text);
       Set(ERD2,DataCardValue85.Text);
       Set(ERD3,DataCardValue86.Text);
       Set(ERD4,DataCardValue87.Text);
       Set(ERD5,DataCardValue88.Text)
      )
&lt;/code&gt;&lt;/pre&gt;
&lt;p&gt;In the DataCardValue Default: &lt;/p&gt;
&lt;pre&gt;&lt;code&gt;   If(
      !IsBlank(ThisItem.ERDelay1) = true,
      Parent.Default,
      ERD1
     )
&lt;/code&gt;&lt;/pre&gt;
&lt;p&gt;I would expected to be able to transfer the data from the area forms into the supervisors if the date and shift (Day or Night) match on both forms&lt;/p&gt;
</t>
  </si>
  <si>
    <t xml:space="preserve">&lt;p&gt;In the Salesforce Bulk API &lt;a href="https://developer.salesforce.com/docs/atlas.en-us.api_asynch.meta/api_asynch/asynch_api_intro.htm" rel="nofollow noreferrer"&gt;documentation&lt;/a&gt; there are examples of how to do insert, upsert, update, and query operations. But examples on delete operation is not available.  &lt;/p&gt;
&lt;p&gt;In the bulk API documentation it says;&lt;/p&gt;
&lt;blockquote&gt;
  &lt;p&gt;Bulk API is based on REST principles and is optimized for loading or deleting large sets of data. You can use it to query, queryAll, insert, update, upsert, or delete many records asynchronously by submitting batches. Salesforce processes batches in the background.&lt;/p&gt;
&lt;/blockquote&gt;
&lt;p&gt;But delete and queryAll documentation and examples are missing. Can someone provide an example on delete operation?&lt;/p&gt;
</t>
  </si>
  <si>
    <t xml:space="preserve">&lt;p&gt;&lt;b&gt;Context&lt;/b&gt;
Using Outsystems 11. I have an external REST API that is being consumed by my application, and a corresponding database table on SQL Server that matches the expected data type coming in from the API fields. However, I need to truncate some of the data from the API since it is exceeding spec. &lt;/p&gt;
&lt;p&gt;&lt;b&gt;Question&lt;/b&gt;
Is there a way to dynamically read an entity's length attribute so that I don't have to hard code length into the app?&lt;/p&gt;
&lt;p&gt;&lt;b&gt;What I've tried&lt;/b&gt;
Text LENGTH function&lt;/p&gt;
&lt;p&gt;Example:&lt;/p&gt;
&lt;pre&gt;&lt;code&gt;ArticleOut.Title = Substr(ArticleIn.Title,0,Length(ArticleOut.Title))
ArticleOut.Description = Substr(ArticleIn.Description,0,Length(ArticleOut.Description))
&lt;/code&gt;&lt;/pre&gt;
&lt;p&gt;The Length function call is returning a length of 0 since there is no data in the field yet - and I hoped for it to return the entity attribute length.&lt;/p&gt;
</t>
  </si>
  <si>
    <t xml:space="preserve">&lt;p&gt;Find the table and attribute using entities &lt;code&gt;Entity&lt;/code&gt; and &lt;code&gt;Entity_Attr&lt;/code&gt; from &lt;code&gt;(System)&lt;/code&gt; component.&lt;/p&gt;
&lt;p&gt;&lt;code&gt;Entity_Attr&lt;/code&gt; entity has one filed &lt;em&gt;Length&lt;/em&gt; that should be what you're looking for.&lt;/p&gt;
</t>
  </si>
  <si>
    <t xml:space="preserve">&lt;p&gt;When I use lightning inline editable data table component, the status bar would cover the edit panel.&lt;/p&gt;
&lt;p&gt;&lt;a href="https://i.stack.imgur.com/Pf1ur.png" rel="nofollow noreferrer"&gt;&lt;img src="https://i.stack.imgur.com/Pf1ur.png" alt="enter image description here"&gt;&lt;/a&gt;&lt;/p&gt;
&lt;p&gt;I think it might is a SLDS bug.&lt;/p&gt;
</t>
  </si>
  <si>
    <t xml:space="preserve">&lt;p&gt;I ran into this problem as well.  I agree that I think it is a CSS issue on the SLDS side.&lt;/p&gt;
&lt;p&gt;I'm using a lightning:datatable with inline editing, and I noticed that the footer bar div with the Cancel/Save buttons is using the 'slds-docked-form-footer' class, which sets the z-index at 8000.&lt;/p&gt;
&lt;p&gt;Crawling up from the datepicker I noticed that the "table cell" contains a section element that has inline styling setting the z-index to 7002.  That section element also has a class of "slds-popover_edit", so my workaround solution was to put this into my lightning component's css file:&lt;/p&gt;
&lt;pre&gt;&lt;code&gt;.THIS section.slds-popover_edit {
    z-index: 9999 !important;
}
&lt;/code&gt;&lt;/pre&gt;
&lt;p&gt;Hope this helps, or that you've found a better solution by now.  I'm going to test my page to make sure this change didn't have any unintended consequences.&lt;/p&gt;
</t>
  </si>
  <si>
    <t xml:space="preserve">&lt;p&gt;I am trying to validate a string with regex. that the string should contain only the listed words and characters. &lt;/p&gt;
&lt;p&gt;(i.e) the string can accept and, or, not, numbers, (,) and blankspace.&lt;/p&gt;
&lt;p&gt;I tried with a regular expression but its not working as expected. &lt;/p&gt;
&lt;pre&gt;&lt;code&gt;/(\d|and|or|not|\(|\)|\s)*/
&lt;/code&gt;&lt;/pre&gt;
&lt;p&gt;when i am using this in salesforce lightning component &lt;code&gt;controller.js&lt;/code&gt; its is not providing the expexted result.&lt;/p&gt;
&lt;pre&gt;&lt;code&gt;input : 1 and ( 2 or 3 )
expected output : true
input : 1 aaa ( 2 or 3 )
expected output : false
&lt;/code&gt;&lt;/pre&gt;
&lt;p&gt;thanks in advance.&lt;/p&gt;
</t>
  </si>
  <si>
    <t xml:space="preserve">&lt;p&gt;I have a compile error with this assignment:&lt;/p&gt;
&lt;pre&gt;&lt;code&gt;Calendar definition in render() method of xx.tsx file:
 &amp;lt;Calendar
          onSelectDate={this._onSelectDate} ......
    &amp;lt;
&lt;/code&gt;&lt;/pre&gt;
&lt;p&gt;Definitions:&lt;/p&gt;
&lt;pre&gt;&lt;code&gt;onSelectDate?: (date: Date, selectedDateRangeArray?: Date[]) =&amp;gt; void;
private _onSelectDate(date: Date, dateRangeArray: Date[]): void {
    this.setState((prevState: ICalendarInlineExampleState) =&amp;gt; {
      return {
        selectedDate: date,
        selectedDateRange: dateRangeArray
      };
    });
&lt;/code&gt;&lt;/pre&gt;
&lt;p&gt;I have tried other components of fabric-ui-react that use strings or number variables and it was ok. I am new to react it's probably some concepts that I am not really familiar. &lt;/p&gt;
&lt;p&gt;My goal is to use Calendar component in conjunction with powerapps component framework to add deploy it as a solution to be used as a dates display feature.&lt;/p&gt;
</t>
  </si>
  <si>
    <t xml:space="preserve">&lt;p&gt;I'm working on a PowerApp which need to generate and print the barcodes. Currently, I've generated barcodes using web API which is returning me the barcode as a PNG image. Now, need to print this barcode from printer. I search much on this and couldn't find the solution yet , I found some posts like &lt;a href="https://powerusers.microsoft.com/t5/PowerApps-Ideas/Printing/idi-p/846" rel="nofollow noreferrer"&gt;https://powerusers.microsoft.com/t5/PowerApps-Ideas/Printing/idi-p/846&lt;/a&gt; , saying that printing is not available now. But, it is a old post, I need the latest update on printing and when it will be available. Also please let me know any other way around to achieve printing from the PowerApp, so I could instantly print the barcodes. &lt;/p&gt;
</t>
  </si>
  <si>
    <t xml:space="preserve">&lt;p&gt;Its not a way to &lt;strong&gt;directly&lt;/strong&gt; print, but you could:&lt;/p&gt;
&lt;ul&gt;
&lt;li&gt;&lt;p&gt;Use Flow to call the barcode API and convert the .png to .pdf using the &lt;a href="https://us.flow.microsoft.com/en-us/galleries/public/templates/0ffc6d1b79ea481bbbc820df7273f303/convert-a-file-to-pdf-using-onedrive-for-business/" rel="nofollow noreferrer"&gt;OneDrive Actions&lt;/a&gt;&lt;/p&gt;&lt;/li&gt;
&lt;li&gt;&lt;p&gt;Use Flow to call the bacrcode API and convert the .png to .pnf then email it to user so they can print.&lt;/p&gt;&lt;/li&gt;
&lt;/ul&gt;
&lt;p&gt;Hope this helps!&lt;/p&gt;
</t>
  </si>
  <si>
    <t xml:space="preserve">&lt;p&gt;&lt;a href="https://i.stack.imgur.com/z5uB0.png" rel="nofollow noreferrer"&gt;&lt;img src="https://i.stack.imgur.com/z5uB0.png" alt="enter image description here"&gt;&lt;/a&gt;&lt;/p&gt;
&lt;p&gt;I'm working on a project where I have to show all the history of those fields. I am using google cloud sql data model. I was trying to filter the history. So that the user can filter the data by the system, or date or objective or (all three or two fields)&lt;/p&gt;
&lt;p&gt;So far I understand that I have to edit the query script. But I don't understand how to bind those query script with the specific page of the app and how to read the filter's from user.&lt;/p&gt;
</t>
  </si>
  <si>
    <t xml:space="preserve">&lt;p&gt;So say I am using a form to build a query against my datasource (i've come so far in two weeks! I can do this!), how do I make it more complex?&lt;/p&gt;
&lt;p&gt;What if I want books by austen that include the word "pride" AND books by gabaldon that contain the word "Snow"&lt;/p&gt;
&lt;p&gt;the individual queries would be&lt;/p&gt;
&lt;pre&gt;&lt;code&gt;widget.datasource.query.filters['author']._contains = "austen";
widget.datasource.query.filters['title']._contains = "pride";
&lt;/code&gt;&lt;/pre&gt;
&lt;p&gt;and&lt;/p&gt;
&lt;pre&gt;&lt;code&gt;widget.datasource.query.filters['author']._contains = "gabaldon";
widget.datasource.query.filters['title']._contains = "snow";
&lt;/code&gt;&lt;/pre&gt;
&lt;p&gt;in pseudosql it would be&lt;/p&gt;
&lt;pre&gt;&lt;code&gt;select * from table
where
((author like 'austen') and (title like 'snow'))
or
((author like 'gabaldon') and (title like 'pride')) 
&lt;/code&gt;&lt;/pre&gt;
&lt;p&gt;Is there a way to  filter a data source on a complex query like this and cut out the whole widget.datasource aspect? I'd be fine with using a calculated table.&lt;/p&gt;
&lt;p&gt;&lt;strong&gt;Edit&lt;/strong&gt;: Ok i'm making some progress towards the kind of functionality I need, can anyone tell me why this works:&lt;/p&gt;
&lt;pre&gt;&lt;code&gt;widget.datasource.query.filters.document_name._contains = 'x';
&lt;/code&gt;&lt;/pre&gt;
&lt;p&gt;but this does not?&lt;/p&gt;
&lt;pre&gt;&lt;code&gt;widget.datasource.query.parameters.v1 = "x";
widget.datasource.query.where = 'document_name contains :v1';
&lt;/code&gt;&lt;/pre&gt;
&lt;p&gt;this also doesn't work:&lt;/p&gt;
&lt;pre&gt;&lt;code&gt;widget.datasource.query.where = 'document_name contains "x"';
&lt;/code&gt;&lt;/pre&gt;
</t>
  </si>
  <si>
    <t xml:space="preserve">&lt;p&gt;We have an Azure SQL DB and are currently using MSAccess as a user interface. I am investigating using PowerApps instead for better portability and have created a test PowerApp connected to an Azure SQL Database.&lt;/p&gt;
&lt;p&gt;When I share the App the other users are not being asked to provide credentials and instead are connecting using my security rights (my SQL Server connector).&lt;/p&gt;
&lt;p&gt;I added the PowerApps connector to SQL SERVER - Connect Directly (cloud services), enter our server mytestserver.database.windows.net, 1433, database name, user name and password.&lt;/p&gt;
&lt;p&gt;Built a quick form then shared it with another user who does not have any rights to access the Azure SQL Database. &lt;/p&gt;
&lt;p&gt;Is it possible to force a user to login and if so how do I implement it?&lt;/p&gt;
&lt;p&gt;&lt;strong&gt;EDIT&lt;/strong&gt; As of 2019-08-01 Microsoft has announce that Azure AD-based authentication for SQL Server databases is planned for PowerApps and Microsoft Flow. Public preview: October 2019, General availability December 2019.&lt;/p&gt;
&lt;p&gt;Following is a link to the post.&lt;/p&gt;
&lt;p&gt;&lt;a href="https://docs.microsoft.com/en-us/power-platform-release-plan/2019wave2/cdm-data-integration/better-enterprise-connectivity-sql-server" rel="nofollow noreferrer"&gt;https://docs.microsoft.com/en-us/power-platform-release-plan/2019wave2/cdm-data-integration/better-enterprise-connectivity-sql-server&lt;/a&gt;&lt;/p&gt;
</t>
  </si>
  <si>
    <t xml:space="preserve">&lt;p&gt;&lt;a href="https://powerusers.microsoft.com/t5/PowerApps-Ideas/Making-SQL-Connector-Secure/idi-p/112599" rel="nofollow noreferrer"&gt;This is a known issue with PowerApps&lt;/a&gt; and db credentials. You really don't have a choice here if your users are savvy. As soon as you share an app that has SQL Credentials with them, they can create their &lt;strong&gt;own PowerApp&lt;/strong&gt; and reuse the ConnecTION with whatever permissions the SQL User for the ConnecTION has. &lt;/p&gt;
&lt;p&gt;One thing I've seen people do is:&lt;/p&gt;
&lt;ol&gt;
&lt;li&gt;&lt;a href="https://docs.microsoft.com/en-us/connectors/azuread/#check-group-membership" rel="nofollow noreferrer"&gt;Add the Active Directory Connector&lt;/a&gt; to your PowerApp&lt;/li&gt;
&lt;li&gt;Create your own login screen&lt;/li&gt;
&lt;li&gt;Check to see if user is part of an AD Security Group via your login screen before they can access the SQL area of the app.&lt;/li&gt;
&lt;/ol&gt;
&lt;p&gt;I don't particularly like this method because the AD Connector doesn't have any way to authenticate users. User just passes it an email address.&lt;/p&gt;
&lt;p&gt;This does not mitigate the shared ConnecTION issue noted above, but may give you some piece of mind.&lt;/p&gt;
&lt;p&gt;Another option that comes to mind is to only give the PowerAppsSql user Read access to the database. Force the user write to a Sharepoint list instead, then use Flow under &lt;strong&gt;your creds&lt;/strong&gt; to Write to the DB (Crazy work around, I know, but I'm trying to help here :) ).&lt;/p&gt;
&lt;p&gt;Hope some of this helps!&lt;/p&gt;
</t>
  </si>
  <si>
    <t xml:space="preserve">&lt;p&gt;I have a screen and it contains 2 web blocks when I click a link in my web block A, I need to show the web block B on the screen. Can I possibly do that? How? I am new to Outsystems and stuck up on this. I am thinking is it possible? Thanks for any help?&lt;/p&gt;
</t>
  </si>
  <si>
    <t xml:space="preserve">&lt;p&gt;Enclose your webblock B in an IF binded to a Boolean variable let's say &lt;code&gt;Show&lt;/code&gt;.&lt;/p&gt;
&lt;p&gt;Then, right click on your webblock A, create a link to a new screen action. Then on your screen action change the value of the &lt;code&gt;Show&lt;/code&gt; variable and use an &lt;code&gt;Ajax Refresh&lt;/code&gt; to refresh your If created earlier. Don't forget to give a name to the IF so that you can refer in in the &lt;code&gt;Ajax Refresh&lt;/code&gt; widget.&lt;/p&gt;
</t>
  </si>
  <si>
    <t xml:space="preserve">&lt;p&gt;i have to write a query to get all the approval processes on a specific xyz__c custom object&lt;/p&gt;
&lt;p&gt;select Name from ProcessDefinition &lt;/p&gt;
&lt;p&gt;the above query display all objects approval processes .but i need specific approval process on a particular object&lt;/p&gt;
</t>
  </si>
  <si>
    <t xml:space="preserve">&lt;p&gt;I am using Dragula for drag and drop operation on salesforce sObject records. For some records the table data is pointing perfectly but for some records,the same code is pointing to the entire component rather than the selected row and showing 
"one-record-home-flexipage2"
"$$OwnKey$$: 48"&lt;/p&gt;
&lt;p&gt;Not at all an issue with access permissions it is working fine for some other records&lt;/p&gt;
&lt;pre&gt;&lt;code&gt;var n = y("clientX", e)
t = y("clientY", e)
r = x.elementFromPoint(n, t);
r = x.elementFromPoint(n, t);
&lt;/code&gt;&lt;/pre&gt;
&lt;p&gt;R should give me table data like below&lt;/p&gt;
&lt;p&gt;span
accessKey: ""
ariaActiveDescendant: (...)&lt;/p&gt;
&lt;p&gt;But I am getting this OwnKey
"one-record-home-flexipage2"
"$$OwnKey$$: 48"&lt;/p&gt;
</t>
  </si>
  <si>
    <t xml:space="preserve">&lt;p&gt;I am trying to display clicked record in detail and I need clicked div's key value for that.&lt;/p&gt;
&lt;p&gt;I tried using event.target.value, but it is giving me 0 as value.&lt;/p&gt;
&lt;p&gt;HTML Code&lt;/p&gt;
&lt;pre&gt;&lt;code&gt;&amp;lt;div class="slds-scrollable_y" style="height:300px"&amp;gt;
    &amp;lt;template
        for:each={contacts.data}
        for:item="contact"
    &amp;gt;
        &amp;lt;div
            class="slds-p-top_small"
            key={contact.Id}
            onclick={handleContactClick}
            id={contact.Id}
        &amp;gt;
            &amp;lt;ul&amp;gt;
                &amp;lt;li class="slds-item"&amp;gt;
                    {contact.Name}
                &amp;lt;/li&amp;gt;
                &amp;lt;li class="slds-item"&amp;gt;
                    {contact.Phone}
                &amp;lt;/li&amp;gt;
            &amp;lt;/ul&amp;gt;
            &amp;lt;div class="slds-p-top_small"&amp;gt;
                &amp;lt;hr&amp;gt;
            &amp;lt;/div&amp;gt;
        &amp;lt;/div&amp;gt;
    &amp;lt;/template&amp;gt;
&amp;lt;/div&amp;gt;
&lt;/code&gt;&lt;/pre&gt;
&lt;p&gt;Javascript file&lt;/p&gt;
&lt;pre&gt;&lt;code&gt;import { LightningElement, track, wire } from 'lwc';
import searchContacts from '@salesforce/apex/ContactsListController.searchContacts'
export default class ContactList extends LightningElement {
    @track searchTerm = ''
    @track contacts
    @track selectedContact = ''
    @wire(searchContacts, { searchTerm: '$searchTerm' })
    loadContacts(result) {
        this.contacts = result
    }
    handleContactSearch(event){
        //Debounce the method
        window.clearTimeout(this.delayTimeout)
        const searchTerm = event.target.value;
        // eslint-disable-next-line @lwc/lwc/no-async-operation
        this.delayTimeout = setTimeout(() =&amp;gt; {
            this.searchTerm = searchTerm
        }, 300)
    }
    handleContactClick(event){
        // eslint-disable-next-line no-console
        console.log(event.target.value);
        this.selectedContact = event.target.value;
    }
    checkIfEmpty(){
        // eslint-disable-next-line eqeqeq
        return this.selectedcontact == '';
    }
}
&lt;/code&gt;&lt;/pre&gt;
&lt;p&gt;I expected event.target.value to provide contact's id but it is returning 0.&lt;/p&gt;
</t>
  </si>
  <si>
    <t xml:space="preserve">&lt;p&gt;You should try to use the &lt;code&gt;id&lt;/code&gt; of the clicked &lt;code&gt;&amp;lt;div&amp;gt;&lt;/code&gt;:&lt;/p&gt;
&lt;pre&gt;&lt;code&gt;handleContactClick(event){
    // eslint-disable-next-line no-console
    console.log(event.currentTarget.id);
    this.selectedContact = event.currentTarget.id;
}
&lt;/code&gt;&lt;/pre&gt;
&lt;p&gt;&lt;strong&gt;Update&lt;/strong&gt;&lt;/p&gt;
&lt;p&gt;Replaced target with currentTarget according to the comment&lt;/p&gt;
</t>
  </si>
  <si>
    <t xml:space="preserve">&lt;p&gt;I know that using widget.getFullPath() method, we can retrieve the full path of a widget as a string in the format "pagename.child1name.child2name....childNname.widgetname".
I am trying to find a way for using this string to access the original widget.
I was successful using this:&lt;/p&gt;
&lt;p&gt;app.pages["pagename"].children["child1name"].children["child2name"]....children["childNname"].children["widgetname"].text = "some text";&lt;/p&gt;
&lt;p&gt;but I don't know how to change this in a more general function, independent by the depth of  the path.
Any idea would be very much appreciated. Thank you.&lt;/p&gt;
</t>
  </si>
  <si>
    <t xml:space="preserve">&lt;p&gt;&lt;strong&gt;Context&lt;/strong&gt;: I'm working with student grade data and each students final grade is equal to :&lt;/p&gt;
&lt;pre&gt;&lt;code&gt;average[max(Assignment1_submission#1, Assignment1_submission#2)+max(Assignment2_submission#1, Assignment1_submission#2)+...+max(Assignmentn_submission#1, Assignmentn_submission#2)]
&lt;/code&gt;&lt;/pre&gt;
&lt;p&gt;I'm trying to find a way of calculating that metric in QuickBase. I'd assume this is in Table-to-table relationships in QuickBase.&lt;/p&gt;
&lt;p&gt;Any help is much appreciated!&lt;/p&gt;
</t>
  </si>
  <si>
    <t xml:space="preserve">&lt;p&gt;Yes, you would want to use table relationships to do this Quick Base.&lt;/p&gt;
&lt;p&gt;You should have a Students table, an Assignments table and Submissions table with these relationships: Students &amp;lt; Assignments &amp;lt; Submissions. &lt;/p&gt;
&lt;p&gt;You can use a summary field on the relationship between Assignments and Submissions to get the [Max Score] for all Submissions of that Assignment for that Student, then you can use another summary field on the relationship between Students and Assignments by using that [Max Score] for each Assignment to get the [Average Score] for each Student.&lt;/p&gt;
&lt;p&gt;Hope that helps.
-Erich&lt;/p&gt;
</t>
  </si>
  <si>
    <t xml:space="preserve">&lt;p&gt;I have a Lightning Aura component that is added on the Opportunity record detail page. When I update an Opportunity record and refresh the page, the below error pops up. &lt;/p&gt;
&lt;blockquote&gt;
  &lt;p&gt;Uncaught Error in $A.getCallback() [Value is not a string, ObjectId, or FieldId.]&lt;/p&gt;
  &lt;p&gt;throws at &lt;a href="https://xxxinstance.lightning.force.com/auraFW/javascript/dOMRLHt4yryfVjId3qhSww/aura_prod.js:43:15" rel="nofollow noreferrer"&gt;https://xxxinstance.lightning.force.com/auraFW/javascript/dOMRLHt4yryfVjId3qhSww/aura_prod.js:43:15&lt;/a&gt;. Caused by: Error in $A.getCallback() [Value is not a string, ObjectId, or FieldId.]&lt;/p&gt;
&lt;/blockquote&gt;
&lt;p&gt;&lt;img src="https://i.stack.imgur.com/AHsW3.png" alt="enter image description here"&gt;&lt;/p&gt;
&lt;p&gt;I see the console log and even after enabling Lightning debug mode, I don't see any error in the console and neither in the debug logs.&lt;/p&gt;
</t>
  </si>
  <si>
    <t xml:space="preserve">&lt;pre&gt;&lt;code&gt; var action = component.get("c.getChecklist");        
        action.setParams({
            "recordId" : component.get("v.recordId")
        });        
        action.setCallback(this, function(a) {
            if (a.getState() === "SUCCESS") {
                if(component.isValid()) {
                    var returnValue = a.getReturnValue();
                    if(returnValue != null){
                    else{                         
                    }                        
                }
            }
        });             
        $A.enqueueAction(action);
&lt;/code&gt;&lt;/pre&gt;
</t>
  </si>
  <si>
    <t xml:space="preserve">&lt;p&gt;Currently I am working on Drupal-8.6.17 and Lightning 3.2.9&lt;/p&gt;
&lt;p&gt;I am trying to update my lightning version 3.2.9 to 3.3.0(Core 8.6.17 to 8.7)
&lt;code&gt;taxonomy_term_field_data&lt;/code&gt; table &lt;code&gt;status&lt;/code&gt; value is already 1&lt;/p&gt;
&lt;p&gt;Display the error while run &lt;code&gt;drush updb&lt;/code&gt;&lt;/p&gt;
&lt;blockquote&gt;
  &lt;p&gt;Error: Call to a member function setRevisionable() on null in
  /var/www/mysite/docroot/core/modules/taxonomy/taxonomy.post_update.php&lt;/p&gt;
&lt;/blockquote&gt;
&lt;p&gt;&lt;strong&gt;Reproduce Error Steps:&lt;/strong&gt;&lt;/p&gt;
&lt;pre&gt;&lt;code&gt;composer require acquia/lightning:~3.3.0 --no-update
composer update
drush updb
&lt;/code&gt;&lt;/pre&gt;
&lt;p&gt;Please suggest me!&lt;/p&gt;
</t>
  </si>
  <si>
    <t xml:space="preserve">&lt;p&gt;Now I am resolved this issue by checked not empty of &lt;code&gt;description&lt;/code&gt; field.&lt;/p&gt;
&lt;p&gt;Line no 172 on &lt;code&gt;/docroot/core/modules/taxonomy/taxonomy.post_update&lt;/code&gt;&lt;/p&gt;
&lt;p&gt;&lt;strong&gt;Actual Code:&lt;/strong&gt;&lt;/p&gt;
&lt;pre&gt;&lt;code&gt;$field_storage_definitions['description']-&amp;gt;setRevisionable(TRUE);
&lt;/code&gt;&lt;/pre&gt;
&lt;p&gt;&lt;strong&gt;Changed to&lt;/strong&gt; &lt;/p&gt;
&lt;pre&gt;&lt;code&gt;  if(!empty($field_storage_definitions['description'])){
      $field_storage_definitions['description']-&amp;gt;setRevisionable(TRUE);
  }
&lt;/code&gt;&lt;/pre&gt;
&lt;p&gt;It's working good to me. Cheers!&lt;/p&gt;
</t>
  </si>
  <si>
    <t xml:space="preserve">&lt;p&gt;I have a list displayed inside a web block. I need the system function that when I right click the filename displayed, and select &lt;em&gt;open in new tab&lt;/em&gt;, the file preview will display on the new tab but when I tried doing it, the new tab goes to the url * about:blank#blocked * . What could possibly be the reason for this and how can i resolve this? Thank you&lt;/p&gt;
</t>
  </si>
  <si>
    <t xml:space="preserve">&lt;p&gt;I am developing an application in &lt;code&gt;iOS&lt;/code&gt; and &lt;code&gt;android&lt;/code&gt;, in that i am integrating &lt;code&gt;ZOHO CRM&lt;/code&gt;. I use OAuth2.0 for authentication, after that i use REST API to get "refresh token" but i am only get "access token". There are in bellow code to get token. How can i get refresh token?&lt;/p&gt;
&lt;pre&gt;&lt;code&gt;self.getCodeFromCRM(client_id: Client_ID,
                            clientSecret: secID,
                            authURL: "https://accounts.zoho.in/oauth/v2/auth",
                            accessURL: "offline",
                            responseType: "code",
                            callBackURL: "zohoapp://",
                            scope: "ZohoCRM.modules.contacts.all",//ZohoCRM.users.ALL
                            state: "code")
&lt;/code&gt;&lt;/pre&gt;
&lt;p&gt;After getting code calling this API to get refresh and access token.&lt;/p&gt;
&lt;pre&gt;&lt;code&gt;func getZohoReferenceToken()
    {
        let headers = [
            "Content-Type": "application/x-www-form-urlencoded",
            "User-Agent": "PostmanRuntime/7.13.0",
            "Accept": "*/*",
            "Cache-Control": "no-cache",
            "Postman-Token": "88ebde59-240a-4e52-8ff9-bb7384eba0dd,9a1d5ea1-a5c0-490e-b3b5-1884e335ef86",
            "Host": "accounts.zoho.in",
            "accept-encoding": "gzip, deflate",
            "content-length": "254",
            "Connection": "keep-alive",
            "cache-control": "no-cache"
        ]
        let postData = NSMutableData(data: "client_id=\(Client_ID)".data(using: String.Encoding.utf8)!)
        postData.append("&amp;amp;client_secret=\(secID)".data(using: String.Encoding.utf8)!)
        postData.append("&amp;amp;redirect_uri=zohoapp://".data(using: String.Encoding.utf8)!)
        postData.append("&amp;amp;code=\(code)".data(using: String.Encoding.utf8)!)
        postData.append("&amp;amp;grant_type=authorization_code".data(using: String.Encoding.utf8)!)
        postData.append("&amp;amp;prompt=consent".data(using: String.Encoding.utf8)!)
        let request = NSMutableURLRequest(url: NSURL(string: "https://accounts.zoho.in/oauth/v2/token")! as URL,
                                          cachePolicy: .useProtocolCachePolicy,
                                          timeoutInterval: 10.0)
        request.httpMethod = "POST"
        request.allHTTPHeaderFields = headers
        request.httpBody = postData as Data
        let session = URLSession.shared
        let dataTask = session.dataTask(with: request as URLRequest, completionHandler: { (data, response, error) -&amp;gt; Void in
            if (error != nil) {
                print(error!)
            } else {
                let httpResponse = response as? HTTPURLResponse
                print(httpResponse!)
                do {
                    //create json object from data
                    if let json:NSDictionary = try JSONSerialization.jsonObject(with: data!, options: .mutableContainers) as? NSDictionary
                    {
                        // UserDefaults.standard.set(json.value(forKey: "access_token") as! String, forKey: "ZOHO_access")
                        print(json)
                        let access:String = ""//json.value(forKey: "access_token") as! String;
                        let ref:String = ""//json.value(forKey: "refresh_token") as! String
                        DispatchQueue.main.asyncAfter(deadline: .now() + 3.0, execute: {
                            self.displayAlert(appname: "ZOHO", accessToken: access, referenseToken: ref)
                        })
                    }
                } catch let error {
                    print(error.localizedDescription)
                }
            }
        })
        dataTask.resume()
}
&lt;/code&gt;&lt;/pre&gt;
&lt;p&gt;Response: You can see in bellow response i am not getting refresh token. Please help me how can i get refresh token?&lt;/p&gt;
&lt;pre&gt;&lt;code&gt;{
    "access_token": "1000.2......",
    "expires_in_sec": 3600,
    "api_domain": "https://www.zohoapis.in",
    "token_type": "Bearer",
    "expires_in": 3600000
}
&lt;/code&gt;&lt;/pre&gt;
</t>
  </si>
  <si>
    <t xml:space="preserve">&lt;p&gt;I had the same problem but eventually found the answer in the documentation for the Mail API.  To force a refresh token you need to add two additional arguments to the initial Post:&lt;/p&gt;
&lt;pre&gt;&lt;code&gt;access_type=offline&amp;amp;prompt=consent
&lt;/code&gt;&lt;/pre&gt;
&lt;p&gt;This ensures you get a refresh token as well as an access token.&lt;/p&gt;
</t>
  </si>
  <si>
    <t xml:space="preserve">&lt;p&gt;I've build an ai-builder and implemented it in my app. I to be able to navigate to my second (or any other) screen and come back to my home screen with the ai builder without any problems. My problem comes up after I uploaded a picture in my ai builder and navigate to another page and go back to my homepage with the ai builder the picture i wanted to detect is gone.&lt;/p&gt;
&lt;p&gt;I want that the picture keeps being there after I navigated to another page. As the Ai Builder is an open-beta atm this might just be a bug but if there is anything to make this happen please let me know. Any help will be appreciated.&lt;/p&gt;
</t>
  </si>
  <si>
    <t xml:space="preserve">&lt;p&gt;I know the method for getting the full count of records:&lt;/p&gt;
&lt;pre&gt;&lt;code&gt;function countRecords(){
var records = app.models.BigQuery.newQuery().run(); 
  return records.length;
}
&lt;/code&gt;&lt;/pre&gt;
&lt;p&gt;or for getting the count of records from a new query&lt;/p&gt;
&lt;pre&gt;&lt;code&gt;function queryModel(){
  var qq = app.models.BigQuery.newQuery();
  qq.clearFilters();
  qq.parameters.v1 = "GNa";
  qq.parameters.v2 = "TH";
  qq.where = "(document_name contains :v1) OR (document_name contains :v2)";
  var results = qq.run();
  return results.length;
}
&lt;/code&gt;&lt;/pre&gt;
&lt;p&gt;But what I need is the server or client side way to get a count from the applied query (which does seem to be persistent across different pages using the datasource). In other words, I need to write this without using "newQuery.run()". (I'd prefer client side, so I can attach it to the widget with the query that is created from my form). &lt;/p&gt;
&lt;p&gt;query.items just gives you the length up to the first pagination mark.&lt;/p&gt;
&lt;p&gt;Edit, trying this, but it gives a circular reference error:&lt;/p&gt;
&lt;p&gt;changing my server side code to:&lt;/p&gt;
&lt;pre&gt;&lt;code&gt;function countRecords(query){
var records = query.run(); 
  return records.length;
}
&lt;/code&gt;&lt;/pre&gt;
&lt;p&gt;and my button side code to:&lt;/p&gt;
&lt;pre&gt;&lt;code&gt;google.script.run
.withSuccessHandler(function(o){console.log("Success"+o);})
.withFailureHandler(function (e){console.log("Error"+e);})
.countRecords(widget.datasource.query);
&lt;/code&gt;&lt;/pre&gt;
&lt;p&gt;error is &lt;/p&gt;
&lt;blockquote&gt;
  &lt;p&gt;Failed due to circular reference. at
  Popup1.Content.Panel2.Table1Panel.Table1.Button3.onClick:4:2&lt;/p&gt;
&lt;/blockquote&gt;
</t>
  </si>
  <si>
    <t xml:space="preserve">&lt;p&gt;What worked for now is:&lt;/p&gt;
&lt;pre&gt;&lt;code&gt;widget.datasource.items.length
&lt;/code&gt;&lt;/pre&gt;
&lt;p&gt;I had to change my pagination to 400 and &lt;/p&gt;
&lt;p&gt;I know that will not work for sets larger than 400 but this is what handles my current use case.&lt;/p&gt;
</t>
  </si>
  <si>
    <t xml:space="preserve">&lt;p&gt;I'm using a slightly modified version of this code snippet to get the last login time from a large number of users on a G Suite domain. Due to the large number of users, this code can't finish running in under 30 minutes and hits the execution time limit of 30 minutes and fails. I'm looking for a way to speed up the execution.&lt;/p&gt;
&lt;p&gt;The application this runs on combines this data with a similar code snipped that reads values from the enterprise license manager API, which I expect will hit the same issue.&lt;/p&gt;
&lt;p&gt;If it's not possible to make the code faster, I at least need to ensure it doesn't hit the execution time limit. I need to call this API for all users at least once for the application to work properly - it sorts a list of users by their last login time. The app is in App Maker using App Script on a G Suite Enterprise domain.&lt;/p&gt;
&lt;pre class="lang-js prettyprint-override"&gt;&lt;code&gt;function getParameterValues(parameters) {
  return parameters.reduce(function(result, parameter) {
    var name = parameter.name;
    var value;
    if (parameter.intValue !== undefined) {
      value = parameter.intValue;
    } else if (parameter.stringValue !== undefined) {
      value = parameter.stringValue;
    } else if (parameter.datetimeValue !== undefined) {
      value = new Date(parameter.datetimeValue);
    } else if (parameter.boolValue !== undefined) {
      value = parameter.boolValue;
    }
    result[name] = value;
    return result;
  }, {});
}
function generateLoginActivityReport() {
  var today = new Date();
  var oneWeekAgo = new Date(today.getTime() - (7 * 24 * 60 * 60 * 1000));
  var timezone = Session.getScriptTimeZone();
  var date = Utilities.formatDate(oneWeekAgo, timezone, 'yyyy-MM-dd');
  var parameters = [
    'accounts:last_login_time',
    'drive:num_items_created'
  ];
  var rows = [];
  var pageToken;
  var page;
    do {
    page = AdminReports.UserUsageReport.get('all', date, {
      parameters: parameters.join(','),
      maxResults: 500,
      pageToken: pageToken,
    });
    var reports = page.usageReports;
    if (reports) {
      for (var i = 0; i &amp;lt; reports.length; i++) { 
        var report = reports[i];
        try {
          var parameterValues = getParameterValues(report.parameters);
          var row = [
            report.date,
            report.entity.userEmail,
            parameterValues['accounts:last_login_time'],
            //parameterValues['drive:num_items_created']
          ];
          rows.push(row);
          //var ar = app.models.ActivityReport.newRecord();
          //ar.LastLogin = parameterValues['accounts:last_login_time'];
          console.log(report.entity.userEmail);
          //ar.DocsAdded = 0; //getting this value is another issue but unrelated so it's set to 0 for now.
          //ar.Email = report.entity.userEmail.toString();
          //app.saveRecords([ar]);
        }
        catch(error) {
          console.error("Error: \n"+error);
        }
      }
    }
  } while (pageToken);
  }
&lt;/code&gt;&lt;/pre&gt;
&lt;p&gt;And here's a sample execution:&lt;/p&gt;
&lt;pre&gt;&lt;code&gt;[19-07-15 15:58:30:784 CDT] Starting execution
[19-07-15 15:58:30:796 CDT] Session.getScriptTimeZone() [0 seconds]
[19-07-15 15:58:30:797 CDT] Utilities.formatDate([Mon Jul 08 13:58:30 PDT 2019, America/Mexico_City, yyyy-MM-dd]) [0 seconds]
[19-07-15 15:58:32:202 CDT] console.log([user1@test.mavenwave.com, []]) [0.003 seconds]
[19-07-15 15:58:32:203 CDT] console.log([ad.test.admin@test.mavenwave.com, []]) [0 seconds]
[19-07-15 15:58:32:204 CDT] console.log([user3@test.mavenwave.com, []]) [0 seconds]
///more entries, roughly 195 total
[19-07-15 15:58:32:441 CDT] console.log([user4@test.mavenwave.com, []]) [0 seconds]
[19-07-15 15:58:32:441 CDT] console.log([user5@test.mavenwave.com, []]) [0 seconds]
[19-07-15 15:58:32:443 CDT] Execution succeeded [1.645 seconds total runtime]
&lt;/code&gt;&lt;/pre&gt;
</t>
  </si>
  <si>
    <t xml:space="preserve">&lt;p&gt;I got around this by using App Maker's client scripting. The client script calls the server script, which gets 100 users' reports and then passes the page token back to the client script, which calls it again using the page token- this gets around the 30 minute time limit and continues the call in order.&lt;/p&gt;
&lt;pre&gt;&lt;code&gt;function crunLoginActivityReport(page) {
  // this loops over every page token and gets the data and writes it to the DB.
  console.log("Running activity report for page: " + page);
  google.script.run.withSuccessHandler(function(result) {
    console.log("Got the following from the server, handing back to client runner" + result);
    if (result === null) {
      console.log("Result was null, stopping get");
      return; 
    } else {
    crunLoginActivityReport(result); }
  }).runLoginActivityReport(page);
  return;
}
function cinitLoginActivityReport() {
  google.script.run.withSuccessHandler(function(result) {
    crunLoginActivityReport(result);
    return;
  }).initLoginActivityReport();
  return;
}
&lt;/code&gt;&lt;/pre&gt;
</t>
  </si>
  <si>
    <t xml:space="preserve">&lt;p&gt;I'm trying to send a email using form and also save the history of all the email. and I have a field in database named success to track if the email has send or not. How to update values of a field from client script based on user activities or email sent status.&lt;/p&gt;
&lt;pre&gt;&lt;code&gt;var success = app.models.ChangeSystem.fields.Success.possibleValues;
  google.script.run
    .withFailureHandler(function(error){
           status.text = error.message;
           success = False;
                                     })
    .withSuccessHandler(function(result){
           status.text = 'Email sent';
           success = True;
           clearEmailForm();
  })
  .sendEmailMessage(to, subject, msg); 
&lt;/code&gt;&lt;/pre&gt;
&lt;p&gt;Here success is a field in my database. My script is sending email. and update the 
I was expecting to update the value of success which has two possible values(I'm fine if I have to change the field to boolean). Anyone can give me a direction how to achieve that?? Thanks in Advance.&lt;/p&gt;
</t>
  </si>
  <si>
    <t xml:space="preserve">&lt;h1&gt;Summary&lt;/h1&gt;
&lt;p&gt;Obtaining the record ID of the selected item in a drop-down list or radio-button UI appears to be a common question, but I have not found the answer for Google AppMaker despite months of searching.&lt;/p&gt;
&lt;p&gt;The example use case: is I wish to edit a product that belongs to a family:  &lt;/p&gt;
&lt;p&gt;Product - (N:1) --&gt; Family&lt;/p&gt;
&lt;p&gt;Product - (M:N) --&gt; FeatureValues&lt;/p&gt;
&lt;h3&gt;Example&lt;/h3&gt;
&lt;p&gt;The product belongs to the family &lt;em&gt;Credit Card&lt;/em&gt;. &lt;/p&gt;
&lt;p&gt;The credit-card family has the following features: |Contactles
|Near field
|Rates
|Chip &amp;amp; Pin|&lt;/p&gt;
&lt;p&gt;In the edit form if I change the family the product belongs to then the list of features will change and new values for the features will need to be entered. (&lt;em&gt;Dynamic form&lt;/em&gt;)&lt;/p&gt;
&lt;h3&gt;Hierarchy table&lt;/h3&gt;
&lt;p&gt;The family, features and permitted values are held in a single hierarchy table:&lt;/p&gt;
&lt;p&gt;Family
|
Features
|
Values&lt;/p&gt;
&lt;blockquote&gt;
  &lt;p&gt;newValue._key appears to only work for text-box UI items.&lt;/p&gt;
  &lt;p&gt;Dropdown list: &lt;/p&gt;
  &lt;p&gt;widget.datasource.item.Id or _key 
  provides the Product ID of the parent data source, ProductById (because I am editing a single product)&lt;/p&gt;
  &lt;p&gt;widget.datasource.selectKey(newValue._key); returns undefined&lt;/p&gt;
&lt;/blockquote&gt;
&lt;h3&gt;Sample code&lt;/h3&gt;
&lt;p&gt;Drop-down-list
&lt;em&gt;OnValueChange event:&lt;/em&gt;&lt;/p&gt;
&lt;blockquote&gt;
  &lt;p&gt;//update the features drop-down based on the taxonomy family selected
  app.datasources.TaxonomyChildren.query.parameters.parent_fk = app.datasources.TaxonomyFamilies.item.Id;&lt;/p&gt;
  &lt;p&gt;app.datasources.TaxonomyChildren.load();&lt;/p&gt;
&lt;/blockquote&gt;
&lt;p&gt;If I can pick up the record ID for the selected family in the dropdown list I can set a query.filter.parameter to show the features and values for the newly selected family.&lt;/p&gt;
&lt;p&gt;Note: if it is a case you cannot create 'dynamic' forms in Google app-maker, then I'll stop as this has exhausted a lot of time.&lt;/p&gt;
&lt;p&gt;&lt;a href="https://i.stack.imgur.com/aCdJr.png" rel="nofollow noreferrer"&gt;&lt;img src="https://i.stack.imgur.com/aCdJr.png" alt="Edit product page showing features of family"&gt;&lt;/a&gt;&lt;/p&gt;
</t>
  </si>
  <si>
    <t xml:space="preserve">&lt;p&gt;I have a lightning component that I want to delete, but I am encountering an error when deleting the .cmp file.
The problem is caused due to an implemented Interface : &lt;code&gt;forceCommunity:availableForAllPageTypes&lt;/code&gt;&lt;/p&gt;
&lt;p&gt;I made sure the component is not used anywhere, including community builder.
I tried to remove the above interface. when I encounter the error while saving :&lt;/p&gt;
&lt;pre&gt;&lt;code&gt;Error:
FIELD_INTEGRITY_EXCEPTION
Failed to save [ComponentName.cmp]: null: Source
&lt;/code&gt;&lt;/pre&gt;
&lt;p&gt;Also I encounter an error while attempting to delete the component using File | Delete
Entity is deleted&lt;/p&gt;
</t>
  </si>
  <si>
    <t xml:space="preserve">&lt;p&gt;I want to reply to an email using zoho mail API only. I cannot find any solution to reply to a thread in their API. Can anyone help ?&lt;/p&gt;
</t>
  </si>
  <si>
    <t xml:space="preserve">&lt;p&gt;I have a function that happens lots of times on the server and when I have counted the correct number of successes, it moves me to my Complete page. Huzzah!&lt;/p&gt;
&lt;p&gt;But I want to pause, and javascript hates pausing. I want my users to savor that 100%.&lt;/p&gt;
&lt;pre&gt;&lt;code&gt;setTimeout(app.showPage(app.pages.Complete),1000);
&lt;/code&gt;&lt;/pre&gt;
&lt;p&gt;Didn't work.&lt;/p&gt;
</t>
  </si>
  <si>
    <t xml:space="preserve">&lt;p&gt;I am creating an application that will help our employees manage tasks. Tasks are submited via form. OnBeforeCreate I'm taking a date of task subbmission:&lt;/p&gt;
&lt;p&gt;&lt;code&gt;record.Data_Zlozenia = new Date();&lt;/code&gt;&lt;/p&gt;
&lt;p&gt;The task falls into view for region (table widget), from where employees can pick it up.   &lt;/p&gt;
&lt;p&gt;The task that is submmited has 48 hour deadline. &lt;/p&gt;
&lt;p&gt;Problem: &lt;strong&gt;How to color the row of task that exceed the deadline?&lt;/strong&gt;&lt;/p&gt;
&lt;p&gt;I know that I can color the row via adding a class in style editor and then on the row "Display" styles the binding. But I don't know how to make it depend on time.&lt;/p&gt;
&lt;pre&gt;&lt;code&gt;`.red {
  background-color: red;
}
 @widget.descendants.Field3.text === "Oczekujący - zwrot" ? ['red','app-ListTableRow','hoverAncestor'] : ['app-ListTableRow','hoverAncestor']`
&lt;/code&gt;&lt;/pre&gt;
&lt;p&gt;EDIT 1: Here I give U screenshots how it looks and what I tried. 
&lt;a href="https://i.stack.imgur.com/Zi9Vh.png" rel="nofollow noreferrer"&gt;CSS&lt;/a&gt;
&lt;a href="https://i.stack.imgur.com/kYHxV.png" rel="nofollow noreferrer"&gt;Bindings&lt;/a&gt;&lt;/p&gt;
&lt;p&gt;EDIT 2: With @Markus help I found a solution. I should put a binding like this:&lt;/p&gt;
&lt;pre&gt;&lt;code&gt;(@datasource.item.Data_Zlozenia)/3600000 &amp;lt; ((new Date())/3600000 - 48) ? ['red','app-ListTableRow','hoverAncestor'] : ['app-ListTableRow','hoverAncestor']
&lt;/code&gt;&lt;/pre&gt;
</t>
  </si>
  <si>
    <t xml:space="preserve">&lt;p&gt;This is untested, but I would try the following in your row styles binding:&lt;/p&gt;
&lt;pre&gt;&lt;code&gt;setInterval(function() {(new Date() - @widget.datasource.item.Data_Zlozenia)/3600000;}, 60000) &amp;gt; 48 ? ['red','app-ListTableRow','hoverAncestor'] : ['app-ListTableRow','hoverAncestor']
&lt;/code&gt;&lt;/pre&gt;
&lt;p&gt;Hypothetically speaking this will take the current Date/Time minus your field Date/Time and convert it to hours by dividing it by 3.6 million (JS date minus a date will return milliseconds so you have to convert to hours) and it will repeat this function every minute (60000 milliseconds). As stated, this is untested so you might need to refine a little&lt;/p&gt;
</t>
  </si>
  <si>
    <t xml:space="preserve">&lt;p&gt;I am trying to make a form in google app maker. I've created a form. which has a "preview(save" button, It will create a new item and I have a field named "status". The default value of this field is "draft". In the next page I have a "sent email" button. This page won't create any new item. It'll send the email and if the email deliver is successful then it'll update the field of status from "draft" to "completed"&lt;/p&gt;
&lt;p&gt;This is my client script&lt;/p&gt;
&lt;pre&gt;&lt;code&gt;function sendMessage(to, subject, msg){
// some part is omitted 
var status = app.popups.NotificationDialog.descendants.notificationText;
var success = app.datasources.ChangeSystem;
google.script.run
    .withFailureHandler(function(error){
          // success.Success = "draft"
           status.text = error.message;
                                     })
    .withSuccessHandler(function(result){
            status.text = 'sent';
            success.Success = "completed";
            clearEmailForm();
  })
  .sendEmailMessage(to, subject, msg); 
}
&lt;/code&gt;&lt;/pre&gt;
&lt;p&gt;and this is my email sent button function&lt;/p&gt;
&lt;pre&gt;&lt;code&gt;var widgets = app.pages.Email.descendants;
var to;
var subject = widgets.systemName.value 
var msg =  "Description:\n\t\t"        + widgets.Objective.value; 
          widgets.EmailStatus.text = 'Sending email...';
sendMessage(to, subject, msg);
&lt;/code&gt;&lt;/pre&gt;
&lt;p&gt;So far I am successful to send the email also I have created and saved all fields. But the problem is after sending the email the "status" field doesn't update. It remains the same as default value "draft". my expected result is after pressing the send button it will update one of the existing fields.&lt;/p&gt;
</t>
  </si>
  <si>
    <t xml:space="preserve">&lt;p&gt;So I'm trying to make a form on Google App Maker and when the form is submitted, the record will be saved in the default App Maker Cloud SQL and Google Sheets. 
Now, I am trying to make Google Sheets and Google App Maker Record to be in sync, meaning when I edit a record in the App Maker, it will automatically push the changes in the Google Sheet too. And when I edit the Google Sheets, it will also automatically push the changes to App Maker.&lt;/p&gt;
&lt;p&gt;I think I know how to do push the changes from App Maker to Google Sheets, but I don't really know how to trigger the change on Google Sheets to push those changes to App Maker.&lt;/p&gt;
</t>
  </si>
  <si>
    <t xml:space="preserve">&lt;p&gt;I have a powerapps-tile in my power bi Dashboard. In this powerapps tile i can request data from a REST-API. Now I want to live-visualize the data in the power bi dashboard.&lt;/p&gt;
&lt;p&gt;Are there any good and simple way to get this done? Is it a good idea to parse the json data into a collection? How can I transfer the data to the power bi Dashboard?&lt;/p&gt;
&lt;p&gt;Notice: The reason, why  i want to use the Powerapps-tile is so that the user can send a custom API call with specific parameters.&lt;/p&gt;
&lt;p&gt;Thanks in advance!&lt;/p&gt;
</t>
  </si>
  <si>
    <t xml:space="preserve">&lt;p&gt;I’m working on a database to track orders that we have placed with suppliers, and items we’ve received from those orders. I'm wondering: What's the best way to compare the number of items ordered with the number of items actually received?&lt;/p&gt;
&lt;p&gt;&lt;strong&gt;Here’s how the database works&lt;/strong&gt;&lt;/p&gt;
&lt;p&gt;The user can enter the details of an order they placed with a supplier and a record will be created in an &lt;code&gt;Orders&lt;/code&gt; table which tracks the &lt;code&gt;Quantity_Ordered&lt;/code&gt;. Then, when the order is delivered, the user can enter a reconciliation which records how many items they actually received in a &lt;code&gt;Reconciliation&lt;/code&gt; table which tracks &lt;code&gt;Quantity_Received&lt;/code&gt; and &lt;code&gt;Delivery_Reference_Number&lt;/code&gt; for that specific delivery. &lt;/p&gt;
&lt;p&gt;&lt;strong&gt;Here’s an example of the database in practice&lt;/strong&gt;&lt;/p&gt;
&lt;p&gt;On Monday, the user logs that they ordered 10 donuts from the supplier (&lt;code&gt;Orders.Quantity_Ordered = 10&lt;/code&gt;).&lt;/p&gt;
&lt;p&gt;On Tuesday, the user receives a delivery of 7 donuts from the supplier, and creates a new record in the &lt;code&gt;Reconciliation&lt;/code&gt; table with &lt;code&gt;Reconciliation.Quantity_Received = 7&lt;/code&gt;. The database should show that the user has received a total of 7 and is still awaiting 3 more donuts.&lt;/p&gt;
&lt;p&gt;On Wednesday, the user receives 2 more donuts from the supplier, and creates a new record in the &lt;code&gt;Reconciliation&lt;/code&gt; table with &lt;code&gt;Reconciliation.Quantity_Received = 2&lt;/code&gt;. The database should show that the user has received a total of 9 and is still awaiting 1 more donut.&lt;/p&gt;
&lt;p&gt;On Thursday, the user receives 1 more donut from the supplier, and creates a new record in the &lt;code&gt;Reconciliation&lt;/code&gt; table with &lt;code&gt;Reconciliation.Quantity_Received = 1&lt;/code&gt;. The database should show that the user has received 10 and the order is now fulfilled.&lt;/p&gt;
&lt;p&gt;On Friday, the user receives 5 more donuts from the supplier, and creates a new record in the &lt;code&gt;Reconciliation&lt;/code&gt; table with &lt;code&gt;Reconciliation.Quantity_Received = 5&lt;/code&gt;. The database should show that the user has received 15 and this order is oversupplied by 5.&lt;/p&gt;
&lt;p&gt;&lt;strong&gt;Here’s the issue&lt;/strong&gt;&lt;/p&gt;
&lt;p&gt;How do I achieve this link between the number of items ordered and the number of items received? Is this simply a &lt;code&gt;Parent: Child (relation)&lt;/code&gt;, or is there a better way to do it?&lt;/p&gt;
</t>
  </si>
  <si>
    <t xml:space="preserve">&lt;p&gt;In the helper I have methods that each call an @AuraEnabled method in the component controller.&lt;/p&gt;
&lt;p&gt;Some of these calls are only during the 'init' event.
From a performance point of view I should make only one call during 'init'.&lt;/p&gt;
&lt;p&gt;What is an elegant way of achieving this?&lt;/p&gt;
&lt;p&gt;The methods called during 'init' return a list of strings, a decimal, and respectively a string.&lt;/p&gt;
</t>
  </si>
  <si>
    <t xml:space="preserve">&lt;p&gt;Define a &lt;a href="https://developer.salesforce.com/docs/atlas.en-us.lightning.meta/lightning/controllers_server_apex_returning_data.htm" rel="nofollow noreferrer"&gt;custom Apex class&lt;/a&gt; in your controller that encapsulates all of the information you wish to source in a single call from your &lt;code&gt;init&lt;/code&gt; event:&lt;/p&gt;
&lt;pre&gt;&lt;code&gt;public class InitializationWrapper {
    @AuraEnabled 
    public List&amp;lt;String&amp;gt; myStringList {get; set;}
    @AuraEnabled 
    public Decimal myDecimal {get; set;}
    @AuraEnabled 
    public String myString {get; set;}
}
&lt;/code&gt;&lt;/pre&gt;
&lt;p&gt;The, return an instance of this wrapper class from your server-side Apex call to your &lt;code&gt;init&lt;/code&gt; handler. You only need to make a single round-trip.&lt;/p&gt;
</t>
  </si>
  <si>
    <t xml:space="preserve">&lt;p&gt;How can I update the time shown in a text label in Google App Maker to show the current time?&lt;/p&gt;
&lt;p&gt;I am creating a sign-in / sign-out kiosk and I want to show the current date and time on the screen, as shown here.&lt;/p&gt;
&lt;p&gt;&lt;a href="https://i.stack.imgur.com/LLK4j.png" rel="nofollow noreferrer"&gt;&lt;img src="https://i.stack.imgur.com/LLK4j.png" alt="enter image description here"&gt;&lt;/a&gt;&lt;/p&gt;
&lt;p&gt;The date and time are specified in the "onAttach" event script for the label:&lt;/p&gt;
&lt;pre&gt;&lt;code&gt;var options = {  
    weekday: "long", year: "numeric", month: "long",  
    day: "numeric", hour: "numeric", minute: "2-digit"  
};
var currentDateTime = new Date().toLocaleTimeString('en-US', options, {timeZone: 'America/New_York'});
widget.text = currentDateTime;
&lt;/code&gt;&lt;/pre&gt;
&lt;p&gt;However, this label is only updated when the page loads and there isn't an event option to periodically run a script to update the time.  I'm hoping there is a solution that doesn't require a server script or creating a new datasource, however, that may be necessary.&lt;/p&gt;
&lt;p&gt;Any help appreciated!&lt;/p&gt;
&lt;p&gt;&lt;strong&gt;Update to Question.&lt;/strong&gt;&lt;/p&gt;
&lt;p&gt;Upon further research, I see others have used SetInterval to periodically call a function.  I updated my script with a SetInterval function.  This appears to work, however, my research also found some people thought SetInterval wasn't always a good choice.  I don't know enough about it to judge it at this point but I'll update this post if I learn more.&lt;/p&gt;
&lt;pre&gt;&lt;code&gt;function getCurrentDateTime() {
  var options = {  
    weekday: "long", year: "numeric", month: "long",  
    day: "numeric", hour: "numeric", minute: "2-digit" 
};
var currentDateTime = new Date().toLocaleTimeString('en-US', options, {timeZone: 'America/New_York'});
widget.text = currentDateTime;
}
getCurrentDateTime();
var interval = setInterval(getCurrentDateTime, 60000);
&lt;/code&gt;&lt;/pre&gt;
</t>
  </si>
  <si>
    <t xml:space="preserve">&lt;p&gt;Thanks for the confirmation that using setInterval is appropriate.  Also appreciate the tip on clearing the interval when users navigate away from the page.  I think I have a solution for that.  The approach I have used is&lt;/p&gt;
&lt;ol&gt;
&lt;li&gt;Define a custom property for the page called setIntervalIDNumber&lt;/li&gt;
&lt;li&gt;Initiate the setInterval function with the onAttach event and
store the setInterval number in the setIntervalIDNumber property&lt;/li&gt;
&lt;li&gt;Clear the setInterval function by referencing the
setIntervalIDNumber property&lt;/li&gt;
&lt;/ol&gt;
&lt;p&gt;Here's the code:&lt;/p&gt;
&lt;p&gt;onAttach:&lt;/p&gt;
&lt;pre&gt;&lt;code&gt;function getCurrentDateTime() {
  var options = {  
    weekday: "long", year: "numeric", month: "long",  
    day: "numeric", hour: "numeric", minute: "2-digit" 
};
var currentDateTime = new Date().toLocaleTimeString('en-US', options, {timeZone: 'America/New_York'});
widget.text = currentDateTime;
}
getCurrentDateTime();
widget.root.properties.setIntervalIDNumber = setInterval(getCurrentDateTime, 60000);
&lt;/code&gt;&lt;/pre&gt;
&lt;p&gt;onDetach:&lt;/p&gt;
&lt;pre&gt;&lt;code&gt;clearInterval(widget.root.properties.setIntervalIDNumber);
&lt;/code&gt;&lt;/pre&gt;
&lt;p&gt;I think that might be the final solution.&lt;/p&gt;
</t>
  </si>
  <si>
    <t xml:space="preserve">&lt;p&gt;The example &lt;a href="https://developer.salesforce.com/docs/atlas.en-us.lightning.meta/lightning/controllers_server_actions_call.htm" rel="nofollow noreferrer"&gt;https://developer.salesforce.com/docs/atlas.en-us.lightning.meta/lightning/controllers_server_actions_call.htm&lt;/a&gt; has&lt;/p&gt;
&lt;pre&gt;&lt;code&gt;if (state === "SUCCESS") {
 .......
        }
        else if (state === "INCOMPLETE") {
            // do something
        }
        else if (state === "ERROR") {
 ......
&lt;/code&gt;&lt;/pre&gt;
&lt;p&gt;What should "do something" be? &lt;/p&gt;
&lt;p&gt;I've seen so many examples with "do something", including the code I wrote, that I'd thought I should stop doing this (copy and paste) and do something about it, pun intended.&lt;/p&gt;
</t>
  </si>
  <si>
    <t xml:space="preserve">&lt;p&gt;I don't quite understand exactly what i need to do to install material icons in google app maker and then how to use them. I would really appreciate anyone able to give me a step-by-step explanation. Thanks!&lt;/p&gt;
</t>
  </si>
  <si>
    <t xml:space="preserve">&lt;p&gt;You don't need to install material icons you just need to use &lt;a href="https://material.io/tools/icons/?style=baseline" rel="nofollow noreferrer"&gt;https://material.io/tools/icons/?style=baseline&lt;/a&gt; icon name. Just make sure that if is a button it has the "Fab" style variant for App Maker to make the change and replace the button text for the mdl icon name.&lt;/p&gt;
&lt;p&gt;Style Variant&lt;/p&gt;
&lt;p&gt;&lt;a href="https://i.stack.imgur.com/NyfcU.png" rel="nofollow noreferrer"&gt;&lt;img src="https://i.stack.imgur.com/NyfcU.png" alt="enter image description here"&gt;&lt;/a&gt;&lt;/p&gt;
&lt;p&gt;Text field for the widget (button)&lt;/p&gt;
&lt;p&gt;&lt;a href="https://i.stack.imgur.com/sOKw4.png" rel="nofollow noreferrer"&gt;&lt;img src="https://i.stack.imgur.com/sOKw4.png" alt="enter image description here"&gt;&lt;/a&gt;&lt;/p&gt;
&lt;p&gt;Final result for a button.&lt;/p&gt;
&lt;p&gt;&lt;a href="https://i.stack.imgur.com/joDd7.png" rel="nofollow noreferrer"&gt;&lt;img src="https://i.stack.imgur.com/joDd7.png" alt="enter image description here"&gt;&lt;/a&gt;&lt;/p&gt;
&lt;p&gt;You can also use different icons like in my case fontawesome.com. You need to get the CSS URL from the website then access to the App Maker "App Settings" and look for External Resources and add the link&lt;/p&gt;
&lt;p&gt;&lt;a href="https://i.stack.imgur.com/rWaQX.png" rel="nofollow noreferrer"&gt;&lt;img src="https://i.stack.imgur.com/rWaQX.png" alt="enter image description here"&gt;&lt;/a&gt;&lt;/p&gt;
&lt;p&gt;&lt;a href="https://i.stack.imgur.com/iH4ju.png" rel="nofollow noreferrer"&gt;&lt;img src="https://i.stack.imgur.com/iH4ju.png" alt="enter image description here"&gt;&lt;/a&gt;&lt;/p&gt;
&lt;p&gt;After that search for an icon and will display some properties like these &lt;/p&gt;
&lt;p&gt;&lt;a href="https://i.stack.imgur.com/22ZZq.png" rel="nofollow noreferrer"&gt;&lt;img src="https://i.stack.imgur.com/22ZZq.png" alt="enter image description here"&gt;&lt;/a&gt;&lt;/p&gt;
&lt;p&gt;Take the HTML properties to add them to the button Display &gt; Styles as shown here.&lt;/p&gt;
&lt;p&gt;&lt;a href="https://i.stack.imgur.com/rdQZp.png" rel="nofollow noreferrer"&gt;&lt;img src="https://i.stack.imgur.com/rdQZp.png" alt="enter image description here"&gt;&lt;/a&gt;&lt;/p&gt;
&lt;p&gt;Make sure there is nothing on "text" of the button and you will have something like this.&lt;/p&gt;
&lt;p&gt;&lt;a href="https://i.stack.imgur.com/ztHhT.png" rel="nofollow noreferrer"&gt;&lt;img src="https://i.stack.imgur.com/ztHhT.png" alt="enter image description here"&gt;&lt;/a&gt;&lt;/p&gt;
&lt;p&gt;I had a hard time figuring this out when I was start using App Maker so I hope this helps you all.&lt;/p&gt;
</t>
  </si>
  <si>
    <t xml:space="preserve">&lt;p&gt;In G App Maker, I display a list of records and a + to add records.  If I click on a row, I go to the edit page and its all works.  I can edit/delete that record and return back to the list.  Now on the (+) I want to go to that same page but this time to a new record.  I can't find via code how to insert a new record then open my edit page?  &lt;/p&gt;
&lt;p&gt;Today I have created two pages one as an INSERT ONLY page and one as an EDIT page.  They have cascading pulldown lists. For maintainability, I would like to use just the one EDIT Page, so I don't have to maintain code for both.&lt;/p&gt;
&lt;p&gt;How do I insert a record and open the edit page to that record using a button? &lt;/p&gt;
&lt;p&gt;I have tried to create a new record, but it just creates a new record in my list and I don't know how to switch/open the edit page on that newly created record.  My List page is not editable.&lt;/p&gt;
&lt;p&gt;OnClick:&lt;/p&gt;
&lt;pre&gt;&lt;code&gt;widget.datasource.createItem(function() {
    editReceivingLog(widget.item._key , app.pages.EditReceiving );
});
function editReceivingLog( _key, _page) {
  var params = {
    openKey: _key
  };
  app.showPage(_page);
  google.script.history.replace(null, params || {}, _page.name);
}
&lt;/code&gt;&lt;/pre&gt;
&lt;p&gt;It looks like it creates a record but does not open the EditReceiving page&lt;/p&gt;
</t>
  </si>
  <si>
    <t xml:space="preserve">&lt;p&gt;In the (+) button make sure that the datasource is the same as the edit page. Then simply do...&lt;/p&gt;
&lt;pre&gt;&lt;code&gt;widget.datasource.createItem(function(){
    app.showPage(app.pages.yourEditPage);
});
&lt;/code&gt;&lt;/pre&gt;
</t>
  </si>
  <si>
    <t xml:space="preserve">&lt;p&gt;I a totally new to salesforce. I have a mobile application already published in Play store and App Store. I want to get that publish on Salesforce AppExchange. I am going through the various links - &lt;a href="https://partners.salesforce.com/appexchangetrailblazerchecklist" rel="nofollow noreferrer"&gt;https://partners.salesforce.com/appexchangetrailblazerchecklist&lt;/a&gt;
&lt;a href="https://trailhead.salesforce.com/en/content/learn/trails/force_com_dev_beginner" rel="nofollow noreferrer"&gt;https://trailhead.salesforce.com/en/content/learn/trails/force_com_dev_beginner&lt;/a&gt;&lt;/p&gt;
&lt;p&gt;I want to know can I use my existing codebase of android/ios app or I have to do the development from scratch to get the mobile app published in Salesforce AppExchange.&lt;/p&gt;
</t>
  </si>
  <si>
    <t xml:space="preserve">&lt;p&gt;I have created my first application in zoho creator. I want to populate the cost of the service when the user selects the service from the drop down in the form. The drop down is populated from database. &lt;/p&gt;
&lt;p&gt;&lt;a href="https://i.stack.imgur.com/MAfGf.png" rel="nofollow noreferrer"&gt;&lt;img src="https://i.stack.imgur.com/MAfGf.png" alt="enter image description here"&gt;&lt;/a&gt;&lt;/p&gt;
</t>
  </si>
  <si>
    <t xml:space="preserve">&lt;p&gt;I got a table of the following form in Postgres:&lt;/p&gt;
&lt;pre&gt;&lt;code&gt;CREATE TABLE contract (
    id serial NOT NULL,
    start_date date NOT NULL,
    end_date date NOT NULL,
    price float8 NOT NULL,
    CONSTRAINT contract_pkey PRIMARY KEY (id)
);
&lt;/code&gt;&lt;/pre&gt;
&lt;p&gt;In Microsoft Powerapps, I create a &lt;code&gt;EditForm&lt;/code&gt; to update the table above. For other databases, like MS SQL, I didn't need to supply the &lt;code&gt;id&lt;/code&gt;, since it's auto increment. But for some reason, PowerApps keeps demanding to fill in the &lt;code&gt;id&lt;/code&gt; for this table, even though it's auto increment and shouldn't be supplied to Postgres.&lt;/p&gt;
&lt;p&gt;Anyone with the same experience with Powerapps in combination with Postgres? Struggling with it for hours...&lt;/p&gt;
</t>
  </si>
  <si>
    <t xml:space="preserve">&lt;p&gt;I would like to toggle the visible property of a button that is nested in a Gallery in my PowerApp. &lt;/p&gt;
&lt;p&gt;What I tried to was to go off of whether the parent was selected. I placed this formula inside the Visible property.&lt;/p&gt;
&lt;p&gt;ink its a type issue, but I am not sure what is the best way to fix this.&lt;/p&gt;
&lt;pre&gt;&lt;code&gt;If(Parent.Selected = true, true, false)
&lt;/code&gt;&lt;/pre&gt;
&lt;p&gt;I received an "Invalid argument type" error on the "=" operator, so I think that perhaps I have a type mismatch or some other issue.&lt;/p&gt;
</t>
  </si>
  <si>
    <t xml:space="preserve">&lt;p&gt;I have requirement where user have to process multiple records each at a time due to governor limitations.&lt;/p&gt;
&lt;p&gt;For the incoming multiple records each record is taken and calls apex. After the successful response have to place the same request again. Like so to process all records.&lt;/p&gt;
&lt;p&gt;Can someone help me how to achieve this. &lt;/p&gt;
&lt;p&gt;&lt;div class="snippet" data-lang="js" data-hide="false" data-console="true" data-babel="false"&gt;
&lt;div class="snippet-code"&gt;
&lt;pre class="snippet-code-js lang-js prettyprint-override"&gt;&lt;code&gt;import { LightningElement, api, wire, track } from 'lwc';
import createRecord from '@salesforce/apex/OpportunityLoadController.createRecord';
export default class OpportunityLoadLWC extends LightningElement {  
@api error;
@api resultLst = [];
@api message; 
//
//Other logic
// 
handleClick(e) {
        var oneRecord = resultLst.pop();
        createRecord({
           data : oneRecord
        })
        .then((result) =&amp;gt; {
            //call createRecord again
        })
        .catch((error) =&amp;gt; {
            this.message = 'Error received: code' + error.errorCode + ', ' +
                'message ' + error.body.message;
        });
    }
}&lt;/code&gt;&lt;/pre&gt;
&lt;/div&gt;
&lt;/div&gt;
&lt;/p&gt;
</t>
  </si>
  <si>
    <t xml:space="preserve">&lt;p&gt;How to insert contacts against each of 100 pre-existing Accounts in a newly created org. [Note - This is a one time activity.]&lt;/p&gt;
</t>
  </si>
  <si>
    <t xml:space="preserve">&lt;p&gt;How to write the ClearCollect function to fetch the data from Post Api where headers are included.&lt;/p&gt;
&lt;pre&gt;&lt;code&gt;header:
Content-Type:application/json
deviceId:ab
deviceType:A
deviceName: iphone 10
osVersion:1
ApiKey:0269b9130d957f4b9d5a9e1a008705fa
app_version:2.00
request:
{
"password":"nrla5650NR",
"ecode":"e6837",
"request":"login"
}
&lt;/code&gt;&lt;/pre&gt;
&lt;p&gt;Please tell me how to write the Clear Collect function to get the data from data source of post Api where headers are added and giving the request, which i have already added from custom connector.&lt;/p&gt;
</t>
  </si>
  <si>
    <t xml:space="preserve">&lt;p&gt;I have a gscript that is throwing: Limit Exceeded: Drive.&lt;/p&gt;
&lt;p&gt;I have a list of 50 rows when i click in a button some code will iterate over that list and call a gscript for each line.
This gscript:&lt;/p&gt;
&lt;ul&gt;
&lt;li&gt;generate a file from a template(make a copy)&lt;/li&gt;
&lt;li&gt;insert a table on the file&lt;/li&gt;
&lt;li&gt;make a PDF from the file&lt;/li&gt;
&lt;li&gt;move the file to a destination folder&lt;/li&gt;
&lt;li&gt;send PDF via email&lt;/li&gt;
&lt;/ul&gt;
&lt;p&gt;I already tried putting Utilities.sleep on the beginning of the gscript and not worked.&lt;/p&gt;
&lt;pre&gt;&lt;code&gt;function generateDriverPaymentExtract(env, templateId, parentFolder, paymentNif, name, email, cycle) {
  console.log("GSCRIPT generateDriverPaymentExtract");
  //Utilities.sleep(100000);
  //get the document
  var newDoc = DriveApp.getFileById(String(templateId)).makeCopy("Driver" + paymentNif + " " + name + " " + cycle); //copy of a file to make multiple calls
  var realDoc = DocumentApp.openById(newDoc.getId());
  //get the body section of document
  var body = realDoc.getBody();
  var next = body.findText("InsertTableLedger");
  if (!next){
    return;
  }
  var element = body.findText("InsertTableLedger").getElement();
  var index = body.getChildIndex(element.getParent()) +1;
  insertTableLedger(body, index, paymentNif, cycle, env);
  body.replaceText("InsertTableLedger", "");
  //Save and close the document
  realDoc.saveAndClose()
  //save file as PDF
  var fileId = realDoc.getId();
  var pdf = exportPDF(fileId, parentFolder, paymentNif);
  //send file by email
  sendByEmail(pdf, email, paymentNif);
}
&lt;/code&gt;&lt;/pre&gt;
&lt;p&gt;ER: gscript runs for all lines in table&lt;/p&gt;
&lt;p&gt;AR: gscript is throwing error after some complete iterations&lt;/p&gt;
&lt;p&gt;can someone point me a solution to avoid this error?&lt;/p&gt;
&lt;p&gt;Edited (execution transcript):&lt;/p&gt;
&lt;pre&gt;&lt;code&gt;[19-07-23 04:44:21:228 PDT] Starting execution
[19-07-23 04:44:21:240 PDT] console.log([GSCRIPT generateDriverPaymentExtract, []]) [0.002 seconds]
[19-07-23 04:44:21:242 PDT] console.log([paymentNif: , []]) [0 seconds]
[19-07-23 04:44:21:242 PDT] console.log([name: , []]) [0 seconds]
[19-07-23 04:44:21:243 PDT] console.log([email: , []]) [0 seconds]
[19-07-23 04:44:21:243 PDT] console.log([cycle: , []]) [0 seconds]
[19-07-23 04:44:21:457 PDT] DriveApp.getFileById([]) [0.213 seconds]
[19-07-23 04:44:24:642 PDT] File.makeCopy([Driver]) [3.184 seconds]
[19-07-23 04:44:24:643 PDT] console.log([GSCRIPT after var newDoc, []]) [0 seconds]
[19-07-23 04:44:24:643 PDT] File.getId() [0 seconds]
[19-07-23 04:44:24:697 PDT] DocumentApp.openById([]) [0.052 seconds]
[19-07-23 04:44:24:698 PDT] console.log([GSCRIPT after var realDoc, []]) [0 seconds]
[19-07-23 04:44:24:699 PDT] Document.getBody() [0 seconds]
[19-07-23 04:44:24:699 PDT] console.log([GSCRIPT after var body, []]) [0 seconds]
[19-07-23 04:44:24:701 PDT] Body.findText([InsertTableLedger]) [0.001 seconds]
[19-07-23 04:44:24:701 PDT] console.log([GSCRIPT after var next, []]) [0 seconds]
[19-07-23 04:44:24:702 PDT] Body.findText([InsertTableLedger]) [0 seconds]
[19-07-23 04:44:24:703 PDT] RangeElement.getElement() [0 seconds]
[19-07-23 04:44:24:703 PDT] console.log([GSCRIPT after var element, []]) [0 seconds]
[19-07-23 04:44:24:704 PDT] Text.getParent() [0 seconds]
[19-07-23 04:44:24:705 PDT] Body.getChildIndex([Paragraph]) [0 seconds]
[19-07-23 04:44:24:705 PDT] console.log([GSCRIPT after var index, []]) [0 seconds]
[19-07-23 04:44:25:627 PDT] Jdbc.getCloudSqlConnection([]) [0.92 seconds]
[19-07-23 04:44:25:628 PDT] JdbcConnection.createStatement() [0 seconds]
[19-07-23 04:44:25:628 PDT] JdbcStatement.setMaxRows([10000]) [0 seconds]
[19-07-23 04:44:25:629 PDT] JdbcStatement.setQueryTimeout([30]) [0 seconds]
[19-07-23 04:44:29:223 PDT] JdbcStatement.executeQuery([]) [3.593 seconds]
[19-07-23 04:44:29:224 PDT] JdbcResultSet.getMetaData() [0.001 seconds]
[19-07-23 04:44:29:225 PDT] JdbcResultSetMetaData.getColumnCount() [0 seconds]
[19-07-23 04:44:29:226 PDT] Body.insertTable([3]) [0.001 seconds]
[19-07-23 04:44:29:227 PDT] Table.appendTableRow() [0 seconds]
[19-07-23 04:44:29:228 PDT] TableRow.appendTableCell([Descritivo]) [0 seconds]
[19-07-23 04:44:29:229 PDT] TableCell.setAttributes([{FOREGROUND_COLOR=#FFFFFF, BOLD=true, BACKGROUND_COLOR=#336600}]) [0 seconds]
[19-07-23 04:44:29:230 PDT] TableRow.appendTableCell([Credit]) [0 seconds]
[19-07-23 04:44:29:231 PDT] TableCell.setAttributes([{FOREGROUND_COLOR=#FFFFFF, BOLD=true, BACKGROUND_COLOR=#336600}]) [0 seconds]
[19-07-23 04:44:29:232 PDT] TableRow.appendTableCell([Debit]) [0 seconds]
[19-07-23 04:44:29:233 PDT] TableCell.setAttributes([{FOREGROUND_COLOR=#FFFFFF, BOLD=true, BACKGROUND_COLOR=#336600}]) [0 seconds]
[19-07-23 04:44:29:234 PDT] JdbcResultSet.next() [0 seconds]
[19-07-23 04:44:29:235 PDT] Table.appendTableRow() [0 seconds]
[19-07-23 04:44:29:236 PDT] Logger.log([Col: 0, []]) [0 seconds]
[19-07-23 04:44:29:237 PDT] Logger.log([Col: 1, []]) [0 seconds]
[19-07-23 04:44:29:237 PDT] Logger.log([Col: 2, []]) [0 seconds]
[19-07-23 04:44:29:238 PDT] Logger.log([col == 2: 2, []]) [0 seconds]
[19-07-23 04:44:29:239 PDT] JdbcResultSet.getString([3]) [0 seconds]
[19-07-23 04:44:29:240 PDT] TableRow.appendTableCell([Comissão de Vendas Bolt]) [0 seconds]
[19-07-23 04:44:29:240 PDT] TableCell.setAttributes([{FOREGROUND_COLOR=#000000, BOLD=false}]) [0 seconds]
[19-07-23 04:44:29:241 PDT] Logger.log([Col: 3, []]) [0 seconds]
[19-07-23 04:44:29:242 PDT] Logger.log([col == 3: 3, []]) [0 seconds]
[19-07-23 04:44:29:242 PDT] JdbcResultSet.getString([4]) [0 seconds]
[19-07-23 04:44:29:243 PDT] TableRow.appendTableCell([96.35]) [0 seconds]
[19-07-23 04:44:29:244 PDT] TableCell.setAttributes([{FOREGROUND_COLOR=#000000, BOLD=false}]) [0 seconds]
[19-07-23 04:44:29:245 PDT] Logger.log([Col: 4, []]) [0 seconds]
[19-07-23 04:44:29:246 PDT] Logger.log([col == 4: 4, []]) [0 seconds]
[19-07-23 04:44:29:246 PDT] JdbcResultSet.getString([5]) [0 seconds]
[19-07-23 04:44:29:247 PDT] TableRow.appendTableCell([0]) [0.001 seconds]
[19-07-23 04:44:29:248 PDT] TableCell.setAttributes([{FOREGROUND_COLOR=#000000, BOLD=false}]) [0 seconds]
[19-07-23 04:44:29:249 PDT] Logger.log([Col: 5, []]) [0 seconds]
[19-07-23 04:44:29:249 PDT] Logger.log([Col: 6, []]) [0 seconds]
[19-07-23 04:44:29:250 PDT] JdbcResultSet.next() [0 seconds]
[19-07-23 04:44:29:251 PDT] Table.appendTableRow() [0 seconds]
[19-07-23 04:44:29:251 PDT] Logger.log([Col: 0, []]) [0 seconds]
[19-07-23 04:44:29:252 PDT] Logger.log([Col: 1, []]) [0 seconds]
[19-07-23 04:44:29:253 PDT] Logger.log([Col: 2, []]) [0 seconds]
[19-07-23 04:44:29:253 PDT] Logger.log([col == 2: 2, []]) [0 seconds]
[19-07-23 04:44:29:254 PDT] JdbcResultSet.getString([3]) [0 seconds]
[19-07-23 04:44:29:255 PDT] TableRow.appendTableCell([Comissão de Vendas Kapten]) [0.001 seconds]
[19-07-23 04:44:29:256 PDT] TableCell.setAttributes([{FOREGROUND_COLOR=#000000, BOLD=false}]) [0 seconds]
[19-07-23 04:44:29:257 PDT] Logger.log([Col: 3, []]) [0 seconds]
[19-07-23 04:44:29:258 PDT] Logger.log([col == 3: 3, []]) [0 seconds]
[19-07-23 04:44:29:258 PDT] JdbcResultSet.getString([4]) [0 seconds]
[19-07-23 04:44:29:259 PDT] TableRow.appendTableCell([129.82999999999998]) [0.001 seconds]
[19-07-23 04:44:29:260 PDT] TableCell.setAttributes([{FOREGROUND_COLOR=#000000, BOLD=false}]) [0 seconds]
[19-07-23 04:44:29:261 PDT] Logger.log([Col: 4, []]) [0 seconds]
[19-07-23 04:44:29:262 PDT] Logger.log([col == 4: 4, []]) [0 seconds]
[19-07-23 04:44:29:262 PDT] JdbcResultSet.getString([5]) [0 seconds]
[19-07-23 04:44:29:263 PDT] TableRow.appendTableCell([0]) [0.001 seconds]
[19-07-23 04:44:29:264 PDT] TableCell.setAttributes([{FOREGROUND_COLOR=#000000, BOLD=false}]) [0 seconds]
[19-07-23 04:44:29:265 PDT] Logger.log([Col: 5, []]) [0 seconds]
[19-07-23 04:44:29:266 PDT] Logger.log([Col: 6, []]) [0 seconds]
[19-07-23 04:44:29:266 PDT] JdbcResultSet.next() [0 seconds]
[19-07-23 04:44:29:267 PDT] Table.appendTableRow() [0 seconds]
[19-07-23 04:44:29:268 PDT] Logger.log([Col: 0, []]) [0 seconds]
[19-07-23 04:44:29:268 PDT] Logger.log([Col: 1, []]) [0 seconds]
[19-07-23 04:44:29:269 PDT] Logger.log([Col: 2, []]) [0 seconds]
[19-07-23 04:44:29:270 PDT] Logger.log([col == 2: 2, []]) [0 seconds]
[19-07-23 04:44:29:270 PDT] JdbcResultSet.getString([3]) [0 seconds]
[19-07-23 04:44:29:271 PDT] TableRow.appendTableCell([Comissão de Vendas Uber]) [0.001 seconds]
[19-07-23 04:44:29:272 PDT] TableCell.setAttributes([{FOREGROUND_COLOR=#000000, BOLD=false}]) [0 seconds]
[19-07-23 04:44:29:273 PDT] Logger.log([Col: 3, []]) [0 seconds]
[19-07-23 04:44:29:274 PDT] Logger.log([col == 3: 3, []]) [0 seconds]
[19-07-23 04:44:29:274 PDT] JdbcResultSet.getString([4]) [0 seconds]
[19-07-23 04:44:29:275 PDT] TableRow.appendTableCell([252.1]) [0.001 seconds]
[19-07-23 04:44:29:277 PDT] TableCell.setAttributes([{FOREGROUND_COLOR=#000000, BOLD=false}]) [0 seconds]
[19-07-23 04:44:29:277 PDT] Logger.log([Col: 4, []]) [0 seconds]
[19-07-23 04:44:29:278 PDT] Logger.log([col == 4: 4, []]) [0 seconds]
[19-07-23 04:44:29:279 PDT] JdbcResultSet.getString([5]) [0 seconds]
[19-07-23 04:44:29:280 PDT] TableRow.appendTableCell([0]) [0.001 seconds]
[19-07-23 04:44:29:281 PDT] TableCell.setAttributes([{FOREGROUND_COLOR=#000000, BOLD=false}]) [0 seconds]
[19-07-23 04:44:29:281 PDT] Logger.log([Col: 5, []]) [0 seconds]
[19-07-23 04:44:29:282 PDT] Logger.log([Col: 6, []]) [0 seconds]
[19-07-23 04:44:29:283 PDT] JdbcResultSet.next() [0 seconds]
[19-07-23 04:44:29:284 PDT] Table.appendTableRow() [0 seconds]
[19-07-23 04:44:29:284 PDT] Logger.log([Col: 0, []]) [0 seconds]
[19-07-23 04:44:29:285 PDT] Logger.log([Col: 1, []]) [0 seconds]
[19-07-23 04:44:29:286 PDT] Logger.log([Col: 2, []]) [0 seconds]
[19-07-23 04:44:29:286 PDT] Logger.log([col == 2: 2, []]) [0 seconds]
[19-07-23 04:44:29:287 PDT] JdbcResultSet.getString([3]) [0 seconds]
[19-07-23 04:44:29:288 PDT] TableRow.appendTableCell([Portagens]) [0.001 seconds]
[19-07-23 04:44:29:289 PDT] TableCell.setAttributes([{FOREGROUND_COLOR=#000000, BOLD=false}]) [0 seconds]
[19-07-23 04:44:29:289 PDT] Logger.log([Col: 3, []]) [0 seconds]
[19-07-23 04:44:29:290 PDT] Logger.log([col == 3: 3, []]) [0 seconds]
[19-07-23 04:44:29:290 PDT] JdbcResultSet.getString([4]) [0 seconds]
[19-07-23 04:44:29:291 PDT] TableRow.appendTableCell([0]) [0 seconds]
[19-07-23 04:44:29:292 PDT] TableCell.setAttributes([{FOREGROUND_COLOR=#000000, BOLD=false}]) [0 seconds]
[19-07-23 04:44:29:293 PDT] Logger.log([Col: 4, []]) [0 seconds]
[19-07-23 04:44:29:293 PDT] Logger.log([col == 4: 4, []]) [0 seconds]
[19-07-23 04:44:29:294 PDT] JdbcResultSet.getString([5]) [0 seconds]
[19-07-23 04:44:29:295 PDT] TableRow.appendTableCell([6.75]) [0 seconds]
[19-07-23 04:44:29:295 PDT] TableCell.setAttributes([{FOREGROUND_COLOR=#000000, BOLD=false}]) [0 seconds]
[19-07-23 04:44:29:296 PDT] Logger.log([Col: 5, []]) [0 seconds]
[19-07-23 04:44:29:297 PDT] Logger.log([Col: 6, []]) [0 seconds]
[19-07-23 04:44:29:297 PDT] JdbcResultSet.next() [0 seconds]
[19-07-23 04:44:29:298 PDT] Table.appendTableRow() [0 seconds]
[19-07-23 04:44:29:298 PDT] Logger.log([Col: 0, []]) [0 seconds]
[19-07-23 04:44:29:299 PDT] Logger.log([Col: 1, []]) [0 seconds]
[19-07-23 04:44:29:299 PDT] Logger.log([Col: 2, []]) [0 seconds]
[19-07-23 04:44:29:300 PDT] Logger.log([col == 2: 2, []]) [0 seconds]
[19-07-23 04:44:29:300 PDT] JdbcResultSet.getString([3]) [0 seconds]
[19-07-23 04:44:29:301 PDT] TableRow.appendTableCell([Consumo de Combustível]) [0.001 seconds]
[19-07-23 04:44:29:302 PDT] TableCell.setAttributes([{FOREGROUND_COLOR=#000000, BOLD=false}]) [0 seconds]
[19-07-23 04:44:29:303 PDT] Logger.log([Col: 3, []]) [0 seconds]
[19-07-23 04:44:29:303 PDT] Logger.log([col == 3: 3, []]) [0 seconds]
[19-07-23 04:44:29:304 PDT] JdbcResultSet.getString([4]) [0 seconds]
[19-07-23 04:44:29:305 PDT] TableRow.appendTableCell([0]) [0 seconds]
[19-07-23 04:44:29:306 PDT] TableCell.setAttributes([{FOREGROUND_COLOR=#000000, BOLD=false}]) [0 seconds]
[19-07-23 04:44:29:307 PDT] Logger.log([Col: 4, []]) [0 seconds]
[19-07-23 04:44:29:307 PDT] Logger.log([col == 4: 4, []]) [0 seconds]
[19-07-23 04:44:29:308 PDT] JdbcResultSet.getString([5]) [0 seconds]
[19-07-23 04:44:29:309 PDT] TableRow.appendTableCell([120.45760000000001]) [0 seconds]
[19-07-23 04:44:29:309 PDT] TableCell.setAttributes([{FOREGROUND_COLOR=#000000, BOLD=false}]) [0 seconds]
[19-07-23 04:44:29:310 PDT] Logger.log([Col: 5, []]) [0 seconds]
[19-07-23 04:44:29:311 PDT] Logger.log([Col: 6, []]) [0 seconds]
[19-07-23 04:44:29:311 PDT] JdbcResultSet.next() [0 seconds]
[19-07-23 04:44:29:312 PDT] Table.appendTableRow() [0 seconds]
[19-07-23 04:44:29:313 PDT] Logger.log([Col: 0, []]) [0 seconds]
[19-07-23 04:44:29:313 PDT] Logger.log([Col: 1, []]) [0 seconds]
[19-07-23 04:44:29:314 PDT] Logger.log([Col: 2, []]) [0 seconds]
[19-07-23 04:44:29:314 PDT] Logger.log([col == 2: 2, []]) [0 seconds]
[19-07-23 04:44:29:315 PDT] JdbcResultSet.getString([3]) [0 seconds]
[19-07-23 04:44:29:316 PDT] TableRow.appendTableCell([Desconto de Combustível]) [0 seconds]
[19-07-23 04:44:29:317 PDT] TableCell.setAttributes([{FOREGROUND_COLOR=#000000, BOLD=false}]) [0 seconds]
[19-07-23 04:44:29:317 PDT] Logger.log([Col: 3, []]) [0 seconds]
[19-07-23 04:44:29:318 PDT] Logger.log([col == 3: 3, []]) [0 seconds]
[19-07-23 04:44:29:318 PDT] JdbcResultSet.getString([4]) [0 seconds]
[19-07-23 04:44:29:319 PDT] TableRow.appendTableCell([11.262295934959347]) [0.001 seconds]
[19-07-23 04:44:29:320 PDT] TableCell.setAttributes([{FOREGROUND_COLOR=#000000, BOLD=false}]) [0 seconds]
[19-07-23 04:44:29:321 PDT] Logger.log([Col: 4, []]) [0 seconds]
[19-07-23 04:44:29:321 PDT] Logger.log([col == 4: 4, []]) [0 seconds]
[19-07-23 04:44:29:322 PDT] JdbcResultSet.getString([5]) [0 seconds]
[19-07-23 04:44:29:323 PDT] TableRow.appendTableCell([0]) [0 seconds]
[19-07-23 04:44:29:324 PDT] TableCell.setAttributes([{FOREGROUND_COLOR=#000000, BOLD=false}]) [0 seconds]
[19-07-23 04:44:29:324 PDT] Logger.log([Col: 5, []]) [0 seconds]
[19-07-23 04:44:29:325 PDT] Logger.log([Col: 6, []]) [0 seconds]
[19-07-23 04:44:29:325 PDT] JdbcResultSet.next() [0 seconds]
[19-07-23 04:44:29:326 PDT] Table.appendTableRow() [0 seconds]
[19-07-23 04:44:29:327 PDT] Logger.log([Col: 0, []]) [0 seconds]
[19-07-23 04:44:29:327 PDT] Logger.log([Col: 1, []]) [0 seconds]
[19-07-23 04:44:29:328 PDT] Logger.log([Col: 2, []]) [0 seconds]
[19-07-23 04:44:29:329 PDT] Logger.log([col == 2: 2, []]) [0 seconds]
[19-07-23 04:44:29:329 PDT] JdbcResultSet.getString([3]) [0 seconds]
[19-07-23 04:44:29:330 PDT] TableRow.appendTableCell([Garantia de Serviços Mínimos]) [0.001 seconds]
[19-07-23 04:44:29:331 PDT] TableCell.setAttributes([{FOREGROUND_COLOR=#000000, BOLD=false}]) [0 seconds]
[19-07-23 04:44:29:332 PDT] Logger.log([Col: 3, []]) [0 seconds]
[19-07-23 04:44:29:332 PDT] Logger.log([col == 3: 3, []]) [0 seconds]
[19-07-23 04:44:29:332 PDT] JdbcResultSet.getString([4]) [0 seconds]
[19-07-23 04:44:29:334 PDT] TableRow.appendTableCell([0]) [0 seconds]
[19-07-23 04:44:29:334 PDT] TableCell.setAttributes([{FOREGROUND_COLOR=#000000, BOLD=false}]) [0 seconds]
[19-07-23 04:44:29:335 PDT] Logger.log([Col: 4, []]) [0 seconds]
[19-07-23 04:44:29:335 PDT] Logger.log([col == 4: 4, []]) [0 seconds]
[19-07-23 04:44:29:336 PDT] JdbcResultSet.getString([5]) [0 seconds]
[19-07-23 04:44:29:337 PDT] TableRow.appendTableCell([290]) [0 seconds]
[19-07-23 04:44:29:337 PDT] TableCell.setAttributes([{FOREGROUND_COLOR=#000000, BOLD=false}]) [0 seconds]
[19-07-23 04:44:29:338 PDT] Logger.log([Col: 5, []]) [0 seconds]
[19-07-23 04:44:29:339 PDT] Logger.log([Col: 6, []]) [0 seconds]
[19-07-23 04:44:29:339 PDT] JdbcResultSet.next() [0 seconds]
[19-07-23 04:44:29:340 PDT] Table.appendTableRow() [0 seconds]
[19-07-23 04:44:29:341 PDT] Logger.log([Col: 0, []]) [0 seconds]
[19-07-23 04:44:29:341 PDT] Logger.log([Col: 1, []]) [0 seconds]
[19-07-23 04:44:29:342 PDT] Logger.log([Col: 2, []]) [0 seconds]
[19-07-23 04:44:29:342 PDT] Logger.log([col == 2: 2, []]) [0 seconds]
[19-07-23 04:44:29:343 PDT] JdbcResultSet.getString([3]) [0 seconds]
[19-07-23 04:44:29:344 PDT] TableRow.appendTableCell([Pagamento Bluwalk Autonomo]) [0 seconds]
[19-07-23 04:44:29:345 PDT] TableCell.setAttributes([{FOREGROUND_COLOR=#000000, BOLD=false}]) [0 seconds]
[19-07-23 04:44:29:345 PDT] Logger.log([Col: 3, []]) [0 seconds]
[19-07-23 04:44:29:346 PDT] Logger.log([col == 3: 3, []]) [0 seconds]
[19-07-23 04:44:29:346 PDT] JdbcResultSet.getString([4]) [0 seconds]
[19-07-23 04:44:29:347 PDT] TableRow.appendTableCell([0]) [0 seconds]
[19-07-23 04:44:29:348 PDT] TableCell.setAttributes([{FOREGROUND_COLOR=#000000, BOLD=false}]) [0 seconds]
[19-07-23 04:44:29:349 PDT] Logger.log([Col: 4, []]) [0 seconds]
[19-07-23 04:44:29:349 PDT] Logger.log([col == 4: 4, []]) [0 seconds]
[19-07-23 04:44:29:350 PDT] JdbcResultSet.getString([5]) [0 seconds]
[19-07-23 04:44:29:351 PDT] TableRow.appendTableCell([156.36]) [0.001 seconds]
[19-07-23 04:44:29:352 PDT] TableCell.setAttributes([{FOREGROUND_COLOR=#000000, BOLD=false}]) [0 seconds]
[19-07-23 04:44:29:352 PDT] Logger.log([Col: 5, []]) [0 seconds]
[19-07-23 04:44:29:353 PDT] Logger.log([Col: 6, []]) [0 seconds]
[19-07-23 04:44:29:354 PDT] JdbcResultSet.next() [0 seconds]
[19-07-23 04:44:29:354 PDT] JdbcResultSet.close() [0 seconds]
[19-07-23 04:44:29:354 PDT] JdbcStatement.close() [0 seconds]
[19-07-23 04:44:29:381 PDT] JdbcConnection.close() [0.027 seconds]
[19-07-23 04:44:29:382 PDT] console.log([GSCRIPT after insertTableLedger, []]) [0 seconds]
[19-07-23 04:44:29:384 PDT] Body.replaceText([InsertTableLedger, ]) [0.001 seconds]
[19-07-23 04:44:29:384 PDT] console.log([GSCRIPT after body.replaceText, []]) [0 seconds]
[19-07-23 04:44:29:483 PDT] Document.saveAndClose() [0.098 seconds]
[19-07-23 04:44:29:483 PDT] console.log([GSCRIPT after realDoc.saveAndClose(), []]) [0 seconds]
[19-07-23 04:44:29:483 PDT] Document.getId() [0 seconds]
[19-07-23 04:44:29:484 PDT] console.log([GSCRIPT after var fileId, []]) [0 seconds]
[19-07-23 04:44:29:484 PDT] console.log([GSCRIPT exportPDF, []]) [0 seconds]
[19-07-23 04:44:29:541 PDT] DocumentApp.openById([]) [0.056 seconds]
[19-07-23 04:44:29:541 PDT] console.log([GSCRIPT after var docFile, []]) [0 seconds]
[19-07-23 04:44:29:633 PDT] Document.getAs([application/pdf]) [0.091 seconds]
[19-07-23 04:44:29:634 PDT] console.log([GSCRIPT after var docFilePdf, []]) [0 seconds]
[19-07-23 04:44:29:709 PDT] Document.getName() [0.074 seconds]
[19-07-23 04:44:29:710 PDT] Blob.setName([Driver .pdf]) [0.001 seconds]
[19-07-23 04:44:29:710 PDT] console.log([GSCRIPT after docFilePdf.setName, []]) [0 seconds]
[19-07-23 04:44:29:712 PDT] Blob.getName() [0 seconds]
[19-07-23 04:44:29:712 PDT] Blob.getContentType() [0 seconds]
[19-07-23 04:44:32:628 PDT] DriveApp.createFile([Blob]) [2.916 seconds]
[19-07-23 04:44:32:628 PDT] console.log([GSCRIPT after var file, []]) [0 seconds]
[19-07-23 04:44:32:629 PDT] File.getId() [0 seconds]
[19-07-23 04:44:32:629 PDT] console.log([GSCRIPT after var filePDFId, []]) [0 seconds]
[19-07-23 04:44:32:629 PDT] console.log([GSCRIPT moveFileId, []]) [0 seconds]
[19-07-23 04:44:32:760 PDT] DriveApp.getFileById([]) [0.13 seconds]
[19-07-23 04:44:32:760 PDT] console.log([GSCRIPT var file, []]) [0 seconds]
[19-07-23 04:44:32:890 PDT] DriveApp.getFileById([]) [0.129 seconds]
[19-07-23 04:44:32:891 PDT] File.getParents() [0 seconds]
[19-07-23 04:44:32:995 PDT] FolderIterator.next() [0.103 seconds]
[19-07-23 04:44:32:996 PDT] console.log([GSCRIPT var sourceFolder, []]) [0 seconds]
[19-07-23 04:44:33:153 PDT] DriveApp.getFolderById([]) [0.156 seconds]
[19-07-23 04:44:33:153 PDT] console.log([GSCRIPT var parentFolder, []]) [0 seconds]
[19-07-23 04:44:33:155 PDT] Folder.getFolders() [0.001 seconds]
[19-07-23 04:44:33:155 PDT] console.log([GSCRIPT var folders, []]) [0 seconds]
[19-07-23 04:44:33:292 PDT] FolderIterator.hasNext() [0.136 seconds]
[19-07-23 04:44:33:293 PDT] console.log([GSCRIPT count === 0, []]) [0 seconds]
[19-07-23 04:44:33:439 PDT] DriveApp.getFileById([]) [0.146 seconds]
[19-07-23 04:44:33:440 PDT] console.log([GSCRIPT after var docFileAsFile, []]) [0 seconds]
[19-07-23 04:44:33:548 PDT] DriveApp.getFolderById([]) [0.107 seconds]
[19-07-23 04:44:34:216 PDT] Folder.createFolder([]) [0.668 seconds]
[19-07-23 04:44:34:217 PDT] console.log([GSCRIPT after var createdFolder, []]) [0 seconds]
[19-07-23 04:44:34:217 PDT] console.log([GSCRIPT exportPDF -&amp;gt; moveFileId - create folder for nif: , []]) [0 seconds]
[19-07-23 04:44:34:218 PDT] File.getId() [0 seconds]
[19-07-23 04:44:34:917 PDT] Folder.addFile([Driver .pdf]) [0.698 seconds]
[19-07-23 04:44:34:917 PDT] console.log([GSCRIPT after createdFolder.addFile(file), []]) [0 seconds]
[19-07-23 04:44:34:918 PDT] File.getId() [0 seconds]
[19-07-23 04:44:35:477 PDT] Folder.removeFile([Driver]) [0.56 seconds]
[19-07-23 04:44:35:478 PDT] console.log([GSCRIPT after sourceFolder.removeFile(docFileAsFile), []]) [0 seconds]
[19-07-23 04:44:35:479 PDT] File.getId() [0 seconds]
[19-07-23 04:44:35:920 PDT] Folder.removeFile([Driver .pdf]) [0.441 seconds]
[19-07-23 04:44:35:920 PDT] console.log([GSCRIPT after sourceFolder.removeFile(file), []]) [0 seconds]
[19-07-23 04:44:35:921 PDT] console.log([GSCRIPT after moveFileId, []]) [0 seconds]
[19-07-23 04:44:35:921 PDT] console.log([GSCRIPT after var pdf, []]) [0 seconds]
[19-07-23 04:44:35:921 PDT] console.log([sendByEmail, []]) [0 seconds]
[19-07-23 04:44:36:059 PDT] DriveApp.getFileById([]) [0.137 seconds]
[19-07-23 04:44:36:579 PDT] MailApp.getRemainingDailyQuota() [0.519 seconds]
[19-07-23 04:44:36:580 PDT] File.getAs([application/pdf]) [0.001 seconds]
[19-07-23 04:44:36:845 PDT] Blob.getName() [0 seconds]
[19-07-23 04:44:36:851 PDT] Blob.getBytes() [0.005 seconds]
[19-07-23 04:44:36:854 PDT] Blob.getName() [0 seconds]
[19-07-23 04:44:36:854 PDT] Blob.getContentType() [0 seconds]
[19-07-23 04:44:37:613 PDT] GmailApp.sendEmail([]) [1.031 seconds]
[19-07-23 04:44:37:613 PDT] console.log([after MailApp.getRemainingDailyQuota(), []]) [0 seconds]
[19-07-23 04:44:37:614 PDT] console.log([GSCRIPT after sendByEmail, []]) [0 seconds]
[19-07-23 04:44:37:614 PDT] console.log([END GSCRIPT generateDriverPaymentExtract, []]) [0 seconds]
[19-07-23 04:44:37:614 PDT] console.log([========================================, []]) [0 seconds]
[19-07-23 04:44:37:616 PDT] Execution succeeded [16.378 seconds total runtime]
&lt;/code&gt;&lt;/pre&gt;
&lt;p&gt;Edited 2nd time:
G Suite Business - account&lt;/p&gt;
</t>
  </si>
  <si>
    <t xml:space="preserve">&lt;p&gt;We have an application and we’d like to create a Mendix custom widget to replicate one of it’s functionalities. At first I managed to do it by following a tutorial using dojo and no React, copying all the required JS files (2000+ files) into a &lt;em&gt;lib&lt;/em&gt; folder in the widget, and referencing those in the app's index.html between &lt;code&gt;&amp;lt;script&amp;gt;&lt;/code&gt; tags. This way the &lt;em&gt;lib&lt;/em&gt; folder appeared in the generated .mpk file.&lt;/p&gt;
&lt;p&gt;However now we'd like to isolate the dependencies in the widget and that's why I followed this tutorial: &lt;a href="https://docs.mendix.com/howto/extensibility/create-a-pluggable-widget-one" rel="nofollow noreferrer"&gt;https://docs.mendix.com/howto/extensibility/create-a-pluggable-widget-one&lt;/a&gt;&lt;/p&gt;
&lt;p&gt;I'd like now to copy the &lt;em&gt;lib&lt;/em&gt; into the React component. This is how my folder structure looks like:
&lt;a href="https://i.stack.imgur.com/nOzmm.png" rel="nofollow noreferrer"&gt;folder structure&lt;/a&gt;&lt;/p&gt;
&lt;p&gt;In &lt;code&gt;BeforeScriptSrc.jsx&lt;/code&gt; and &lt;code&gt;AfterScriptSrc.jsx&lt;/code&gt; I add some inline functions to the document's body. &lt;code&gt;ScriptSrc.jsx&lt;/code&gt; is where my problem comes from:&lt;/p&gt;
&lt;pre&gt;&lt;code&gt;export class ScriptSrc extends Component {
componentDidMount () {
    function createScript(src) {
        const script = document.createElement("script");
        script.async = true;
        script.src = src;
        document.body.appendChild(script);
    }
    createScript("./lib/copiedJS.js");
    /*200 more of these*/
}
render() {
    return null;
}
&lt;/code&gt;&lt;/pre&gt;
&lt;p&gt;}&lt;/p&gt;
&lt;p&gt;When I build the component and synchronize the project directory in Mendix I get the following error in the console for every js file:&lt;/p&gt;
&lt;blockquote&gt;
  &lt;p&gt;404 - file not found for file: lib/copiedJS.js&lt;/p&gt;
&lt;/blockquote&gt;
&lt;p&gt;Also the &lt;em&gt;lib&lt;/em&gt; folder doesn't appear in the generated widget. Is there a way to include this folder in the widget? Or any other ways to make this work?&lt;/p&gt;
</t>
  </si>
  <si>
    <t xml:space="preserve">&lt;p&gt;I am using Microsoft Power App for the first time.  I created a rudimentary app for others to use.  However, whenever I try sharing my app with other people, they are unable to open it.  &lt;/p&gt;
&lt;p&gt;I am using OneDrive.  I can see which data connections each user has, and it appears that they all have access to the OneDrive folder.  &lt;/p&gt;
&lt;p&gt;I have tried sharing the app and changing the users' permissions, but it did no good.&lt;/p&gt;
</t>
  </si>
  <si>
    <t xml:space="preserve">&lt;p&gt;&lt;a href="https://i.stack.imgur.com/8Y6Or.png" rel="nofollow noreferrer"&gt;Picture of a table of database&lt;/a&gt;I want to open the edit form By clicking one row from the table in a different page. It have to be the same data field the user clicks.&lt;/p&gt;
&lt;p&gt;Is there any way to do that??&lt;/p&gt;
</t>
  </si>
  <si>
    <t xml:space="preserve">&lt;p&gt;I want to share with you a great tip for Google App Maker code editor.&lt;/p&gt;
&lt;p&gt;As you know when you zoom-in browser screen to make font size bigger, it makes all elements bigger and this make the editor smaller.&lt;/p&gt;
&lt;p&gt;So with this tip, we will increase font-size of the code editor only.&lt;/p&gt;
&lt;p&gt;You can see the photos before and after changes.&lt;/p&gt;
&lt;pre&gt;&lt;code&gt;  [1]: https://i.stack.imgur.com/FcRO4.png
  [2]: https://i.stack.imgur.com/h5kz6.png
&lt;/code&gt;&lt;/pre&gt;
&lt;p&gt;Steps:&lt;/p&gt;
&lt;ol&gt;
&lt;li&gt;Install browser extension &gt; Live editor for CSS, Less &amp;amp; Sass - Magic CSS&lt;/li&gt;
&lt;li&gt;&lt;p&gt;Within App Maker page, open extension and add the below css code:&lt;/p&gt;
&lt;pre&gt;&lt;code&gt;  .CodeMirror-code{
  font-size: 3.5em;
  line-height: 1.5;
  }
  .CodeMirror-gutter-wrapper{
  margin-left:-20px;
  }
&lt;/code&gt;&lt;/pre&gt;&lt;/li&gt;
&lt;li&gt;&lt;p&gt;Enable extension option (Apply styles automatically).&lt;/p&gt;&lt;/li&gt;
&lt;li&gt;&lt;p&gt;Change CSS code as you like and enjoy.&lt;/p&gt;&lt;/li&gt;
&lt;li&gt;&lt;p&gt;You can activate and deactivate css code any time from extension&lt;/p&gt;&lt;/li&gt;
&lt;/ol&gt;
</t>
  </si>
  <si>
    <t xml:space="preserve">&lt;p&gt;I am trying to develop an Salesforce home app page with one lightning component in it which displays my case data on the list view from the SOQL query fired. &lt;/p&gt;
&lt;p&gt;The salesforce provide custom list view but I am not able to add my custom fields on that list view. &lt;/p&gt;
&lt;p&gt;I have looked up into salesforce custom list view documentation but I am not sure If I can use it for the custom case fields.&lt;/p&gt;
</t>
  </si>
  <si>
    <t xml:space="preserve">&lt;p&gt;I am using the Google App Maker template for Calendar.  After creating my own forms and running the script, I am coming up with the below problem.  Suggestions? &lt;/p&gt;
&lt;blockquote&gt;
  &lt;p&gt;Cannot read property 'validate' of undefined at createEvent
  (ClientScript:52:13) at
  Create_Event.Content.Form1.Form1Footer.CreateButton.onClick:1:1&lt;/p&gt;
&lt;/blockquote&gt;
&lt;p&gt;&lt;strong&gt;Client Script&lt;/strong&gt;&lt;/p&gt;
&lt;pre&gt;&lt;code&gt;/**
 * Loads Events datasource.
 */
function loadEvents() {
  var ds = app.datasources.Events;
  ds.query.parameters.StartDate = new Date();
  ds.query.parameters.EndDate = new Date();
  ds.load();
}
/**
 * Combines date and time value from date, hours and minutes.
 * @param {Date} dateValue - date object with date value.
 * @param {string} hoursValue - number of hours in string representation.
 * @param {string} minutesValue - number of minutes in string representation.
 * @param {string} dayPart - part of day AM/PM
 * @return {Date} combined date and time value
 */
function getDateValue(dateValue, hoursValue, minutesValue, dayPart) {
  var d = new Date(dateValue.getTime());
  d.setHours(hoursValue + (dayPart === 'PM' ? 12 : 0));
  d.setMinutes(minutesValue);
  return d.getTime();
}
/**
 * Clears form widgets after adding a new event.
 * @param {Object} formWidgets - widgets of form.
 */
function clearFormValues(formWidgets) {
  formWidgets.NameTextBox.value = null;
  formWidgets.StartDateDateBox.value = null;
  formWidgets.EndDateDateBox.value = null;
  formWidgets.StartHoursDropdown.value = 1;
  formWidgets.StartMinutesDropdown.value = '00';
  formWidgets.EndHoursDropdown.value = 2;
  formWidgets.EndMinutesDropdown.value = '00';
  formWidgets.ColorDropdown.value = '0';
}
/**
 * Sends request to create Calendar event.
 * @param {Widget} createButton - widget that triggered the action.
 */
function createEvent(createButton) {
  var form = createButton.root.descendants.CreateEventForm;
  if (!form.validate()) {
    return;
  }
  var formWidgets = form.descendants;
  var startDate = getDateValue(
    formWidgets.StartDateDateBox.value,
    formWidgets.StartHoursDropdown.value,
    formWidgets.StartMinutesDropdown.value,
    formWidgets.StartTimeDropdown.value);
  var endDate = getDateValue(
    formWidgets.EndDateDateBox.value,
    formWidgets.EndHoursDropdown.value,
    formWidgets.EndMinutesDropdown.value,
    formWidgets.EndTimeDropdown.value);
  if (startDate &amp;gt; endDate) {
    formWidgets.EndDateDateBox.validationErrors = 
      ['Event start time must be before event end time'];
    return;
  } else {
    formWidgets.EndDateDateBox.validationErrors = [];
  }
  google.script.run
    .withSuccessHandler(function() {
      clearFormValues(formWidgets);
      app.datasources.Events.load();
    })
    .withFailureHandler(function(err) {
      console.error(err);
    })
    .createCalendarEvent(
      formWidgets.NameTextBox.value,
      startDate,
      endDate,
      formWidgets.ColorDropdown.value);
}
&lt;/code&gt;&lt;/pre&gt;
&lt;p&gt;&lt;strong&gt;Server Script&lt;/strong&gt;&lt;/p&gt;
&lt;pre&gt;&lt;code&gt;/**
 * Creates Calendar event.
 * @param {string} title - title of new event.
 * @param {number} startDate - numeric value for start date.
 * @param {number} endDate - numeric value for end date.
 * @param {string} color - value code of event color.
 */
function createCalendarEvent(title, startDate, endDate, color) {
  var event = CalendarApp.createEvent(
    title,
    new Date(startDate),
    new Date(endDate),
    {
      guests: Session.getActiveUser().getEmail()
    });
  if (color !== '0') {
    event.setColor(color);
  }
}
/**
 * Gets Calendar events.
 * @param {Query} query - data query with parameters.
 * @return {Array&amp;lt;Event&amp;gt;} events from Calendar.
 */
function getEvents_(query) {
  var startDate = query.parameters.StartDate;
  startDate.setHours(0, 0, 0, 0);
  var endDate = query.parameters.EndDate;
  endDate.setDate(endDate.getDate() + 1);
  endDate.setHours(0, 0, 0, 0);
  if (startDate.getTime() &amp;gt; endDate.getTime()) {
    return [];
  }
  var results = [];
  var events = CalendarApp.getDefaultCalendar().getEvents(startDate, endDate);
  events.forEach(function(item) {
    var event = app.models.Events.newRecord();
    event.StartDate = item.getStartTime();
    event.EndDate = item.getEndTime();
    event.Title = item.getTitle();
    event.Color = item.getColor();
    results.push(event);
  });
  return results;
}
&lt;/code&gt;&lt;/pre&gt;
</t>
  </si>
  <si>
    <t xml:space="preserve">&lt;p&gt;I am trying to process a CSV file from within App Maker. I need to read the contents of the file and process it so that I can insert the correct data into the database. Is this possible?&lt;/p&gt;
</t>
  </si>
  <si>
    <t xml:space="preserve">&lt;p&gt;I'm trying to set up a function to hide &lt;strong&gt;&lt;em&gt;Button1&lt;/em&gt;&lt;/strong&gt; and to make &lt;strong&gt;&lt;em&gt;Button2&lt;/em&gt;&lt;/strong&gt; visible. &lt;/p&gt;
&lt;p&gt;So far I can hide &lt;strong&gt;&lt;em&gt;Button1&lt;/em&gt;&lt;/strong&gt; as I've written the following code in the Script Section:&lt;/p&gt;
&lt;pre&gt;&lt;code&gt;function nextButton(Button1) {
     Button1.visible = false;
}
&lt;/code&gt;&lt;/pre&gt;
&lt;p&gt;In the OnClick event of Button1 I wrote:&lt;/p&gt;
&lt;pre&gt;&lt;code&gt;nextButton(widget);
&lt;/code&gt;&lt;/pre&gt;
&lt;p&gt;What I'm trying to do is to send Button2 to the function. I tried the following:&lt;/p&gt;
&lt;pre&gt;&lt;code&gt;OnClick event: nextButton2(widget, Button2);
Script:  function nextButton(Button1, Button2) {
     Button1.visible = false;
     Button2.visible = true;  }
&lt;/code&gt;&lt;/pre&gt;
&lt;p&gt;This way when I click on Button1 it would hide and Button2 will appear.
But it seems that sending the name of the object (&lt;strong&gt;Button2&lt;/strong&gt;) is not working.&lt;/p&gt;
&lt;p&gt;Do you know how I can reference another object and send it to the function?&lt;/p&gt;
</t>
  </si>
  <si>
    <t xml:space="preserve">&lt;p&gt;You should get the &lt;code&gt;Button2&lt;/code&gt; element from the global variable &lt;a href="https://developers.google.com/appmaker/scripting/api/client#App" rel="nofollow noreferrer"&gt;&lt;code&gt;app&lt;/code&gt;&lt;/a&gt;. &lt;/p&gt;
&lt;pre&gt;&lt;code&gt;var Button2 = app.pages.PageWithTheButton.Button2; //Assuming the button is directly in the page.
&lt;/code&gt;&lt;/pre&gt;
</t>
  </si>
  <si>
    <t xml:space="preserve">&lt;p&gt;We have recently upgraded the Salesforce &lt;code&gt;DeveloperForce.Force&lt;/code&gt; framework from &lt;code&gt;1.3.2&lt;/code&gt; to &lt;code&gt;2.0.7&lt;/code&gt; via nuget as part of Sitecore Upgrade to 9.0.2. After that, calling &lt;code&gt;QueryAsync&lt;/code&gt; method gives no response. Not sure where  the response is going on. Here is the code snippet. &lt;/p&gt;
&lt;pre&gt;&lt;code&gt;            try
            {
                var client = new ForceClient(instanceUrl, accessToken, apiVersion);
                var dealers = client.QueryAsync&amp;lt;DealerDto&amp;gt;(query).Result;
                return new QueryResponseDto&amp;lt;DealerDto&amp;gt; { TotalSize = dealers.TotalSize, Records = dealers.Records };
            }
            catch (Exception e)
            {
                Console.WriteLine(e);
                throw;
            }
&lt;/code&gt;&lt;/pre&gt;
&lt;p&gt;Please note that, Authentication process is success and i'm able to get back the token, url and apiVersion. The same code is working with 1.3.2 version. &lt;/p&gt;
&lt;p&gt;Does anyone help me to resolve this.  &lt;/p&gt;
</t>
  </si>
  <si>
    <t xml:space="preserve">&lt;p&gt;I've discovered I can get a list of values for items as they exist in the rest of database in my dropdown like this:&lt;/p&gt;
&lt;pre&gt;&lt;code&gt;@datasources.BigQuery.items..colors
&lt;/code&gt;&lt;/pre&gt;
&lt;p&gt;Can I filter it for unique? That would save me having to maintain a list of acceptable values on this side. &lt;/p&gt;
</t>
  </si>
  <si>
    <t xml:space="preserve">&lt;p&gt;I have created connected app in Salesforce and when user logins in for the first time, it gets redirected to RemoteAccessAuthorizationPage that ask permission from user to Allow\Deny. I would like to customize the page like changing button color, font style, size etc., I didn't find the page under Visualforce Pages. Where is RemoteAccessAuthorizationPage located in Salesforce and how to customize it?&lt;/p&gt;
</t>
  </si>
  <si>
    <t xml:space="preserve">&lt;p&gt;I have created user and assigned a profile to the user. Not sure where to enable the lightning experience to the user.
I cant see the user can log in with lightning experience. how to enable it ?&lt;/p&gt;
</t>
  </si>
  <si>
    <t xml:space="preserve">&lt;p&gt;Parent model is State
A State could have multiple Brands and there is a many Brands to 1 State relation.&lt;br&gt;
A Brand could have multiple Plants and there is a many Plants to 1 Brand relation&lt;/p&gt;
&lt;p&gt;I have a prepopulated list of values in Google sheet that are being fetched and working fine. But I am struggling to establish relationships while entering data and the output results dont have the State and Brand aligned to Plant as I entered it  &lt;/p&gt;
&lt;p&gt;I have managed to export data from Sheets
I already have the code ready.
I think the issue is updating the relationship to reflect correct State and Brand for the new Plant being entered&lt;/p&gt;
&lt;pre&gt;&lt;code&gt;//fetching Google sheet data
//ColumnA is State - the brand value already exists in the Google Cloud 
State model
//ColumnB is Brand - the brand value already exists in the Google Cloud 
Brands model
//ColumnC is Plant
//counter is the number of plants to be entered
var sht=fileExport.getSheetByName("Plants");
counter =    sht.getRange('z1').getValue();
var st,br,pl="";
var i=0;
for (i = 1; i &amp;lt;counter+1; i++) {
st=sht.getRange('a'+ i).getValue();
br=sht.getRange('b'+ i).getValue();
pl=sht.getRange('c'+ i).getValue();
var plant= app.models.Plants.newRecord();
var query = app.models.Brand.newQuery();
var query1 = app.models.State.newQuery();
plant.Plants =pl;
app.saveRecords([plant]);   
query.filters.Brand._equals = br;
var Brandval = query.run()[0];
Brandval.Plants.push(plant);
app.saveRecords([Brandval]); // Save updated relation.
//I need HELP HERE
query1.filters.State._equals = st;
var Stateval = query1.run()[0];
Stateval.Brand.push(plant.Brand1);
app.saveRecords([Stateval]); // Save updated relation.
//I need HELP HERE
console.info(st + "  -  " + br + "  -  " + pl);
//console output is fine, so the inputss are being read fine
&lt;/code&gt;&lt;/pre&gt;
&lt;p&gt;I am looking to find a way to correctly update the Brand and State relationship when the new plant is entered.&lt;/p&gt;
</t>
  </si>
  <si>
    <t xml:space="preserve">&lt;p&gt;I have created Connected App in Salesfoce and have customized the login screen (changing logo, button css etc., using Visualforce). When user logs in for the first time or logs in from different browser or device, it prompts for 'Verify your identity' (to enter verification code). &lt;/p&gt;
&lt;p&gt;I know we can customize the option of sending the verification code to mobile or email. But, I would like to customize the 'Verify your Identity' screen like changing the logo, button css etc. I didn't find it under Visualforce Pages. &lt;/p&gt;
&lt;p&gt;Where is this located and how can the styles be customized?&lt;/p&gt;
</t>
  </si>
  <si>
    <t xml:space="preserve">&lt;p&gt;I'm writing some client-side customisations for a model driven app and I need to update an entry in an N:N relationship. I have been following the documentation &lt;a href="https://docs.microsoft.com/en-us/powerapps/developer/model-driven-apps/clientapi/reference/xrm-webapi" rel="nofollow noreferrer"&gt;here&lt;/a&gt;. I can read from the relationship table, but trying to update an entry or create a new entry is failing.&lt;/p&gt;
&lt;p&gt;The N:N relationship is between a custom entity &lt;code&gt;new_lastask&lt;/code&gt; and the built-in &lt;code&gt;systemuser&lt;/code&gt; entity. The name generated for the N:N relationship is &lt;code&gt;new_new_lastask_systemuser&lt;/code&gt;. I have managed to create and update other records, and I understand that you need to use the &lt;code&gt;Schema name&lt;/code&gt; with the exact casing, not the &lt;code&gt;name&lt;/code&gt; of the field and also the @odata.bind syntax when updating a lookup field, but I can't figure out what the name of the field should be.&lt;/p&gt;
&lt;p&gt;The example code below tries to find a N:N record with a given user and switch it for another user, I have given an example with the &lt;code&gt;updateRecord&lt;/code&gt; method, but I have tried with &lt;code&gt;createRecord&lt;/code&gt; too and I get the same error.&lt;/p&gt;
&lt;pre&gt;&lt;code&gt;// taskId is the Guid of the custom task entity, and userId is the guid of the user 
var query = "?$filter=new_lastaskid eq " + taskId;
Xrm.WebApi.retrieveMultipleRecords("new_new_lastask_systemuser", query).then(
    function success(result) {
        for (var i = 0; i &amp;lt; result.entities.length; i++) {
            if (result.entities[i].systemuserid===oldUserId) {
                // found the offering user, replace them
                var data = {
                    "systemuserid@odata.bind": "/systemusers" + newUserId
                }
                // try to just change the value of the user attached to the N:N record
                Xrm.WebApi.updateRecord(tableName, result.entities[i].new_new_lastask_systemuserid, data).then(
                    function success(result) {
                        console.log("Successfully updated");
                        // perform operations on record update
                    },
                    function (error) {
                        console.log(error.message);
                        // An error occurred while validating input parameters: Microsoft.OData.ODataException: 
                        // An undeclared property 'systemuserid' which only has property annotations in the payload...
                    }
                );
            }
        }                    
    },
    function (error) {
        console.log(error.message);
        // handle error conditions
    }
);
&lt;/code&gt;&lt;/pre&gt;
&lt;p&gt;This is the same error I was getting when trying to update any lookup field on my entity when I was trying to use the &lt;code&gt;name&lt;/code&gt; instead of the &lt;code&gt;Schema Name&lt;/code&gt;, so I thought it might be related to the capitalisation of the field, so I have tried many variations (SystemUserId, User, SystemUser, systemuser, user, userid) and nothing works.&lt;/p&gt;
&lt;p&gt;What should the &lt;code&gt;Schema name&lt;/code&gt; be of the lookup field on my N:N table, or am I going about handling modifications to these the wrong way via this API?&lt;/p&gt;
</t>
  </si>
  <si>
    <t xml:space="preserve">&lt;p&gt;I have prepared gallery, that displays items imported from excel file as a list. User after clicking on certain item is redirected to next screen with details of selected item.
As there is a lot of duplicates, I decided to add another screen, with copy of the gallery, but with the filter that displays only items with name as selected in previous screen - this works fine.
Now I want to get rid of duplicates in main list (that displays all items), so user sees only one name, and after clicking on this (on the next screen) all items with this name are displayed.&lt;/p&gt;
&lt;p&gt;I tried with distinct, but without succes. Additionaly as far as I understand, distinct creates new column with duplicates deleted. I want to avoid that, it would require a lot of effort, to rebuild app.
If there is such possibility, I would prefer it to filter out duplicates directly on gallery (so it works similar to filter/search/sort)&lt;/p&gt;
&lt;pre&gt;&lt;code&gt;If(
    dropdown_sort.Selected.Value = "Name of the training";
    SortByColumns(
        Search(
            Filter(
                Table1_2;
                '4. Area of training' = "IT-related" || '4. Area of training' = "IT and BIZ-related"
            );
            search_engine.Text;
            "3. Name of the training";
            "1.Name and surname"
        );
        "3. Name of the training";
        If(
            sort;
            Ascending;
            Descending
        )
    );
    SortByColumns(
        Search(
            Filter(
                Table1_2;
                '4. Area of training' = "IT-related" || '4. Area of training' = "IT and BIZ-related"
            );
            search_engine.Text;
            "3. Name of the training";
            "1.Name and surname"
        );
        "7. Describe your level of satisfaction after the training.";
        If(
            sort;
            Ascending;
            Descending
        )
    )
);    
&lt;/code&gt;&lt;/pre&gt;
&lt;p&gt;I have code above to support simple search engine, sorting (asc/desc), dropdown menu, that determines column to sort. So I think we have to frankenstein another function into it.
Sorry, for the code, as it isn't well optimized. If you have any ideas to clean it up, don't hasiate to mention it.
Thank you.&lt;/p&gt;
</t>
  </si>
  <si>
    <t xml:space="preserve">&lt;p&gt;Trying to update the case ownership when the case is transferred. A apex class is executed for live agent chat when chat is initiated through live agent. It pulls the session id and executes the method to update the case ownership.&lt;/p&gt;
&lt;p&gt;For Snap-ins there is no chat visitor session key being populated. I have tried getting the session id from cookies and also tried to use chat button id to update the case ownership but these doesn't work in updating the case ownership. Using chat button id it is updating the case ownership of random cases not the particular case that is being transferred. How can i update the case ownership while i ignore the visitor key/ session id?&lt;/p&gt;
&lt;pre&gt;&lt;code&gt;if (cases[0].OwnerId != UserInfo.getUserId())
  {
     cases[0].OwnerId = UserInfo.getUserId();
     updateCase = true;
   }
&lt;/code&gt;&lt;/pre&gt;
</t>
  </si>
  <si>
    <t xml:space="preserve">&lt;p&gt;I'm new to PowerApps and what I'm trying to do is to create a form that will add data to my SQL server table. It all works fine to the moment I personally delete the data from SQL server and try to add it again.&lt;/p&gt;
&lt;p&gt;The error appears when I try to add the data I removed from SQL server once again. It says "The element was already created on the server", but on SQL server it does not exists cause I deleted it with a query.&lt;a href="https://i.stack.imgur.com/rzOxM.png" rel="nofollow noreferrer"&gt;&lt;img src="https://i.stack.imgur.com/rzOxM.png" alt="enter image description here"&gt;&lt;/a&gt;&lt;/p&gt;
</t>
  </si>
  <si>
    <t xml:space="preserve">&lt;p&gt;What you are probably experiencing is some sort of caching from the data source in the app; the app will load some of the data from the SQL table, and it knows what is the primary key for that. If you try to add a new record with that same primary key, the app will complain saying that it cannot do that (which would be a primary key constraint violation).&lt;/p&gt;
&lt;p&gt;What you can do is to refresh the data source (&lt;code&gt;Refresh('[dbo].[your_table_name]')&lt;/code&gt;), so that the cache will be updated with the latest data from the server. The screen capture below shows a scenario that is likely the same as the one you have - if I remove a row from the server side, but the app doesn't know about it, it fails to insert it again with the same primary key; once I refresh the data source, it works.&lt;/p&gt;
&lt;p&gt;Hope this helps!&lt;/p&gt;
&lt;p&gt;&lt;a href="https://i.stack.imgur.com/wS7jg.gif" rel="nofollow noreferrer"&gt;&lt;img src="https://i.stack.imgur.com/wS7jg.gif" alt="enter image description here"&gt;&lt;/a&gt;&lt;/p&gt;
</t>
  </si>
  <si>
    <t xml:space="preserve">&lt;p&gt;What is the code to manually switch a form to a specific record? I was trying to use relations but I can't make a relation to a calculated table, which is where this is coming from, so I have to hardcode which data is populated.&lt;/p&gt;
&lt;p&gt;I'm looking for something like&lt;/p&gt;
&lt;pre&gt;&lt;code&gt;onLoad()
(read the ID from page properties, which I use for globals)
widget.item.select(id);
&lt;/code&gt;&lt;/pre&gt;
</t>
  </si>
  <si>
    <t xml:space="preserve">&lt;p&gt;I understand that there are no article types once Knowledge is enabled on Lightining. Which means that the following query fails:&lt;/p&gt;
&lt;pre&gt;&lt;code&gt;SELECT Article_Body__c,Id,KnowledgeArticleId,Question__c,Summary,Title FROM FAQ__kav
&lt;/code&gt;&lt;/pre&gt;
&lt;p&gt;where FAQ was one of the article type (which is now a record type in lightning).&lt;/p&gt;
&lt;p&gt;So, what is the workaround to this now?&lt;br&gt;
Can i not fetch the articles on the mobile app using an SOQL query anymore?&lt;br&gt;
Is REST Apis the only option?&lt;/p&gt;
</t>
  </si>
  <si>
    <t xml:space="preserve">&lt;p&gt;Figured it out to be the following:&lt;/p&gt;
&lt;pre&gt;&lt;code&gt;SELECT Article_Body__c,Id,KnowledgeArticleId,Question__c,Summary,Title FROM Knowledge__kav WHERE RecordType.Name = 'FAQ'
&lt;/code&gt;&lt;/pre&gt;
</t>
  </si>
  <si>
    <t xml:space="preserve">&lt;p&gt;I am working on an app in Google app maker, and I want to pull specific cell values from sheets into the app. &lt;/p&gt;
&lt;p&gt;I've tried using API's like Sheetsu,only to find that the only way the data will be input is using iFrame as a chart. The code below works when input into a test window of Tryit Editor v3.6, but will not correctly pull the values when input into an HTML widget in App Maker&lt;/p&gt;
&lt;pre&gt;&lt;code&gt;&amp;lt;table&amp;gt;
  &amp;lt;thead&amp;gt;
    &amp;lt;th&amp;gt;Pending Matters&amp;lt;/th&amp;gt;
    &amp;lt;th&amp;gt;Closed Matters&amp;lt;/th&amp;gt;
    &amp;lt;th&amp;gt;Risk Meter&amp;lt;/th&amp;gt;
    &amp;lt;th&amp;gt;Closing %&amp;lt;/th&amp;gt;
  &amp;lt;/thead&amp;gt;
  &amp;lt;tbody sheetsu="https://sheetsu.com/apis/v1.0su/386ed1faa5dc" sheetsu-limit="3"&amp;gt;
    &amp;lt;tr&amp;gt;
      &amp;lt;td&amp;gt;{{Pending Matters}}&amp;lt;/td&amp;gt;
      &amp;lt;td&amp;gt;{{Closed Matters}}&amp;lt;/td&amp;gt;
      &amp;lt;td&amp;gt;{{Risk Meter}}&amp;lt;/td&amp;gt;
      &amp;lt;td&amp;gt;{{Closing %}}&amp;lt;/td&amp;gt;
    &amp;lt;/tr&amp;gt;
  &amp;lt;/tbody&amp;gt;
&amp;lt;/table&amp;gt;
&amp;lt;script src="//load.sheetsu.com"&amp;gt;&amp;lt;/script&amp;gt;
&lt;/code&gt;&lt;/pre&gt;
</t>
  </si>
  <si>
    <t xml:space="preserve">&lt;p&gt;I need to add a light effect to some part of the image ,
like a closed lamp and when I click on it it lights up . (like in the screenshot)
I can select the part that I want to lights up .
any suggestions on how to add this effect ?&lt;/p&gt;
&lt;p&gt;thank you&lt;/p&gt;
&lt;p&gt;.&lt;a href="https://i.stack.imgur.com/nI4fY.jpg" rel="nofollow noreferrer"&gt;&lt;img src="https://i.stack.imgur.com/nI4fY.jpg" alt="enter image description here"&gt;&lt;/a&gt;&lt;/p&gt;
</t>
  </si>
  <si>
    <t xml:space="preserve">&lt;p&gt;I want to show my table with conditional in color. If statusx is 'Complete', it will show light green color. If it's Statusx is 'Live', it will show different color. Actually what I want is not to change background color, but also change text color.&lt;/p&gt;
&lt;pre&gt;&lt;code&gt;@widget.datasource.item.Statusx === 'Complete' ? ['light-green','app-ListTableRow','hoverAncestor'] : @widget.datasource.item.Statusx === 'Live' ? ['green','app-ListTableRow','hoverAncestor'] : @widget.datasource.item.Statusx === 'Pending' ? ['red','app-ListTableRow','hoverAncestor'] : ['app-ListTableRow','hoverAncestor']
&lt;/code&gt;&lt;/pre&gt;
&lt;p&gt;I also get some error :
Fri Jul 26 09:37:22 GMT+700 2019
(RangeError) : Maximum call stack size exceeded&lt;/p&gt;
&lt;pre&gt;&lt;code&gt;at AllCase.Table1Panel.Table1.Table1Body.Table1Row.onDataLoad:1:19
&lt;/code&gt;&lt;/pre&gt;
&lt;p&gt;at AllCase.Table1Panel.Table1.Table1Body.Table1Row.onDataLoad:1:19
at AllCase.Table1Panel.Table1.Table1Body.Table1Row.onDataLoad:1:19&lt;/p&gt;
&lt;p&gt;How to solve this problem ?&lt;/p&gt;
</t>
  </si>
  <si>
    <t xml:space="preserve">&lt;p&gt;I have two list in sharepoint and an application in powerapps. I can create an element from form and save into a one list of sharepoint.&lt;/p&gt;
&lt;p&gt;But I would like to, from a dataTable in powerApps (that it list elements of sharepoint list), move selected element to another datatable (connected to another sharepoint list).&lt;/p&gt;
&lt;p&gt;Thanks&lt;/p&gt;
</t>
  </si>
  <si>
    <t xml:space="preserve">&lt;p&gt;You can do that by first adding the element from the first list to the second list, then removing it from the first list. For example, the screen capture below shows one such example (it uses SQL Server tables, but the idea is the same for SharePoint lists):&lt;/p&gt;
&lt;pre&gt;&lt;code&gt;Patch(
    '[PowerAppsTest].[deleteme20190726b]',
    Defaults('[PowerAppsTest].[deleteme20190726b]'),
    {
        Name: DataTable1.Selected.Name,
        Age: DataTable1.Selected.Age,
        IsHuman: DataTable1.Selected.IsHuman
    });
Remove('[PowerAppsTest].[deleteme20190726a]', DataTable1.Selected)
&lt;/code&gt;&lt;/pre&gt;
&lt;p&gt;The first &lt;a href="https://docs.microsoft.com/powerapps/maker/canvas-apps/functions/function-patch" rel="nofollow noreferrer"&gt;Patch&lt;/a&gt; command will take the properties from the selected item in the left data table (whose Items property points to the first table/list), and add a new record to the data source that is bound to the second data table. After the item is inserted in the second data source, you can then use the &lt;a href="https://docs.microsoft.com/powerapps/maker/canvas-apps/functions/function-remove-removeif" rel="nofollow noreferrer"&gt;Remove function&lt;/a&gt; to delete it from the first one.&lt;/p&gt;
&lt;p&gt;&lt;a href="https://i.stack.imgur.com/a0ehU.gif" rel="nofollow noreferrer"&gt;&lt;img src="https://i.stack.imgur.com/a0ehU.gif" alt="Moving record between data sources"&gt;&lt;/a&gt;&lt;/p&gt;
&lt;p&gt;Hope this helps!&lt;/p&gt;
</t>
  </si>
  <si>
    <t xml:space="preserve">&lt;p&gt;I have created connected app in Salesforce with OAuth enabled and have defined the CallbackUrl. I have created domain, Community and have customized the login page for the community and have mapped the same. &lt;/p&gt;
&lt;p&gt;When I use &lt;code&gt;communityurl/services/oauth2/authorize?response_code=code&amp;amp;client_id=clientkey&amp;amp;redirect_uri=callbackurl&lt;/code&gt;, it shows the community customized login page. After login, instead of redirecting to Callback url, it redirects the user to CommunityLandingPage. &lt;/p&gt;
&lt;p&gt;I verified that user is getting authenticated. Why the callbackurl mentioned in the connected app isn't called and why the user is redirected to CommunityLandingPage?&lt;/p&gt;
&lt;p&gt;This happens only when I use  &lt;code&gt;communityurl/services/oauth2/authorize?response_code=code&amp;amp;client_id=clientkey&amp;amp;redirect_uri=callbackurl&lt;/code&gt;. Instead if I use &lt;code&gt;login.salesforce.com/ervices/oauth2/authorize?response_code=code&amp;amp;client_id=clientkey&amp;amp;redirect_uri=callbackurl&lt;/code&gt;, the callbackurl is called as expected. &lt;/p&gt;
&lt;p&gt;What's the configuration am I missing out that Callbackurl isn't getting called when I use CommunityUrl?&lt;/p&gt;
</t>
  </si>
  <si>
    <t xml:space="preserve">&lt;p&gt;I have the following code within one of the components on my lightning component (salesforce) app:&lt;/p&gt;
&lt;pre&gt;&lt;code&gt;&amp;lt;aura:registerEvent name="openSidebarEvent" type="c:OpenSidebarEvent" /&amp;gt;
&lt;/code&gt;&lt;/pre&gt;
&lt;p&gt;The Component event looks as below:&lt;/p&gt;
&lt;pre&gt;&lt;code&gt;&amp;lt;aura:event type="APPLICATION" description="Event template"&amp;gt;
    &amp;lt;aura:attribute name="postId" type="String" /&amp;gt;
    &amp;lt;aura:attribute name="type" type="String" /&amp;gt;
&amp;lt;/aura:event&amp;gt;
&lt;/code&gt;&lt;/pre&gt;
&lt;p&gt;and this is how I am firing the event from same compoent:&lt;/p&gt;
&lt;pre&gt;&lt;code&gt;var appEvent = $A.get("e.c:openSidebarEvent");
        appEvent.setParams({ postId: selected_feedId });
        appEvent.setParams({ type: "post" });
        appEvent.fire();
&lt;/code&gt;&lt;/pre&gt;
&lt;p&gt;Now the receiver component has this:&lt;/p&gt;
&lt;pre&gt;&lt;code&gt;&amp;lt;aura:handler event="c:OpenSidebarEvent" action="{!c.highlightPost}" /&amp;gt;
 highlightPost: function(component, event, helper) {
    console.log("application event handle");
  }
&lt;/code&gt;&lt;/pre&gt;
&lt;p&gt;So basically highlightPost() is never called on this component.&lt;/p&gt;
&lt;p&gt;But I do have exactly same thing in another component and it works there. Not entirely sure why would this not work on this component? Does the hierarchy of cmps matter?&lt;/p&gt;
</t>
  </si>
  <si>
    <t xml:space="preserve">&lt;p&gt;I am building a lightning web component that uses a combobox. It seems to be having its dropdown portion cut short by the bounds of its container. &lt;/p&gt;
&lt;p&gt;I've tried adding height, z-index, overflow, and margin modifiers to the style sheet for the input element and its container, and the only thing that's had a visible effect is adding margin to the combobox's container, which just makes more space for the dropdown to show its contents but doesn't solve the problem.&lt;/p&gt;
&lt;p&gt;Here is an excerpt of the html file:&lt;/p&gt;
&lt;pre&gt;&lt;code&gt;    &amp;lt;div class="slds-col slds-grid"&amp;gt;
        &amp;lt;!-- Complete Task --&amp;gt;
        &amp;lt;div class="slds-grid slds-col slds-size_2-of-4 slds-p-right_small slds-truncate"&amp;gt;
          &amp;lt;div class="slds-col"&amp;gt;
            &amp;lt;div class="slds-border_bottom" style="background-color: #ecd4b566"&amp;gt;Log a Call&amp;lt;/div&amp;gt;
            &amp;lt;div class="slds-grid_vertical slds-p-top_small"&amp;gt;
              &amp;lt;div class="slds-col"&amp;gt;
                &amp;lt;lightning-combobox 
                  class="spencer_combobox"
                  variant="label-hidden" 
                  placeholder="-- Call Result --" 
                  options={callResults} 
                  value={selectedResult}
                  required
                  onchange={handleResultSelection}&amp;gt;
                &amp;lt;/lightning-combobox&amp;gt;
              &amp;lt;/div&amp;gt;
              &amp;lt;div class="slds-col"&amp;gt;
                &amp;lt;lightning-textarea maxlength=255 placeholder="Write comments here" onchange={handleComment} value={commentValue}&amp;gt;&amp;lt;/lightning-textarea&amp;gt;
              &amp;lt;/div&amp;gt;
              &amp;lt;div class="slds-col"&amp;gt;
                &amp;lt;lightning-button class="slds-col" variant="Brand" label="Complete Task" onclick={handleCompleteTaskClick} disabled={buttonDisabled}&amp;gt;&amp;lt;/lightning-button&amp;gt;
              &amp;lt;/div&amp;gt;
            &amp;lt;/div&amp;gt;
          &amp;lt;/div&amp;gt;
        &amp;lt;/div&amp;gt;
&lt;/code&gt;&lt;/pre&gt;
&lt;p&gt;I expected the dropdown to be visible on top of the other elements, but it ends up hidden or cut off.&lt;/p&gt;
&lt;p&gt;&lt;a href="https://i.stack.imgur.com/PjupW.png" rel="nofollow noreferrer"&gt;Here is a screenshot; the dropdown menu isn't being cut off by the next element below it, it's actually getting cut off by its own bounds.&lt;/a&gt;&lt;/p&gt;
</t>
  </si>
  <si>
    <t xml:space="preserve">&lt;p&gt;I am working with the Document Approval template for AppMaker and trying to edit the approver section.  This is what I am trying to do and having some difficulty.&lt;/p&gt;
&lt;p&gt;1) I do not want the user to receive the approver section.
2) I want the admin to be able to set the approvers, and for those approvers to be set across every record. &lt;/p&gt;
&lt;p&gt;I found a few options on Stack where defaults can be changed in the function, but I am looking for an App that will set the approvers and be a plug and play into all of my approval apps.  &lt;/p&gt;
&lt;p&gt;Any suggestions would be HUGE!&lt;/p&gt;
</t>
  </si>
  <si>
    <t xml:space="preserve">&lt;p&gt;I really have not found any information about this and I am not sure why.  I want to build several independent apps (project tracker, document approval [6-8 different apps here], calendar items, etc) but how do I link them together to work together?  The goal is to create a dashboard system with all of these apps integrated together but if I combine them under one single app it is such a pain to manage with dozens of data connections, pages, and scripts.  Suggestions?&lt;/p&gt;
</t>
  </si>
  <si>
    <t xml:space="preserve">&lt;p&gt;Time picker is hidden by a container. I tried to use select tag and works well but I get the data from the server in a single inputfield as below&lt;/p&gt;
&lt;pre&gt;&lt;code&gt;&amp;lt;div class="slds-form-element__control"&amp;gt;                    
                &amp;lt;div class="slds-form-element__row"&amp;gt;
                    &amp;lt;lightning:inputField fieldName = "Appointment_Start_Date__c" /&amp;gt;
                &amp;lt;/div&amp;gt;     
                &amp;lt;div class="slds-form-element__row"&amp;gt;
                    &amp;lt;lightning:inputField fieldName = "Appointment_End_Date__c" /&amp;gt;
                &amp;lt;/div&amp;gt;
&amp;lt;/div&amp;gt;
&lt;/code&gt;&lt;/pre&gt;
&lt;p&gt;This is what I get&lt;/p&gt;
&lt;p&gt;&lt;a href="https://i.stack.imgur.com/PUFeN.png" rel="nofollow noreferrer"&gt;&lt;img src="https://i.stack.imgur.com/PUFeN.png" alt="enter image description here"&gt;&lt;/a&gt;&lt;/p&gt;
&lt;p&gt;And the datepicker is OK, it's not hidden by the container&lt;/p&gt;
&lt;p&gt;&lt;a href="https://i.stack.imgur.com/ImuuX.png" rel="nofollow noreferrer"&gt;&lt;img src="https://i.stack.imgur.com/ImuuX.png" alt="enter image description here"&gt;&lt;/a&gt;&lt;/p&gt;
&lt;p&gt;Thanks.&lt;/p&gt;
</t>
  </si>
  <si>
    <t xml:space="preserve">&lt;p&gt;I need help with Z0h0 Analytics Formula Column&lt;/p&gt;
&lt;p&gt;I have table like&lt;/p&gt;
&lt;pre&gt;&lt;code&gt;Consume
Energy Coal
Energy Non Coal
Physical
Physical
Magic
&lt;/code&gt;&lt;/pre&gt;
&lt;p&gt;I want to make like this&lt;/p&gt;
&lt;pre&gt;&lt;code&gt;Consume             Group
Energy Coal         EG
Energy  Non coal    EG 
Physical            PY
Magic               MG
&lt;/code&gt;&lt;/pre&gt;
&lt;p&gt;right now i am using &lt;code&gt;iscontain&lt;/code&gt; but failed&lt;/p&gt;
&lt;p&gt;&lt;code&gt;iscontain("Consume",'Energy')='EG'&lt;/code&gt;
&lt;code&gt;iscontain("Consume",'Physical')='PY'&lt;/code&gt;
&lt;code&gt;iscontain("Consume",'Magic')='MG'&lt;/code&gt;&lt;/p&gt;
&lt;p&gt;It doesn't work if i using this. i think &lt;code&gt;iscontain&lt;/code&gt; only return &lt;code&gt;boleean&lt;/code&gt;.
Any solution for this issue?&lt;/p&gt;
</t>
  </si>
  <si>
    <t xml:space="preserve">&lt;p&gt;YOu can use like operator&lt;/p&gt;
&lt;pre&gt;&lt;code&gt;select Consume, 
       case when Consume like '%Energy%' then 'EG'
       when Consume like '%Physical%' then 'PY'
       when Consume like '%Magic%' then 'MG' end as group
from tablename
&lt;/code&gt;&lt;/pre&gt;
</t>
  </si>
  <si>
    <t xml:space="preserve">&lt;p&gt;I have several tables in App Maker that are linked to one. &lt;/p&gt;
&lt;pre&gt;&lt;code&gt;Table: 
Contactperson
Product
Software 
Company
&lt;/code&gt;&lt;/pre&gt;
&lt;p&gt;&lt;img src="https://i.stack.imgur.com/2egNA.jpg" alt="enter image description here"&gt;&lt;/p&gt;
&lt;pre&gt;&lt;code&gt;Connections:
Company n-n Software
Software n-n Products
Software n-n Contact
&lt;/code&gt;&lt;/pre&gt;
&lt;p&gt;Now I would like to make a common table out of all data to display this data bundled. &lt;/p&gt;
&lt;p&gt;But I don't know exactly how? Can anyone help me?&lt;/p&gt;
&lt;p&gt;I have created a new data source as Calculated. There I created the fields I want from the other tables. No values are calculated, only the data should be displayed.&lt;/p&gt;
</t>
  </si>
  <si>
    <t xml:space="preserve">&lt;p&gt;I am new in salesforce I tried to execute the Apex code in the developer console.&lt;/p&gt;
&lt;p&gt;I have a created one object called &lt;strong&gt;Speaker&lt;/strong&gt; with few fields. I am trying to execute the below code but it is giving me an error after executing the code.&lt;/p&gt;
&lt;pre&gt;&lt;code&gt;Line: 1, Column: 1
Invalid type: Speaker
&lt;/code&gt;&lt;/pre&gt;
&lt;p&gt;I am not able to understand these error, I tried to give permission to read/write/edit/delete to the object from the profile, but it is not resolved.&lt;/p&gt;
&lt;p&gt;Any help will be appreciated &lt;/p&gt;
</t>
  </si>
  <si>
    <t xml:space="preserve">&lt;p&gt;I have implemented a service which streams camera output on html5. But it works only if I use &lt;strong&gt;localhost&lt;/strong&gt;:8080 localhost if I use IP address or machine name then it does not even detect the camera.&lt;/p&gt;
&lt;p&gt;&lt;div class="snippet" data-lang="js" data-hide="false" data-console="true" data-babel="false"&gt;
&lt;div class="snippet-code"&gt;
&lt;pre class="snippet-code-js lang-js prettyprint-override"&gt;&lt;code&gt;/*global logger*/
/*
    VisualInspection
    ========================
    @file      : VisualInspection.js
    @version   : 1.0.0
    @author    : 
    @date      : 7/28/2019
    @copyright : 
    @license   : Apache 2
    Documentation
    ========================
    Describe your widget here.
*/
// Required module list. Remove unnecessary modules, you can always get them back from the boilerplate.
define([
    "dojo/_base/declare",
    "mxui/widget/_WidgetBase",
    "dijit/_TemplatedMixin",
    "mxui/dom",
    "dojo/dom",
    "dojo/dom-prop",
    "dojo/dom-geometry",
    "dojo/dom-class",
    "dojo/dom-style",
    "dojo/dom-construct",
    "dojo/_base/array",
    "dojo/_base/lang",
    "dojo/text",
    "dojo/html",
    "dojo/_base/event",
    "VisualInspection/lib/jquery-1.11.2",
    "dojo/text!VisualInspection/widget/template/VisualInspection.html",
    "VisualInspection/widget/template/tf.min",
    // "dojo/text!VisualInspection/widget/template/labels.json",
    // "dojo/text!VisualInspection/widget/template/model.json"
], function (declare, _WidgetBase, _TemplatedMixin, dom, dojoDom, dojoProp, dojoGeometry, dojoClass, dojoStyle, dojoConstruct, dojoArray, lang, dojoText, dojoHtml, dojoEvent, _jQuery, widgetTemplate, tf) {
    "use strict";
    var $ = _jQuery.noConflict(true);
    var LABELS_URL = "http://pni6w2465:7777/EasyPlan/model_web/labels.json"
    var MODEL_JSON = "http://pni6w2465:7777/EasyPlan/model_web/model.json"
    // var tf = require(['../../VisualInspection/node_modules/@tensorflow/tfjs']);
    //////////////
    const TFWrapper = model =&amp;gt; {
        const calculateMaxScores = (scores, numBoxes, numClasses) =&amp;gt; {
            const maxes = []
            const classes = []
            for (let i = 0; i &amp;lt; numBoxes; i++) {
                let max = Number.MIN_VALUE
                let index = -1
                for (let j = 0; j &amp;lt; numClasses; j++) {
                    if (scores[i * numClasses + j] &amp;gt; max) {
                        max = scores[i * numClasses + j]
                        index = j
                    }
                }
                maxes[i] = max
                classes[i] = index
            }
            return [maxes, classes]
        }
        const buildDetectedObjects = (
            width,
            height,
            boxes,
            scores,
            indexes,
            classes
        ) =&amp;gt; {
            const count = indexes.length
            const objects = []
            for (let i = 0; i &amp;lt; count; i++) {
                const bbox = []
                for (let j = 0; j &amp;lt; 4; j++) {
                    bbox[j] = boxes[indexes[i] * 4 + j]
                }
                const minY = bbox[0] * height
                const minX = bbox[1] * width
                const maxY = bbox[2] * height
                const maxX = bbox[3] * width
                bbox[0] = minX
                bbox[1] = minY
                bbox[2] = maxX - minX
                bbox[3] = maxY - minY
                objects.push({
                    bbox: bbox,
                    class: classes[indexes[i]],
                    score: scores[indexes[i]]
                })
            }
            return objects
        }
        var img = null;
        const detect = input =&amp;gt; {
            const batched = tf.tidy(() =&amp;gt; {
                const img = tf.browser.fromPixels(input)
                // Reshape to a single-element batch so we can pass it to executeAsync.
                // var img = null;
                // //sid
                // var canvas = document.querySelector("#canvasElement");
                // if (canvas.getContext) {
                //     var ctx = canvas.getContext("2d");
                //     img = canvas.toDataURL("image/png");
                // }
                return img.expandDims(0)
            })
            const height = batched.shape[1]
            const width = batched.shape[2]
            // const height = img.height
            // const width = img.width
            return model.executeAsync(batched).then(result =&amp;gt; {
                const scores = result[0].dataSync()
                const boxes = result[1].dataSync()
                // clean the webgl tensors
                batched.dispose()
                tf.dispose(result)
                const [maxScores, classes] = calculateMaxScores(
                    scores,
                    result[0].shape[1],
                    result[0].shape[2]
                )
                const prevBackend = tf.getBackend()
                // run post process in cpu
                tf.setBackend('cpu')
                const indexTensor = tf.tidy(() =&amp;gt; {
                    const boxes2 = tf.tensor2d(boxes, [
                        result[1].shape[1],
                        result[1].shape[3]
                    ])
                    return tf.image.nonMaxSuppression(
                        boxes2,
                        maxScores,
                        20, // maxNumBoxes
                        0.5, // iou_threshold
                        0.5 // score_threshold
                    )
                })
                const indexes = indexTensor.dataSync()
                indexTensor.dispose()
                // restore previous backend
                tf.setBackend(prevBackend)
                return buildDetectedObjects(
                    width,
                    height,
                    boxes,
                    maxScores,
                    indexes,
                    classes
                )
            })
        }
        return {
            detect: detect
        }
    }
    //////////////////////
    // Declare widget's prototype.
    return declare("VisualInspection.widget.VisualInspection", [_WidgetBase, _TemplatedMixin], {
        // _TemplatedMixin will create our dom node using this HTML template.
        templateString: widgetTemplate,
        // DOM elements
        inputNodes: null,
        colorSelectNode: null,
        colorInputNode: null,
        infoTextNode: null,
        // Parameters configured in the Modeler.
        mfToExecute: "",
        messageString: "",
        backgroundColor: "",
        // Internal variables. Non-primitives created in the prototype are shared between all widget instances.
        _handles: null,
        _contextObj: null,
        _alertDiv: null,
        _readOnly: false,
        // dojo.declare.constructor is called to construct the widget instance. Implement to initialize non-primitive properties.
        constructor: function () {
            logger.debug(this.id + ".constructor");
            this._handles = [];
        },
        // dijit._WidgetBase.postCreate is called after constructing the widget. Implement to do extra setup work.
        postCreate: function () {
            logger.debug(this.id + ".postCreate");
            if (this.readOnly || this.get("disabled") || this.readonly) {
                this._readOnly = true;
            }
            this._updateRendering();
            this._setupEvents();
            var video = document.querySelector("#videoElement");
            var canvas = document.querySelector("#canvasElement");
            // if (navigator.mediaDevices.getUserMedia) {
            // navigator.mediaDevices.getUserMedia({ video: true })
            //     .then(function (stream) {
            //     video.srcObject = stream;
            //     })
            //     .catch(function (err0r) {
            //     console.log("Something went wrong!");
            //     });
            // }
            this.componentDidMount();
        },
        ////////////////////////////////////////////////////////
        componentDidMount: function () {
            var video = document.querySelector("#videoElement");
            if (navigator.mediaDevices &amp;amp;&amp;amp; navigator.mediaDevices.getUserMedia) {
                const webCamPromise = navigator.mediaDevices
                    .getUserMedia({
                        audio: false,
                        video: {
                            facingMode: 'user'
                        }
                    })
                    .then(stream =&amp;gt; {
                        window.stream = stream
                        video.srcObject = stream
                        return new Promise((resolve, _) =&amp;gt; {
                            video.onloadedmetadata = () =&amp;gt; {
                                resolve()
                            }
                        })
                    })
                const modelPromise = tf.loadGraphModel(MODEL_JSON)
                const labelsPromise = fetch(LABELS_URL).then(data =&amp;gt; data.json())
                Promise.all([modelPromise, labelsPromise, webCamPromise])
                    .then(values =&amp;gt; {
                        const [model, labels] = values
                        this.detectFrame(video, model, labels)
                    })
                    .catch(error =&amp;gt; {
                        console.error(error)
                    })
            }
        },
        detectFrame: function (video, model, labels) {
            TFWrapper(model)
                .detect(video)
                .then(predictions =&amp;gt; {
                    this.renderPredictions(predictions, labels)
                    requestAnimationFrame(() =&amp;gt; {
                        this.detectFrame(video, model, labels)
                    })
                })
        },
        renderPredictions: function (predictions, labels) {
            var canvas = document.querySelector("#canvasElement");
            const ctx = canvas.getContext('2d')
            ctx.clearRect(0, 0, ctx.canvas.width, ctx.canvas.height)
            // Font options.
            const font = '16px sans-serif'
            ctx.font = font
            ctx.textBaseline = 'top'
            predictions.forEach(prediction =&amp;gt; {
                const x = prediction.bbox[0]
                const y = prediction.bbox[1]
                const width = prediction.bbox[2]
                const height = prediction.bbox[3]
                const label = labels[parseInt(prediction.class)]
                // Draw the bounding box.
                ctx.strokeStyle = '#00FFFF'
                ctx.lineWidth = 4
                ctx.strokeRect(x, y, width, height)
                // Draw the label background.
                ctx.fillStyle = '#00FFFF'
                const textWidth = ctx.measureText(label).width
                const textHeight = parseInt(font, 10) // base 10
                ctx.fillRect(x, y, textWidth + 4, textHeight + 4)
            })
            predictions.forEach(prediction =&amp;gt; {
                const x = prediction.bbox[0]
                const y = prediction.bbox[1]
                const label = labels[parseInt(prediction.class)]
                // Draw the text last to ensure it's on top.
                ctx.fillStyle = '#000000'
                ctx.fillText(label, x, y)
            })
        },
        ///////////////////////////////////////////////////////////
        // mxui.widget._WidgetBase.update is called when context is changed or initialized. Implement to re-render and / or fetch data.
        update: function (obj, callback) {
            logger.debug(this.id + ".update");
            this._contextObj = obj;
            this._resetSubscriptions();
            this._updateRendering(callback); // We're passing the callback to updateRendering to be called after DOM-manipulation
        },
        // mxui.widget._WidgetBase.enable is called when the widget should enable editing. Implement to enable editing if widget is input widget.
        enable: function () {
            logger.debug(this.id + ".enable");
        },
        // mxui.widget._WidgetBase.enable is called when the widget should disable editing. Implement to disable editing if widget is input widget.
        disable: function () {
            logger.debug(this.id + ".disable");
        },
        // mxui.widget._WidgetBase.resize is called when the page's layout is recalculated. Implement to do sizing calculations. Prefer using CSS instead.
        resize: function (box) {
            logger.debug(this.id + ".resize");
        },
        // mxui.widget._WidgetBase.uninitialize is called when the widget is destroyed. Implement to do special tear-down work.
        uninitialize: function () {
            logger.debug(this.id + ".uninitialize");
            // Clean up listeners, helper objects, etc. There is no need to remove listeners added with this.connect / this.subscribe / this.own.
        },
        // We want to stop events on a mobile device
        _stopBubblingEventOnMobile: function (e) {
            logger.debug(this.id + "._stopBubblingEventOnMobile");
            if (typeof document.ontouchstart !== "undefined") {
                dojoEvent.stop(e);
            }
        },
        // Attach events to HTML dom elements
        _setupEvents: function () {
            logger.debug(this.id + "._setupEvents");
            this.connect(this.colorSelectNode, "change", function (e) {
                // Function from mendix object to set an attribute.
                this._contextObj.set(this.backgroundColor, this.colorSelectNode.value);
            });
            this.connect(this.infoTextNode, "click", function (e) {
                // Only on mobile stop event bubbling!
                this._stopBubblingEventOnMobile(e);
                // If a microflow has been set execute the microflow on a click.
                if (this.mfToExecute !== "") {
                    this._execMf(this.mfToExecute, this._contextObj.getGuid());
                }
            });
        },
        _execMf: function (mf, guid, cb) {
            logger.debug(this.id + "._execMf");
            if (mf &amp;amp;&amp;amp; guid) {
                mx.ui.action(mf, {
                    params: {
                        applyto: "selection",
                        guids: [guid]
                    },
                    callback: lang.hitch(this, function (objs) {
                        if (cb &amp;amp;&amp;amp; typeof cb === "function") {
                            cb(objs);
                        }
                    }),
                    error: function (error) {
                        console.debug(error.description);
                    }
                }, this);
            }
        },
        // Rerender the interface.
        _updateRendering: function (callback) {
            logger.debug(this.id + "._updateRendering");
            // Important to clear all validations!
            this._clearValidations();
            // The callback, coming from update, needs to be executed, to let the page know it finished rendering
            this._executeCallback(callback, "_updateRendering");
        },
        // Handle validations.
        _handleValidation: function (validations) {
            logger.debug(this.id + "._handleValidation");
            this._clearValidations();
            var validation = validations[0],
                message = validation.getReasonByAttribute(this.backgroundColor);
            if (this._readOnly) {
                validation.removeAttribute(this.backgroundColor);
            } else if (message) {
                this._addValidation(message);
                validation.removeAttribute(this.backgroundColor);
            }
        },
        // Clear validations.
        _clearValidations: function () {
            logger.debug(this.id + "._clearValidations");
            dojoConstruct.destroy(this._alertDiv);
            this._alertDiv = null;
        },
        // Show an error message.
        _showError: function (message) {
            logger.debug(this.id + "._showError");
            if (this._alertDiv !== null) {
                dojoHtml.set(this._alertDiv, message);
                return true;
            }
            this._alertDiv = dojoConstruct.create("div", {
                "class": "alert alert-danger",
                "innerHTML": message
            });
            dojoConstruct.place(this._alertDiv, this.domNode);
        },
        // Add a validation.
        _addValidation: function (message) {
            logger.debug(this.id + "._addValidation");
            this._showError(message);
        },
        // Reset subscriptions.
        _resetSubscriptions: function () {
            logger.debug(this.id + "._resetSubscriptions");
            // Release handles on previous object, if any.
            this.unsubscribeAll();
            // When a mendix object exists create subscribtions.
            if (this._contextObj) {
                this.subscribe({
                    guid: this._contextObj.getGuid(),
                    callback: lang.hitch(this, function (guid) {
                        this._updateRendering();
                    })
                });
                this.subscribe({
                    guid: this._contextObj.getGuid(),
                    attr: this.backgroundColor,
                    callback: lang.hitch(this, function (guid, attr, attrValue) {
                        this._updateRendering();
                    })
                });
                this.subscribe({
                    guid: this._contextObj.getGuid(),
                    val: true,
                    callback: lang.hitch(this, this._handleValidation)
                });
            }
        },
        _executeCallback: function (cb, from) {
            logger.debug(this.id + "._executeCallback" + (from ? " from " + from : ""));
            if (cb &amp;amp;&amp;amp; typeof cb === "function") {
                cb();
            }
        }
    });
});
require(["VisualInspection/widget/VisualInspection"]);&lt;/code&gt;&lt;/pre&gt;
&lt;pre class="snippet-code-html lang-html prettyprint-override"&gt;&lt;code&gt;&amp;lt;div id="container"&amp;gt;
            &amp;lt;video autoplay="true" playsInline="true" width="600" height="500"  id="videoElement" style="position: fixed;" &amp;gt;
            &amp;lt;/video&amp;gt;
            &amp;lt;canvas  id= "canvasElement" width="600" height="500" style="position: absolute;"&amp;gt;
                &amp;lt;/canvas&amp;gt;
        &amp;lt;/div&amp;gt;&lt;/code&gt;&lt;/pre&gt;
&lt;/div&gt;
&lt;/div&gt;
&lt;/p&gt;
&lt;p&gt;From Above code, When I run using localhost this code will execute :&lt;/p&gt;
&lt;p&gt;&lt;div class="snippet" data-lang="js" data-hide="false" data-console="true" data-babel="false"&gt;
&lt;div class="snippet-code"&gt;
&lt;pre class="snippet-code-js lang-js prettyprint-override"&gt;&lt;code&gt;&amp;lt;!-- begin snippet: js hide: false console: true babel: false --&amp;gt;&lt;/code&gt;&lt;/pre&gt;
&lt;/div&gt;
&lt;/div&gt;
&lt;/p&gt;
&lt;p&gt;When I run using machine name or IP name : 
This code is not considered in developer tool of chrome  due to security or some reason&lt;/p&gt;
</t>
  </si>
  <si>
    <t xml:space="preserve">&lt;p&gt;I know how to send an email to someone but I do not know how to send it at a certain time.&lt;/p&gt;
&lt;p&gt;Can you help me ?&lt;/p&gt;
&lt;p&gt;// My code is (scriptClient) : &lt;/p&gt;
&lt;pre&gt;&lt;code&gt;function sendEmailClient(){
  var user = app.pages.pageEmprunt.descendants.TextBox2.value;
  google.script.run
  .withSuccessHandler(function(){
  })
  .withFailureHandler(function(err){
    console.error('erreur');
  })
  .sendEmail(user);
}
&lt;/code&gt;&lt;/pre&gt;
&lt;p&gt;// And in scriptServer is: &lt;/p&gt;
&lt;pre&gt;&lt;code&gt;function sendEmail(user){
  var htmlBody = 
      "Bonjour!&amp;lt;br/&amp;gt;&amp;lt;p&amp;gt;Vous avez emprunter une ou plusieurs clé(s).&amp;lt;br/&amp;gt;"+
       "&amp;lt;b&amp;gt;N'oubliez pas de la ou les ramener et de signer le registre.&amp;lt;/b&amp;gt;&amp;lt;br/&amp;gt;&amp;lt;/p&amp;gt;"+
       'Merci';
  var emailObj = {
    to : user,
    subject :  'Remise des clés',
    htmlBody : htmlBody,
    noReplay: true
  };
  MailApp.sendEmail(emailObj);
}
&lt;/code&gt;&lt;/pre&gt;
</t>
  </si>
  <si>
    <t xml:space="preserve">&lt;p&gt;So my app was working (was able to upload file to a Google Drive folder). But today, it doesn't work all of a sudden. Whenever I want to upload the file, it keeps saying "server rejected" which I'm not sure why.&lt;/p&gt;
&lt;p&gt;I use drive picker and onPickerInit, this is what I put as a custom action:&lt;/p&gt;
&lt;pre&gt;&lt;code&gt;var folderId = "1t6MrDgiWj0tHEEX0QgxhLerDuDIht1gPPP"; //the desired folder id - I put a fake Id
pickerBuilder.SW.Vq["0"].mc.parent = folderId;
&lt;/code&gt;&lt;/pre&gt;
</t>
  </si>
  <si>
    <t xml:space="preserve">&lt;p&gt;I just put this on the server script and it fixes the problem:&lt;/p&gt;
&lt;p&gt;&lt;code&gt;function writeAccess() {
       DriveApp.addFile();
    }&lt;/code&gt;&lt;/p&gt;
</t>
  </si>
  <si>
    <t xml:space="preserve">&lt;p&gt;For the most part I'm ok with there being separate stage and prod databases, but one of my databases is just a lookup table. To encode it I hard imported data from a spreadsheet using IMPORT DATA FROM SHEET.&lt;/p&gt;
&lt;p&gt;Is there any way to do the same with my live/production app?&lt;/p&gt;
</t>
  </si>
  <si>
    <t xml:space="preserve">&lt;p&gt;I have a google-app-maker, and it show some row data table. Every time it's row clicked, it will go to a page. And on that page there is button for sending invoice information. So recipient is static.&lt;/p&gt;
&lt;p&gt;Client Name : Name_of_Client&lt;/p&gt;
&lt;p&gt;But I can not grab field Name_of_Client into Msg&lt;/p&gt;
&lt;p&gt;OnClick Script :&lt;/p&gt;
&lt;pre&gt;&lt;code&gt;/* var widgets = widget.parent.descendants; */
var to = "webmaster@domain.com";
var subject = "Invoice Report";
var msg = "Client Name widget.datasource.item.Client_Name";
/* widgets.EmailStatus.text = 'Sending email...'; */
SendEmail(to, subject, msg);
&lt;/code&gt;&lt;/pre&gt;
&lt;p&gt;Client Script :&lt;/p&gt;
&lt;pre&gt;&lt;code&gt;function  clearEmailForm(){
}
function SendEmail(To, Subject, Msg){
var status = "sending";
  google.script.run.withSuccessHandler(function(result) {
status.text = 'Email sent...';
clearEmailForm();
 })
 .SendEmail(To, Subject, Msg);  
}
&lt;/code&gt;&lt;/pre&gt;
&lt;p&gt;Server Script :&lt;/p&gt;
&lt;pre&gt;&lt;code&gt;function SendEmail(to, subject, msg){
MailApp.sendEmail(to, subject , msg);
}
&lt;/code&gt;&lt;/pre&gt;
</t>
  </si>
  <si>
    <t xml:space="preserve">&lt;p&gt;I'm trying to sync the Salesforce campaigns to xConnect using the Sitecore's predefined pipeline batch (Salesforce Campaigns to xConnect Sync).&lt;/p&gt;
&lt;p&gt;From the logs, I find that the data is successfully fetched from the Salesforce. 
This is the log when I run the pipeline batch -&lt;/p&gt;
&lt;pre&gt;&lt;code&gt;ManagedPoolThread #8 13:41:17 INFO  [Data Exchange] Starting pipeline batch processing. (pipeline batch: Salesforce Campaigns to xConnect Sync)
ManagedPoolThread #8 13:41:18 INFO  [Data Exchange] Condition added to read objects modified on or after 12/31/2017 6:30:00 PM. (pipeline: Read Campaigns from Salesforce, pipeline step: Read Salesforce Campaigns, pipeline step identifier: 30c88b95-9c9b-4cac-94b8-a2d2061cf3db, object: campaign)
ManagedPoolThread #8 13:41:19 INFO  [Data Exchange] Definition batch was successfully submitted. (pipeline: Process Single Campaign, pipeline step: Add Reference Data Definition to Batch, pipeline step identifier: 79164044-afc0-4a41-84d3-4273534497d3, thread id: 0, batch size: 5)
ManagedPoolThread #8 13:41:19 INFO  [Data Exchange] Definition batch was successfully submitted. (pipeline: Read Campaigns from Salesforce, pipeline step: Submit Reference Data Batch, pipeline step identifier: 462073f0-9227-4589-8e2c-fd1de1822877, thread id: 0, batch size: 1)
&lt;/code&gt;&lt;/pre&gt;
&lt;p&gt;But I couldn't find the data either in the reporting database or in the Experience analytics section of the Sitecore instance.
Where can I exactly find the synced data?&lt;/p&gt;
&lt;p&gt;&lt;a href="https://i.stack.imgur.com/l70cx.jpg" rel="nofollow noreferrer"&gt;&lt;img src="https://i.stack.imgur.com/l70cx.jpg" alt="enter image description here"&gt;&lt;/a&gt;&lt;/p&gt;
</t>
  </si>
  <si>
    <t xml:space="preserve">&lt;p&gt;Google App Maker allows me to drag and drop the "Tabs Layout" widget on a page and add the required tabs from the "Tab Properties" section using the "NEW TAB" button, but this makes it a static way to do things. 
My requirement here is that I want to add new tabs to the tab layout dynamically using either an array of tab names or from the Data-source.
Somebody please suggest a way to achieve this in Google App Maker.&lt;/p&gt;
</t>
  </si>
  <si>
    <t xml:space="preserve">&lt;p&gt;I'm having trouble to activate my recently created flow in Salesforce. I'm working with the last API version.&lt;/p&gt;
&lt;p&gt;&lt;a href="https://i.stack.imgur.com/kTxnY.png" rel="nofollow noreferrer"&gt;&lt;img src="https://i.stack.imgur.com/kTxnY.png" alt="enter image description here"&gt;&lt;/a&gt;&lt;/p&gt;
&lt;p&gt;There's no ACTIVATE button available even after saving the flow with no errors. I've debugged the thing and it's working fine, which is even more weird.&lt;/p&gt;
&lt;p&gt;I couldn't be able to activate the flow even from SETUP ---&gt; FLOWS cause there's not activation button beside the flow's name as expected.&lt;/p&gt;
&lt;p&gt;&lt;a href="https://i.stack.imgur.com/mwEXk.png" rel="nofollow noreferrer"&gt;&lt;img src="https://i.stack.imgur.com/mwEXk.png" alt="enter image description here"&gt;&lt;/a&gt;&lt;/p&gt;
&lt;p&gt;Any ideas ?&lt;/p&gt;
</t>
  </si>
  <si>
    <t xml:space="preserve">&lt;p&gt;I'm facing rendering issues with lightning tags, as the code itself marking 'div' tag class properties as tags and ignoring 'div', as a result complete css of page is getting changed to some custom tags that are not defined by me. But in the browser element source, I can see the above issue first and from there the css has gone mislead.
Is there any way to Register the CryptoAdapter? I found this reference but unable didn't get it how to start with : &lt;a href="https://github.com/forcedotcom/aura/blob/master/aura-components/src/main/java/org/auraframework/components/aura/CryptoAdapterRegistrationRenderer.java" rel="nofollow noreferrer"&gt;https://github.com/forcedotcom/aura/blob/master/aura-components/src/main/java/org/auraframework/components/aura/CryptoAdapterRegistrationRenderer.java&lt;/a&gt;&lt;/p&gt;
</t>
  </si>
  <si>
    <t xml:space="preserve">&lt;p&gt;I'm trying to use file_get_contents() to perform an SQL query using Zoho's COQL API (&lt;a href="https://www.zoho.com/crm/developer/docs/api/Get-Records-through-COQL-Query.html" rel="nofollow noreferrer"&gt;https://www.zoho.com/crm/developer/docs/api/Get-Records-through-COQL-Query.html&lt;/a&gt;) to get a list of customers within a longitude and latitude boundary. When I pass my SQL statement, &lt;code&gt;file_get_contents()&lt;/code&gt; fails to open the stream.&lt;/p&gt;
&lt;p&gt;I've been troubleshooting this for the better part of two hours now, and from what I can tell, the issue only occurs when a negative number is present in the query. If I remove the hyphen, I'm able to perform a successful query and get a response from the server. I don't understand what's going on or how to fix it.&lt;/p&gt;
&lt;p&gt;I've changed the longitude and latitude numbers for privacy, but otherwise this is the code I'm using.&lt;/p&gt;
&lt;pre class="lang-php prettyprint-override"&gt;&lt;code&gt;
$query = "select Last_Name, First_Name, Mailing_Street, Mailing_City, Mailing_State, Mailing_Zip, Latitude, Longitude
      from Contacts
      where (Latitude between 29.831755 and 29.889647)
      and (Longitude between -114.994548 and -115.069968)";
private function perform_query(){
        $data = json_encode(["select_query" =&amp;gt; $this-&amp;gt;query]);
        $result = file_get_contents($this-&amp;gt;config['coql_url'], FALSE, stream_context_create([
            'http' =&amp;gt; [
                'method' =&amp;gt; 'POST',
                'header' =&amp;gt; 'Content-Type: application/json; charset=utf-8' . "\r\n" .
                "Authorization: Zoho-oauthtoken " . $this-&amp;gt;access_token,
                'content' =&amp;gt; $data
            ]
        ]));
        var_dump($http_response_header);
        var_dump($data);
        var_dump($result);
        return $result;
    }
&lt;/code&gt;&lt;/pre&gt;
&lt;p&gt;Here's the output of the &lt;code&gt;var_dump()&lt;/code&gt;s:&lt;/p&gt;
&lt;pre&gt;&lt;code&gt;&amp;lt;b&amp;gt;Warning&amp;lt;/b&amp;gt;:  file_get_contents(https://www.zohoapis.com/crm/v2/coql): failed to open stream: HTTP request failed! HTTP/1.1 401 
 in &amp;lt;b&amp;gt;/home2/.../src/coql.php&amp;lt;/b&amp;gt; on line &amp;lt;b&amp;gt;54&amp;lt;/b&amp;gt;&amp;lt;br /&amp;gt;
array(15) {
  [0]=&amp;gt;
  string(13) "HTTP/1.1 401 "
  [1]=&amp;gt;
  string(11) "Server: ZGS"
  [2]=&amp;gt;
  string(35) "Date: Wed, 31 Jul 2019 01:25:28 GMT"
  [3]=&amp;gt;
  string(44) "Content-Type: application/json;charset=utf-8"
  [4]=&amp;gt;
  string(18) "Content-Length: 87"
  [5]=&amp;gt;
  string(17) "Connection: close"
  [6]=&amp;gt;
  string(63) "Set-Cookie: ...; Path=/"
  [7]=&amp;gt;
  string(31) "X-Content-Type-Options: nosniff"
  [8]=&amp;gt;
  string(31) "X-XSS-Protection: 1; mode=block"
  [9]=&amp;gt;
  string(83) "Set-Cookie: crmcsr=...;path=/;Secure;priority=high"
  [10]=&amp;gt;
  string(16) "Pragma: no-cache"
  [11]=&amp;gt;
  string(23) "Cache-Control: no-cache"
  [12]=&amp;gt;
  string(38) "Expires: Thu, 01 Jan 1970 00:00:00 GMT"
  [13]=&amp;gt;
  string(71) "Set-Cookie: JSESSIONID=...; Path=/; Secure"
  [14]=&amp;gt;
  string(26) "X-Download-Options: noopen"
}
string(262) "{"select_query":"select Last_Name, First_Name, Mailing_Street, Mailing_City, Mailing_State, Mailing_Zip, Latitude, Longitude\n      from Contacts\n      where (Latitude between 29.831755 and 29.889647)\n      and (Longitude between -114.994548 and -115.069968)"}"
bool(false)
&lt;/code&gt;&lt;/pre&gt;
&lt;p&gt;How do I solve the problem?&lt;/p&gt;
</t>
  </si>
  <si>
    <t xml:space="preserve">&lt;p&gt;Using Google App Maker, I'm trying to run a Client Script to get a variable, and then pass that variable to a Server Script so that it can use the same one. I can't seem to work it out.&lt;/p&gt;
&lt;p&gt;My Client Script looks in a table called &lt;code&gt;OrderItems&lt;/code&gt; and returns the &lt;code&gt;ProductNumber&lt;/code&gt; of the current record.&lt;/p&gt;
&lt;p&gt;The Client Script then calls the Server Script which should use the &lt;code&gt;ProductNumber&lt;/code&gt; that the Client Script returned to run a query on another table.&lt;/p&gt;
&lt;p&gt;&lt;strong&gt;CLIENT SCRIPT&lt;/strong&gt;&lt;/p&gt;
&lt;pre&gt;&lt;code&gt;var productNumberToUpdate = app.datasources.Purchase_Order_Line_Items.item.Stocked_Item_Product_Number.toString();
google.script.run.serverScript();
&lt;/code&gt;&lt;/pre&gt;
&lt;p&gt;&lt;strong&gt;SERVER SCRIPT&lt;/strong&gt;&lt;/p&gt;
&lt;pre&gt;&lt;code&gt;var query = app.models.Inventory_Item.newQuery();
query.filters.Part_Number._startsWith = productNumberToUpdate;
var results = query.run();
var id = results[0]._key;
&lt;/code&gt;&lt;/pre&gt;
&lt;p&gt;The Client Script runs successfully but the Server Script returns the error &lt;strong&gt;ReferenceError: &lt;code&gt;productNumberToUpdate&lt;/code&gt; is not defined&lt;/strong&gt;. This is unsurprising given that the variable &lt;code&gt;productNumberToUpdate&lt;/code&gt; is indeed not defined, which is why I want to pass it from the Client Script.&lt;/p&gt;
</t>
  </si>
  <si>
    <t xml:space="preserve">&lt;p&gt;You can pass variables by using parameters in your function.&lt;/p&gt;
&lt;h1&gt;Client script&lt;/h1&gt;
&lt;pre&gt;&lt;code&gt;var productNumberToUpdate = app.datasources.Purchase_Order_Line_Items.item.Stocked_Item_Product_Number.toString();
google.script.run.serverScript(productNumberToUpdate);
&lt;/code&gt;&lt;/pre&gt;
&lt;h1&gt;Server script&lt;/h1&gt;
&lt;pre&gt;&lt;code&gt;function serverScript(productNumberToUpdate) {
  var query = app.models.Inventory_Item.newQuery();
  query.filters.Part_Number._startsWith = productNumberToUpdate;
  var results = query.run();
  var id = results[0]._key;
}
&lt;/code&gt;&lt;/pre&gt;
</t>
  </si>
  <si>
    <t xml:space="preserve">&lt;p&gt;Wasting again ridiculous time on the following simple question: &lt;/p&gt;
&lt;p&gt;How do I pass a dynamic string in an array as a property?&lt;br&gt;
The following does not work:  &lt;/p&gt;
&lt;pre&gt;&lt;code&gt;&amp;lt;c:comlib_Quotes arrayReplaceStrings="['{!v.lead.HOM_ContentsAmount__c }']" /&amp;gt;
&lt;/code&gt;&lt;/pre&gt;
&lt;p&gt;The following does work: &lt;/p&gt;
&lt;pre&gt;&lt;code&gt;&amp;lt;c:comlib_Quotes arrayReplaceStrings="['some hard coded value']" /&amp;gt;
&lt;/code&gt;&lt;/pre&gt;
&lt;p&gt;The exception thrown is: &lt;/p&gt;
&lt;blockquote&gt;
  &lt;p&gt;Cannot mix expression and literal string in attribute value, try
  rewriting like {!'foo' + v.bar}&lt;/p&gt;
&lt;/blockquote&gt;
&lt;p&gt;Tried every possible combination, can't get good resources online. &lt;/p&gt;
</t>
  </si>
  <si>
    <t xml:space="preserve">&lt;p&gt;I have a gallery in a canvas app that I want to filter with a field from an entity in CDS. My entity name is 'Quality Alerts', I'm trying to lookup the field 'Assigned To' and filter the gallery to show only records with the 'Assigned To' value that equals a label I have set off to the side of the gallery.&lt;/p&gt;
&lt;p&gt;I have a label that shows the users name that I wish to filter the gallery with. However I have yet to find a way to successfully lookup that name through the field in the entity called 'Assigned To'. I've tried using functions like &lt;code&gt;exactin&lt;/code&gt; or &lt;code&gt;in&lt;/code&gt; to filter like I normally would with an excel sheet as a data source but no luck.&lt;/p&gt;
&lt;pre&gt;&lt;code&gt;Filter('Quality Alerts', Label62.Text = 'Assigned To')
&lt;/code&gt;&lt;/pre&gt;
&lt;p&gt;Any help would be much appreciated as I have several different instances I need to filter similarly.&lt;/p&gt;
</t>
  </si>
  <si>
    <t xml:space="preserve">&lt;p&gt;I went back and changed the field name to Assigned that way I get rid of the space and changed the code to this,
        &lt;code&gt;Filter('Quality Alerts DBS', Assigned = Label62.Text)&lt;/code&gt;
This gave me the result I wanted.&lt;/p&gt;
</t>
  </si>
  <si>
    <t xml:space="preserve">&lt;p&gt;I am working on an app maker project. I have used Google Cloud SQL as a database. Now my question is How can I see what data has been saved previously by going to the database directly. &lt;/p&gt;
&lt;p&gt;Currently I have to create a table to see the saved data. But I don't want to use the table to see those data. Is there any way to see those data??&lt;/p&gt;
</t>
  </si>
  <si>
    <t xml:space="preserve">&lt;p&gt;I am using the salesforce slds system to style a community and in there specifically a print page.
However, when I want to print the page, it appears to break in between the line.&lt;/p&gt;
&lt;p&gt;Is there a way to avoid that?&lt;/p&gt;
&lt;p&gt;&lt;a href="https://i.stack.imgur.com/ebjqR.png" rel="nofollow noreferrer"&gt;screenshot from print screen&lt;/a&gt;&lt;/p&gt;
</t>
  </si>
  <si>
    <t xml:space="preserve">&lt;p&gt;I am exploring ways to improve some of our processes and applications using microsoft tools and more specifically the &lt;strong&gt;Custom Vision Cognitive Service&lt;/strong&gt;. However, i am getting lost in the MS offerings and the &lt;strong&gt;Preview AI Builder service in PowerApps&lt;/strong&gt; which seems to be offering the same capability.&lt;/p&gt;
&lt;p&gt;The test that I am trying with both services i using Products pictures and utilize the services to provide me with the &lt;strong&gt;brand, sub-brand and some other specifications on the product&lt;/strong&gt;. To start with, i have started with the browser version of the Custom Vision service (not the SDK) which, because it is a non-programmer interface, is really similar to the AI builder.&lt;/p&gt;
&lt;p&gt;Has someone more inputs on the &lt;strong&gt;strategy behind the AI Builder in Powerapps and how it complements/replaces some of the capabilities of the MS cognitive services&lt;/strong&gt; (and more specifically their browser/non-programmer versions)?&lt;/p&gt;
</t>
  </si>
  <si>
    <t xml:space="preserve">&lt;p&gt;I have developed a community for customers in Salesforce.
In a lightning component existing in this community, I am opening a URL in Javascript using &lt;/p&gt;
&lt;pre&gt;&lt;code&gt;eUrl= $A.get("e.force:navigateToURL");                   
eUrl.setParams({                        
"url": 'https://somelink.com'                  
});                    
eUrl.fire(); 
&lt;/code&gt;&lt;/pre&gt;
&lt;p&gt;Issue is that this link is being blocked by browsers.&lt;/p&gt;
&lt;p&gt;What are some workarounds for this?&lt;/p&gt;
&lt;p&gt;In addition to above method:
I tried to use javascript window.open or window.location.replace but all of these are generating same popup block.&lt;/p&gt;
&lt;p&gt;The desired behavior is that this link should be open in a new tab.&lt;/p&gt;
</t>
  </si>
  <si>
    <t xml:space="preserve">&lt;p&gt;I have my combobox in outsystems and its populated by Integers that corresponds to each months' names, How can I display month names on my combobox? 1-12 -&gt; January-&gt; December respectively? Thank you very much&lt;/p&gt;
</t>
  </si>
  <si>
    <t xml:space="preserve">&lt;p&gt;I am trying to fetch a object data in lightning helper, but the format that I am receiving is not proper. The object comes in Proxy within which there is object and Target, where my data is present in Target with array format. &lt;/p&gt;
&lt;p&gt;The data that I am trying to fetch is as follows:&lt;br&gt;
Proxy {0: a, 1: a, 2: a, 3: a, 4: a, 5: a} [[Handler]]: Object [[Target]]: Array(6)&lt;/p&gt;
</t>
  </si>
  <si>
    <t xml:space="preserve">&lt;p&gt;I have created a app in appmaker. In that there is a table which should get refreshed (i.e a particular appscript function (client-side function)should run to refresh the table) whenever any change in calendar events of a particular calendar on the current day takes place.
How to set such type of trigger?&lt;/p&gt;
&lt;p&gt;I did some R&amp;amp;D and found that there is something called watch function in calendar API but I'm not sure if it is useful for my problem.&lt;/p&gt;
&lt;p&gt;By table I am referring to appmaker table widget.&lt;/p&gt;
&lt;p&gt;If setting the appscript calendar trigger, Client refresh may be a problem. Because in my ui above the table  there is a dropdown to select the calendarId which refreshes the table by running the below code:&lt;/p&gt;
&lt;pre&gt;&lt;code&gt;       var calendarId=app.pages.Events.descendants.Dropdown1.value;
       google.script.run.withSuccessHandler(function() {
         app.datasources.Events.load();
       }).getTodayEvents(calendarId); 
        /* In getTodayEvents() current day events of the calendarId are 
       fetched from that calendar and stored in DB */
&lt;/code&gt;&lt;/pre&gt;
&lt;p&gt;Can this happen from server side through trigger?&lt;/p&gt;
&lt;p&gt;Also trigger should be based on the calendarId currently selected in dropdown.
So the calendarId needs to be dynamic in the trigger. &lt;/p&gt;
</t>
  </si>
  <si>
    <t xml:space="preserve">&lt;p&gt;when trying to connect to my org SQL cloud from app maker, defined to use only private IP it fails:&lt;/p&gt;
&lt;p&gt;The default Google Cloud SQL instance is not setup properly. Please ask a G Suite administrator to check the Google Cloud SQL configuration for your domain. Cannot create new database in the default Google Cloud SQL instance.&lt;/p&gt;
&lt;p&gt;any specific service needs to be given to appmaker-maestro to make this work ?
if I connect to a custom instance which has public IP enabled it works all well.&lt;/p&gt;
&lt;p&gt;thanks for any guidance you might have.&lt;/p&gt;
</t>
  </si>
  <si>
    <t xml:space="preserve">&lt;p&gt;I can not add Opportunity as subtab for Case. I need Opportunity subtabs to open whenever I view a Case in the Salesforce Console APP&lt;/p&gt;
</t>
  </si>
  <si>
    <t xml:space="preserve">&lt;h1&gt;Summary&lt;/h1&gt;
&lt;p&gt;I have a dynamically built form that displays a list of features, as a series of radio-buttons. See screen-shot.&lt;/p&gt;
&lt;p&gt;The idea is to use this form to amend the values given for the specific features of a product.&lt;/p&gt;
&lt;p&gt;For example, a Credit Card product that offers cash-back and can earn air-miles would have the following features:&lt;/p&gt;
&lt;p&gt;Card-scheme -&gt; Cashback .    Add-on -&gt; Air miles&lt;/p&gt;
&lt;p&gt;When editing a &lt;em&gt;product&lt;/em&gt; I want to be able to see the existing features represented in the radio-button selection. At present, the radio button-form only displays the correct value for the &lt;em&gt;first&lt;/em&gt; feature; the others are set to &lt;em&gt;No selection&lt;/em&gt; or &lt;em&gt;Blank&lt;/em&gt;.&lt;/p&gt;
&lt;p&gt;If the form has ten features and the product has values/answers for &lt;em&gt;6&lt;/em&gt; of them then, the &lt;em&gt;No selection&lt;/em&gt; option is highlighted for &lt;em&gt;5&lt;/em&gt; features the product has values for, &lt;em&gt;1&lt;/em&gt; feature has the correct value set, while the remaining un-answered features remain blank.&lt;/p&gt;
&lt;h3&gt;Sample code&lt;/h3&gt;
&lt;p&gt;&lt;code&gt;//radio button bindings&lt;/code&gt; &gt; &lt;br/&gt;
&lt;code&gt;Options @datasource.items..Id .&lt;/code&gt; &lt;br/&gt;
&lt;code&gt;Value @datasources.ProductById.relations.Features.item.Id&lt;/code&gt;&lt;br/&gt;
&lt;code&gt;Names @datasource.items..Taxonomy&lt;/code&gt;&lt;br/&gt;
&lt;code&gt;Inherited datasource: SubGroups  (represents the values for features, i.e. permitted values)&lt;/code&gt;&lt;/p&gt;
&lt;p&gt;&lt;code&gt;OnDataLoad event&lt;/code&gt;for RadioButton widget looking to check radio item is one of the feature values for the product&lt;/p&gt;
&lt;blockquote&gt;
  &lt;p&gt;var radioItem = widget.datasource.item;&lt;br/&gt;
  var productItem =widget.root.descendants.ProductDetailsContentPanel.datasource.item; &lt;br/&gt;
  var indexItem = productItem.Features.indexOf(radioItem);&lt;br/&gt;&lt;/p&gt;
&lt;/blockquote&gt;
&lt;p&gt;&lt;a href="https://i.stack.imgur.com/aCdJr.png" rel="nofollow noreferrer"&gt;&lt;img src="https://i.stack.imgur.com/aCdJr.png" alt="Edit product page showing features of the family"&gt;&lt;/a&gt;&lt;/p&gt;
&lt;p&gt;&lt;a href="https://i.stack.imgur.com/BBgEc.png" rel="nofollow noreferrer"&gt;&lt;img src="https://i.stack.imgur.com/BBgEc.png" alt="Edit Product Page breakdown A "&gt;&lt;/a&gt;&lt;/p&gt;
&lt;p&gt;&lt;a href="https://i.stack.imgur.com/RU85E.png" rel="nofollow noreferrer"&gt;&lt;img src="https://i.stack.imgur.com/RU85E.png" alt="Edit Product Page breakdown B changing the family group"&gt;&lt;/a&gt;&lt;/p&gt;
</t>
  </si>
  <si>
    <t xml:space="preserve">&lt;p&gt;Trying to connect powerapps to 3rd party REST service, this service requires an authentication token. I can do this easy enough with requests and python, but someone wants to do it in powerapps.&lt;/p&gt;
&lt;p&gt;I need to pass this token from powerapps to the REST service something like this:&lt;/p&gt;
&lt;h1&gt;Python&lt;/h1&gt;
&lt;p&gt;headers = {"content-type": "application/json", "Authorization": "Xy454uu99blahblah"}&lt;br&gt;
result_get = requests.get(url, headers=headers)&lt;/p&gt;
&lt;p&gt;anyway to do this? I don't know a whole lot about powerapps?&lt;/p&gt;
&lt;h1&gt;Python&lt;/h1&gt;
&lt;p&gt;headers = {"content-type": "application/json", "Authorization": "Xy454uu99blahblah"}&lt;br&gt;
result_get = requests.get(url, headers=headers)&lt;/p&gt;
</t>
  </si>
  <si>
    <t xml:space="preserve">&lt;p&gt;You can't call 3rd party rest directly from PowerApps.  You will need to use a Flow to return the data.&lt;/p&gt;
&lt;p&gt;Here is a similar answered question
&lt;a href="https://stackoverflow.com/questions/37196287/rest-api-calls-with-powerapps"&gt;Rest API calls with PowerApps&lt;/a&gt;&lt;/p&gt;
&lt;p&gt;Hope this helps.&lt;/p&gt;
</t>
  </si>
  <si>
    <t xml:space="preserve">&lt;p&gt;I'm trying to run a query by using a user input. The query is run in a database which has multiple columns (practically a vlookup). The query is run and the output is an array of values. &lt;/p&gt;
&lt;p&gt;How do I get the value of only one value (scalar output to put in alert)?&lt;/p&gt;
&lt;p&gt;Thanks&lt;/p&gt;
&lt;p&gt;I've tried to use methods familiar to java in order to call one field in an array without any success. 
i.e. output_array[0]&lt;/p&gt;
&lt;pre&gt;&lt;code&gt;// define input
// var custno = app.pageFragments.Add_SalesOrder.children.Form1.children.Form1Body.children.CustomerNo_Input;
var custno = 'ENC';
// define location of output
var outputWidget = app.pageFragments.Add_SalesOrder.children.Form1.children.Form1Body.children.CustomerName_Input;
// define datasource
var datasource = app.datasources.SalesOrder;
// query
datasource.query.filters.CustomerNo._startsWith = custno.value;
// load query
datasource.load();
alert(datasource[0]);
&lt;/code&gt;&lt;/pre&gt;
&lt;p&gt;I expect to get the first entry in the array but instead I get 'Undefined'.&lt;/p&gt;
</t>
  </si>
  <si>
    <t xml:space="preserve">&lt;p&gt;If you look at the &lt;a href="https://developers.google.com/appmaker/scripting/api/client#DataSource" rel="nofollow noreferrer"&gt;datasource documentation&lt;/a&gt;, you'll find out that the datasource is NOT an array, but instead an object. Since you are looking for the first result of the query, then you should access the &lt;strong&gt;items&lt;/strong&gt; property of the datasource. That is an array and you can then just access the zero index of the array to get what you need.&lt;/p&gt;
&lt;pre&gt;&lt;code&gt;alert(datasource.items[0]);
&lt;/code&gt;&lt;/pre&gt;
</t>
  </si>
  <si>
    <t xml:space="preserve">&lt;p&gt;i cannot find answer to my question&lt;/p&gt;
</t>
  </si>
  <si>
    <t xml:space="preserve">&lt;p&gt;Salesforce Ids are 15 or 18 characters of Base 62 data. They consist of the characters &lt;code&gt;[A-Za-z0-9]&lt;/code&gt;. &lt;/p&gt;
&lt;p&gt;So long as your application preserves the case of the Id, the final three characters, which serve as a disambiguator for non-case-safe applications like Excel, can be ignored. Then, you can match &lt;code&gt;REF&amp;lt;Salesforce Id&amp;gt;&lt;/code&gt; with the regex&lt;/p&gt;
&lt;pre&gt;&lt;code&gt;REF[A-Za-z0-9]{15}
&lt;/code&gt;&lt;/pre&gt;
</t>
  </si>
  <si>
    <t xml:space="preserve">&lt;p&gt;In Google App Maker, I have several widgets on a page.
One of these widgets is called &lt;code&gt;Label12&lt;/code&gt; (shown in Screenshot 1).
It definitely exists and is also shown in the breadcrumb trail at the top of my screen.&lt;/p&gt;
&lt;p&gt;However, when I attempt to reference &lt;code&gt;Label12&lt;/code&gt; in my code, it does not seem to exist.&lt;/p&gt;
&lt;p&gt;If I use the ctrl+space code completion helper, the &lt;code&gt;Label12&lt;/code&gt; widget is not shown as an option (shown in screenshot 2).&lt;/p&gt;
&lt;p&gt;When I attempt to code it manually (e.g. &lt;code&gt;app.pages.Reconciliation_Details.descendants.Label12.visible&lt;/code&gt;) it returns the error "Cannot set property 'visible' of undefined".&lt;/p&gt;
&lt;p&gt;&lt;strong&gt;Why can App Maker not see Label12&lt;/strong&gt;?&lt;/p&gt;
&lt;p&gt;Screenshot 1 showing &lt;code&gt;Label12&lt;/code&gt; on page:
&lt;a href="https://i.stack.imgur.com/gFLRf.png" rel="nofollow noreferrer"&gt;&lt;img src="https://i.stack.imgur.com/gFLRf.png" alt="Screenshot 1 showing Label12"&gt;&lt;/a&gt;&lt;/p&gt;
&lt;p&gt;Screenshot 2 showing absence of &lt;code&gt;Label12&lt;/code&gt; when coding:
&lt;a href="https://i.stack.imgur.com/BGMKZ.png" rel="nofollow noreferrer"&gt;&lt;img src="https://i.stack.imgur.com/BGMKZ.png" alt="Screenshot 2 showing absence of &amp;#39;Label12&amp;#39; when coding"&gt;&lt;/a&gt;&lt;/p&gt;
</t>
  </si>
  <si>
    <t xml:space="preserve">&lt;p&gt;App Maker can see &lt;strong&gt;Label12&lt;/strong&gt;. The point is that the label is inside a table widget, hence according to the &lt;a href="https://developers.google.com/appmaker/ui/data-widgets#table" rel="nofollow noreferrer"&gt;documentation&lt;/a&gt;:&lt;/p&gt;
&lt;blockquote&gt;
  &lt;p&gt;Because a table is a collection of other widgets, you can't use the Widget API to interact with a table. However, you can use scripts to manipulate the individual widgets that make up a table.&lt;/p&gt;
&lt;/blockquote&gt;
&lt;p&gt;The above statement makes sense because the amount of rows a table will display depends on the datasource items; i.e., the rows are dynamically created when the widget datasource is loaded in the ui. Therefore, in order to access the label you need to first access the children of the &lt;strong&gt;Table1Body&lt;/strong&gt;, which is a collection of named values known as &lt;a href="https://developers.google.com/appmaker/scripting/api/client#PropertyMap" rel="nofollow noreferrer"&gt;PropertyMap&lt;/a&gt;.&lt;/p&gt;
&lt;p&gt;I believe you are trying to hide/show that specific label based on some logic. The correct way of doing it would be something like this:&lt;/p&gt;
&lt;pre&gt;&lt;code&gt;var rows = app.pages.Reconciliation_Details.descendants.Table1Body.children._values;
for(var i=0; i&amp;lt;rows.length; i++){
    var row = rows[i];
    var label = row.descendants.Label12;
    label.visible = true; // or false
}
&lt;/code&gt;&lt;/pre&gt;
</t>
  </si>
  <si>
    <t xml:space="preserve">&lt;p&gt;I have been trying to show CSV data in the lightning component but it is not showing as expected I need to show it in a table format.&lt;a href="https://i.stack.imgur.com/3UwMx.png" rel="nofollow noreferrer"&gt;Table format&lt;/a&gt;&lt;/p&gt;
&lt;p&gt;The component is displaying data but not in table format as it is in CSV file.&lt;/p&gt;
&lt;p&gt;Component&lt;/p&gt;
&lt;pre&gt;&lt;code&gt;&amp;lt;aura:attribute name="showcard" type="boolean" default="false"/&amp;gt;
&amp;lt;aura:attribute name="tabledata" type="object[]" /&amp;gt;
&amp;lt;aura:attribute name="header" type="object[]" /&amp;gt;
&amp;lt;div&amp;gt;
    &amp;lt;lightning:input aura:id="file" 
                     onchange="{!c.showcsvdata}" 
                     type="file" 
                     name="file" 
                     accept=".csv"
                     multiple="false"/&amp;gt;
&amp;lt;/div&amp;gt;
&amp;lt;aura:if isTrue = "{!v.showcard}"&amp;gt;
    &amp;lt;lightning:button label="Create Accounts" title="Neutral action" 
   onclick="{! c.Insertrecord }"/&amp;gt;
    &amp;lt;table class="slds-table slds-table_cell-buffer slds-table_bordered"&amp;gt;
        &amp;lt;thead&amp;gt;
            &amp;lt;tr class="slds-line-height_reset"&amp;gt;
                &amp;lt;aura:iteration items="{!v.header}" var="head" &amp;gt;
                    &amp;lt;th class="" scope="col"&amp;gt;
                        &amp;lt;div class="slds-truncate" title="{!head}"&amp;gt;{!head} 
                        &amp;lt;/div&amp;gt;
                    &amp;lt;/th&amp;gt;
                &amp;lt;/aura:iteration&amp;gt;
            &amp;lt;/tr&amp;gt;
        &amp;lt;/thead&amp;gt;
                &amp;lt;tr class="slds-hint-parent"&amp;gt;
                    &amp;lt;aura:iteration items="{!v.tabledata}" var="tab"&amp;gt;
                    &amp;lt;td &amp;gt;
                        &amp;lt;div class="slds-truncate" title="{!tab}"&amp;gt;{!tab}&amp;lt;/div&amp;gt;
                    &amp;lt;/td&amp;gt;
                  &amp;lt;/aura:iteration&amp;gt;
                &amp;lt;/tr&amp;gt;
    &amp;lt;/table&amp;gt;
&amp;lt;/aura:if&amp;gt;
&lt;/code&gt;&lt;/pre&gt;
&lt;p&gt;&lt;/p&gt;
&lt;p&gt;controller&lt;/p&gt;
&lt;pre&gt;&lt;code&gt; showcsvdata :  function (component, event, helper){
    var fileInput = component.find("file").get("v.files");
    var file = fileInput[0];
    console.log(file);
    if (file) {
        component.set("v.showcard", true);
        var tabledata=[];
        var reader = new FileReader();
        reader.readAsText(file, "UTF-8");
        reader.onload = function (evt) {
            var csv = evt.target.result;
            var rows = csv.split("\n");
            console.log(rows[0]);
            var trimrow=rows[0].split(",");
            // alert(trimrow.length);
            component.set("v.header",trimrow);
            console.log(JSON.stringify(component.get("v.header")))
            for (var i = 1; i &amp;lt; rows.length; i++) {
                var cells = rows[i].split(",");
                if(cells.length!=1){
                    for(var j=0; j &amp;lt; cells.length; j++){
                           // var cel=cells.split("\n");
                            tabledata.push(cells[j]);
                            component.set("v.tabledata",tabledata);
                    }
                }
            }
  console.log('@@@@dynamic'+JSON.stringify(component.get("v.tabledata")));
        }
    }
&lt;/code&gt;&lt;/pre&gt;
&lt;p&gt;this is show data like&lt;/p&gt;
&lt;p&gt;It is showing data like this table data in single row. I need to show it as a table&lt;/p&gt;
</t>
  </si>
  <si>
    <t xml:space="preserve">&lt;p&gt;I have a button in a google-app-maker page, it's function is to sending Invoice by email. So once this button clicked, it will do two function.
1. Sending invoice by email.
2. Change status of EmailStatus to 'YES'.&lt;/p&gt;
&lt;pre&gt;&lt;code&gt;/* var widgets = widget.parent.descendants; */
var to = "webmaster@myemail.com";
var subject = "Prepare Invoice : " + widget.datasource.item.Client_Name;
var msg = "Please Prepare Invoice for " + "\n\nClient Name : " + 
widget.datasource.item.Client_Name + "\n\nService : " + 
widget.datasource.item.Service + "\n\nCase : " + 
widget.datasource.item.Subjects + "\n\nScope :" + 
widget.datasource.item.Scope + "\n\nSubject : " + 
widget.datasource.item.Subjects + "\n\nStart :" + 
widget.datasource.item.Start + "\n\nInterim : " + 
widget.datasource.item.Interim + "\n\nStatus :" + 
widget.datasource.item.Statusx + "\n\nCA : " + 
widget.datasource.item.Client_Ref + "\n\nBilling : " + 
widget.datasource.item.Billing + "\n\nFee VS : " + 
widget.datasource.item.Fee_VS + "\n\nFee VI" + 
widget.datasource.item.Fee_VI + "\n\nNotes : " + 
widget.datasource.item.Notes + "\n\nPrep Invoice : " + 
widget.datasource.item.Prep_Invoice + "\n\nInvoiced : " + 
widget.datasource.item.Prep_Invoice + "\n\nInvoice Number : " + 
widget.datasource.item.Invoice_Number;
SendEmail(to, subject, msg);
widget.datasource.modes.create.item.EmailStatus = 'YES';
&lt;/code&gt;&lt;/pre&gt;
&lt;p&gt;There's no problem with sending email, but for EmailStatus change to field have problem. It can not change value from NULL to 'YES'. Do you have any idea how to solved it ?&lt;/p&gt;
&lt;p&gt;Thanks&lt;/p&gt;
</t>
  </si>
  <si>
    <t xml:space="preserve">&lt;p&gt;I am having an issue creating an Salesforce LWC.  I am using Visual Studio Code, and right click on the lwc folder and choose, SFDX: Create Lightning Web Component.  The component is created, and i have added no custom code, i.e. vanilla creation, but the following error message appears "The 'Static Resource' property doesn't exist on the component.LightningComponentBundle".  I have been happily creating previously.  I have deleted, SFDX: Delete from Project and Org, and started again, presume this has something to do with the issue&lt;/p&gt;
&lt;p&gt;Any help most appreciated &lt;/p&gt;
&lt;p&gt;Deleted and tried again, still then same issue using SFDX: Delete from Project and Org&lt;/p&gt;
&lt;p&gt;imageSingle.html&lt;/p&gt;
&lt;pre&gt;&lt;code&gt;&amp;lt;template&amp;gt;  
&amp;lt;/template&amp;gt;
&lt;/code&gt;&lt;/pre&gt;
&lt;p&gt;imageSingle.js&lt;/p&gt;
&lt;pre&gt;&lt;code&gt;import { LightningElement } from 'lwc';
export default class ImageSingle extends LightningElement {}
&lt;/code&gt;&lt;/pre&gt;
&lt;p&gt;imageSingle.js-meta.xml&lt;/p&gt;
&lt;pre&gt;&lt;code&gt;&amp;lt;?xml version="1.0" encoding="UTF-8"?&amp;gt;
&amp;lt;LightningComponentBundle xmlns="http://soap.sforce.com/2006/04/metadata" fqn="imageSingle"&amp;gt;
    &amp;lt;apiVersion&amp;gt;46.0&amp;lt;/apiVersion&amp;gt;
    &amp;lt;isExposed&amp;gt;false&amp;lt;/isExposed&amp;gt;
&amp;lt;/LightningComponentBundle&amp;gt;
&lt;/code&gt;&lt;/pre&gt;
&lt;p&gt;The error is appearing within the imageSingle.js and red line under the import on the first line&lt;/p&gt;
&lt;p&gt;Error message - "The 'Static Resource' property doesn't exist on the component.LightningComponentBundle"&lt;/p&gt;
</t>
  </si>
  <si>
    <t xml:space="preserve">&lt;p&gt;I have the following scenario centered around the relationship between 2 models: Assets and Activities.&lt;/p&gt;
&lt;p&gt;Many Assets can be INPUT of Many Activities at parallel times. &lt;/p&gt;
&lt;p&gt;Having that in mind - I want to create UI, which allows me to:&lt;/p&gt;
&lt;ul&gt;
&lt;li&gt;&lt;p&gt;from the perspective of Activity: &lt;/p&gt;&lt;/li&gt;
&lt;li&gt;&lt;p&gt;add Assets as related to the Activity into a table by selecting them from an existing table of Assets showing all created Assets. &lt;/p&gt;&lt;/li&gt;
&lt;li&gt;&lt;p&gt;Be able to remove the relationship by clicking a button (which would not delete the whole record in the table). &lt;/p&gt;&lt;/li&gt;
&lt;/ul&gt;
&lt;p&gt;Please help. Thank you in advance!&lt;/p&gt;
&lt;p&gt;I tried binding custom code to an onClick event to a button, which is on the same row as the Asset record I would like to un-relate from an associated activity: &lt;/p&gt;
&lt;p&gt;&lt;code&gt;var index = widget.root.datasource.item.Assets.indexOf(widget.datasource.item);
widget.root.datasource.item.Assets.splice(index, 1);&lt;/code&gt;&lt;/p&gt;
&lt;p&gt;This returns:&lt;/p&gt;
&lt;p&gt;Cannot read property 'indexOf' of undefined
at Strategy_TableView.Panel1.Table2.Table2Body.Table2Row.Button5.onClick:1:51&lt;/p&gt;
&lt;p&gt;I also have yet to try to find a way to add existing Assets to the related to Activities table.&lt;/p&gt;
</t>
  </si>
  <si>
    <t xml:space="preserve">&lt;p&gt;Suggested code edits to get this working correctly would be:&lt;/p&gt;
&lt;pre&gt;&lt;code&gt;var datasourcerelation = widget.root.datasource.relations.Services;
var index = datasourcerelation.items.indexOf(widget.datasource.item);
datasourcerelation.items.splice(index, 1);
&lt;/code&gt;&lt;/pre&gt;
&lt;p&gt;For whatever reason referencing &lt;code&gt;datasource.item.Services&lt;/code&gt; in relation to JS array functions does not give you the result needed. I am not sure why this is, but you have to use &lt;code&gt;datasource.relations.Services&lt;/code&gt; instead.&lt;/p&gt;
&lt;p&gt;In regards to adding to the relation use:&lt;/p&gt;
&lt;pre&gt;&lt;code&gt;var datasourcerelation = widget.root.datasource.item.Services;
datasourcerelation.push(widget.datasource.item);
&lt;/code&gt;&lt;/pre&gt;
&lt;p&gt;Note that in the case of adding a relation &lt;code&gt;datasource.item.Services&lt;/code&gt; works fine. I am not sure why this is different.&lt;/p&gt;
</t>
  </si>
  <si>
    <t xml:space="preserve">&lt;p&gt;I have a JSON data, which i need to pass it in POST method. I have no idea how to convert JSON data as query paramters. Kindly help me how to send this type of a JSON data in POST method using deluge.&lt;/p&gt;
&lt;pre&gt;&lt;code&gt;     jsonData = {
        "author": "urn:li:person:12345",
        "lifecycleState": "PUBLISHED",
        "specificContent": {
            "com.linkedin.ugc.ShareContent": {
                "shareCommentary": {
                    "text": "Hello World! This is my first Share on LinkedIn!"
                },
                "shareMediaCategory": "NONE"
            }
        },
        "visibility": {
            "com.linkedin.ugc.MemberNetworkVisibility": "PUBLIC"
        }
    }
&lt;/code&gt;&lt;/pre&gt;
&lt;p&gt;This is what i actually tried:&lt;/p&gt;
&lt;pre&gt;&lt;code&gt;headerData = Map();
headerData.put("Content-Type","application/json charset=utf-8");
headerData.put("X-Restli-Protocol-Version","2.0.0");
headerData.put("x-li-format","json");
//json data
fields = "{\"author\":\"urn:li:person:368964147\",\"lifecycleState\":\"PUBLISHED\",\"specificContent\": {\"com.linkedin.ugc.ShareContent\":{\"shareCommentary\":{\"text\": \"Hello World! This is my first Share on LinkedIn!\"},\"shareMediaCategory\": \"NONE\"}},\"visibility\":{\"com.linkedin.ugc.MemberNetworkVisibility\":\"PUBLIC\"}}";
//info fields;
response = invokeurl
[
    url :"https://api.linkedin.com/v2/ugcPosts"
    type :POST
    parameters:fields
    headers:headerData
    connection:"li"
];
info response;
&lt;/code&gt;&lt;/pre&gt;
&lt;p&gt;I expect:&lt;/p&gt;
&lt;p&gt;params = Map();&lt;/p&gt;
&lt;p&gt;params.put("author","urn:li:person:12345");&lt;/p&gt;
&lt;p&gt;params.put("lifecycleState","PUBLISHED");&lt;/p&gt;
&lt;p&gt;...so on&lt;/p&gt;
&lt;p&gt;Thanks.&lt;/p&gt;
</t>
  </si>
  <si>
    <t xml:space="preserve">&lt;p&gt;I found the deluge code to convert JSON data to query parameters.&lt;/p&gt;
&lt;pre&gt;&lt;code&gt;param = Map();
param.put("author","urn:li:person:YoTjU8Fmfk");
param.put("lifecycleState","PUBLISHED");
specificContent = Map();
ShareContent = Map();
shareCommentary = Map();
shareCommentary.put("text","Hello World! This is my first Share on LinkedIn!");
ShareContent.put("shareCommentary",shareCommentary);
specificContent.put("com.linkedin.ugc.ShareContent",ShareContent);
specificContent.put("shareMediaCategory","NONE");
param.put("specificContent",specificContent);
visibility = Map();
visibility.put("com.linkedin.ugc.MemberNetworkVisibility","PUBLIC");
param.put("visibility",visibility);
&lt;/code&gt;&lt;/pre&gt;
</t>
  </si>
  <si>
    <t xml:space="preserve">&lt;p&gt;So I am updating something but I only want it to make a record for new records.&lt;/p&gt;
&lt;pre&gt;&lt;code&gt; for (var i=0; i&amp;lt;allquery.length;i++)
    {
    var oldrecord = allquery[i];
    var newrecord = app.models.xx.newRecord();
    newrecord.gPor = xxString;
    newrecord.UniqueNumber = oldrecord.Unique;
      newrecord.Name = oldrecord.dname;      
    try{app.saveRecords([newrecord]);//this is line 30            
    results.push(newrecord);}catch(e){Logger.log (e+ " "+oldrecord.dname);}     
    }//for loop
&lt;/code&gt;&lt;/pre&gt;
&lt;p&gt;I'm frustrated because the sql error should be caught in the try catch (it is appearing for the saveRecords line... but instead it is killing the script. Thoughts? do I need to implement manual save mode? (which will require rewriting elsewhere.&lt;/p&gt;
&lt;p&gt;The error is:&lt;/p&gt;
&lt;blockquote&gt;
  &lt;p&gt;Exception: Malformed SQL. More information: Error with SQL statement:
  Duplicate entry '0270' for key 'UniqueNumber_unique'. at
  createApprovals (ApprovalBugScripts:30)&lt;/p&gt;
&lt;/blockquote&gt;
</t>
  </si>
  <si>
    <t xml:space="preserve">&lt;p&gt;I am needing to create a single table that displays values from a Cloud SQL data model and Calculated data model side by side as if the data models were related.&lt;/p&gt;
&lt;h2&gt;Costs Table&lt;/h2&gt;
&lt;p&gt;I have a calculated data model named &lt;strong&gt;'Costs'&lt;/strong&gt; that is populated from a spreadsheet. The data in this table looks like this:&lt;/p&gt;
&lt;pre&gt;
PROJECT_ID, ACCRUED_COSTS, REMAINING_COSTS
0001      , 10000        , 25000
0002      , 25000        , 2000
0003      , 15000        , 5000
&lt;/pre&gt;
&lt;p&gt;The code I'm using to generate the calculated model is here:&lt;/p&gt;
&lt;pre&gt;&lt;code&gt;return getSSData();
function getSSData(){
  var values = SpreadsheetApp.openById("SPREADSHEET_ID").getSheetByName("SHEET_NAME").getRange("RANGE").getValues();
  var ssData = [];
  for (var i = 0; i&amp;lt;values.length; i++){
    var newRecord = app.models.costsTable.newRecord();
   // add all fields to the new record
    newRecord.project = values[i][0].toString();
    newRecord.projectID = values[i][1].toString();
    newRecord.actual = values[i][2];
    newRecord.estimate = values[i][3];
    ssData.push(newRecord);
  }
// return the array of the model.newRecord objects that would be consumed by the Model query.
  return ssData;
}
&lt;/code&gt;&lt;/pre&gt;
&lt;h2&gt;Projects Table&lt;/h2&gt;
&lt;p&gt;I also have a Cloud SQL data model named &lt;strong&gt;'Projects'&lt;/strong&gt;. The data in this table looks like this:&lt;/p&gt;
&lt;pre&gt;
PROJECT_ID, PROJECT_NAME   , PROJECT_BUDGET
0001      , project_alpha  , 50000
0002      , project_beta   , 30000
0003      , project_charlie, 19000
&lt;/pre&gt;
&lt;h2&gt;Combined Table&lt;/h2&gt;
&lt;p&gt;I need to create a page containing a table widget that displays all columns of data from both tables side by side like this:&lt;/p&gt;
&lt;pre&gt;
PROJECT_ID, PROJECT_NAME   , PROJECT_BUDGET, ACCRUED_COSTS, REMAINING_COSTS
0001      , project_alpha  , 50000         , 10000        , 25000
0002      , project_beta   , 30000         , 25000        , 2000
0003      , project_charlie, 19000         , 15000        , 5000
&lt;/pre&gt;
&lt;h2&gt;The Problem&lt;/h2&gt;
&lt;p&gt;This would be easy if the tables could be related to each other but unfortunately calculated models do not support relating.&lt;/p&gt;
</t>
  </si>
  <si>
    <t xml:space="preserve">&lt;p&gt;Per earlier comment you have two options to get this accomplished. Either way add the additional fields like ‘Project_Name’ and ‘Project_Budget’ to your calculated model.&lt;/p&gt;
&lt;p&gt;Option 1 (fetch all records with index function):&lt;/p&gt;
&lt;pre&gt;&lt;code&gt;function getSSData(){
  var values = SpreadsheetApp.openById("SPREADSHEET_ID").getSheetByName("SHEET_NAME").getRange("RANGE").getValues();
  var projects = app.models.Projects.newQuery().run();
  var ids = projects.map(function(p){return p.PROJECT_ID;});
  var ssData = [];
  for (var i = 0; i&amp;lt;values.length; i++){
    var newRecord = app.models.costsTable.newRecord();
   // add all fields to the new record
    newRecord.project = values[i][0].toString();
    newRecord.projectID = values[i][1].toString();
    newRecord.actual = values[i][2];
    newRecord.estimate = values[i][3];
    var index = ids.indexOf(values[i][1].toString());
    if(index !== -1) {
      var project = projects[index];
      newRecord.Project_Name = project.PROJECT_NAME;
      newRecord.Project_Budget = project.PROJECT_Budget;
    }
    ssData.push(newRecord);
  }
// return the array of the model.newRecord objects that would be consumed by the Model query.
  return ssData;
}
&lt;/code&gt;&lt;/pre&gt;
&lt;p&gt;Option 2 (run line item query):&lt;/p&gt;
&lt;pre&gt;&lt;code&gt;function getSSData(){
  var values = SpreadsheetApp.openById("SPREADSHEET_ID").getSheetByName("SHEET_NAME").getRange("RANGE").getValues();
  var ssData = [];
  for (var i = 0; i&amp;lt;values.length; i++){
    var newRecord = app.models.costsTable.newRecord();
    var query = app.models.Projects.newQuery();
    query.filters.PROJECT_ID._equals() = values[i][1].toString();
    var results = query.run();
   // add all fields to the new record
    newRecord.project = values[i][0].toString();
    newRecord.projectID = values[i][1].toString();
    newRecord.actual = values[i][2];
    newRecord.estimate = values[i][3];
    if(results.length &amp;gt; 0) {
      var project = results[0];
      newRecord.Project_Name = project.PROJECT_NAME;
      newRecord.Project_Budget = project.PROJECT_BUDGET;
    }
    ssData.push(newRecord);
  }
// return the array of the model.newRecord objects that would be consumed by the Model query.
  return ssData;
}
&lt;/code&gt;&lt;/pre&gt;
&lt;p&gt;I would encourage you to try both. Create a variable for startdate = new Date() at the beginning and then before you return the data do console.log(new Date() - startdate), which will give you the time difference in milliseconds of your total script execution. That way you can also figure out for yourself which process is faster.&lt;/p&gt;
</t>
  </si>
  <si>
    <t xml:space="preserve">&lt;p&gt;All, &lt;/p&gt;
&lt;p&gt;We are building a custom mobile app based on salesforce services in React native, As chatter functionality is huge we are loading the chatter lightning page in a Webview using "react-native-wkwebview-reborn".&lt;/p&gt;
&lt;p&gt;Below is the URL used to load the Chatter page. &lt;/p&gt;
&lt;blockquote&gt;
  &lt;p&gt;${APIUrls.SALESFORCE_HOST_URL}/secur/frontdoor.jsp?sid=${decodeURIComponent(this.props.accessToken)}&amp;amp;retURL=${encodeURIComponent(returnURL)}&lt;/p&gt;
  &lt;p&gt;returnURL = ${SALESFORCE_LIGHTNING_HOST}/lightning/page/chatter&lt;/p&gt;
&lt;/blockquote&gt;
&lt;p&gt;We are able to display the chatter page and it is working well, But when we click on any of the attachment, The attachment is not opening and the page is not scrolling as correctly. &lt;/p&gt;
&lt;p&gt;The same functionality working perfectly in Andriod. &lt;/p&gt;
&lt;p&gt;Any one suggest the reason for this.&lt;/p&gt;
</t>
  </si>
  <si>
    <t xml:space="preserve">&lt;p&gt;I have applied for slideshare API and i got the API and the secret. All i have did is a simple GET request to slideshare which gives me results with the help of a tag.&lt;/p&gt;
&lt;p&gt;This is my deluge script which i have tried to call the url using the API.
As per the documentation, i have got the unix time stamp and SHA1 hash.&lt;/p&gt;
&lt;pre&gt;&lt;code&gt;param = Map();
param.put("api_key","XYZ");
param.put("ts","1565085930");
param.put("hash","xxxxxxxxxxxxxxxxxxxxxxxxx");
param.put("tag","cricket");
request = invokeurl
[
    url :"https://www.slideshare.net/api/2/get_slideshows_by_tag"
    type : GET
    parameters: param
];
info request;
&lt;/code&gt;&lt;/pre&gt;
&lt;p&gt;This is the response error i get:&lt;/p&gt;
&lt;pre class="lang-xml prettyprint-override"&gt;&lt;code&gt;&amp;lt;?xml version="1.0" encoding="UTF-8"?&amp;gt; 
   &amp;lt;SlideShareServiceError&amp;gt; 
        &amp;lt;Message ID="1"&amp;gt;Failed API validation&amp;lt;/Message&amp;gt; 
   &amp;lt;/SlideShareServiceError&amp;gt; 
&lt;/code&gt;&lt;/pre&gt;
&lt;p&gt;Thank you.&lt;/p&gt;
</t>
  </si>
  <si>
    <t xml:space="preserve">&lt;p&gt;Looks like the API does not work with a &lt;strong&gt;GET&lt;/strong&gt; request. Try the same using a POST request and it should work. The same failed with &lt;strong&gt;POSTMAN&lt;/strong&gt; and it worked only after the request type was changed to &lt;strong&gt;POST&lt;/strong&gt;.&lt;/p&gt;
&lt;pre&gt;&lt;code&gt;param = Map();
head = Map();
param.put("api_key","XXXXXXXX");
param.put("ts",1577955246);
param.put("hash","b3f3f803XXXXXXXXXXXXXXXX8be21d");
param.put("tag","cricket");
request = invokeurl
[
    url :"https://www.slideshare.net/api/2/get_slideshows_by_tag"
    type : POST
    parameters: param
];
info request;
&lt;/code&gt;&lt;/pre&gt;
&lt;p&gt;Response:&lt;/p&gt;
&lt;pre&gt;&lt;code&gt;&amp;lt;?xml version="1.0" encoding="UTF-8"?&amp;gt; 
&amp;lt;Tag&amp;gt;
 &amp;lt;Name&amp;gt;cricket&amp;lt;/Name&amp;gt;
 &amp;lt;Count&amp;gt;0&amp;lt;/Count&amp;gt;
&amp;lt;/Tag&amp;gt;
&lt;/code&gt;&lt;/pre&gt;
&lt;blockquote&gt;
  &lt;p&gt;Note: Should you have further questions, please let us know or please reach out to support@zohodeluge.com. We will be happy to assist you.&lt;/p&gt;
&lt;/blockquote&gt;
</t>
  </si>
  <si>
    <t xml:space="preserve">&lt;p&gt;I have to restrict a input field to accept only numbers. We are not using "lightning-input". 
How to use below js function in Lightning web component? &lt;/p&gt;
&lt;pre&gt;&lt;code&gt;function isNumber(evt) {
        var iKeyCode = (evt.which) ? evt.which : evt.keyCode
        if (iKeyCode != 46 &amp;amp;&amp;amp; iKeyCode &amp;gt; 31 &amp;amp;&amp;amp; (iKeyCode &amp;lt; 48 || iKeyCode &amp;gt; 57))
            return false;     
&lt;/code&gt;&lt;/pre&gt;
&lt;p&gt;return true;
    }    &lt;/p&gt;
</t>
  </si>
  <si>
    <t xml:space="preserve">&lt;p&gt;&lt;a href="https://i.stack.imgur.com/mw26x.png" rel="nofollow noreferrer"&gt;&lt;img src="https://i.stack.imgur.com/mw26x.png" alt="what I&amp;#39;m seeing in the developer&amp;#39;s console"&gt;&lt;/a&gt;In app maker I have created a drive picker to add project files to a project tracking app. I have everything working the way I want to (thanks to some app maker samples &amp;amp; videos) except for the icon of the document. When I use the picker to select a file, or multiple files, the selected files are then shown in a list above the picker. File name, url link both work but icon will not show up. Any ideas? I've been working on this seemingly minor thing for hours with zero luch.&lt;/p&gt;
&lt;p&gt;I have a model, called Files, set up. In it I have Name, Url, and Icon. In the properties for the picker, I have name and url bound to the appropriate datasource items and I have the following code bound to onDocumentSelect. I got that code from a video where a guy was doing basically what I'm doing except it worked on his. I've watched the video a hundred times probably to see if there's anything I did different.&lt;/p&gt;
&lt;pre&gt;&lt;code&gt;widget.datasource.item.icon = result.docs[0].iconUrl;
widget.datasource.createItem();
&lt;/code&gt;&lt;/pre&gt;
&lt;p&gt;This should retrieve the icon of the selected docs, after they're selected, and create the icon item in the datasource. What am I doing wrong? Or is there another or better way to do this?&lt;/p&gt;
</t>
  </si>
  <si>
    <t xml:space="preserve">&lt;p&gt;I have an input form in App Maker that a user can enter contact information for projects we're working on (name, phone number, email and address), that works fine but I wanted to implement a better way to input addresses. All that contact info is bound to the Projects datasource (including the Address field).&lt;/p&gt;
&lt;p&gt;So, I created an address suggestion box according to these instructions: &lt;a href="https://stackoverflow.com/questions/47817723/address-search-for-the-google-map-widget-on-app-maker?rq=1"&gt;Address Search for the Google Map widget on App Maker&lt;/a&gt; (I don't have enough reputation to comment there).&lt;/p&gt;
&lt;p&gt;That seems to works fine but I am not able to set the selected address from that suggestBox to @datasource.item.Address. When I open the binding options all the items are grayed out, I cannot select anything. Even if I try @datasources.Projects.Item.Address I still show all options grayed out. How can I bind the suggested address to the Address field in my Projects datasource?&lt;/p&gt;
&lt;p&gt;I assume there would be some code I could put into the suggestBox onValueChange event that would copy the newValue from the box to the Address field but I'm not having much luck with that. I did some research and came across that newValue field, I tried this bit of code to try to copy that over. No luck.&lt;/p&gt;
&lt;pre&gt;&lt;code&gt;    widget.datasource.item.Address = newValue;
widget.datasource.createItem();
&lt;/code&gt;&lt;/pre&gt;
&lt;p&gt;&lt;a href="https://i.stack.imgur.com/9ETQk.png" rel="nofollow noreferrer"&gt;&lt;img src="https://i.stack.imgur.com/9ETQk.png" alt="Binding options grayed out"&gt;&lt;/a&gt;&lt;/p&gt;
</t>
  </si>
  <si>
    <t xml:space="preserve">&lt;p&gt;So I have connected DialogFlow to Zobot (Zoho Chatbot) and want to push information from DF to ZohoCRM.
My chatbot could sign someone up to a newsletter and once the person gives me their email I want to save that email and name in the ZohoCRM.&lt;/p&gt;
&lt;p&gt;From what I can gather I have to use the DF webhooks to send information anywhere, I have found a sample code that can push data to the ZohoCRM but I want to customise it. &lt;/p&gt;
&lt;p&gt;&lt;strong&gt;My main questions&lt;/strong&gt;:&lt;/p&gt;
&lt;ul&gt;
&lt;li&gt;If I have a user email that is stored in DF as @sys.email how do I refer to this value in my web-hook code? &lt;/li&gt;
&lt;li&gt;How do I specify what table and column the information must be stored in?&lt;/li&gt;
&lt;li&gt;Where do I set my Zoho CRM ZSC Key?&lt;/li&gt;
&lt;/ul&gt;
&lt;p&gt;This is code taken from the Zobot integration documentation page (&lt;a href="https://help.zoho.com/portal/community/topic/schedule-a-call-and-push-visitor-data-to-zoho-crm-with-zobot-26-11-2018" rel="nofollow noreferrer"&gt;https://help.zoho.com/portal/community/topic/schedule-a-call-and-push-visitor-data-to-zoho-crm-with-zobot-26-11-2018&lt;/a&gt;):&lt;/p&gt;
&lt;pre&gt;&lt;code&gt;info crmdata; 
if(!crmdata.isEmpty())  
{ // update existing 
  _crmdata = crmdata.get(0);   
  info _crmdata;  
  leadid = _crmdata.get("id");  
  crmdata = zoho.crm.update("Leads",leadid,{"Full_Name":name},Map(),"your CRM connection name");  
}  
else 
{ 
  // create new lead 
  crmdata = zoho.crm.create("Leads",{"Email":email,"Full_Name":name},Map(),"your CRM connection name");  
} 
leadid = crmdata.get("id");  
info leadid; 
&lt;/code&gt;&lt;/pre&gt;
</t>
  </si>
  <si>
    <t xml:space="preserve">&lt;p&gt;I am studying the document approval template, and added default Approvers successfully by using the code below.&lt;/p&gt;
&lt;p&gt;&lt;a href="https://stackoverflow.com/questions/51186512/app-maker-document-approval-template-how-can-i-add-default-approvers/51188680?noredirect=1#comment89363757_51188680"&gt;App Maker Document approval template : How can I Add Default Approvers&lt;/a&gt;&lt;/p&gt;
&lt;p&gt;My question is that after adding these code in app maker, function notifyApproversAboutRequest_(request) still work, but the function notifyOwnerAboutRequestRejected(request) and function notifyOwnerAboutRequestApproved_(request) do not work anymore. Can anyone tell me how to resolve the problem?  Thank you!&lt;/p&gt;
&lt;pre&gt;&lt;code&gt;if (requestDs.item.WorkflowStages.length === 0) {
requestDs.relations.WorkflowStages.createItem(function() {
requestDs.relations.WorkflowStages.item.Status = window.Status.Draft;
requestDs.relations.WorkflowStages.item.Type = "All";
var createDatasource = 
requestDs.relations.WorkflowStages.relations.Approvers.modes.create;
var draft = createDatasource.item;
draft.Email = 'darpan.sanghavi@abc.com';
draft.Name = 'Darpan Sanghavi';          
createDatasource.createItem(function(createdRecord) { });
});    
requestDs.relations.WorkflowStages.createItem(function() {
requestDs.relations.WorkflowStages.item.OrderNo = 
getNextOrderNumberForApprover(requestDs.item);
requestDs.relations.WorkflowStages.item.Status = window.Status.Draft;
requestDs.relations.WorkflowStages.item.Type = "All";
var createDatasource = 
requestDs.relations.WorkflowStages.relations.Approvers.modes.create;
var draft = createDatasource.item;
draft.Email = 'darpan.sanghavi@xyz.com';
draft.Name = 'Darn Alarm';          
createDatasource.createItem(function(createdRecord) { });
app.closeDialog();
}); 
}
&lt;/code&gt;&lt;/pre&gt;
</t>
  </si>
  <si>
    <t xml:space="preserve">&lt;p&gt;Sorry, if this is a dumb question, but I have a table of months and I'm having trouble merging them.&lt;/p&gt;
&lt;p&gt;This is what I have so far, which just selects and displays all of the dates in the table: &lt;/p&gt;
&lt;pre&gt;&lt;code&gt; SELECT absmonth( i."Date") "IsdMen"
 FROM "table_isd" i
&lt;/code&gt;&lt;/pre&gt;
&lt;p&gt;So, for example, my Date row contains info like this:&lt;/p&gt;
&lt;pre&gt;&lt;code&gt;2019-06-12
2019-07-12
2019-07-13
2019-07-14
2019-08-12
2019-08-13
&lt;/code&gt;&lt;/pre&gt;
&lt;p&gt;And I want my MYSQL table to look like this:&lt;/p&gt;
&lt;pre&gt;&lt;code&gt;2019-06
2019-07
2019-08
&lt;/code&gt;&lt;/pre&gt;
</t>
  </si>
  <si>
    <t xml:space="preserve">&lt;p&gt;Use &lt;code&gt;DATE_FORMAT&lt;/code&gt;:&lt;/p&gt;
&lt;pre&gt;&lt;code&gt;SELECT DISTINCT DATE_FORMAT(Date, '%Y-%m') IsdMen
FROM table_isd;
&lt;/code&gt;&lt;/pre&gt;
&lt;p&gt;Your main requirement seems to be &lt;em&gt;presenting&lt;/em&gt; your date values in the year-month format, and the &lt;code&gt;DATE_FORMAT&lt;/code&gt; function was designed for this.&lt;/p&gt;
</t>
  </si>
  <si>
    <t xml:space="preserve">&lt;p&gt;I'm confused about how widget binding works, according to &lt;a href="https://developers.google.com/appmaker/ui/binding#bindings" rel="nofollow noreferrer"&gt;google document&lt;/a&gt;, a two-way binding works:&lt;br&gt;
1. when use UI widget to update model data to server side.&lt;br&gt;
2. &lt;strong&gt;"any change to a name on the server automatically updates the text displayed in the text box"&lt;/strong&gt;
However, this is not what I see, &lt;strong&gt;I cannot see that widget (ex. textbox) value changes following a server side data update.&lt;/strong&gt;&lt;/p&gt;
&lt;p&gt;I did a test in the official sample &lt;a href="https://developers.google.com/appmaker/samples/registration-form/" rel="nofollow noreferrer"&gt;Registration Form&lt;/a&gt;, there is a list of all Registration items. My testing setting is to update the first entry (Id=1)'s email address by entering a new email and have two buttons to update info: button 'CHANGE_CLIENT' uses a client script, and button 'CHANGE_SERVBER' uses a server script.
&lt;img src="https://d2ddoduugvun08.cloudfront.net/items/2E0v0R1w3C390I2h111g/%5B12be11269eef134f1f83543abf00701c%5D_Image+2019-08-08+at+5.42.30+PM.png" alt=""&gt;&lt;/p&gt;
&lt;p&gt;CHANGE_CLIENT code is client script in onClick() event:&lt;/p&gt;
&lt;pre&gt;&lt;code&gt;var item = widget.datasource.items.filter( a =&amp;gt; a.Id == 1 )[0];
item.Email = widget.parent.descendants.TextBox1.value;
&lt;/code&gt;&lt;/pre&gt;
&lt;p&gt;Result:&lt;br&gt;
a click on the button, new value is updated into list's 1st item as expected. A screenshot for info
&lt;img src="https://d2ddoduugvun08.cloudfront.net/items/17453D1X0e3G2d1C2S23/Screen%20Recording%202019-08-08%20at%2005.26%20PM.gif" alt=""&gt;&lt;/p&gt;
&lt;p&gt;CHANGE_SERVER code has both client script and server script:&lt;br&gt;
client script:&lt;/p&gt;
&lt;pre&gt;&lt;code&gt;function c(newvalue) {
 google.script.run.withSuccessHandler(function() {console.log('ok');}).withFailureHandler(function() {console.log('nono');}).change(newvalue); 
}
&lt;/code&gt;&lt;/pre&gt;
&lt;p&gt;server script:&lt;/p&gt;
&lt;pre&gt;&lt;code&gt;function change(newvalue) {
 var record = app.models.Registration.getRecord('1');
  record.Email = newvalue;
  app.saveRecords([record]);
}
&lt;/code&gt;&lt;/pre&gt;
&lt;p&gt;Result:&lt;br&gt;
a click on the button succeeded ('ok' in log from onSuccessHandler), but textbox value didn't change, need another refresh of page to have datasource re-loaded to see the new value. That is not what binding explained by Google's document "any change to a name on the server automatically updates the text displayed in the text box".
A screenshot for info
&lt;img src="https://d2ddoduugvun08.cloudfront.net/items/3l1N303I3J291Q3b2O1l/Screen%20Recording%202019-08-08%20at%2005.27%20PM.gif" alt=""&gt;&lt;/p&gt;
&lt;p&gt;I expect that two-way binding works as google's statement, and my server codes update can lead to an automatic UI value change. 
As I didn't see this happening, I have to manually re-load datasource, I hope this is not necessary and want to know how to have this server triggered binding value update works, any thought or suggestion is appreciated.  &lt;/p&gt;
&lt;p&gt;UPDATE:  &lt;/p&gt;
&lt;p&gt;I did an additional test and have more finding: server side data update can be see automatically on client side when:  &lt;/p&gt;
&lt;ul&gt;
&lt;li&gt;a modification on modelA's value from a client side (input edit or client script)&lt;/li&gt;
&lt;li&gt;a server side further data update via data events, ex. onAfterSave()&lt;/li&gt;
&lt;li&gt;the related data update on modelA's actual/selected item record will be shown on UI automatically&lt;/li&gt;
&lt;li&gt;but, relation model modelB's updated value will not change on UI before a page/datasource reload.
&lt;img src="https://d2ddoduugvun08.cloudfront.net/items/0u413A1L1y29393w2f0l/Screen%20Recording%202019-08-09%20at%2011.58%20AM.gif" alt=""&gt;
My testing shown in above screenshot, a modelA with UnitPrice, Quantity and TotalPrice, and its one2one relation modelB with doubleSum = TotalPrice * 2. And I set Server Script in modelA's onAfterSave() data event:&lt;/li&gt;
&lt;/ul&gt;
&lt;pre&gt;&lt;code&gt;record.TotalPrice = record.UnitPrice * record.Quantity;
var doublePrice = record.TotalPrice * 2;
var recordD = record.double;
recordD.doubleSum = doublePrice;
app.saveRecords([record,recordD]);
&lt;/code&gt;&lt;/pre&gt;
&lt;p&gt;Once an update on UnitPrice or Quantity, modelA's TotalPrice and modelB's doubleSum value updated by Server Script, while modelA's TotalPrice updated on UI automatically, modelB's doubleSum requires a page/datasource reload to update on UI.&lt;br&gt;
It looks that &lt;strong&gt;Appmaker only keep current item's own data (not relation model's) synchronised between client UI and server in real time. IOW, only SIMPLE binding can see two-way binding in case an update triggered by a change on current item's value from client side.&lt;/strong&gt;&lt;/p&gt;
</t>
  </si>
  <si>
    <t xml:space="preserve">&lt;p&gt;I would like to use the Driver Picker widget to select a spreadsheet and save the file ID of the spreadsheet to a data model.&lt;/p&gt;
&lt;p&gt;I have the selectedDocUrl field of the Drive Picker set to the fileID column in my model (&lt;code&gt;@datasource.item.fileID&lt;/code&gt;) but as expected this saves the entire URL of the file to the model.&lt;/p&gt;
&lt;p&gt;I am looking to capture the file ID only.&lt;/p&gt;
&lt;p&gt;&lt;strong&gt;Full URL:&lt;/strong&gt;&lt;br&gt;&lt;code&gt;https://docs.google.com/spreadsheets/d/1Q4z5ZsE5eDm14MysAdb-CnApSNlzToMdXTTCgrN6BNA/edit&lt;/code&gt;&lt;/p&gt;
&lt;p&gt;&lt;strong&gt;File ID:&lt;/strong&gt;&lt;br&gt;&lt;code&gt;1Q4z5ZsE5eDm14MysAdb-CnApSNlzToMdXTTCgrN6BNA&lt;/code&gt;&lt;/p&gt;
</t>
  </si>
  <si>
    <t xml:space="preserve">&lt;p&gt;Use the &lt;strong&gt;onDocumentSelect&lt;/strong&gt; event handler of the drive picker and do the following:&lt;/p&gt;
&lt;pre&gt;&lt;code&gt;widget.datasource.item.fileID = result.docs[0].id;
&lt;/code&gt;&lt;/pre&gt;
&lt;p&gt;Keep in mind that the above will work if the datasource is properly binded.&lt;/p&gt;
</t>
  </si>
  <si>
    <t xml:space="preserve">&lt;p&gt;I'm using AMU's library to pull values into my data model from a spreadsheet. The function looks like this:&lt;/p&gt;
&lt;pre&gt;&lt;code&gt;AMU.import.fromSpreadsheet(widget, importFileId, modelName, options)
&lt;/code&gt;&lt;/pre&gt;
&lt;p&gt;I would like to populate the value for the importFileId parameter from my data model rather than hard coding the value into the function.&lt;/p&gt;
&lt;p&gt;The importFileId is stored as the first record in my projectCostSource model in a field named fileID.&lt;/p&gt;
</t>
  </si>
  <si>
    <t xml:space="preserve">&lt;p&gt;Why doesn't this work? It is definitely allowed/encouraged by the autocomplete&lt;/p&gt;
&lt;p&gt;I have this in the onDataLoad section for the row of the table (because I only want it to run if the item shows up in the specific search).&lt;/p&gt;
&lt;pre&gt;&lt;code&gt;var item = widget.datasource.item;
console.log("table attached "+item.Name);
item.iscorrect= true;
console.log(item.iscorrect);
&lt;/code&gt;&lt;/pre&gt;
&lt;p&gt;This outputs "table attached: name" and then a blank row.&lt;/p&gt;
</t>
  </si>
  <si>
    <t xml:space="preserve">&lt;p&gt;I created an app in app maker and and trying to figure out how to put an exit button. If the app is opened thru the publish link in a browser I can close it by using some code. However, when the app is distributed thru my organization's play store and installed lika an app is installed theu the playstore, the exit code no longer works.&lt;/p&gt;
&lt;p&gt;Is there a way to close the app programmatically?&lt;/p&gt;
&lt;p&gt;Thanks in advance for your answers.&lt;/p&gt;
</t>
  </si>
  <si>
    <t xml:space="preserve">&lt;p&gt;I be an beginner. I have a multiselect field in my app. The values of these field I will be save in an table with the foreign keys from an another table.  &lt;/p&gt;
&lt;p&gt;I have a widget with 3 forms &lt;code&gt;software&lt;/code&gt;, &lt;code&gt;commodity&lt;/code&gt; and &lt;code&gt;contract&lt;/code&gt;. All tables are connection into each other.  App maker create in the backend a new table with key from the software table and a key from the commodity. &lt;/p&gt;
&lt;p&gt;I don't now how save the values from the multiselect field in table. &lt;/p&gt;
&lt;p&gt;I currently read the values from the multiselect and pass them to the fields above. &lt;/p&gt;
&lt;p&gt;I have same screenshots:&lt;/p&gt;
&lt;p&gt;&lt;strong&gt;Frontend:&lt;/strong&gt;&lt;br&gt;
&lt;img src="https://i.stack.imgur.com/ZyXo5.png" alt="Pic1-Frontend"&gt;&lt;/p&gt;
&lt;p&gt;&lt;strong&gt;OnValuesEdit:&lt;/strong&gt;
&lt;img src="https://i.stack.imgur.com/r0Vvq.png" alt="Pic2-OnValuesEdit"&gt;&lt;/p&gt;
&lt;p&gt;&lt;strong&gt;Edit:&lt;/strong&gt;&lt;/p&gt;
&lt;p&gt;I have a table, &lt;code&gt;Produkt_Commodity&lt;/code&gt; in these table are different values. For instance:Biogas, energy flex, energy fixed. The values from these table &lt;code&gt;Produkt_commodity&lt;/code&gt; will be selection on the page &lt;code&gt;software&lt;/code&gt;. The datasouce of the page is &lt;code&gt;software&lt;/code&gt;. Software have a many – many binding to &lt;code&gt;Produkt_Commodity&lt;/code&gt;. In the page software with datascource &lt;code&gt;software&lt;/code&gt; is a Form with a datascource &lt;code&gt;software: Produkt_commodity(relation)&lt;/code&gt;. In this form I have a multiselect with the values from &lt;code&gt;product_commodity&lt;/code&gt;. These values are not stored because I don't know which property to write in the value field. &lt;/p&gt;
&lt;p&gt;&lt;strong&gt;multiselction Field:&lt;/strong&gt;
&lt;img src="https://i.stack.imgur.com/CYzhD.jpg" alt="multiselction Field"&gt;&lt;/p&gt;
</t>
  </si>
  <si>
    <t xml:space="preserve">&lt;p&gt;For starters I would encourage you to check out the documentation here &lt;a href="https://developers.google.com/appmaker/models/relations#data_binding" rel="nofollow noreferrer"&gt;https://developers.google.com/appmaker/models/relations#data_binding&lt;/a&gt; and the sample app they mention here.&lt;/p&gt;
&lt;p&gt;Now there is a couple of changes you will need to implement. Since your page datasource is 'Software' and your 'Software anlegen' form presumably has a datasource of either 'Software' or 'Inherited: Software' I would encourage you to change the datasource for the 'Create Produkt_Commodity' to 'Inherited: Software' also. Then for your multiselect within 'Create Produkt_Commodity' form have a options binding of &lt;code&gt;@datasources.CommodityP.items&lt;/code&gt; and a names binding of &lt;code&gt;@datasources.CommodityP..Name&lt;/code&gt; and finally a value binding of &lt;code&gt;@datasource.item.Produkt_Commodity&lt;/code&gt;.&lt;/p&gt;
&lt;p&gt;Also, I would suggest in your 'Software' datasource setting to prefetch your 'Produkt_Commodity' relation and then also remove the 'Submit' button from the 'Create Produkt_Commodity' form as it is not needed. In fact you could get rid of that entire form and just incorporate your multiselect widget into your 'Software anlegen' form instead with the same bindings I already outlined. Also make sure to remove the onValuesEdit code that you had associated with your multiselect.&lt;/p&gt;
</t>
  </si>
  <si>
    <t xml:space="preserve">&lt;p&gt;I'm new to Salesforce development and currently learning about lightning web components.&lt;/p&gt;
&lt;p&gt;Currently I'm just trying to build a lightning page which look like below for my custom object.&lt;/p&gt;
&lt;p&gt;&lt;a href="https://i.stack.imgur.com/sxavN.png" rel="nofollow noreferrer"&gt;&lt;img src="https://i.stack.imgur.com/sxavN.png" alt="enter image description here"&gt;&lt;/a&gt;&lt;/p&gt;
&lt;p&gt;But It seems to get the drop down like its shown in the image you need to create a Record Page, but if we created a record page the custom object is not being listed in the list of objects for List View component. Can someone help me create a similar page for my custom component where I have to have both list view as well as the drop down in the tab.&lt;/p&gt;
&lt;p&gt;Questions:&lt;/p&gt;
&lt;p&gt;1) What type of page(App Page, Home Page,Record Page) I have to use to get similar functionality as Leads page?&lt;/p&gt;
&lt;p&gt;2) How to add the List View for my custom object?&lt;/p&gt;
&lt;p&gt;For the first question i most probably think it is record page, but record page offers detail view not the list view. If i dragged list view component my custom object is not shown in the object list&lt;/p&gt;
</t>
  </si>
  <si>
    <t xml:space="preserve">&lt;p&gt;Hi I was making a simple Billing app on Google Appmaker. Created CloudSql models for Purchase Orders, Bills and Clients. These SQL tables are have relations to each other as a Client can have many PO-s and a PO can have many Bills.
All fine and dandy I added fields and relations. Put some tables on the pages to show and forms to enter new items.
Problem came when on one page I wanted to show a Overview table that would contain information about orders - containing field about Order itself, its clients and how much was already billed to such Purchase Order.&lt;br&gt;
The table itself seemed like a good idea to use Calculated Data model named it (CalcSum) - I joined my different table and did some Calculations. All fine&lt;/p&gt;
&lt;pre&gt;&lt;code&gt;SELECT 
(Orders.Sum-SUM(Bills.Sum)) AS NotInvoiced,
SUM(Bills.Sum) AS Invoiced,
Orders.OrderCode,
Orders.Currency,
Orders.PODate, 
DepCode,
ProjCode,
Client.Name AS Client,
Orders.Sum AS OrderAmount
FROM Orders 
LEFT JOIN Bills ON Bills.Po_fk = Orders.Id
LEFT JOIN Client ON Orders.Client_fk = Client.Id 
GROUP BY Orders.Id;
&lt;/code&gt;&lt;/pre&gt;
&lt;p&gt;The problem that arouse now is following. One cannot use query filtering on calculated models. (as seen in this tutorial &lt;a href="https://www.youtube.com/watch?v=jo-5AE5P1HA" rel="nofollow noreferrer"&gt;https://www.youtube.com/watch?v=jo-5AE5P1HA&lt;/a&gt;)
I was thinking I could use my own query parameters although this looks cumbersome as I would have to define a lot of them and write even longer SQL.
So I tried an example like this -- take the prevous code block and change the end of it  to &lt;/p&gt;
&lt;pre&gt;&lt;code&gt;GROUP BY Orders.Id HAVING DepCode LIKE '%:DepSearch%';
&lt;/code&gt;&lt;/pre&gt;
&lt;p&gt;Then I added a searchContent textbox into the header - of this overview table and bound the box to @datasource.query.parameters.DepSearch. I put an onValue change to this box too
to reload the datasource. So it is done quite like the youtube example only I have substituted my own quwery parameter instead of automatical filter term that would be available
to a non-calculated model. I hoped it should work but I get console errors.&lt;/p&gt;
&lt;pre&gt;&lt;code&gt;Exception: JDBC backend failure. More information: Failed to execute  connection with error: Parameter index of '1' is greater than number of parameters, which is '0'..    
Executing query for datasource CalcSum: (Error) : JDBC backend failure. More information: Failed to execute connection with error: Parameter index of '1' is greater than number of parameters, which is '0'..
at Orderid.Table1.Table1Header.Panel1.TextBox1.onValueChange:1:19
Executing query for datasource CalcSum failed.
&lt;/code&gt;&lt;/pre&gt;
&lt;p&gt;I'm all out of ideas. How could I resolve this problem or are there any other ideas how to make an overview containing fields from these three models and including calculated fields 
that would be filterable in any other way. It seemed to me that the calculated model is the way to go for the first half of this problem but it seems to mess with the other part.&lt;/p&gt;
</t>
  </si>
  <si>
    <t xml:space="preserve">&lt;p&gt;I have a problem with creating a unique existing field.
Standard Object - Account; 
Field - EMail (several instances of the Account object with the same mail have already been created).
I want to make the field unique (do not repeat the values), how can I solve the problem with the existing data correctly? If through the method "point and click" to act, then an error is generated:&lt;/p&gt;
&lt;p&gt;Error: Duplicate value (s) found when building unique index, example: blabla @ gmail.com on rows&lt;/p&gt;
</t>
  </si>
  <si>
    <t xml:space="preserve">&lt;p&gt;You'll have to delete the records (or maybe just clear the email fields on some?) before you can apply unique index. Salesforce has duplicate rules, you could use them to find matches, maybe the answer is to use &lt;a href="https://help.salesforce.com/articleView?id=account_merge_classic.htm&amp;amp;r=https%3A%2F%2Fwww.google.com%2F&amp;amp;type=5" rel="nofollow noreferrer"&gt;merge&lt;/a&gt; operation, not delete? You can merge manually or with Apex. Or just run a report on Accounts grouped by email, sort by count descending and see what needs fixing.&lt;/p&gt;
&lt;p&gt;If that bad data has to stay as is - best would be to configure duplicate rules to look at the field and prevent creating new? In this &lt;a href="https://trailhead.salesforce.com/en/content/learn/modules/sales_admin_duplicate_management" rel="nofollow noreferrer"&gt;trailhead&lt;/a&gt; 2nd module has some screenshots that show how you can configure it to BLOCK inserts &amp;amp; updates. Not as good as true unique field but it's something...&lt;/p&gt;
&lt;p&gt;Worst case you could cheat a bit. I mean depending on address if it's gmail then &lt;code&gt;googlemail.com&lt;/code&gt; works, putting dots in the part before &lt;code&gt;@&lt;/code&gt;... Won't work with all addresses though.&lt;/p&gt;
</t>
  </si>
  <si>
    <t xml:space="preserve">&lt;p&gt;What is the best approach to save Yes/No checkbox value into a SharePoint List. I have a Custom List call "HelpDesk", added a column type "Single line of text" - Call "Is this a new Issue"&lt;/p&gt;
&lt;p&gt;Have a checkbox [ ]Yes and checkbox [ ]No &lt;/p&gt;
&lt;p&gt;I been reading about &lt;code&gt;Patch()&lt;/code&gt; function.&lt;/p&gt;
</t>
  </si>
  <si>
    <t xml:space="preserve">&lt;p&gt;There are two ways to start the PowerApps design, start with data or from scratch. In your case, since you already have a SP list with necessary fields, but only mismatched datatype i.e. bool into string - you can do either way. But I would recommend to have boolean field in SP list, you will get a Flip switch (Toggle) in Canvas app based on datatype when you build from data.&lt;/p&gt;
&lt;p&gt;&lt;a href="https://i.stack.imgur.com/jnMAW.png" rel="nofollow noreferrer"&gt;&lt;img src="https://i.stack.imgur.com/jnMAW.png" alt="enter image description here"&gt;&lt;/a&gt;&lt;/p&gt;
&lt;p&gt;If you are building from scratch or not, still you can manage to identify the Yes/No option (&lt;a href="https://docs.microsoft.com/en-us/powerapps/maker/canvas-apps/add-list-box-drop-down-list-radio-button#add-radio-buttons" rel="nofollow noreferrer"&gt;It can be a single checkbox or two radio buttons&lt;/a&gt;) &amp;amp; store the value in a context variable  using &lt;code&gt;SET()&lt;/code&gt; function &amp;amp; use that variable when you submit the form. &lt;/p&gt;
&lt;p&gt;&lt;a href="https://docs.microsoft.com/en-us/powerapps/maker/canvas-apps/working-with-variables" rel="nofollow noreferrer"&gt;Read more&lt;/a&gt;&lt;/p&gt;
</t>
  </si>
  <si>
    <t xml:space="preserve">&lt;p&gt;I need to create a view for my app that displays the data from two Cloud SQL models in a single table with one field aggregated.&lt;/p&gt;
&lt;p&gt;My data models look like this (simplified).&lt;/p&gt;
&lt;h2&gt;Projects Table&lt;/h2&gt;
&lt;pre&gt;&lt;code&gt;projectID, projectName  , projectBudget
0001     , Project Alpha, 25000
0002     , Project Beta , 2000
&lt;/code&gt;&lt;/pre&gt;
&lt;h2&gt;Costs Table&lt;/h2&gt;
&lt;pre&gt;&lt;code&gt;projectID, costAccrued
0001     , 1000
0001     , 5000
0002     , 1000
0001     , 8000
0002     , 500
0002     , 300
&lt;/code&gt;&lt;/pre&gt;
&lt;h2&gt;Combined Table&lt;/h2&gt;
&lt;p&gt;I am trying to create a view that shows the data combined where costAccrued is summed.&lt;/p&gt;
&lt;pre&gt;&lt;code&gt;projectID, projectName  , projectBudget, costAccrued
0001     , Project Alpha, 25000        , 16000
0002     , Project Beta , 2000         , 1800
&lt;/code&gt;&lt;/pre&gt;
&lt;p&gt;I haven't been able to find any code examples where Cloud SQL tables are joined with an aggregated field but I'm given to understand that creating a Calculated SQL table is the correct way to do this.&lt;/p&gt;
&lt;p&gt;However, I'm stuck on how to write the SQL query. This is what I've tried to use but it doesn't work and I think there is something to do with parameters that I'm not understanding.&lt;/p&gt;
&lt;pre&gt;&lt;code&gt;SELECT projects.`projectID`, projects.`projectName`, projects.`projectBudget`, SUM(costs.`costAccrued`)
FROM projects
LEFT JOIN costs on projects.`projectId` = costs.`projectID`    
GROUP BY projects.`projectID`;
&lt;/code&gt;&lt;/pre&gt;
&lt;p&gt;&lt;a href="https://i.stack.imgur.com/qmXTS.png" rel="nofollow noreferrer"&gt;&lt;img src="https://i.stack.imgur.com/qmXTS.png" alt="enter image description here"&gt;&lt;/a&gt;&lt;/p&gt;
</t>
  </si>
  <si>
    <t xml:space="preserve">&lt;p&gt;I solved this myself. The issue had to do with the output column names not matching the field names in the Calculated SQL model.&lt;/p&gt;
&lt;p&gt;The correct query looks like this (note each output column is labeled to match the names in my Calculated SQL model):&lt;/p&gt;
&lt;pre&gt;&lt;code&gt;SELECT projects.`projectID` as "projectId", projects.`projectName` as "name", projects.`projectBudget` as "budget", SUM(costs.`costAccrued`) as "costAccrued"
FROM projects
LEFT JOIN costs on projects.`projectId` = costs.`projectID`    
GROUP BY projects.`projectID`;
&lt;/code&gt;&lt;/pre&gt;
&lt;p&gt;Reference: &lt;a href="https://developers.google.com/appmaker/models/cloudsql#calculated_sql_models" rel="nofollow noreferrer"&gt;https://developers.google.com/appmaker/models/cloudsql#calculated_sql_models&lt;/a&gt;&lt;/p&gt;
</t>
  </si>
  <si>
    <t xml:space="preserve">&lt;p&gt;I'm building a UI in Google Appmaker to manage the Domain Shared Contacts API. I can read and display data from the API in appmaker using a calculated model, but I cannot save data back into the API.&lt;/p&gt;
&lt;p&gt;I tried adding a form widget with the calculated model as a datasource, but this is a read / view only form. This is when i found out calculated data sources are always read-only in app maker.&lt;/p&gt;
&lt;p&gt;I then created an SQL datasource and made an event that queries the Domain Shared Contact API which then creates records and saves them to the SQL Model. I was thinking about using the standard form widget and then in the events beforeSave, beforeDelete, etc to write the record to the API.&lt;/p&gt;
&lt;p&gt;However this feels dirty to me, since now I have to keep the SQL model synchronized with the API, need to have an SQL server running, etc.&lt;/p&gt;
&lt;p&gt;Does anyone have any tips on the best way to write data from a form in appmaker to a REST API? I can't be only one with this use case.&lt;/p&gt;
</t>
  </si>
  <si>
    <t xml:space="preserve">&lt;p&gt;&lt;a href="https://docs.microsoft.com/en-us/office/developer-program/office-365-developer-program-faq" rel="nofollow noreferrer"&gt;This&lt;/a&gt; page at Microsoft indicates that PowerApps is included in an Office 365 developer subscription.  But in mine, I have SharePoint, but I don't see PowerApps.  I don't even see the Office apps.  What do I need to do?&lt;/p&gt;
</t>
  </si>
  <si>
    <t xml:space="preserve">&lt;p&gt;I figured it out.  I didn't realize that you have to assign licenses to users even within a developer subscription!  But that's exactly what's required.  &lt;/p&gt;
&lt;ul&gt;
&lt;li&gt;Log into your Office 365 developer account&lt;/li&gt;
&lt;li&gt;There you'll see your Office 365 developer subscription.  Click "Go to subscription"&lt;/li&gt;
&lt;li&gt;In the Apps menu go to the Admin app&lt;/li&gt;
&lt;li&gt;Under Users, go to Active Users&lt;/li&gt;
&lt;li&gt;Find your user, and assign the Office 365 E3 Developer license&lt;/li&gt;
&lt;/ul&gt;
&lt;p&gt;Now that the license is assigned, all of the apps will be available in your dev subscription.&lt;/p&gt;
</t>
  </si>
  <si>
    <t xml:space="preserve">&lt;p&gt;I am trying to create a Custom Connector in PowerApps so I can connect to our Jira Server.&lt;/p&gt;
&lt;p&gt;I am trying to use OAuth Authentication but I can't configure it properly.
I am getting this:&lt;/p&gt;
&lt;blockquote&gt;
  &lt;p&gt;AADSTS50011: The reply url specified in the request does not match the
  reply urls configured for the application: "App Id here"&lt;/p&gt;
&lt;/blockquote&gt;
&lt;p&gt;In Azure I have tried to change the Reply url to several things but with no luck:&lt;/p&gt;
&lt;ul&gt;
&lt;li&gt;&lt;a href="https://tenantName.tenantNamelogin.com/tenantName.onmicrosoft.com/oauth2/authresp" rel="nofollow noreferrer"&gt;https://tenantName.tenantNamelogin.com/tenantName.onmicrosoft.com/oauth2/authresp&lt;/a&gt;&lt;/li&gt;
&lt;li&gt;&lt;a href="https://login.windows.net/.auth/login/aad/callback" rel="nofollow noreferrer"&gt;https://login.windows.net/.auth/login/aad/callback&lt;/a&gt;&lt;/li&gt;
&lt;li&gt;&lt;a href="http://localhost:31544" rel="nofollow noreferrer"&gt;http://localhost:31544&lt;/a&gt;&lt;/li&gt;
&lt;li&gt;&lt;a href="http://localhost:61659/signin-oidc" rel="nofollow noreferrer"&gt;http://localhost:61659/signin-oidc&lt;/a&gt;&lt;/li&gt;
&lt;/ul&gt;
&lt;p&gt;I have granted several rights (Graph) as admin. I have tried to login with admin accounts and non admin accounts, error remains the same.
I have followed several guides including &lt;a href="https://docs.microsoft.com/en-us/azure/active-directory/develop/quickstart-register-app#register-a-new-application-using-the-azure-portal" rel="nofollow noreferrer"&gt;this one&lt;/a&gt; and &lt;a href="https://docs.microsoft.com/en-us/connectors/custom-connectors/azure-active-directory-authentication" rel="nofollow noreferrer"&gt;this one&lt;/a&gt;.&lt;/p&gt;
&lt;p&gt;&lt;strong&gt;What is causing this error and what can I do to configure this properly?&lt;/strong&gt;&lt;/p&gt;
&lt;p&gt;EDIT:
&lt;a href="https://i.stack.imgur.com/JhKe5.png" rel="nofollow noreferrer"&gt;&lt;img src="https://i.stack.imgur.com/JhKe5.png" alt="enter image description here"&gt;&lt;/a&gt;&lt;/p&gt;
</t>
  </si>
  <si>
    <t xml:space="preserve">&lt;p&gt;The reply url in your code must be the same as the one in azure portal.&lt;/p&gt;
&lt;p&gt;You can use the fiddler to capture the request url, you will find the redirect_uri in the authorize endpoint. Then use this one in Azure portal.&lt;/p&gt;
&lt;p&gt;Something like &lt;code&gt;https://login.microsoftonline.com/{tenant}/oauth2/authorize? client_id=6731de76-14a6-49ae-97bc-6eba6914391e &amp;amp;response_type=code &amp;amp;redirect_uri=http%3A%2F%2Flocalhost%3A12345 &amp;amp;response_mode=query &amp;amp;resource=https%3A%2F%2Fservice.contoso.com%2F &amp;amp;state=12345&lt;/code&gt; &lt;/p&gt;
&lt;p&gt;Copy the value of &lt;code&gt;redirect_uri&lt;/code&gt;&lt;/p&gt;
</t>
  </si>
  <si>
    <t xml:space="preserve">&lt;p&gt;Is there &lt;em&gt;any&lt;/em&gt; way to change the deployment owner of an Appmaker application?&lt;/p&gt;
&lt;p&gt;The person who has created Appmaker applications for our organization is leaving, and we need to have new owners for the deployments. The options for exporting data, viewing logs, publishing and editing deployment details (e.g. admins) are only available to the deployment owner, so managing the deployment is close to impossible without the deployment owner.&lt;/p&gt;
&lt;p&gt;Also, I'm wondering what will happen when the account of the deployment owner's account is deleted. Does the deployment disappear or is it just a deployment without an owner?&lt;/p&gt;
&lt;p&gt;Could a Google admin transfer the ownership, even though it is not possible for the normal user?&lt;/p&gt;
&lt;p&gt;If you have any other suggestions on how to deal with this problem, I'm happy to hear them out.&lt;/p&gt;
&lt;p&gt;EDIT: I have tried transferring the Appmaker file to a different owner but that has no effect on the deployments.&lt;/p&gt;
</t>
  </si>
  <si>
    <t xml:space="preserve">&lt;p&gt;I've implemented a AutoComplete in google app maker. It's working fine. But the problem is when I try to save a data by writing half part of it and then just select from the list of autocomplete, it doesn't save the whole part that I selected. It just saves whatever I typed. Example: I have typed "United" and then select the options "United States" from my autocomplete options. But it only saves "United" It doesn't save the rest. &lt;/p&gt;
&lt;p&gt;This is my Client Script. &lt;/p&gt;
&lt;pre&gt;&lt;code&gt;function autocomplete(inp, arr) {
  /*the autocomplete function takes two arguments,
  the text field element and an array of possible autocompleted values:*/
  var currentFocus;
  /*execute a function when someone writes in the text field:*/
  inp.addEventListener("input", function(e) {
    var a, b, i, val = this.value;
    /*close any already open lists of autocompleted values*/
    closeAllLists();
    if (!val) { return false;}
    currentFocus = -1;
    /*create a DIV element that will contain the items (values):*/
    a = document.createElement("DIV");
    a.setAttribute("id", this.id + "autocomplete-list");
    a.setAttribute("class", "autocomplete-items");
    /*append the DIV element as a child of the autocomplete container:*/
    this.parentNode.appendChild(a);
    /*for each item in the array...*/
    for (i = 0; i &amp;lt; arr.length; i++) {
      /*check if the item starts with the same letters as the text field value:*/
      if (arr[i].substr(0, val.length).toUpperCase() == val.toUpperCase()) {
        /*create a DIV element for each matching element:*/
        b = document.createElement("DIV");
        /*make the matching letters bold:*/
        b.innerHTML = "&amp;lt;strong&amp;gt;" + arr[i].substr(0, val.length) + "&amp;lt;/strong&amp;gt;";
        b.innerHTML += arr[i].substr(val.length);
        /*insert a input field that will hold the current array item's value:*/
        b.innerHTML += "&amp;lt;input type='hidden' value='" + arr[i] + "'&amp;gt;";
        /*execute a function when someone clicks on the item value (DIV element):*/
        b.addEventListener("click", function(e) {
          /*insert the value for the autocomplete text field:*/
          inp.value = this.getElementsByTagName("input")[0].value;
          /*close the list of autocompleted values,
              (or any other open lists of autocompleted values:*/
          closeAllLists();
        });
        a.appendChild(b);
      }
    }
  });
  /*execute a function presses a key on the keyboard:*/
  inp.addEventListener("keydown", function(e) {
    var x = document.getElementById(this.id + "autocomplete-list");
    if (x) x = x.getElementsByTagName("div");
    if (e.keyCode == 40) {
      /*If the arrow DOWN key is pressed,
        increase the currentFocus variable:*/
      currentFocus++;
      /*and and make the current item more visible:*/
      addActive(x);
    } else if (e.keyCode == 38) { //up
      /*If the arrow UP key is pressed,
        decrease the currentFocus variable:*/
      currentFocus--;
      /*and and make the current item more visible:*/
      addActive(x);
    } else if (e.keyCode == 13) {
      /*If the ENTER key is pressed, prevent the form from being submitted,*/
      e.preventDefault();
      if (currentFocus &amp;gt; -1) {
        /*and simulate a click on the "active" item:*/
        if (x) x[currentFocus].click();
      }
    }
  });
  function addActive(x) {
    /*a function to classify an item as "active":*/
    if (!x) return false;
    /*start by removing the "active" class on all items:*/
    removeActive(x);
    if (currentFocus &amp;gt;= x.length) currentFocus = 0;
    if (currentFocus &amp;lt; 0) currentFocus = (x.length - 1);
    /*add class "autocomplete-active":*/
    x[currentFocus].classList.add("autocomplete-active");
  }
  function removeActive(x) {
    /*a function to remove the "active" class from all autocomplete items:*/
    for (var i = 0; i &amp;lt; x.length; i++) {
      x[i].classList.remove("autocomplete-active");
    }
  }
  function closeAllLists(element) {
    /*close all autocomplete lists in the document,
    except the one passed as an argument:*/
    var x = document.getElementsByClassName("autocomplete-items");
    for (var i = 0; i &amp;lt; x.length; i++) {
      if (element != x[i] &amp;amp;&amp;amp; element != inp) {
        x[i].parentNode.removeChild(x[i]);
      }
    }
  }
  /*execute a function when someone clicks in the document:*/
  document.addEventListener("click", function (e) {
    closeAllLists(e.target);
   // saveData();
  });
}
&lt;/code&gt;&lt;/pre&gt;
&lt;p&gt;And this is my OnAttach Function of the Text Box: &lt;/p&gt;
&lt;pre&gt;&lt;code&gt;var countries = ["China", " France", "United States", "England"];
autocomplete(widget.getElement().children[1], countries);
&lt;/code&gt;&lt;/pre&gt;
</t>
  </si>
  <si>
    <t xml:space="preserve">&lt;p&gt;I have a model which is in autosave mode. When the user clicks on a button below code is executed.
 I want the status to change and get saved and then it should execute the refresh function as the refresh functionality is dependent on the status value. But with the below code refresh function is getting executed before the new status is getting saved.&lt;/p&gt;
&lt;pre&gt;&lt;code&gt;       widget.datasource.item.status='inside';
       refreshPanelWithColor();
&lt;/code&gt;&lt;/pre&gt;
&lt;p&gt;What I really want to do is this to have the callback functionality but I can't use the saveChanges as it's only for manual save mode.&lt;/p&gt;
&lt;pre&gt;&lt;code&gt;      widget.datasource.item.status='inside';
     widget.datasource.saveChanges(function() {
     refreshPanelWithColor();
     });
&lt;/code&gt;&lt;/pre&gt;
&lt;p&gt;How to achieve callback functionality here without switching to manual save mode?&lt;/p&gt;
</t>
  </si>
  <si>
    <t xml:space="preserve">&lt;p&gt;As how Markus Explains in his comment, this functionality is not available at the moment. You can of course use another solution which is using server scripting and reloading the datasource item. In order to achieve that, your client script should look similar to this:&lt;/p&gt;
&lt;pre&gt;&lt;code&gt;var recordKey = widget.datasource.item._key;
var status = "inside";
google.script.run.withSuccessHandler(function(){
    widget.datasource.item._reload(function(){
        refreshPanelWithColor();
    });
}).withFailureHandler(function(err){
    console.err(err.toString());
}).updateDesiredRecord(recordKey, status);
&lt;/code&gt;&lt;/pre&gt;
&lt;p&gt;And of course, you need to implement your server script being called from the client. It should look something like this:&lt;/p&gt;
&lt;pre&gt;&lt;code&gt;function updateDesiredRecord(recordKey, status){
    var record = app.models.MYMODEL.getRecord(recordKey);
    record.status = status;
    app.saveRecords([record]);
}
&lt;/code&gt;&lt;/pre&gt;
&lt;p&gt;I'm not sure what your &lt;code&gt;refreshPanelWithColor()&lt;/code&gt; function does but I hope you get an idea of what this solution intends to.&lt;/p&gt;
</t>
  </si>
  <si>
    <t xml:space="preserve">&lt;p&gt;I am implementing a leaflet map for the salesforce mobile app. The problem is that touch events on the map are propagated up to the page itself. So when I pull the map down it scrolls the whole page (Note that this seems to only happen on some mobile devices).&lt;/p&gt;
&lt;p&gt;I already tried to stop event propagation of the "touchmove" event but doing that it disables the whole movement functionality of my map. I attached another "move" listener to the map itself to check order of execution and it seems that when I stop propagation on the div Elements it never reaches the Leaflet map component. &lt;/p&gt;
&lt;pre class="lang-html prettyprint-override"&gt;&lt;code&gt;&amp;lt;div aura:id="mainContainer" id="mainContainer"&amp;gt;
    &amp;lt;div class="childContainer" id="child" aura:id="child"&amp;gt;
        &amp;lt;div class="map-wrapper slds-grid" id="map-wrapper" aura:id="map-wrapper"&amp;gt;
            &amp;lt;div aura:id="map" id="map"&amp;gt;
            &amp;lt;/div&amp;gt;
        &amp;lt;/div&amp;gt;
    &amp;lt;/div&amp;gt;
&amp;lt;/div&amp;gt;
&lt;/code&gt;&lt;/pre&gt;
&lt;pre class="lang-js prettyprint-override"&gt;&lt;code&gt;afterRender: function (component, helper) {
    var map = component.find("map").getElement();
    var child = component.find("child").getElement();
    var mapWrapper = component.find("map-wrapper").getElement();
    map.addEventListener(
        "touchmove",
        function(e) {
            alert("map");
        },
        false
    );
    child.addEventListener(
        "touchmove",
        function(e) {
            alert("child");
        },
        false
    );
    mapWrapper.addEventListener(
        "touchmove",
        function(e) {
            alert("map-wrapper");
        },
        false
    );
}
&lt;/code&gt;&lt;/pre&gt;
&lt;pre&gt;&lt;code&gt;map.on("move", function(e) {
   // is not called when I stop propagation anywhere in div hierarchy
   alert("move");
});
&lt;/code&gt;&lt;/pre&gt;
&lt;p&gt;I need to be able to recenter and zoom the map but also to stop any touch events from reaching top of the hierarchy (so I can get rid of pull to refresh).&lt;/p&gt;
</t>
  </si>
  <si>
    <t xml:space="preserve">&lt;p&gt;I have an app maker application using the Google Drive File picker widget. But uploading files does not work, I get a server rejected error.&lt;/p&gt;
&lt;p&gt;&lt;a href="https://i.stack.imgur.com/BQL0i.png" rel="nofollow noreferrer"&gt;&lt;img src="https://i.stack.imgur.com/BQL0i.png" alt="enter image description here"&gt;&lt;/a&gt;&lt;/p&gt;
&lt;p&gt;API Upload Response&lt;/p&gt;
&lt;pre&gt;&lt;code&gt;{
"errorMessage": {
    "reason": "REQUEST_REJECTED",
    "additionalInfo": {
        "uploader_service.GoogleRupioAdditionalInfo": {
            "completionInfo": {
                "status": "REJECTED"
            },
            "requestRejectedInfo": {
                "reasonDescription": "agent_rejected"
            }
        }
    },
    "upload_id": "UrqXRaPdnG_DZ0L-iDX5BJsG4XEg"
}
&lt;/code&gt;&lt;/pre&gt;
&lt;p&gt;I believe the issue is the app's oauth scopes. It appears to only have read access which is insufficient for uploading new files. &lt;/p&gt;
&lt;p&gt;&lt;a href="https://i.stack.imgur.com/ULBC6.png" rel="nofollow noreferrer"&gt;&lt;img src="https://i.stack.imgur.com/ULBC6.png" alt="enter image description here"&gt;&lt;/a&gt;&lt;/p&gt;
&lt;p&gt;I'd like to grant it full access &lt;strong&gt;&lt;a href="https://www.googleapis.com/auth/drive" rel="nofollow noreferrer"&gt;https://www.googleapis.com/auth/drive&lt;/a&gt;&lt;/strong&gt; but I'm not clear how to do this.&lt;/p&gt;
</t>
  </si>
  <si>
    <t xml:space="preserve">&lt;p&gt;This behavior is a bug and it has been recently introduced as far as I'm aware. To be honest, the full drive scope should be granted when enabling the simple uploads feature in the drive picker but some reason it is not doing it. As a work around, you can put the following in any server script:&lt;/p&gt;
&lt;pre&gt;&lt;code&gt;/***
Dummy function for drive full permissions
****/
function dummyForDrivePermission(){
  var file = DriveApp.addFile();
}
&lt;/code&gt;&lt;/pre&gt;
&lt;p&gt;The above code, will force appmaker to recognize that it needs to upload files, although you will never invoke the function but it will server the purpose of granting the scope you need.&lt;/p&gt;
</t>
  </si>
  <si>
    <t xml:space="preserve">&lt;p&gt;Recently, google added the "Schedule send" function to gmail. Is there anyway to call this functionality using the API? I'm using &lt;/p&gt;
&lt;p&gt;GmailApp.sendEmail("eMail", "subject", "message");&lt;/p&gt;
&lt;p&gt;to send e-mail inside app maker scripts, however, in my use case, I need to send a mail and then schedule 2 other messages.
Do you guys know if this is currently possible? &lt;/p&gt;
&lt;p&gt;Thanks,&lt;/p&gt;
</t>
  </si>
  <si>
    <t xml:space="preserve">&lt;p&gt;I am trying to make a custom button for the lightning record page layout,but as Salesforce has stopped using the javascript button on the lightning components an alternative approach to use the visualforce buttons was needed. The current problem is to transfer the data received from my visualforce page controller back to the lightning component. I am thinking about using the $lightning.use function but I am not able to refer to the standard lightning record components provided by the salesforce and send the data back /&lt;/p&gt;
&lt;p&gt;Tried the lightning buttons
tried the visualforce page redirect and apexpages.message&lt;/p&gt;
</t>
  </si>
  <si>
    <t xml:space="preserve">&lt;p&gt;I'm using&lt;/p&gt;
&lt;p&gt;GmailApp.sendEmail&lt;/p&gt;
&lt;p&gt;However, I really need to use e-mail signature, for the account I'm using. According to this documentation &lt;a href="https://developers.google.com/gmail/api/guides/alias_and_signature_settings" rel="nofollow noreferrer"&gt;https://developers.google.com/gmail/api/guides/alias_and_signature_settings&lt;/a&gt; , "Each account always has at least one alias to represent the primary email address of the account." , so I should be able to use my signature using the main alias. But the method GmailApp.getAliases() return an empty array.&lt;/p&gt;
&lt;p&gt;Any workarounds to that?&lt;/p&gt;
</t>
  </si>
  <si>
    <t xml:space="preserve">&lt;p&gt;I'm going through this lesson for powerapps: &lt;a href="https://docs.microsoft.com/en-us/powerapps/maker/canvas-apps/add-form" rel="nofollow noreferrer"&gt;https://docs.microsoft.com/en-us/powerapps/maker/canvas-apps/add-form&lt;/a&gt; and when I reach the point where I put the code:&lt;/p&gt;
&lt;pre&gt;&lt;code&gt;First(Filter(FlooringEstimates, Name=ChooseProduct.Selected.Value))
&lt;/code&gt;&lt;/pre&gt;
&lt;p&gt;in the item field the code is not functioning, when I check the error it says "Invalid argument type" and there's a redline underneath "Value". I've double checked the previous steps but I'm not sure if I'm making a mistake or this lesson is outdated or what. &lt;/p&gt;
</t>
  </si>
  <si>
    <t xml:space="preserve">&lt;p&gt;Receiving below error when trying to click on a date on my fullcalendar. From what I've read, it seems the be an error when retrieving information from the core file.&lt;/p&gt;
&lt;p&gt;I've had the base requirements, such as having selectable = true. When I don't have this line of code, no error appears&lt;/p&gt;
&lt;p&gt;---NewAppointment.cmp&lt;/p&gt;
&lt;pre&gt;&lt;code&gt;&amp;lt;ltng:require scripts="{!join(',', 
                       $Resource.Fullcalendar + '/packages/core/main.js',
                       $Resource.Fullcalendar + '/packages/daygrid/main.js',
                       $Resource.Fullcalendar + '/packages/moment/main.js',
                       $Resource.Fullcalendar + '/packages/interaction/main.js',
                       $Resource.Fullcalendar + '/packages/timegrid/main.js')}"
             styles="{!join(',', 
                      $Resource.Fullcalendar + '/packages/core/main.css',
                      $Resource.Fullcalendar + '/packages/daygrid/main.css',
                      $Resource.Fullcalendar + '/packages/timegrid/main.css')}"
             afterScriptsLoaded="{!c.renderCalendar}"
      /&amp;gt;
&lt;/code&gt;&lt;/pre&gt;
&lt;p&gt;---NewAppointmentController.js&lt;/p&gt;
&lt;pre&gt;&lt;code&gt; renderCalendar : function(component, event, helper) {
    var events = component.get('v.eventList');
    var currCalendar = component.find('calendar').getElement();
    var newCalendar = new FullCalendar.Calendar(currCalendar,{
        plugins: ['dayGrid', 'moment', 'interaction', 'timeGrid'],
        eventSources: [component.get('v.eventList')],
        header: {
            left: 'prev,next today',
            center: 'title',
            right: 'dayGridMonth,timeGridWeek,timeGridDay'
        },
        dayClick: function(date, jsEvent, view, resource) {
            alert('clicked ' + date.format() + ' on resource ' + 
                  resource.id);
        },
        selectable: true,
        dateClick: function(info) {
            alert('clicked ' + info.dateStr);
        },
        select: function(info) {
           alert('selected ' + info.startStr + ' to ' + info.endStr);
        }
    });
    newCalendar.render();
}
&lt;/code&gt;&lt;/pre&gt;
&lt;p&gt;Expected result would be that I receive an alert of the date that gets selected. Instead, I receive the below error&lt;/p&gt;
&lt;pre&gt;&lt;code&gt;aura_prod.map.js:47164 Uncaught TypeError: Illegal invocation
throws at https://--/Fullcalendar/packages/core/main.js:126:30 TypeError: 
Illegal invocation
at elementClosest (main.js:126)
at SimpleDayGrid.DateComponent.isValidDateDownEl (main.js:4070)
at EmitterMixin.DateClicking._this.handlePointerDown (main.js:1128)
at applyAll (main.js:988)
at EmitterMixin.triggerWith (main.js:3523)
at EmitterMixin.trigger (main.js:3518)
at EmitterMixin.HitDragging.handlePointerDown (main.js:988)
at applyAll (main.js:988)
at EmitterMixin.triggerWith (main.js:3523)
at EmitterMixin.trigger (main.js:3518)
&lt;/code&gt;&lt;/pre&gt;
&lt;p&gt;(EDIT)&lt;/p&gt;
&lt;p&gt;I did some more testing, and found out I was wrong about not getting an error if I didn't have selectable=true. It might be an error on the instantiation of the calendar. &lt;/p&gt;
&lt;p&gt;I've provided a small image below to how the calendar looks right now. The buttons at the top work perfectly fine and is able to change the date of the calendar. The error only shows up when I press any of the date boxes.
&lt;a href="https://gyazo.com/4f7636b27a9c535f20f3fc8b1c5dbadd" rel="nofollow noreferrer"&gt;https://gyazo.com/4f7636b27a9c535f20f3fc8b1c5dbadd&lt;/a&gt;&lt;/p&gt;
&lt;p&gt;I've also noticed I receive two errors, they just happened in succession and are essentially the same error, except one was for dateClicking and the other was dateSelecting&lt;/p&gt;
&lt;p&gt;(EDIT)&lt;/p&gt;
&lt;p&gt;I've narrowed down the issue. The top buttons work fine, and if I click outside of the calendar I don't receive the error. The error only occurs when I click on any of the dates on the calendar, which then also prevents me from right clicking on the screen. I've narrowed it down that after I removed the &lt;strong&gt;interaction&lt;/strong&gt; plugin call from the JS file, I stopped receiving the error. The problem seems to revolve around this plugin.&lt;/p&gt;
</t>
  </si>
  <si>
    <t xml:space="preserve">&lt;p&gt;Is it possible to show suggestions when typing text for a textbox in Powerapps?&lt;/p&gt;
&lt;p&gt;We need user to be able to enter anything in a textbox, also new values, but should be guided to use a pre-existing value if applicable. We will probably have more than a thousand different values.&lt;/p&gt;
</t>
  </si>
  <si>
    <t xml:space="preserve">&lt;p&gt;When i am loading data from oracle database to Salesforce from informatica with SFDC Bulk API checked, then no data is getting inserted into salesforce. In Workflow Monitor it is showing the successful records but when i checked in Salesforce its not getting inserted.How to bulk load to Salesforce?&lt;/p&gt;
</t>
  </si>
  <si>
    <t xml:space="preserve">&lt;p&gt;I have get all records from zoho api via .net. When I call &lt;code&gt;module.getrecords();&lt;/code&gt; ZohoCRM returned last 200 records, but I need all.&lt;/p&gt;
&lt;pre&gt;&lt;code&gt;var response = module.GetRecords();
List&amp;lt;ZCRMRecord&amp;gt; records = response.BulkData;
&lt;/code&gt;&lt;/pre&gt;
</t>
  </si>
  <si>
    <t xml:space="preserve">&lt;p&gt;I have a lightning-card in lightning web component (LWC) and want to set the label attribute with two different variables. Although this can be done through the controller but I want to do this in html file itself.&lt;/p&gt;
&lt;p&gt;As in the code snippet, I am assigning {cardTitle} as a title, but I have another variable {totalCount} and want to concatenate the totalCount along with the cardTitle here. So lightning-card should have title like "{cardTitle}{totalCount}".&lt;/p&gt;
&lt;pre&gt;&lt;code&gt;&amp;lt;lightning-card title={cardTitle}&amp;gt;&amp;lt;/lightning-card&amp;gt;
//In Controler js
@track cardTitle = 'Student details';
@track totalCount = 0; //This will be set by the apex controller later and will have dynamic number
&lt;/code&gt;&lt;/pre&gt;
&lt;p&gt;When I try below code&lt;/p&gt;
&lt;pre&gt;&lt;code&gt;&amp;lt;lightning-card title={cardTitle}{totalCount}&amp;gt;&amp;lt;/lightning-card&amp;gt;
&lt;/code&gt;&lt;/pre&gt;
&lt;p&gt;It shows error as &lt;/p&gt;
&lt;blockquote&gt;
  &lt;p&gt;multiple expressions found&lt;/p&gt;
&lt;/blockquote&gt;
&lt;p&gt;.&lt;/p&gt;
</t>
  </si>
  <si>
    <t xml:space="preserve">&lt;p&gt;I have created a lightning-datatable in LWC and added a custom column that displays a URL. Now, I would like to add &lt;code&gt;onclick&lt;/code&gt; event in the URL field and want to pass row information to the javascript method.&lt;/p&gt;
&lt;p&gt;The idea is to render the component markup that will display all the information about the item that was clicked (within the same LWC).&lt;/p&gt;
&lt;p&gt;Can anyone please help me on this; how I can add an onclick event in URL and handle the click event with a function in LWC datatable?&lt;/p&gt;
&lt;p&gt;&lt;strong&gt;test.html&lt;/strong&gt;&lt;/p&gt;
&lt;pre&gt;&lt;code&gt;&amp;lt;div class="" style="height:420px"&amp;gt;
    &amp;lt;lightning-datatable key-field="Id" 
        data={lstAllRows} 
        columns={columns}
        onrowaction={handleRowAction} 
        enable-infinite-loading
        load-more-offset={intLoadOffset}
        onloadmore={handleLoadMoreData}
        hide-checkbox-column&amp;gt;
    &amp;lt;/lightning-datatable&amp;gt;
&amp;lt;/div&amp;gt;
&lt;/code&gt;&lt;/pre&gt;
&lt;p&gt;&lt;strong&gt;test.js&lt;/strong&gt;&lt;/p&gt;
&lt;pre&gt;&lt;code&gt;getRequiredList(){
    getTabelData({
        strName: this.strName
        }).then(response =&amp;gt;{
            this.lstTmp = response.lstExistingData;
            this.lstTmp.forEach(function(record){
                record.linkName = '/lightning/r/'+record.Id+'/view'; 
            });
            this.lstAllRows = this.lstTmp;
        }).catch(error =&amp;gt;{
                this.strRecordErrorMessage = error.body.message;
                console.log('Error in getting the accounts', this.strRecordErrorMessage);
            })
}       
this.columns = [
{ label: this.label.columnName, fieldName: 'linkName', type: 'url', 
    typeAttributes: {label: { fieldName: 'Name' }, target: '' },
    cellAttributes: { } 
}]
&lt;/code&gt;&lt;/pre&gt;
&lt;p&gt;Where I am adding url:&lt;/p&gt;
&lt;pre&gt;&lt;code&gt;record.linkName = '/lightning/r/'+record.Id+'/view';
&lt;/code&gt;&lt;/pre&gt;
&lt;p&gt;I would like to add an &lt;code&gt;onclick&lt;/code&gt; event here and stop the URL redirect behaviour. Any click on the URL should not redirect user to the new page; instead of that, a piece of markup should render the record details on the same LWC.&lt;/p&gt;
</t>
  </si>
  <si>
    <t xml:space="preserve">&lt;p&gt;I have tried appending the ID of the custom setting record in the URL however it is not working. I need to redirect to the custom setting record using the Id of the record I am fetching from apex controller of the lightning component.&lt;/p&gt;
</t>
  </si>
  <si>
    <t xml:space="preserve">&lt;p&gt;I have a Siri Shortcut setup to POST a file to an HTTP request through Microsoft Flow. From there, Flow takes the file then copies it to OneDrive and Google Drive. The issue is that Google Drive shows an empty page (PDF file) while OneDrive shows the PDF file properly. &lt;/p&gt;
&lt;p&gt;How do I get Google Drive to get a properly formatted PDF? I did try taking the file content from the new OneDrive file (that worked) and placing it into a new Google Drive file (Flow action), but that wasn’t successful either.&lt;/p&gt;
&lt;p&gt;The body schema of the Shortcut is:&lt;/p&gt;
&lt;pre&gt;&lt;code&gt;{ 
  "type": "object",
   "properties": {
"$content-type": {
  "type": "string"
},
"$content": {
  "type": "string"
}
}
&lt;/code&gt;&lt;/pre&gt;
&lt;p&gt;The header schema of the Shortcut is:&lt;/p&gt;
&lt;pre&gt;&lt;code&gt; {
  "type": "object",
  "properties": {
"filename": {
  "type": "string"
}
 }
}
&lt;/code&gt;&lt;/pre&gt;
&lt;p&gt;For screen shots of the setup, use the link below:
&lt;a href="https://drive.google.com/drive/folders/1xjRH0jypoBFMRFEzyKxMOsF1-PvBCij1?usp=sharing" rel="nofollow noreferrer"&gt;https://drive.google.com/drive/folders/1xjRH0jypoBFMRFEzyKxMOsF1-PvBCij1?usp=sharing&lt;/a&gt;&lt;/p&gt;
</t>
  </si>
  <si>
    <t xml:space="preserve">&lt;p&gt;I am working with lightning web component and apex class. This is new for me. &lt;/p&gt;
&lt;p&gt;I am trying to get the content of a &lt;a href="https://developer.mozilla.org/en-US/docs/Web/JavaScript/Reference/Global_Objects/Proxy" rel="nofollow noreferrer"&gt;Proxy object&lt;/a&gt; generated by an Apex class.&lt;/p&gt;
&lt;p&gt;But when I console log it I have a result like this :&lt;/p&gt;
&lt;pre&gt;&lt;code&gt;Proxy { &amp;lt;target&amp;gt;: {}, &amp;lt;handler&amp;gt;: {…} }
&lt;/code&gt;&lt;/pre&gt;
&lt;p&gt;This is my LWC component :&lt;/p&gt;
&lt;pre class="lang-js prettyprint-override"&gt;&lt;code&gt;import { LightningElement, track, wire } from "lwc";
import getAllActiveAccounts from "@salesforce/apex/AccountsController.getAllActiveAccounts";
export default class HelloWorld extends LightningElement {
  @wire(getAllActiveAccounts) accounts;
  @track foo;
  click() {
    console.log("Show Proxy object accounts ", this.accounts); // Show Proxy object
    console.log("Foo", this.accounts.name); // Show `undefined`
  }
}
&lt;/code&gt;&lt;/pre&gt;
&lt;p&gt;Apex class :&lt;/p&gt;
&lt;pre class="lang-js prettyprint-override"&gt;&lt;code&gt;public with sharing class AccountsController {
  @AuraEnabled(cacheable = true)
  public static List &amp;lt; Account &amp;gt; getAllActiveAccounts() {
    return [SELECT Id, Name FROM Account LIMIT 10];
  }
}
&lt;/code&gt;&lt;/pre&gt;
&lt;p&gt;The Html template is a button that show the &lt;code&gt;console.log&lt;/code&gt; on click. &lt;/p&gt;
&lt;p&gt;I want to know if it's possible to show the names provided by the apex class ? Or a way to show the Proxy object content or the availabel keys.&lt;/p&gt;
</t>
  </si>
  <si>
    <t xml:space="preserve">&lt;p&gt;To get the available keys, you can use &lt;code&gt;Object.key&lt;/code&gt; &amp;amp; &lt;code&gt;.data&lt;/code&gt; on the Proxy object.&lt;/p&gt;
&lt;p&gt;In your case, you can get the keys with this way :&lt;/p&gt;
&lt;pre&gt;&lt;code&gt;console.log(Object.keys(this.accounts.data[0]));
&lt;/code&gt;&lt;/pre&gt;
</t>
  </si>
  <si>
    <t xml:space="preserve">&lt;p&gt;I'm new to PowerApps - I'm attempting to build an app that s that filters on the logged-in user and also allows the user to search within his/her assigned facilities.  &lt;/p&gt;
&lt;p&gt;If I use this CM_Email=vCurrentUser.Email then I get my assigned facilites but I'm stuck on adding the other criteria&lt;/p&gt;
&lt;pre&gt;&lt;code&gt;(CM_Email=vCurrentUser.Email) &amp;amp;&amp;amp;
StartsWith(SCID, TextSearchBox_2.Text) 
|| StartsWith(CITY, TextSearchBox_2.Text)
|| StartsWith(STORE_NAME, TextSearchBox_2.Text)
)
&lt;/code&gt;&lt;/pre&gt;
&lt;p&gt;If I have 20 facilities assigned to me and I want the ability to search for the facility in XYZ city or if I know the SCID and can search for it or I can search for the Store_name&lt;/p&gt;
</t>
  </si>
  <si>
    <t xml:space="preserve">&lt;p&gt;I think I'm missing a core concept in how to filter and display App Maker data.&lt;/p&gt;
&lt;h2&gt;Goal&lt;/h2&gt;
&lt;p&gt;1) I'd like to maintain two manual-mode data models.&lt;/p&gt;
&lt;pre&gt;&lt;code&gt;Persons:
  PrimaryEmail
  personName
Vehicles:
  PrimaryEmail
  vehicleColor
&lt;/code&gt;&lt;/pre&gt;
&lt;p&gt;2) I'd like to display two tables &lt;strong&gt;side by side&lt;/strong&gt; on the same page.&lt;/p&gt;
&lt;p&gt;Showing &lt;em&gt;all the vehicles&lt;/em&gt; in one table and &lt;em&gt;only the user's vehicles&lt;/em&gt; in the second table. &lt;em&gt;PrimaryEmail&lt;/em&gt; is the key they share.&lt;/p&gt;
&lt;hr&gt;
&lt;h2&gt;What I've Tried&lt;/h2&gt;
&lt;p&gt;&lt;strong&gt;Server Script&lt;/strong&gt;&lt;/p&gt;
&lt;p&gt;This query script for a third datasource, &lt;code&gt;UserVehicles&lt;/code&gt;, returns the records I want to display in the second table.&lt;/p&gt;
&lt;pre&gt;&lt;code&gt;function getUserVehicleData() {
  var uE = Session.getActiveUser().getEmail();
  var q = app.models.Vehicle.newQuery();
  q.filters.PrimaryEmail._equals = uE;
  var d = q.run();
  return d;
}
&lt;/code&gt;&lt;/pre&gt;
&lt;p&gt;But, I found it necessary for the client to frequently call &lt;code&gt;app.datasources.UserVehicle.load();&lt;/code&gt; but even still the second table would not show the updated/added record from (table one uses the &lt;code&gt;Vehicle&lt;/code&gt; datasource, table two is using &lt;code&gt;UserVehicles&lt;/code&gt;). I &lt;em&gt;think&lt;/em&gt; I need to also work inside the load() callback, but I do not see how to tell the second table there is refreshed data in &lt;code&gt;UserVehicles&lt;/code&gt;.&lt;/p&gt;
&lt;p&gt;&lt;strong&gt;Client Calculated&lt;/strong&gt;&lt;/p&gt;
&lt;p&gt;This option &lt;em&gt;sounds&lt;/em&gt; right. I'd like the client to query the server for the records where the Vehicle's &lt;code&gt;PrimaryEmail&lt;/code&gt; matches the current user.&lt;/p&gt;
&lt;p&gt;I do not see how records from the server are filtered on the client. Unlike the server script API, &lt;code&gt;var data = app.models.Vehicle.newQuery();&lt;/code&gt; is not valid client script. So, one does not &lt;em&gt;load&lt;/em&gt; data into variables in which to loop/filter/create new records in the client calculated script? &lt;/p&gt;
&lt;p&gt;&lt;strong&gt;Relations&lt;/strong&gt;&lt;/p&gt;
&lt;p&gt;I replicated a tutorial and created a ONE to MANY relations between People and Vehicles. This introduced errors around deprecated foreign keys. Also, I couldn't reason how to use this relation to the filter for the current user. (I'm not 100% grasping the UI).&lt;/p&gt;
&lt;h2&gt;Question&lt;/h2&gt;
&lt;p&gt;I want to understand how to display updated and filtered data and how that data should be filtered (server, client calculated, relations). I must be missing something, this must be simple to do.&lt;/p&gt;
</t>
  </si>
  <si>
    <t xml:space="preserve">&lt;h2&gt;Solved&lt;/h2&gt;
&lt;p&gt;I used a server script to solve this.&lt;/p&gt;
&lt;pre&gt;&lt;code&gt;function getUserVehicleData() {
  var uE = Session.getActiveUser().getEmail();
  var q = app.models.Vehicle.newQuery();
  q.filters.PrimaryEmail._equals = uE;
  var d = q.run();
  return d;
}
&lt;/code&gt;&lt;/pre&gt;
&lt;p&gt;The piece I was missing was this bit of Client Script.&lt;/p&gt;
&lt;pre&gt;&lt;code&gt;app.pages.UserVehicles.createChildren();
&lt;/code&gt;&lt;/pre&gt;
&lt;p&gt;Without it, the UI would not refresh the list to use the updated data from the datasource.&lt;/p&gt;
&lt;p&gt;Thanks Markus!&lt;/p&gt;
</t>
  </si>
  <si>
    <t xml:space="preserve">&lt;p&gt;So, essentially I have a Sharepoint list full of different items, what I want to do is provide a PowerApps plug-in with like and support buttons. When a user then hits the like button against a selected list item I want to check if they have already liked that item, if they have, do nothing, if they haven't then I want the like button to add 1 to it's current count. To make things a bit more complicated I don't want the users to actually have editable access to this SharePoint list (It would be ideal if I could just give them editable access to the likes column but SharePoint seems to only allow/deny editable access at the list level?). I am relatively new to PowerApps and as such any help anyone can provide would be greatly appreciated!&lt;/p&gt;
&lt;p&gt;Cheers,&lt;/p&gt;
&lt;p&gt;Owen&lt;/p&gt;
&lt;p&gt;I have had a look on StackOverflow for a while now and have tried a few different solutions for like buttons but I haven't been able to find one related to SharePoint lists meeting the same checking requirements above.&lt;/p&gt;
</t>
  </si>
  <si>
    <t xml:space="preserve">&lt;p&gt;I am creating a Python script for downloading a report from Salesforce as a CSV. &lt;/p&gt;
&lt;p&gt;My script is working perfectly fine for Salesforce Classic. However, I need to get it working for Lightning Experience. I'm using the simple-salesforce Python package to access our org. For SF Classic I enter a link that is structured like this: &lt;a href="https://my-company.my.salesforce.com/my_report_id?view=d&amp;amp;snip&amp;amp;export=1&amp;amp;enc=UTF-8&amp;amp;xf=csv" rel="nofollow noreferrer"&gt;https://my-company.my.salesforce.com/my_report_id?view=d&amp;amp;snip&amp;amp;export=1&amp;amp;enc=UTF-8&amp;amp;xf=csv&lt;/a&gt;&lt;/p&gt;
&lt;p&gt;The script is basically like this: &lt;/p&gt;
&lt;pre class="lang-py prettyprint-override"&gt;&lt;code&gt;from simple-salesforce import Salesforce
import requests
import pandas as pd
import csv
from io import StringIO
sf = Salesforce(username="my_username", password="my_password",
                security_token="my_token")
sf_org = "https://my_company.my.salesforce.com/"
report_id = "0000" # Some report id
sf_report_loc = "{0}{1}?view=d&amp;amp;snip&amp;amp;export=1&amp;amp;enc=UTF-8&amp;amp;xf=csv".format(sf_org, report_id)
response = requests.get(sf_report_loc, headers=sf.headers, cookies={"sid": sf.session_id})
new_report = response.content.decode("utf-8")
df = pd.read_csv(StringIO(new_report)) # Save the report to a DataFrame.
&lt;/code&gt;&lt;/pre&gt;
&lt;p&gt;Whenever I switch to Lightning, the link is invalid and I get redirected. Is there a way to make this work in Lightning?&lt;/p&gt;
</t>
  </si>
  <si>
    <t xml:space="preserve">&lt;p&gt;Try with &lt;code&gt;isdtp&lt;/code&gt; parameter. In classic it was used to force view pages without sidebar or header, for example add &lt;code&gt;isdtp=vw&lt;/code&gt; to a random page and see what happens.&lt;/p&gt;
&lt;p&gt;&lt;code&gt;https://my_company.my.salesforce.com/00O.....?isdtp=p1&amp;amp;export=1&amp;amp;enc=UTF-8&amp;amp;xf=csv&lt;/code&gt; ?&lt;/p&gt;
&lt;p&gt;(no idea what's 'p1' but that's what I see in Chrome's download history as part of the report's source URL)&lt;/p&gt;
</t>
  </si>
  <si>
    <t xml:space="preserve">&lt;h2&gt;The Setup&lt;/h2&gt;
&lt;p&gt;I have a project table displaying values from a Calculated SQL data model. The table has edit buttons for each row that when clicked open a page fragment for editing the relevant project.&lt;/p&gt;
&lt;p&gt;Because the display table is showing values from a Calculated SQL model, the edit button runs this query to load the underlying project record from the Cloud SQL source model.&lt;/p&gt;
&lt;p&gt;&lt;div class="snippet" data-lang="js" data-hide="false" data-console="true" data-babel="false"&gt;
&lt;div class="snippet-code"&gt;
&lt;pre class="snippet-code-js lang-js prettyprint-override"&gt;&lt;code&gt;// onClick edit button event handler
var calcTableIds = widget.datasource.item.projectsTableId; // Calculated SQL model
var projectsTableIds = app.datasources.projects; // Cloud SQL model
projectsTableIds.query.filters.Id._equals = calcTableIds;
projectsTableIds.load();
app.showDialog(app.pageFragments.ProjectEdit);&lt;/code&gt;&lt;/pre&gt;
&lt;/div&gt;
&lt;/div&gt;
&lt;/p&gt;
&lt;h2&gt;The Problem&lt;/h2&gt;
&lt;p&gt;The issue I'm having is that after a project record has been edited, subsequent functions I attempt to run that reference the Cloud SQL model only display results for the last edited project record.&lt;/p&gt;
&lt;p&gt;I believe I need to run a script upon closing the project edit window that will reverse the query filter but I haven't been able to figure out a solution on my own.&lt;/p&gt;
&lt;p&gt;FYI, the script I'm attempting to run after editing a project is the AMU Export function which should export all records from my Cloud SQL model to a spreadsheet but instead only exports the last edited record.&lt;/p&gt;
</t>
  </si>
  <si>
    <t xml:space="preserve">&lt;p&gt;As per the official &lt;a href="https://developers.google.com/appmaker/scripting/api/client#Query" rel="nofollow noreferrer"&gt;documentation&lt;/a&gt;, you need to use the method &lt;strong&gt;clearFilters()&lt;/strong&gt;. So when closing the fragment simply do:&lt;/p&gt;
&lt;pre&gt;&lt;code&gt;app.datasources.THEDATASOURCE.query.clearFilters();
app.datasources.THEDATASOURCE.load();
&lt;/code&gt;&lt;/pre&gt;
</t>
  </si>
  <si>
    <t xml:space="preserve">&lt;p&gt;I'm new to PowerApps - I'm attempting to count and display the number of visits made by the manager to each of his/her stores.
I've created a screen that displays a filtered list of stores assigned to the user (manager). I want to display a value of the total visits the user has made to each store. and the date of his/her last visit.  Both datasources are Sharepoint list. with all info about each visit held in a list called Store_Visit. I tried the following code but I get an error stating the '=' is an invalid argument type. Any suggestions on how to accomplish this?&lt;/p&gt;
&lt;pre&gt;&lt;code&gt;CountIf(
    Store_Visit.Store_SCID,
    (Store_Visit.Store_Name = ThisItem.STORE_NAME) &amp;amp;&amp;amp;
        (Store_Visit.ChannelManagerName = vCurrentUser.FullName))
&lt;/code&gt;&lt;/pre&gt;
&lt;p&gt;I expect to see 
Storename1
Total visits = 5&lt;/p&gt;
&lt;p&gt;Storename2
Total visits = 3&lt;/p&gt;
&lt;p&gt;StoreName3
Total visits = 2&lt;/p&gt;
&lt;p&gt;etc&lt;/p&gt;
</t>
  </si>
  <si>
    <t xml:space="preserve">&lt;p&gt;Now I create Google app maker and then I create 2 table by google cloud sql.&lt;/p&gt;
&lt;ul&gt;
&lt;li&gt;Data 1. Information table have id(Primary Key), E_ID, JoinDate&lt;/li&gt;
&lt;li&gt;Data 2. Position table have E_ID, positionName&lt;/li&gt;
&lt;/ul&gt;
&lt;p&gt;I want to link table 1 and table 2 by E_ID. How can I connect relation for 2 table and display in one page.&lt;/p&gt;
&lt;p&gt;&lt;a href="https://i.stack.imgur.com/WKbdm.png" rel="nofollow noreferrer"&gt;&lt;img src="https://i.stack.imgur.com/WKbdm.png" alt="enter image description here"&gt;&lt;/a&gt;&lt;/p&gt;
&lt;p&gt;&lt;a href="https://i.stack.imgur.com/0a5i6.png" rel="nofollow noreferrer"&gt;&lt;img src="https://i.stack.imgur.com/0a5i6.png" alt="enter image description here"&gt;&lt;/a&gt;
This is a sample template. E_ID,Join_Date from information data and PositionId from position data.&lt;/p&gt;
&lt;p&gt;Could you suggest me to config this and thank you for your solution.&lt;/p&gt;
</t>
  </si>
  <si>
    <t xml:space="preserve">&lt;p&gt;having trouble figuring out what im doing wrong here. attempting to get an access token via SF's API in a selenium test (java), and keep getting the same error. made the exact same call in cypress (javascript) and it worked perfectly fine, however, i can't go that route for other reasons (SF hates UI tests). i think it might have something to do with the fact that it has to be form data, and java is just being weird about it? idk, pls help, im scared.&lt;/p&gt;
&lt;p&gt;already tried setting the request body as one long string instead of adding everything into a &lt;code&gt;JSONObject&lt;/code&gt;, but that still didn't work&lt;/p&gt;
&lt;pre&gt;&lt;code&gt;        URL obj = new URL("https://login.salesforce.com/services/oauth2/token");
        HttpsURLConnection con = (HttpsURLConnection) obj.openConnection();
        con.setDoOutput(true);
        con.setDoInput(true);
        con.setRequestMethod("POST");
        con.setRequestProperty("Content-Type", "application/x-www-form-urlencoded");
        JSONObject body = new JSONObject();
        body.put("grant_type", "password");
        body.put("client_id", "***");
        body.put("client_secret", "***");
        body.put("username", "tyler+prod@pactsafe.com");
        body.put("password", "***");
//        String jsonInputString = "{ grant_type: 'password', client_id: '***', client_secret: '***', password: '***', username: 'tyler+prod@pactsafe.com'";
        System.out.println(body.toString());
        OutputStreamWriter wr = new OutputStreamWriter(con.getOutputStream());
        wr.write(body.toString());
        wr.flush();
        int httpResult = con.getResponseCode();
        InputStream inputStream;
        if (200 &amp;lt;= httpResult &amp;amp;&amp;amp; httpResult &amp;lt;= 299) {
            inputStream = con.getInputStream();
        } else {
            inputStream = con.getErrorStream();
        }
        BufferedReader in = new BufferedReader(
                new InputStreamReader(inputStream));
        StringBuilder response = new StringBuilder();
        String currentLine;
        while ((currentLine = in.readLine()) != null)
            response.append(currentLine);
        in.close();
        System.out.println(response.toString());
        System.out.println(httpResult);
        driver.get("https://na85.lightning.force.com/lightning/setup/SetupOneHome/home");
&lt;/code&gt;&lt;/pre&gt;
&lt;p&gt;and i get this:&lt;/p&gt;
&lt;pre&gt;&lt;code&gt;{"password":"***","grant_type":"password","client_secret":"***","client_id":"***","username":"tyler+prod@pactsafe.com"}
{"error":"unsupported_grant_type","error_description":"grant type not supported"}
400
&lt;/code&gt;&lt;/pre&gt;
</t>
  </si>
  <si>
    <t xml:space="preserve">&lt;p&gt;We got contact extract from production and there is a field of data type rich text area which is been used to store contact image. Data loading team uploaded the data to sandbox and we were able to display the images in our lightning component but image do not displayed on community when investigate we found out image source is pointing to production i.e. (img src="https://production.salesforce.com/servlet/servlet.ImageServer?id=01541000002yi92AAA&amp;amp;oid=00D41000000XUZ3") instead of sandbox.
When we tried to upload the image manually the image src displays as 
(img src="/sfsites/c/servlet/rtaImage?eid=0035400000HkFAR&amp;amp;feoid=00N4100000eTIwO&amp;amp;refid=0EM5400000050K5")&lt;/p&gt;
&lt;p&gt;Can anyone explain me &lt;/p&gt;
&lt;ol&gt;
&lt;li&gt;&lt;p&gt;how image of production url is getting displayed in lightning component and on contact detail record but not on community?&lt;/p&gt;&lt;/li&gt;
&lt;li&gt;&lt;p&gt;How can we resolve this issue ?&lt;/p&gt;&lt;/li&gt;
&lt;/ol&gt;
&lt;p&gt;I tried to search for solution but no luck. I appreciate your help.&lt;/p&gt;
&lt;p&gt;Thank you in advance.&lt;/p&gt;
</t>
  </si>
  <si>
    <t xml:space="preserve">&lt;p&gt;I have a sharepoint list with a Store id called SCID and a date field with the visit date.&lt;/p&gt;
&lt;p&gt;I want to create a 2 column collection with the SCID and the last vist date for the SCID.&lt;/p&gt;
&lt;p&gt;I copied the following code from another response with a similar task.
I just replaced fields with my info. PowerApps states invalid arguments received 2 expected 3 or more &lt;/p&gt;
&lt;pre&gt;&lt;code&gt;ClearCollect(colLastVisit, 
    AddColumns(
        GroupBy(Store_Visit,Store_Visit.Store_SCID),
     "LastVisitDate", Max(Visit_Date))
    )
)
&lt;/code&gt;&lt;/pre&gt;
&lt;p&gt;What am I doing wrong?&lt;/p&gt;
</t>
  </si>
  <si>
    <t xml:space="preserve">&lt;p&gt;I am using table in app-maker project which will add new rows with 2 drop down lists(Drop down1, Drop down2) on a button click.&lt;/p&gt;
&lt;p&gt;Drop down2 options will be set on change of Drop down1 value.&lt;/p&gt;
&lt;p&gt;When I add a new row, on change of drop down1 it is picking up the correct options for drop down2 and listing it correctly. And then saving the whole configuration.&lt;/p&gt;
&lt;p&gt;But the problem is when I go back to list and click the edit, it iterates the tables rows correctly and shows the correct selected value in drop down1. But all drop down 2 options are set to very last rows drop down2 options by default.&lt;/p&gt;
&lt;p&gt;I think it iterates a table row asynchronously and it is attaching very last option values to all drop down2. &lt;/p&gt;
&lt;p&gt;Please help me to solve this issue.&lt;/p&gt;
&lt;p&gt;&lt;strong&gt;ROUTE LIST OF ROUTES&lt;/strong&gt;
&lt;img src="https://5f5ec863-a-93db75a7-s-sites.googlegroups.com/a/jivrus.com/images/route%20list.png" alt="Route List" title="Route List"&gt;&lt;/p&gt;
&lt;p&gt;&lt;strong&gt;ROUTE EDIT AND ADDING SEQUENCE POINTS TO SELECTED ROUTE&lt;/strong&gt;
&lt;img src="https://5f5ec863-a-93db75a7-s-sites.googlegroups.com/a/jivrus.com/images/route%20edit.png" alt="Route Edit" title="Route Edit and Adding sequence"&gt;&lt;/p&gt;
&lt;p&gt;I have set onVlaueChange method for drop down1 but it is not working correctly.&lt;/p&gt;
&lt;pre&gt;&lt;code&gt;widget.datasource.saveChanges(function() {
  //reference to datasource 
  var datasource = app.datasources.LoadingUnloadingPointDB;
  //filtering the data based on drop down1 value
  datasource.query.filters.locationId._equals = 
  widget.datasource.item.LocationId;
  //load the filter data
  datasource.load(function(){
    var options = datasource.items.map(function(e){ return e.Id;});
    var names = datasource.items.map(function(e){ return e.Name;});
    //assigning values to drop down2
    widget.parent.descendants.dd_point.names = names;
    widget.parent.descendants.dd_point.options = options;
  });
});
&lt;/code&gt;&lt;/pre&gt;
&lt;p&gt;&lt;strong&gt;Result:&lt;/strong&gt;&lt;/p&gt;
&lt;p&gt;Saves correctly but on load the page it changes to following&lt;/p&gt;
&lt;p&gt;Location(drop down1) Points(drop down2 options)&lt;/p&gt;
&lt;p&gt;1  abc ------------------ [a1,b1,c1]&lt;/p&gt;
&lt;p&gt;2  xyz ------------------ [a1,b1,c1]&lt;/p&gt;
&lt;p&gt;3  mnp ------------------ [a1,b1,c1]&lt;/p&gt;
&lt;p&gt;&lt;strong&gt;Expected result :&lt;/strong&gt; &lt;/p&gt;
&lt;p&gt;Location(drop down1)        Points(drop down2 options)&lt;/p&gt;
&lt;p&gt;1  abc ------------------ [t1,t2,t3,t4]&lt;/p&gt;
&lt;p&gt;2  xyz ------------------ [p1,p2,p3]&lt;/p&gt;
&lt;p&gt;3  mnp ------------------ [a1,b1,c1]&lt;/p&gt;
</t>
  </si>
  <si>
    <t xml:space="preserve">&lt;p&gt;I have a powerapps as test. Right now i have connected my sql server to it and 2 tables called custtable and dirpartytable.&lt;/p&gt;
&lt;p&gt;in custtable there is a column called party and in the dirpartytable there is a column called recid.&lt;/p&gt;
&lt;p&gt;How can I make an dropdown menu that has the relation of the party column with the recid column&lt;/p&gt;
</t>
  </si>
  <si>
    <t xml:space="preserve">&lt;p&gt;I'm creating a document merge (mail merge) from Google App Maker to a Google Document template. I can do so successfully when merging one single record, but how do you merge several records into the one document?&lt;/p&gt;
&lt;p&gt;I have an &lt;code&gt;purchase_orders&lt;/code&gt; parent record which has several &lt;code&gt;purchase_order_line_items&lt;/code&gt; child records but I can't seem to get all of these records into a single document merge.&lt;/p&gt;
&lt;p&gt;A similar question (&lt;a href="https://stackoverflow.com/questions/49146043/document-merge-with-google-app-maker"&gt;Document Merge with Google App Maker&lt;/a&gt;) was asked by by Johan W with a comprehensive answer by Markus Malessa and Pavel Shkleinik (thank you!). However, it only caters for cases when you are merging one single record.&lt;/p&gt;
&lt;p&gt;I have tried to build on their answer by using a second &lt;code&gt;for&lt;/code&gt; loop to get the data of all associated child records. The script runs but only seems to merge the first child record; not all of them.&lt;/p&gt;
&lt;p&gt;&lt;em&gt;Here is an example of the server-side code I've tried to use:&lt;/em&gt;&lt;/p&gt;
&lt;pre&gt;&lt;code&gt;function Export(key, key2) {
// Get the parent record by its key, which was passed by the first parameter above
var record = app.models.Purchase_Orders.getRecord(key);
// Get the first child record by its key, which was passed by the second parameter above
var childRecord = app.models.Purchase_Order_Line_Items.getRecord(key2);
// Get the Google Document which will be used as a template for this merge
var templateId = '1Xbt8camqHJYrhBnx0a6G2-RvTvybqU0PclHifcdiLLA';
//Set the filename of the new merge document to be created
var filename = 'Document for Customer ' + new Date();
//Make a copy of the template to use as the merge document
var copyFile = DriveApp.getFileById(templateId).makeCopy(filename);
//Get the Google Docs ID of the newly created merge document
var copyDoc = DocumentApp.openById(copyFile.getId());
var copyBody = copyDoc.getBody();
// Replace the field names in the template with the field data from the parent record
var fields = app.metadata.models.Purchase_Orders.fields;
for (var i in fields) {
  console.log(i);
var text = '&amp;lt;&amp;lt;' + fields[i].name + '&amp;gt;&amp;gt;';
var data = record[fields[i].name];
if (data !== null) {
    copyBody.replaceText(text, data);
    } else {
    // do nothing
    }
  }
// Replace the field names in the template with the field data from the child records
childFields = app.metadata.models.Purchase_Order_Line_Items.fields;
for (i in childFields) {
  console.log(i);
var childtext = '&amp;lt;&amp;lt;' + childFields[i].name + '&amp;gt;&amp;gt;';
var childdata = childRecord[childFields[i].name];
if (childdata !== null) {
    copyBody.replaceText(childtext, childdata);
    } else {
    // do nothing
    }
  }  
}
&lt;/code&gt;&lt;/pre&gt;
&lt;p&gt;How can I improve my code so that all associated child records are merged into a single document?&lt;/p&gt;
&lt;p&gt;How can I set up my Google Document template to cater for any number of child records?&lt;/p&gt;
&lt;p&gt;&lt;a href="https://i.stack.imgur.com/KzvgC.png" rel="nofollow noreferrer"&gt;&lt;img src="https://i.stack.imgur.com/KzvgC.png" alt="Screenshot of template"&gt;&lt;/a&gt;&lt;/p&gt;
</t>
  </si>
  <si>
    <t xml:space="preserve">&lt;p&gt;I had a working App Maker application which uses the Directory API and the default Cloud SQL instance that gets created for the App Maker.&lt;/p&gt;
&lt;p&gt;Before it was working fine and I was able to retrieve data from the Admin Console and insert them into the Cloud SQL database. Now it stopped working and when I check logs, I see the following:&lt;/p&gt;
&lt;blockquote&gt;
  &lt;p&gt;Exception: Authorization Failed. More information: Unable to fetch
  tokens for CloudSql connection:&lt;/p&gt;
&lt;/blockquote&gt;
&lt;p&gt;&lt;a href="https://i.stack.imgur.com/YmSxL.png" rel="nofollow noreferrer"&gt;&lt;img src="https://i.stack.imgur.com/YmSxL.png" alt="enter image description here"&gt;&lt;/a&gt;&lt;/p&gt;
&lt;p&gt;I have not got any changes to the code and I did not modify anything. I only created a new deployment and I did change the product name in the OAuth Consent screen in the app's project properties to make it more use friendly...&lt;/p&gt;
&lt;p&gt;I don't know what parts of the code to share since I did not change/type any new code and nothing in the error above points to anything specific about any part in the code...&lt;/p&gt;
&lt;p&gt;Thanks a lot for any feedback and help on this!&lt;/p&gt;
</t>
  </si>
  <si>
    <t xml:space="preserve">&lt;p&gt;I have this Data structure as this (with o/m = one to many relation):&lt;br&gt;
Sites-o/m-Areas-o/m-Chapters-o/m-Sections-o/m-Topics and 5 other Data models Actions, Tools, Contacts... with a m/m relation to each 5 first models.
1 Site can have many Actions so as Areas...&lt;br&gt;
Not sure if doable by Data binding, client or server script!
I wrote this server script solution but not sure if it's optimal as it's already slow with 2 levels!&lt;/p&gt;
&lt;pre&gt;&lt;code&gt;function calculActions(kt) {
  var kn = app.models.Sites.getRecord(kt.toString());
  var knac = kn.Actions;
  kn.Areas.forEach(function(item){
    var knarac = item.Actions;
    if (knarac.length&amp;gt;0){
      knarac.forEach(function(ac){
        knac.push(ac);
      });
    }
    var knarch = item.Chapters;
    knarch.forEach(function(item){
      var knarchac = item.Actions;
      if (knarchac.length&amp;gt;0){
        knarchac.forEach(function(ac){
          knac.push(ac);
        });
      }
    });
  });
  return knac;
}
&lt;/code&gt;&lt;/pre&gt;
&lt;p&gt;The goal is to displayed a tab for each asset (Actions, Tools, Notes...) associated to a same Site.
I'm sure there's a clean and efficient version of my draft!&lt;br&gt;
Thx in advance for any help, I need to sleep :-)&lt;/p&gt;
</t>
  </si>
  <si>
    <t xml:space="preserve">&lt;p&gt;I'm trying to read a file in an async way on aura helper, but recursion is not happening, is just executed once. The code is pretty simple and tried a lot of approaches but no one work. &lt;/p&gt;
&lt;p&gt;I try with the return keyword on the onload function, also with the keyword self but looks like aura does not find the function &lt;code&gt;this.uploadPromise&lt;/code&gt; to be invoked again.&lt;/p&gt;
&lt;p&gt;Controller&lt;/p&gt;
&lt;pre class="lang-js prettyprint-override"&gt;&lt;code&gt;handleFilesChange:function (component, event, helper) {
    var fileSize = component.get("v.FileList")[0].size;
    var file = component.get("v.FileList")[0];
    helper.uploadPromise(0, fileSize, file).then(function (result) {
        console.log('done!!!'+result);
    },function (error) {
        console.log(error);
    }).catch(function (error) {
        $A.reportError("error message here", error);
    });
}
&lt;/code&gt;&lt;/pre&gt;
&lt;p&gt;Helper&lt;/p&gt;
&lt;pre class="lang-js prettyprint-override"&gt;&lt;code&gt; uploadPromise: function (startposi, endposi, file) {
    console.log('coming into  recursive function : startposition:' + startposi + ',endpposition' + file.size + '.file:' + file);
    var BYTES_PER_CHUNK = 320 * 1024;
    return new Promise(function (resolve, reject) {
        if (startposi &amp;lt; endposi) {
            console.log('Reading from:' + startposi + ',until;' + (startposi + BYTES_PER_CHUNK ) + '/' + endposi);
            var chunk = file.slice(startposi, BYTES_PER_CHUNK);
            var reader = new FileReader();
            reader.readAsArrayBuffer(chunk);
            reader.onload = function (e) { // return handler function for 'onload' event
                startposi+= e.target.result.byteLength;
                console.log('before recursion: startposition:' + startposi + ',endpposition' + file.size + '.file:' + file + ",chunk size:" + e.target.result.byteLength);
                this.uploadPromise(startposi, file.size, file);
            }
        } else {
            console.log('finished reading file'); // it shows the content of the file
            return new Promise(function (resolve, reject) {
                resolve("finish");
            })
        }
    });
}
&lt;/code&gt;&lt;/pre&gt;
&lt;p&gt;I expected the recursion to be executed as a normal recursion call but just is invoked once. I already tested this approach with a pure javascript approach and works fine, the issue is when is migrated to aura in salesforce. Any help I will be in debt. Regards.&lt;/p&gt;
</t>
  </si>
  <si>
    <t xml:space="preserve">&lt;p&gt;I'm trying to get the value from a lightning:select but when I try a console.log in the js controller of the component, it doesn't show anything.&lt;/p&gt;
&lt;p&gt;I put the same function exactly in 'Inspect Element &gt; Console' and it works perfectly.&lt;/p&gt;
&lt;p&gt;Component:&lt;/p&gt;
&lt;pre&gt;&lt;code&gt;&amp;lt;lightning:select name="{!'mySelectedStatus' + case.CaseNumber}"&amp;gt;
                                            &amp;lt;option text="All" value="" selected="true"/&amp;gt;
                                            &amp;lt;aura:iteration items="{!v.caseStatuses}" var="status"&amp;gt;
                                                &amp;lt;option text="{!status}" value="{!status}" /&amp;gt;
                                            &amp;lt;/aura:iteration&amp;gt; 
                                        &amp;lt;/lightning:select&amp;gt;
&lt;/code&gt;&lt;/pre&gt;
&lt;p&gt;Controller.js:&lt;/p&gt;
&lt;pre&gt;&lt;code&gt;changeStatus : function(component, event, helper) {
        var csNum = event.getSource().get("v.name");
        console.log(document.getElementsByName("mySelectedStatus00001044")[0].value); //Fails Here
        var status = document.getElementsByName("mySelectedStatus"+csNum)[0].value;
        helper.changeStatus(component, csNum, status);
    }
&lt;/code&gt;&lt;/pre&gt;
&lt;p&gt;In the Inspect Element Console I get the result:
document.getElementsByName("mySelectedStatus00001044")[0].value);
Result =&gt; "New"&lt;/p&gt;
&lt;p&gt;But in controller.js console.log() I get blank. Why?&lt;/p&gt;
</t>
  </si>
  <si>
    <t xml:space="preserve">&lt;p&gt;I have two tables on the Google Cloud Platform, that are connected ONE-TO-ONE:&lt;/p&gt;
&lt;ol&gt;
&lt;li&gt;&lt;p&gt;&lt;strong&gt;Invoice_Stat&lt;/strong&gt;:&lt;/p&gt;
&lt;blockquote&gt;
  &lt;ul&gt;
  &lt;li&gt;invoice_id number (PK)&lt;/li&gt;
  &lt;li&gt;Invoice_Number string&lt;/li&gt;
  &lt;li&gt;EmailStatus string&lt;/li&gt;
  &lt;li&gt;PaidStatus string&lt;/li&gt;
  &lt;/ul&gt;
&lt;/blockquote&gt;&lt;/li&gt;
&lt;li&gt;&lt;p&gt;&lt;strong&gt;Project&lt;/strong&gt;:&lt;/p&gt;
&lt;blockquote&gt;
  &lt;ul&gt;
  &lt;li&gt;id number (PK)&lt;/li&gt;
  &lt;li&gt;Client_Name string&lt;/li&gt;
  &lt;li&gt;Service string&lt;/li&gt;
  &lt;li&gt;Cases number&lt;/li&gt;
  &lt;li&gt;Scope number&lt;/li&gt;
  &lt;li&gt;Subject string&lt;/li&gt;
  &lt;li&gt;Start date&lt;/li&gt;
  &lt;li&gt;Interim date&lt;/li&gt;
  &lt;li&gt;Final date&lt;/li&gt;
  &lt;li&gt;Statusx string&lt;/li&gt;
  &lt;li&gt;CA string&lt;/li&gt;
  &lt;li&gt;POC string&lt;/li&gt;
  &lt;li&gt;Client_Ref string&lt;/li&gt;
  &lt;li&gt;Billing string&lt;/li&gt;
  &lt;li&gt;Invoiced&lt;/li&gt;
  &lt;li&gt;Invoice_stat_fk&lt;/li&gt;
  &lt;/ul&gt;
&lt;/blockquote&gt;&lt;/li&gt;
&lt;/ol&gt;
&lt;p&gt;Flow of the process is:  &lt;/p&gt;
&lt;ol&gt;
&lt;li&gt;&lt;p&gt;Staff insert new record as a new case. Invoice not created yet, and it's case status still open. Once the case finished, someone from finance will click on PREINVOICE button, to create invoice record on &lt;code&gt;Invoice_Stat&lt;/code&gt; table.&lt;/p&gt;&lt;/li&gt;
&lt;li&gt;&lt;p&gt;New &lt;code&gt;Invoice_stat&lt;/code&gt; record only to create &lt;code&gt;invoice_id&lt;/code&gt; and &lt;code&gt;invoice_number&lt;/code&gt; (it should create automatically, with 2xxxxxxx format). EmailStatus will set to Sent, because this button also send email confirmation for invoice to another staff. And &lt;code&gt;PaidStatus&lt;/code&gt; set to "&lt;em&gt;No&lt;/em&gt;". &lt;code&gt;PaidStatus&lt;/code&gt; will change to "&lt;em&gt;Yes&lt;/em&gt;" manually by finance officer, after we get paid.&lt;/p&gt;&lt;/li&gt;
&lt;/ol&gt;
&lt;p&gt;Button Script:&lt;/p&gt;
&lt;pre&gt;&lt;code&gt;var to = "anyone@domain.com";
var subject = "Prepare Invoice : " + widget.datasource.item.Client_Name;
var msg = "Please Prepare Invoice for " + "\n\nClient Name : " + 
widget.datasource.item.Client_Name + "\n\nService : " + 
widget.datasource.item.Service + "\n\nCase : " + 
widget.datasource.item.Subjects + "\n\nScope :" + widget.datasource.item.Scope + "\n\nSubject : " + widget.datasource.item.Subjects + "\n\nStart :" + widget.datasource.item.Start + "\n\nInterim : " + widget.datasource.item.Interim + "\n\nStatus :" + widget.datasource.item.Statusx + "\n\nCA : " + widget.datasource.item.Client_Ref + "\n\nBilling : " + widget.datasource.item.Billing + "\n\nFee VS : " + widget.datasource.item.Fee_VS + "\n\nFee VI" + widget.datasource.item.Fee_VI + "\n\nNotes : " + widget.datasource.item.Notes + "\n\nPrep Invoice : " + widget.datasource.item.Prep_Invoice + "\n\nInvoiced : " + widget.datasource.item.Prep_Invoice + "\n\nInvoice Number : " + widget.datasource.item.Invoice_Number;
SendEmail(to, subject, msg);
onCreateCaseStatusClick();
&lt;/code&gt;&lt;/pre&gt;
&lt;p&gt;Client Script :&lt;/p&gt;
&lt;pre&gt;&lt;code&gt;function  clearEmailForm(){
}
function SendEmail(To, Subject, Msg, item){
var status = "sending";
google.script.run.withSuccessHandler(function(result) {
status.text = 'Email sent...';
clearEmailForm();
 })
 .SendEmail(To, Subject, Msg);  
}
function onCreateCaseStatusClick() {
var datasource = app.datasources.Invoice_stat;
google.script.run.withSuccessHandler(function(Invoice_id) {
 // When created, redisplay todo lists.
 datasource.load(function() {
  // When reloaded, select new todo list.
  datasource.selectKey(Invoice_id);
});
}).createCaseStatusWithItem();
}
&lt;/code&gt;&lt;/pre&gt;
&lt;p&gt;Server Script :&lt;/p&gt;
&lt;pre&gt;&lt;code&gt;function SendEmail(to, subject, msg) {
MailApp.sendEmail(to, subject , msg);
EmailStatus = "Yes";
  }
function createCaseStatusWithItem() {
// Automatically case number for the user.
var lock = LockService.getScriptLock();
lock.waitLock(10000);
var query = app.models.Invoice_stat.newQuery();
var Invoice_stat = query.run();
var allInvoice_stat = app.models.Invoice_stat.newRecord();
var newInvoice_Number = Invoice_stat.length + 1;
Invoice_stat.EmailStatus = "No";
Invoice_stat.PaidStatus = "No";
app.saveRecords([Invoice_id]);
lock.releaseLock();
// Create first todo item for user convenience.
var todoItem = app.models.Invoice_stat.newRecord();
Invoice_stat.Inovice_Number = '1000000';
app.saveRecords([Invoice_id]);
return Invoice_stat.Invoice_id;
}
&lt;/code&gt;&lt;/pre&gt;
&lt;p&gt;I've take some examples from:
&lt;a href="https://developers.google.com/appmaker/scripting/overview" rel="nofollow noreferrer"&gt;https://developers.google.com/appmaker/scripting/overview&lt;/a&gt;&lt;/p&gt;
&lt;p&gt;&lt;strong&gt;&lt;em&gt;Result expected&lt;/em&gt;&lt;/strong&gt;:  &lt;/p&gt;
&lt;ol&gt;
&lt;li&gt;It already sends email invoice notification.  &lt;/li&gt;
&lt;li&gt;It doesn't create new record on &lt;code&gt;Invoice_stat&lt;/code&gt;.  &lt;/li&gt;
&lt;/ol&gt;
&lt;p&gt;Please review my code above. Is there a more simple way to update or insert &lt;code&gt;Invoice_stat&lt;/code&gt; table ?&lt;/p&gt;
&lt;p&gt;One more question:
On Case detail, there is information about Invoice number, if it already created.
But if not created, it will show null sign, how to do that?&lt;/p&gt;
</t>
  </si>
  <si>
    <t xml:space="preserve">&lt;p&gt;I am migrating my company from Salesforce Classic to Lightning. I have made all of the necessary code changes however I see that there is a functional difference between classic and Lightning. When creating a Child from a Parent the ID to the parent are not always filled out. &lt;/p&gt;
&lt;p&gt;I have read the documentation in Salesforce however nothing explains as to why. I see that when creating an Opportunity from an Account - The Opportunity has the Account Auto-Populated but when Creating an Opportunity from a Contact the Account is not Auto-Populated. &lt;/p&gt;
&lt;p&gt;This should be standard Salesforce Functionality. I know that I could build a Visualforce page however this doesnt seem logical as to why this doesnt happen all the time.&lt;/p&gt;
</t>
  </si>
  <si>
    <t xml:space="preserve">&lt;p&gt;I am using &lt;code&gt;$A.get('e.lightning:openFiles')&lt;/code&gt; to preview my file but user can edit the file details using 'show more' option. Any idea how we can remove it?&lt;/p&gt;
&lt;p&gt;I am calling this function from a link, which will be used to preview a file. &lt;/p&gt;
&lt;pre&gt;&lt;code&gt;previewfile: function (cmp, event, helper) {
         var contentId = event.currentTarget.id;
         $A.get('e.lightning:openFiles').fire({
        recordIds: [contentId]
    });
&lt;/code&gt;&lt;/pre&gt;
&lt;p&gt;View File highlighted one is show more option:
&lt;img src="https://i.stack.imgur.com/ceT4E.jpg" alt="View File highlighted one is show more option"&gt;&lt;/p&gt;
</t>
  </si>
  <si>
    <t xml:space="preserve">&lt;p&gt;I am trying to change the metadata of fields of a object in salesforce using Apex. For example I am trying to make all required field non-required. I was able to retrieve all the required fields using the schema class and using methods like isNillable(). I wanted to ask if there is any way I can modify the metadata. &lt;/p&gt;
&lt;p&gt;I have searched a lot regarding this but could not find any helpful results.&lt;/p&gt;
&lt;pre&gt;&lt;code&gt;Schema.DescribeSObjectResult a_desc = objects.get(Name_of_of_object_whose_fields_are_to_be_retrieved).getDescribe(); 
Map&amp;lt;String, Schema.SObjectField&amp;gt; a_fields = a_desc.fields.getMap();
Set&amp;lt;string&amp;gt; x=a_fields.keySet();
//I am making a map of fieldname and bool(field required or not)        
Map&amp;lt;String,boolean&amp;gt; result=new Map&amp;lt;String,boolean&amp;gt;();
for(String p:x)
result.put(p,a_fields.get(p).getDescribe().isCreateable() &amp;amp;&amp;amp; !a_fields.get(p).getDescribe().isNillable() &amp;amp;&amp;amp; !a_fields.get(p).getDescribe().isDefaultedOnCreate());
//what I want is to modify isNillable and other attributes and make these changes to the fields.
&lt;/code&gt;&lt;/pre&gt;
</t>
  </si>
  <si>
    <t xml:space="preserve">&lt;p&gt;You can't make all required fields non-required because many of them are required at the database level and cannot be modified.&lt;/p&gt;
&lt;p&gt;For example, the Name field (on any object that has a Name field) is always required. You cannot change this property. Likewise, Master-Detail relationship fields are always required, on standard and child objects.&lt;/p&gt;
&lt;p&gt;To change the metadata of custom fields that are modifiable, you would have to use the Metadata API. It's not available in Apex, unless you use a wrapper like &lt;code&gt;apex-mdapi&lt;/code&gt;. As a warning, modifying your org's metadata in a broad-based way via Apex is &lt;strong&gt;dangerous&lt;/strong&gt;. You can cause damage to your org and its function in this way very easily. I strongly encourage you not to attempt to do this. Required fields are required for a reason.&lt;/p&gt;
</t>
  </si>
  <si>
    <t xml:space="preserve">&lt;p&gt;I am a salesforce administrator and I am told to create a new task every 90 days based on a date. &lt;/p&gt;
&lt;p&gt;I have created a workflow rule which creates a new task 90 days after the data filed (Initial bill date 2 in my case). &lt;/p&gt;
&lt;p&gt;The data field I am based on is a formula field. I tried to update the filed with a field Update action by adding 90 (Initial Bill Date 2 + 90) but I read Workflow rules considerations: &lt;/p&gt;
&lt;ul&gt;
&lt;li&gt;Field updates occur before email alerts, tasks, and outbound messages.
-Read-only fields like formula or auto-number fields are not available for field update action.&lt;/li&gt;
&lt;/ul&gt;
&lt;p&gt;Until now I have created a workflow rule that triggers a Time dependent new task 90 days after initial bill date 2. I am not finding a way how to repeat this action every 90 days.&lt;/p&gt;
&lt;p&gt;Can someone help with an answer? 
Thank you&lt;/p&gt;
</t>
  </si>
  <si>
    <t xml:space="preserve">&lt;p&gt;After starting debugging for more modules at the same time it seems like the platform supports that, but breakpoints are working only for a single module.&lt;/p&gt;
</t>
  </si>
  <si>
    <t xml:space="preserve">&lt;p&gt;&lt;strong&gt;The case:&lt;/strong&gt;&lt;/p&gt;
&lt;p&gt;I have Activities as datamodel. &lt;/p&gt;
&lt;p&gt;I have set Activities to have many-to-many relationship with themselves to represent a Parent / Child relationship.&lt;/p&gt;
&lt;p&gt;I have set up an accordion widget. Each row of the accordion contain basic data about the Activity record + some buttons. &lt;/p&gt;
&lt;p&gt;I have set one of the button's onClick functions to open a popup, which allows me to edit the Activity detail in a form.&lt;/p&gt;
&lt;p&gt;When I click a different record from the same accordion, the form from the popup reflects the data in the selected record.&lt;/p&gt;
&lt;hr&gt;
&lt;p&gt;&lt;strong&gt;The problem:&lt;/strong&gt; &lt;/p&gt;
&lt;p&gt;I have nested accordions which represent the "Child" Activities of the Parent Activity.&lt;/p&gt;
&lt;p&gt;I have also added a similar button, which opens a popup. I can open the popup, which targets the child records, but cannot make it open the specific record, from which I pressed the button.&lt;/p&gt;
&lt;p&gt;So the popup open by default on the first child. &lt;/p&gt;
&lt;p&gt;Please help - how can I make the popup change naturally to reflect the datasource / selected record of even nested datasources?&lt;/p&gt;
&lt;hr&gt;
&lt;p&gt;&lt;strong&gt;What I tried:&lt;/strong&gt;&lt;/p&gt;
&lt;p&gt;In order to try and make to popup work I have tried to set the datasource based on the relationship:&lt;/p&gt;
&lt;p&gt;Activities: Sub_Activities(relation)&lt;/p&gt;
&lt;p&gt;This works to the extent of showing the related items, but popup content does not dynamically change on clicking a different child record or clicking the button from a different child record.&lt;/p&gt;
&lt;p&gt;In both cases what is shown is the first child record.&lt;/p&gt;
</t>
  </si>
  <si>
    <t xml:space="preserve">&lt;p&gt;What I understand is that you have a set up in which you click a button and a popup shows. The popup should let you view/edit the record referenced in the row where the button is. If that is the case, then probably you already have almost everything setup for the next thing to work. First, add a &lt;strong&gt;string custom property&lt;/strong&gt; to the popup and name it &lt;strong&gt;selectedKey&lt;/strong&gt;. Then, on the &lt;strong&gt;onClick&lt;/strong&gt; event of the button that opens the popup, add something like this:&lt;/p&gt;
&lt;pre&gt;&lt;code&gt;var key = widget.datasource.item._key;
app.popups.MYPOPUP.properties.selectedKey = key;
app.popups.MYPOPUP.visible = true;
&lt;/code&gt;&lt;/pre&gt;
&lt;p&gt;Now, go to the popup content and add the following on the &lt;strong&gt;onAttach&lt;/strong&gt; event handler:&lt;/p&gt;
&lt;pre&gt;&lt;code&gt;var key = widget.root.properties.selectedKey;
widget.datasource.selectKey(key);
&lt;/code&gt;&lt;/pre&gt;
&lt;p&gt;This is the general idea of how to make it work; However, in order for it to work, your datsources in the widgets should be properly set up. Good luck!&lt;/p&gt;
</t>
  </si>
  <si>
    <t xml:space="preserve">&lt;p&gt;I am working on salesforce CPQ quote while I am adding the product under quote line its showing multi-time like Add product button Add group button here I enclosed the image help how to solve this even I reinstall and install the salesforce cpq package again it showing twice the time.&lt;/p&gt;
&lt;p&gt;&lt;a href="https://i.stack.imgur.com/UJv6K.png" rel="nofollow noreferrer"&gt;&lt;img src="https://i.stack.imgur.com/UJv6K.png" alt="enter image description here"&gt;&lt;/a&gt;&lt;/p&gt;
</t>
  </si>
  <si>
    <t xml:space="preserve">&lt;p&gt;I run the application through web tabs and my site loads in iframe.
The first page contains the files: 
&lt;a href="https://live.zwidgets.com/js-sdk/1.0.5/ZohoEmbededAppSDK.min.js" rel="nofollow noreferrer"&gt;https://live.zwidgets.com/js-sdk/1.0.5/ZohoEmbededAppSDK.min.js&lt;/a&gt; and my custom file app.js.
His code:&lt;/p&gt;
&lt;pre&gt;&lt;code&gt;ZOHO.embeddedApp.on("PageLoad",function(data)
{
    console.log(data);
})
ZOHO.embeddedApp.init();
&lt;/code&gt;&lt;/pre&gt;
&lt;p&gt;everything is fine here. The "PageLoad" event is running. &lt;/p&gt;
&lt;p&gt;After a certain business logic I redirect the page location.href="some url of my site". This page contains the files: &lt;a href="https://live.zwidgets.com/js-sdk/1.0.5/ZohoEmbededAppSDK.min.js" rel="nofollow noreferrer"&gt;https://live.zwidgets.com/js-sdk/1.0.5/ZohoEmbededAppSDK.min.js&lt;/a&gt; and my custom file app-second.js. This file contains the same code:&lt;/p&gt;
&lt;pre&gt;&lt;code&gt;ZOHO.embeddedApp.on("PageLoad",function(data)
{
    console.log(data);
})
ZOHO.embeddedApp.init();
&lt;/code&gt;&lt;/pre&gt;
&lt;p&gt;but the "PageLoad" event does not occur. Why?
The "PageLoad" event is executed only once? At the first opening of Zoho CRM?&lt;/p&gt;
</t>
  </si>
  <si>
    <t xml:space="preserve">&lt;p&gt;We can understand that the method pageload is not executed after you have performed the page redirection.&lt;/p&gt;
&lt;p&gt;Unfortunately, Zoho object wont be resolved in the other pages and it will be available only in the page which you have registered in the developer console.&lt;/p&gt;
&lt;p&gt;We follow Single Page Application approach, so it won't be possible for you to retrieve CRM information in other pages.&lt;/p&gt;
&lt;p&gt;As a workaround you can hide and show different sections based on your business logic.&lt;/p&gt;
</t>
  </si>
  <si>
    <t xml:space="preserve">&lt;p&gt;I am writing a test class to my custom community login controller. &lt;/p&gt;
&lt;p&gt;for the below method it returns 'List has no rows for assignment'
 &lt;code&gt;
    @AuraEnabled 
    public static Network getNetworkInfo () {
        return [SELECT Id, Name,UrlPathPrefix FROM Network WHERE Id = : 
         Network.getNetworkId()];
    }&lt;/code&gt;&lt;/p&gt;
&lt;p&gt;What I have tried is &lt;/p&gt;
&lt;p&gt;I have created users and tried running as &lt;/p&gt;
&lt;pre&gt;&lt;code&gt;System.runAs(testAdminUser){
 // getNetworkInfo() 
}
&lt;/code&gt;&lt;/pre&gt;
&lt;p&gt;Any other alternative ?&lt;/p&gt;
</t>
  </si>
  <si>
    <t xml:space="preserve">&lt;p&gt;I'm setting up a google-app-maker app. I want to sort a table with a query.&lt;/p&gt;
&lt;p&gt;I want to call a script onAttach-Event. Because I need to user the "query" to sort my data, I have to use a server script. In google-app-maker i can't use a query at client script, right?!&lt;/p&gt;
&lt;p&gt;But every time I try to call the server script I get an error &lt;/p&gt;
&lt;blockquote&gt;
  &lt;p&gt;SEVERE: Failed due to circular reference&lt;/p&gt;
&lt;/blockquote&gt;
&lt;p&gt;onAttach Event:&lt;/p&gt;
&lt;pre&gt;&lt;code&gt;google.script.run.withSuccessHandler(function () {
}).sortTable(widget);
&lt;/code&gt;&lt;/pre&gt;
&lt;p&gt;The server script:&lt;/p&gt;
&lt;pre&gt;&lt;code&gt;function sortTable(widget) {
}
&lt;/code&gt;&lt;/pre&gt;
&lt;p&gt;I have already a worked server script. This works perfect. I call this from "App startup script" like:&lt;/p&gt;
&lt;pre&gt;&lt;code&gt;google.script.run.withSuccessHandler(function(reValue) {
  ...
}).initUserData(startCode);
&lt;/code&gt;&lt;/pre&gt;
&lt;p&gt;Server script here:&lt;/p&gt;
&lt;pre&gt;&lt;code&gt;function initUserData(startCode) {
  ...
}
&lt;/code&gt;&lt;/pre&gt;
&lt;p&gt;The query looks like:&lt;/p&gt;
&lt;pre&gt;&lt;code&gt;function sortTable(widget) {
  var people = widget.parent.datasource.relations.People;
  var query = people.newQuery();
  query.sorting.PeopleRole._descending();
  // query.sorting.Name._descending(); // sorted by people.Name
  var records = query.run();
  app.saveRecords([records]);
  ...
}
&lt;/code&gt;&lt;/pre&gt;
</t>
  </si>
  <si>
    <t xml:space="preserve">&lt;p&gt;&lt;strong&gt;Considerations&lt;/strong&gt;:&lt;/p&gt;
&lt;ul&gt;
&lt;li&gt;I'm using nested Gallery Controls to create a Collapsible Navigation menu. My first Gallery control is a Flexible Height Gallery and for each of its row, I've a Vertical gallery control for it.&lt;/li&gt;
&lt;li&gt;I'm also using a 1923*1080 (width*height) Custom Screen Size for my application. (as shown in the screenshot below)&lt;/li&gt;
&lt;/ul&gt;
&lt;p&gt;&lt;a href="https://i.stack.imgur.com/A9iEI.png" rel="nofollow noreferrer"&gt;&lt;img src="https://i.stack.imgur.com/A9iEI.png" alt="enter image description here"&gt;&lt;/a&gt;&lt;/p&gt;
&lt;p&gt;&lt;strong&gt;Issue that i'm running into&lt;/strong&gt;:&lt;/p&gt;
&lt;p&gt;My collapsable nav looks fine in the EDIT mode of the application (as shown in the screenshot below)&lt;/p&gt;
&lt;p&gt;&lt;a href="https://i.stack.imgur.com/VG2Jm.png" rel="nofollow noreferrer"&gt;&lt;img src="https://i.stack.imgur.com/VG2Jm.png" alt="enter image description here"&gt;&lt;/a&gt;&lt;/p&gt;
&lt;p&gt;but when i simply click on the application name to view the app in NON-EDIT Mode (not sure if this is the right term for it), i see blank empty spaces under each flexible height gallery row (as shown in the screenshot below). I'm guessing the stretched out screen res (1923*1080) for Non-Edit mode of the app could be causing that.&lt;/p&gt;
&lt;p&gt;&lt;a href="https://i.stack.imgur.com/Ln9Kv.png" rel="nofollow noreferrer"&gt;&lt;img src="https://i.stack.imgur.com/Ln9Kv.png" alt="enter image description here"&gt;&lt;/a&gt;&lt;/p&gt;
&lt;p&gt;My &lt;strong&gt;question&lt;/strong&gt; is: how do we fix it? (Given that the Flexible Height Gallery Control adjusts its row height as per its content). I've also noticed that the lenth of extra space (under each row) depends on the number of items in its nested vertical gallery control. If there are more items in the nested gallery, there's more space underneath it. Any thoughts?&lt;/p&gt;
&lt;p&gt;&lt;strong&gt;Attribute values for my Flexible Height Gallery&lt;/strong&gt;:&lt;/p&gt;
&lt;ul&gt;
&lt;li&gt;&lt;strong&gt;Height&lt;/strong&gt;: 1080&lt;/li&gt;
&lt;li&gt;&lt;strong&gt;Template Size&lt;/strong&gt;: 65 (The spaces aren't affected if i try to change this)&lt;/li&gt;
&lt;li&gt;&lt;strong&gt;Template Padding&lt;/strong&gt;: 4&lt;/li&gt;
&lt;/ul&gt;
&lt;p&gt;&lt;strong&gt;Attribute values for my Nested Vertical Gallery&lt;/strong&gt;:&lt;/p&gt;
&lt;ul&gt;
&lt;li&gt;&lt;strong&gt;Height&lt;/strong&gt;: CountRows(ThisItem.NavSubItems)*NestedGallery.TemplateHeight&lt;/li&gt;
&lt;li&gt;&lt;strong&gt;Template Size&lt;/strong&gt;: 50&lt;/li&gt;
&lt;li&gt;&lt;strong&gt;Template Padding&lt;/strong&gt;: 0&lt;/li&gt;
&lt;/ul&gt;
</t>
  </si>
  <si>
    <t xml:space="preserve">&lt;p&gt;I have an app built based on the a SharePoint list called "Proposal Tracker". One of the fields is a lookup field that provides a drop down from another list called "Employees". I am trying to filter this field, so that when I select it, the only employee names that are shown are the "active" employees. &lt;/p&gt;
&lt;p&gt;I've tried adding this into the &lt;code&gt;DataField&lt;/code&gt; of the one data card I'm trying to filter, but I get an error.&lt;/p&gt;
&lt;pre&gt;&lt;code&gt;Filter(Employees,Status.Value = "Active")
&lt;/code&gt;&lt;/pre&gt;
</t>
  </si>
  <si>
    <t xml:space="preserve">&lt;p&gt;I'd like to write a script to dump the contents of a given table to a spreadsheet regardless of the fields, (I've done this for several individual tables but want to write something universal).&lt;/p&gt;
&lt;p&gt;Will&lt;/p&gt;
&lt;pre&gt;&lt;code&gt;app.models.filesToCopy.fields._values;
&lt;/code&gt;&lt;/pre&gt;
&lt;p&gt;be involved?&lt;/p&gt;
</t>
  </si>
  <si>
    <t xml:space="preserve">&lt;p&gt;I would say the most generic way would be to establish a server function and pass in the model name as a parameter. Then establish a script similar to what I put below. You can even format your data based on the field type if wanted by using fields[n].type in a if or select statement.&lt;/p&gt;
&lt;pre&gt;&lt;code&gt;function YourFunction(YourModel) {
  var sheetfile = SpreadsheetApp.create('test file');
  var ss = sheetfile.getActiveSheet();
  var fields = app.metadata.models[YourModel].fields;
  var results = app.models[YourModel].newQuery().run();
  var i, j;
  var sheetdata = [], header = [];
  for (j in fields) {
    header.push(fields[j].displayName);
  }
  sheetdata.push(header);
  for (var i in results) {
    var data = [];
    for (j in fields) {
      data.push(results[i][fields[j].name]);
    }
    sheetdata.push(data);
  }
  ss.getRange(1,1,sheetdata.length,fields.length).setValues(sheetdata);
}
&lt;/code&gt;&lt;/pre&gt;
</t>
  </si>
  <si>
    <t xml:space="preserve">&lt;p&gt;I am building app with Powerapps that will be able to take a snap picture and the it to sharepoint, i all ready did this so far but i would like to, when i snap the photo not to have it on same screen where is live camera but have it on other screen, this why i can safe space on screen where am taking pic and having more space on other screen to work with taken pic, so is there command action for button that will take pic and move it same time to other screen?&lt;/p&gt;
&lt;p&gt;My screens looks like this:
Screen1 with button UpdateContext({TakenPic: Camera1.Stream})
Screen2 with Image source without command&lt;/p&gt;
</t>
  </si>
  <si>
    <t xml:space="preserve">&lt;p&gt;When you use the &lt;a href="https://docs.microsoft.com/powerapps/maker/canvas-apps/functions/function-updatecontext" rel="nofollow noreferrer"&gt;UpdateContext function&lt;/a&gt;, it will create a &lt;a href="https://docs.microsoft.com/powerapps/maker/canvas-apps/working-with-variables#use-a-context-variable" rel="nofollow noreferrer"&gt;&lt;em&gt;context variable&lt;/em&gt;&lt;/a&gt;, which can only be used in the screen in which it was created - that's why you cannot use it in the second screen.&lt;/p&gt;
&lt;p&gt;There are a couple of alternatives you can use. You can use the third parameter of the &lt;a href="https://docs.microsoft.com/powerapps/maker/canvas-apps/functions/function-navigate" rel="nofollow noreferrer"&gt;Navigate function&lt;/a&gt; to create a context variable &lt;em&gt;in the screen you're navigating to&lt;/em&gt;:&lt;/p&gt;
&lt;pre&gt;&lt;code&gt;Navigate(Screen2, ScreenTransition.Cover, { TakenPic: Camera1.Stream })
&lt;/code&gt;&lt;/pre&gt;
&lt;p&gt;And you can access the variable &lt;code&gt;TakenPic&lt;/code&gt; on Screen2.&lt;/p&gt;
&lt;p&gt;Another option is to use the &lt;a href="https://docs.microsoft.com/powerapps/maker/canvas-apps/functions/function-set" rel="nofollow noreferrer"&gt;Set function&lt;/a&gt; to create a &lt;a href="https://docs.microsoft.com/powerapps/maker/canvas-apps/working-with-variables#use-a-global-variable" rel="nofollow noreferrer"&gt;&lt;em&gt;global variable&lt;/em&gt;&lt;/a&gt; - which can be used everywhere in the app:&lt;/p&gt;
&lt;pre&gt;&lt;code&gt;Set(TakenPic, Camera1.Stream);
Navigate(Screen2)
&lt;/code&gt;&lt;/pre&gt;
&lt;p&gt;Hope this helps!&lt;/p&gt;
</t>
  </si>
  <si>
    <t xml:space="preserve">&lt;p&gt;I have a powerapp with dropdowns that are being populated from Excel tables in a separate sheet from the Excel data. Please see attached images of Excel data and tables in two separate sheets.&lt;/p&gt;
&lt;p&gt;[Excel data][1]  [1]: &lt;a href="https://i.stack.imgur.com/rn9Z4.png" rel="nofollow noreferrer"&gt;https://i.stack.imgur.com/rn9Z4.png&lt;/a&gt;
[Excel tables][2]   [2]: &lt;a href="https://i.stack.imgur.com/zbOnU.png" rel="nofollow noreferrer"&gt;https://i.stack.imgur.com/zbOnU.png&lt;/a&gt;&lt;/p&gt;
&lt;p&gt;The dropdowns are getting populated properly but I noticed when I look at a record in Edit mode, close out ad then go back to the main screen and click on New, the dropdowns are displaying the values of the Edit record I just looked at, instead of being defaulted to blank. &lt;/p&gt;
&lt;p&gt;Has anyone else encountered this before? Is it even worth it to populate powerapps dropdowns from Excel spreadsheets when that works so much better from a Sharepoint List?&lt;/p&gt;
</t>
  </si>
  <si>
    <t xml:space="preserve">&lt;p&gt;I want to export data from different data sources to Excel. This also works without problems.  But I also want to output the relations here. This doesn't work or I don't quite understand how this should work. &lt;/p&gt;
&lt;p&gt;Example: I have a data source called Company and a data source called Software. These two tables are related (n-m) to each other. &lt;/p&gt;
&lt;p&gt;Now I want to export these relations again. &lt;/p&gt;
&lt;p&gt;I have seen that App Maker has such a function, but unfortunately I don't quite understand how this should work. &lt;/p&gt;
&lt;p&gt;Enclosed my code, this is the server code: 
Can someone explain to me how to export the relation? Thank you in advance.&lt;/p&gt;
&lt;pre&gt;&lt;code&gt;    //define function to do the data export
function ExportDaten(SoftwareUnternehmen) {
  //create sheet to populate data
  var fileName = new Date()+"Dienstleisterverzeichnis "; //file name
  var newExport = SpreadsheetApp.create(fileName); // create new spreadsheet
  var header = ["Name", "Vertragsgegenstand", "Ansprechpartner Dienstleister","Vertragseigner bzw. Verantwortlicher natGAS","Ansprechpartner natGAS","Verträge","App","AVV","NDA","letztes Projekt bzw. letzter Kontakt","Kreditor#","Kdnr beim Lieferanten","Klasse","ISO270001?","DSGVO Tätigkeit nach Verfahrensverzeichnis","Text AVV: Tätigkeit","Text AVV: Bewertung"]; //define header
  newExport.appendRow(header); // append header to spreadsheet
  //get all Unternehmen records
  var ds = app.models.Unternehmen.newQuery();
  var dssoftware = app.models.Software.newQuery();
  var allSoftware = dssoftware.run();
  var allUnternehmen = ds.run();
   // Sets a rollback point and starts a new transaction.
  app.transaction.cloudSql.start();
   // Locks all records that are read in the transaction until the end of the transaction.
  app.transaction.cloudSql.setLockOnRead(app.transaction.cloudSql.lockOnRead.UPDATE);
// Relation 
  var query = app.models.Unternehmen.newQuery();
  query.filters.Software._key._equals = SoftwareUnternehmen;
  var records = query.run();
  for(var i=0; i&amp;lt; allUnternehmen.length; i++) {
    //get each student data
    var Unternehmen = allUnternehmen[i];
    var UnternehmenName =Unternehmen.Hersteller;
//  var UnternehmenVertragsgegenstand = Software.;
//  var UnternehmenAnsprechpartnerD =Unternehmen.Ansprechpartner_Dienstleister;
//  var UnternehmenVertragseigner =Unternehmen.Vertragseigner_Verantwortlicher_Unternehmen;
//  var UnternehmenAnsprechpartnerNG =Unternehmen.Ansprechpartner;
//  var UnternehmenVertraege =Unternehmen.Vertraege;
//  var UnternehmenApp =Unternehmen.App;
//  var UnternehmenAVV =Unternehmen.AVV;
//  var UnternehmenNDA =Unternehmen.NDA;
//  var UnternehmenProjekt =Unternehmen.letztes_Projekt_letzter_Kontakt;
//  var UnternehmenKreditor =Unternehmen.Kreditor;
//  var UnternehmenKdnr =Unternehmen.Kdnr;
//  var UnternehmenKlasse =Unternehmen.Klasse;
//  var UnternehmenISO270001 =Unternehmen.ISO270001;
//  var UnternehmenDSGVO =Unternehmen.DSGVO_Taetigkeit;
//  var UnternehmenText_AVV1 =Unternehmen.Text_AVV1;
//  var UnternehmenText_AVV2 =Unternehmen.Text_AVV2;
    for (var j= 0; j&amp;lt; allSoftware.length; j++) {
    var Software = allSoftware[j];
    var UnternehmenVertragsgegenstand = Software.Vertragsgegenstand;
    var UnternehmenAnsprechpartnerD =Software.AnSP_Lieferant;
    var UnternehmenVertragseigner =Software.Vetragseigner_Vertantwortlicher;
    var UnternehmenAnsprechpartnerNG =Software.Ansprechpartner;
    var UnternehmenVertraege =Software.Vertraege;
    var UnternehmenApp =Software.App;
    var UnternehmenAVV =Software.AVV;
    var UnternehmenNDA =Software.NDA;
    var UnternehmenProjekt =Software.letztes_Projekt;
    var UnternehmenKreditor =Software.Kreditor;
    var UnternehmenKdnr =Software.KDNR;
    var UnternehmenKlasse =Software.Klasse1;
    var UnternehmenISO270001 =Software.ISO270001;
    var UnternehmenDSGVO =Software.DSGVO_Taetigkeit;
    var UnternehmenText_AVV1 =Software.Text_AVV_Taetigkeit;
    var UnternehmenText_AVV2 =Software.Text_AVV_Bewertung;
    var newRow = [UnternehmenName, UnternehmenVertragsgegenstand, UnternehmenAnsprechpartnerD, UnternehmenVertragseigner, UnternehmenAnsprechpartnerNG, UnternehmenVertraege, UnternehmenApp, UnternehmenAVV, UnternehmenNDA, UnternehmenProjekt, UnternehmenKreditor, UnternehmenKdnr, UnternehmenKlasse, UnternehmenISO270001, UnternehmenDSGVO, UnternehmenText_AVV1, UnternehmenText_AVV2 ]; //save Unternehmensdaten in a row
    newExport.appendRow(newRow); //append Unternehmen data row to spreadsheet
  }
  console.log("Export fertig");
return records;
} }
&lt;/code&gt;&lt;/pre&gt;
</t>
  </si>
  <si>
    <t xml:space="preserve">&lt;p&gt;A couple of things to look at maybe. When you have lots of data in a table and even more relations to that data then using appendRow() to write to sheets does in fact get somewhat inefficient and you may very well start running into script execution limits. Furthermore, your current script does include several lines of code that seem unnecessary, so I will present your code modified with unnecessary lines removed and will put a star next to lines I added in. Also, don't forget to release your lock on records at the end.&lt;/p&gt;
&lt;pre&gt;&lt;code&gt;    //define function to do the data export
    function ExportDaten(SoftwareUnternehmen) {
      //create sheet to populate data
      var fileName = new Date()+"Dienstleisterverzeichnis "; //file name
      var newExport = SpreadsheetApp.create(fileName); // create new spreadsheet
      var header = ["Name", "Vertragsgegenstand", "Ansprechpartner Dienstleister","Vertragseigner bzw. Verantwortlicher natGAS","Ansprechpartner natGAS","Verträge","App","AVV","NDA","letztes Projekt bzw. letzter Kontakt","Kreditor#","Kdnr beim Lieferanten","Klasse","ISO270001?","DSGVO Tätigkeit nach Verfahrensverzeichnis","Text AVV: Tätigkeit","Text AVV: Bewertung"]; //define header
      newExport.appendRow(header); // append header to spreadsheet
      var data = []; //*
      //get all Unternehmen records
      var ds = app.models.Unternehmen.newQuery();
      ds.prefetch.Software._add(); //*
      var allUnternehmen = ds.run();
       // Sets a rollback point and starts a new transaction.
      app.transaction.cloudSql.start();
       // Locks all records that are read in the transaction until the end of the transaction.
      app.transaction.cloudSql.setLockOnRead(app.transaction.cloudSql.lockOnRead.UPDATE);
      for(var i=0; i&amp;lt; allUnternehmen.length; i++) {
        //get each student data
        var Unternehmen = allUnternehmen[i];
        var UnternehmenName =Unternehmen.Hersteller;
        var allSoftware = Unternehmen.Software; //*
        for (var j= 0; j&amp;lt; allSoftware.length; j++) {
          var Software = allSoftware[j];
          var UnternehmenVertragsgegenstand = Software.Vertragsgegenstand;
          var UnternehmenAnsprechpartnerD =Software.AnSP_Lieferant;
          var UnternehmenVertragseigner =Software.Vetragseigner_Vertantwortlicher;
          var UnternehmenAnsprechpartnerNG =Software.Ansprechpartner;
          var UnternehmenVertraege =Software.Vertraege;
          var UnternehmenApp =Software.App;
          var UnternehmenAVV =Software.AVV;
          var UnternehmenNDA =Software.NDA;
          var UnternehmenProjekt =Software.letztes_Projekt;
          var UnternehmenKreditor =Software.Kreditor;
          var UnternehmenKdnr =Software.KDNR;
          var UnternehmenKlasse =Software.Klasse1;
          var UnternehmenISO270001 =Software.ISO270001;
          var UnternehmenDSGVO =Software.DSGVO_Taetigkeit;
          var UnternehmenText_AVV1 =Software.Text_AVV_Taetigkeit;
          var UnternehmenText_AVV2 =Software.Text_AVV_Bewertung;
          var newRow = [UnternehmenName, UnternehmenVertragsgegenstand, UnternehmenAnsprechpartnerD, UnternehmenVertragseigner, UnternehmenAnsprechpartnerNG, UnternehmenVertraege, UnternehmenApp, UnternehmenAVV, UnternehmenNDA, UnternehmenProjekt, UnternehmenKreditor, UnternehmenKdnr, UnternehmenKlasse, UnternehmenISO270001, UnternehmenDSGVO, UnternehmenText_AVV1, UnternehmenText_AVV2 ]; //save Unternehmensdaten in a row
          data.push(newRow); //*
        }
      //console.log("Export fertig");
    }
    newExport.getActiveSheet().getRange(2,1,data.length,header.length).setValues(data); //*
    console.log("Export fertig");
  }
&lt;/code&gt;&lt;/pre&gt;
</t>
  </si>
  <si>
    <t xml:space="preserve">&lt;p&gt;I am getting the below error when using react js in LWC. Any idea how to resolve this.&lt;/p&gt;
&lt;blockquote&gt;
  &lt;p&gt;Uncaught (in promise) TypeError: c.createElement is not a function&lt;/p&gt;
&lt;/blockquote&gt;
&lt;p&gt;LWC&lt;/p&gt;
&lt;pre&gt;&lt;code&gt;import {
    LightningElement
} from 'lwc';
import {
    loadScript
} from 'lightning/platformResourceLoader';
//add as static resource
import React from '@salesforce/resourceUrl/react';
import ReactDOM from '@salesforce/resourceUrl/reactdom';
export default class Reactjslwc extends LightningElement {
    async connectedCallback() {
        //load react &amp;amp; react-dom
        Promise.all([
            loadScript(this, React),
            loadScript(this, ReactDOM),
        ]).then(() =&amp;gt; {
            ReactDOM.render(React.createElement('div', null, 'Hello React'), this.template.querySelector('div'));
        });
    }
    disconnectedCallback() {
        ReactDOM.unmountComponentAtNode(this);
    }
}
&lt;/code&gt;&lt;/pre&gt;
&lt;p&gt;HTML&lt;/p&gt;
&lt;pre&gt;&lt;code&gt;&amp;lt;template&amp;gt;
    &amp;lt;p&amp;gt;ReactJS&amp;lt;/p&amp;gt;
&amp;lt;/template&amp;gt;
&lt;/code&gt;&lt;/pre&gt;
</t>
  </si>
  <si>
    <t xml:space="preserve">&lt;p&gt;I'm trying to fetch data from the &lt;a href="https://www.zoho.com/creator/help/api/rest-api/rest-api-view-records-in-view.html" rel="nofollow noreferrer"&gt;zoho creator API&lt;/a&gt; using Python 3 with Requests. Even though I´ve used python for some casual work and data crunshing, I dont have any idea about http requests. Can anyone help me translating the following html code into an equivalent python code using requests?&lt;/p&gt;
&lt;pre&gt;&lt;code&gt;&amp;lt;form method="GET" action="https://creator.zoho.com/api/xml/sample/view/Employee_View"&amp;gt;
&amp;lt;input type="hidden" name ="authtoken" value="************"&amp;gt;
&amp;lt;input type="hidden" name ="zc_ownername" value="********"&amp;gt;
&amp;lt;input type="hidden" name="criteria" value='(PacienteSL=="Abilio Alfredo Finotti")'&amp;gt;
&amp;lt;input type="hidden" name ="scope" id="scope" value="creatorapi"&amp;gt;
&amp;lt;input type="submit" value="View Records"&amp;gt;
&amp;lt;/form&amp;gt;
&lt;/code&gt;&lt;/pre&gt;
</t>
  </si>
  <si>
    <t xml:space="preserve">&lt;p&gt;I have had some success using requests with urllib to make these kind of calls - something like the below should translate the above html. &lt;/p&gt;
&lt;pre&gt;&lt;code&gt;import requests
import urllib
param = urllib.parse.urlencode({"authtoken":"token_here", 
  "scope":"creatorapi",
  "zc_ownername":"owner_here",
  "criteria":'(PacienteSL=="Abilio Alfredo Finotti")'})
url = "https://creator.zoho.com/api/xml/{0}/view/{1}/{2}".format("sample", "Employee_View", param)
requests.get(url).content
&lt;/code&gt;&lt;/pre&gt;
</t>
  </si>
  <si>
    <t xml:space="preserve">&lt;p&gt;I created a PowerApp by connecting to Dynamics365 and choosing the 'Currencies" table. In the tutorial video I watched, the narrator was able to see his app's table in Dynamics365 and was able to add and edit the records in that table, which would then show up on the PowerApp and vice versa.&lt;/p&gt;
&lt;p&gt;When I bring up Dynamics365, I only see my PowerApps, I do not see a "Currencies" table. How can I see the Currencies table in Dynamics365? I have an Office365 Developer tenancy. &lt;/p&gt;
&lt;p&gt;I am using a canvas app.&lt;/p&gt;
&lt;p&gt;I attached images of my PowerApp, my Dynamics365 page, and the screenshot of the video I was watching that shows the presentor's Dynamics365 page which looks very different from mine and has the table with the data in it. He is using the Sales Leads table which I was not able to find in my list of Dynamics365 tables, that's why I used the Currencies table.&lt;/p&gt;
&lt;p&gt;[My power apps edit screen][1]   [1]: &lt;a href="https://i.stack.imgur.com/QTNYe.png" rel="nofollow noreferrer"&gt;https://i.stack.imgur.com/QTNYe.png&lt;/a&gt;&lt;/p&gt;
&lt;p&gt;[My Dynamics365 home page ][1]  [1]: &lt;a href="https://i.stack.imgur.com/WEtxi.png" rel="nofollow noreferrer"&gt;https://i.stack.imgur.com/WEtxi.png&lt;/a&gt;&lt;/p&gt;
&lt;p&gt;[Dynamics365 table from video][1]  [1]: &lt;a href="https://i.stack.imgur.com/WvtKn.png" rel="nofollow noreferrer"&gt;https://i.stack.imgur.com/WvtKn.png&lt;/a&gt;&lt;/p&gt;
</t>
  </si>
  <si>
    <t xml:space="preserve">&lt;p&gt;In that video tutorial - see the browser address bar, it says &lt;code&gt;https://xxxxx.crm.dynamics.com&lt;/code&gt; which is Dynamics 365 CRM, you can go there by clicking the &lt;code&gt;Dynamics 365 - custom&lt;/code&gt; tile in your &lt;code&gt;https://home.dynamics.com&lt;/code&gt;&lt;/p&gt;
&lt;p&gt;You are connecting to that Dynamics 365 instance in your canvas app as one of the Datasource connector. I can find it like below.&lt;/p&gt;
&lt;p&gt;&lt;a href="https://i.stack.imgur.com/uMPlP.png" rel="nofollow noreferrer"&gt;&lt;img src="https://i.stack.imgur.com/uMPlP.png" alt="enter image description here"&gt;&lt;/a&gt;&lt;/p&gt;
&lt;p&gt;One more thing, that video shows classic UI whereas you may land in UCI (Model driven PowerApp UI). &lt;a href="https://exptechsolutions.blogspot.com/2019/04/d365-ce-quick-hacks-switch-to-classic.html" rel="nofollow noreferrer"&gt;Read this tip&lt;/a&gt; to avoid surprises &amp;amp; confusions.&lt;/p&gt;
</t>
  </si>
  <si>
    <t xml:space="preserve">&lt;p&gt;I want to create the next pie chart with this structure data getted from an Excel&lt;/p&gt;
&lt;p&gt;&lt;a href="https://i.stack.imgur.com/4ZiqK.png" rel="nofollow noreferrer"&gt;Data from Excel&lt;/a&gt;&lt;/p&gt;
&lt;p&gt;But when I'm trying to get the data in PowerApps automatically it shows like this&lt;/p&gt;
&lt;p&gt;&lt;a href="https://i.stack.imgur.com/i3oUs.png" rel="nofollow noreferrer"&gt;Data from Excel with error&lt;/a&gt; &lt;/p&gt;
&lt;p&gt;How can I fix that?&lt;/p&gt;
</t>
  </si>
  <si>
    <t xml:space="preserve">&lt;p&gt;I'm trying to build a screen that handles creating new items for an entity while offline.&lt;/p&gt;
&lt;p&gt;Let's say the entity is called 'photo'; this is a Common Data Service data source in the current environment.&lt;/p&gt;
&lt;p&gt;It's pretty straightforward to make this work online:&lt;/p&gt;
&lt;ul&gt;
&lt;li&gt;Insert an 'Edit'-form (&lt;code&gt;Form1&lt;/code&gt;)&lt;/li&gt;
&lt;li&gt;Set the DataSource to 'photos' and set the mode to 'New'&lt;/li&gt;
&lt;li&gt;Configure the editable fields&lt;/li&gt;
&lt;li&gt;Add a 'Save' button that calls &lt;code&gt;SubmitForm(Form1)&lt;/code&gt; to save the data to the data source.&lt;/li&gt;
&lt;/ul&gt;
&lt;p&gt;Simple as that. When the save button is clicked the form is validated, and if the input is valid the data is saved to the data source; otherwise the UI is updated to reflect any found issues.&lt;/p&gt;
&lt;p&gt;Now change the scenario to offline. Upon clicking the save button, I want the item to be validated like before, save it to a local collection, and at a later point submit the items in the local collection to the data source.&lt;/p&gt;
&lt;p&gt;However, now I'm facing the following issues:&lt;/p&gt;
&lt;ul&gt;
&lt;li&gt;Can I use the &lt;code&gt;Form1.Valid&lt;/code&gt; property to check the validity of the data? Or does this validation require a connection?&lt;/li&gt;
&lt;li&gt;Making a call to &lt;code&gt;Form1.Valid&lt;/code&gt; will not update the UI (in the way that &lt;code&gt;SubmitForm&lt;/code&gt; will) if any issues arise during validation. How can I make it do so?&lt;/li&gt;
&lt;li&gt;How can I extract the data item from the form in a way that it's properly typed?&lt;br&gt;
I know I can retrieve the data fields directly like so:&lt;br&gt;
&lt;code&gt;Collect(newPhotos, {Name: DataCardValue1.Text, img: AddPicture1.Media, description: DataCardValue2.Text});&lt;/code&gt;&lt;br&gt;
However, that's simply creating a variable with a custom type. I want it to be typed 'properly' so I can display it in a gallery mixed with 'photo' objects that were saved to a local cache earlier. How can I achieve that?&lt;/li&gt;
&lt;li&gt;The code for the handler that submits new items, based on the save code above, is now the following:&lt;/li&gt;
&lt;/ul&gt;
&lt;pre&gt;&lt;code&gt;    ForAll( newPhotos,
      Patch( photos, { Name: Name, img: img, description: description } );
    );
    Clear( newPhotos );
&lt;/code&gt;&lt;/pre&gt;
&lt;p&gt;How should I handle failures that may occur during the 'Patch' of an individual item?&lt;/p&gt;
</t>
  </si>
  <si>
    <t xml:space="preserve">&lt;p&gt;I have a Sharepoint list "Equipment Log 3" which has these fields:&lt;/p&gt;
&lt;ul&gt;
&lt;li&gt;Item (renamed from the default "Title" field)&lt;/li&gt;
&lt;li&gt;First name&lt;/li&gt;
&lt;li&gt;Last Name&lt;/li&gt;
&lt;li&gt;Start Date&lt;/li&gt;
&lt;li&gt;End Date&lt;/li&gt;
&lt;/ul&gt;
&lt;p&gt;I tied this list to a Gallery in a canvas app screen. I have a TextSearch textbox that i am using as input for Search functionality.
When I set Gallery-&gt; Items to &lt;/p&gt;
&lt;pre&gt;&lt;code&gt;Search('Equipment Log 3', TextSearch.Text, "Title")
&lt;/code&gt;&lt;/pre&gt;
&lt;p&gt;everything works fine. See images below&lt;/p&gt;
&lt;p&gt;[search by text - blank value][1]   [1]: &lt;a href="https://i.stack.imgur.com/Yec7U.png" rel="nofollow noreferrer"&gt;https://i.stack.imgur.com/Yec7U.png&lt;/a&gt;&lt;/p&gt;
&lt;p&gt;[search by text - value][1]   [1]: &lt;a href="https://i.stack.imgur.com/t84Tl.png" rel="nofollow noreferrer"&gt;https://i.stack.imgur.com/t84Tl.png&lt;/a&gt;&lt;/p&gt;
&lt;p&gt;But when I set it to&lt;/p&gt;
&lt;pre&gt;&lt;code&gt;Search('Equipment Log 3', TextSearch.Text, "First Name")
&lt;/code&gt;&lt;/pre&gt;
&lt;p&gt;or &lt;/p&gt;
&lt;pre&gt;&lt;code&gt;Search('Equipment Log 3', TextSearch.Text, "First Name") 
&lt;/code&gt;&lt;/pre&gt;
&lt;p&gt;(as recommended in &lt;a href="https://docs.microsoft.com/en-us/powerapps/maker/canvas-apps/functions/function-filter-lookup" rel="nofollow noreferrer"&gt;https://docs.microsoft.com/en-us/powerapps/maker/canvas-apps/functions/function-filter-lookup&lt;/a&gt;)&lt;/p&gt;
&lt;p&gt;it gives an error stating  &lt;/p&gt;
&lt;pre&gt;&lt;code&gt;"The specified column First Name does not exist"
&lt;/code&gt;&lt;/pre&gt;
&lt;p&gt;[error first name ][1] [1]: &lt;a href="https://i.stack.imgur.com/z2uA9.png" rel="nofollow noreferrer"&gt;https://i.stack.imgur.com/z2uA9.png&lt;/a&gt;&lt;/p&gt;
&lt;p&gt;But that column exists since the Gallery's subtitle label is set to display Fist name &amp;amp; Last Name.&lt;/p&gt;
&lt;p&gt;[full name][1]   [1]: &lt;a href="https://i.stack.imgur.com/Tkf6Z.png" rel="nofollow noreferrer"&gt;https://i.stack.imgur.com/Tkf6Z.png&lt;/a&gt;&lt;/p&gt;
&lt;p&gt;Why is the search working for one column but not the other? &lt;/p&gt;
&lt;p&gt;Also, when I search by "Item", renamed from "Title", it does not work, but it works for "Title" the default field name given by Sharepoint when I created the list. Why is this so?&lt;/p&gt;
</t>
  </si>
  <si>
    <t xml:space="preserve">&lt;p&gt;Field names from sharepoint with spaces should have the spaces removed, so "FirstName" would work for you. That piece of documentation is out of date and I'm having it updated.&lt;/p&gt;
</t>
  </si>
  <si>
    <t xml:space="preserve">&lt;p&gt;Good afternoon, &lt;/p&gt;
&lt;p&gt;I am creating an app using sharepoint and powerapps, on powerapps I have a form that feeds from a sharepoint list. Now my problem is the following, when I create a new form I would like to submit from another sharepoint because it is going to be easier for me to create reports.&lt;/p&gt;
</t>
  </si>
  <si>
    <t xml:space="preserve">&lt;p&gt;If I understood you correctly, you have a Form tied to a Sharepoint List and you want to copy its contents to another Sharepoint List with the same column structure. Is that correct?&lt;/p&gt;
&lt;p&gt;If that is so, this is how you do it:&lt;/p&gt;
&lt;p&gt;1) Add both SharePoint Lists (List1 and List2) as DataSources to your app&lt;/p&gt;
&lt;p&gt;2) Set your form's Data source to List1&lt;/p&gt;
&lt;p&gt;3) Select the fields you want to edit&lt;/p&gt;
&lt;p&gt;4) Add a button to your form. Set the OnSelect value of the button to this:&lt;/p&gt;
&lt;pre&gt;&lt;code&gt;Patch( 'List2', Defaults( 'List2' ), { Column1: val1, Column2: val2, etc.. } )
&lt;/code&gt;&lt;/pre&gt;
&lt;p&gt;where val1, val2 etc.. are values you entered into your controls 
Ex:  = txtFirstName.Text,  ddlStartDate.SelectedDate etc..&lt;/p&gt;
&lt;p&gt;&lt;strong&gt;NOTE&lt;/strong&gt;: Your column names have to match the exact spelling of the column names on List 2. If you have any multi word column names, put them in single quotes. Ex: 'First Name'&lt;/p&gt;
&lt;p&gt;See: &lt;a href="https://docs.microsoft.com/en-us/powerapps/maker/canvas-apps/functions/function-patch" rel="nofollow noreferrer"&gt;https://docs.microsoft.com/en-us/powerapps/maker/canvas-apps/functions/function-patch&lt;/a&gt; &lt;/p&gt;
&lt;p&gt;and &lt;a href="https://docs.microsoft.com/en-us/powerapps/maker/canvas-apps/functions/function-defaults" rel="nofollow noreferrer"&gt;https://docs.microsoft.com/en-us/powerapps/maker/canvas-apps/functions/function-defaults&lt;/a&gt;&lt;/p&gt;
</t>
  </si>
  <si>
    <t xml:space="preserve">&lt;p&gt;I need to override the redirect on save of a force:createRecord lightning component.&lt;/p&gt;
&lt;pre&gt;&lt;code&gt;var eve = $A.get("e.force:createRecord");
eve.setParams({
    "entityApiName": "Opportunity",
    "defaultFieldValues": {
        "AccountId" : accountId
    },  
    "panelOnDestroyCallback": function(event) {
        console.log('test');
        //console.log(event.getParam("id"));
        var urlEvent = $A.get("e.force:navigateToURL");
        urlEvent.setParams({
            "url": "&amp;lt;some visualforce page url&amp;gt;",
            "isredirect": "true"
        }); 
        urlEvent.fire();
    }   
});
eve.fire();
&lt;/code&gt;&lt;/pre&gt;
</t>
  </si>
  <si>
    <t xml:space="preserve">&lt;p&gt;I'm having trouble getting a DateBox that is populated with the current date on the onAttach event to update the query builder in my datasource. It works fine when a user selects a date but remains empty when the page loads.&lt;/p&gt;
&lt;p&gt;Datasource Query Builder&lt;/p&gt;
&lt;pre&gt;&lt;code&gt;expected_date = :expected
&lt;/code&gt;&lt;/pre&gt;
&lt;p&gt;dateBox value:&lt;/p&gt;
&lt;pre&gt;&lt;code&gt;@datasource.query.parameters.expected
&lt;/code&gt;&lt;/pre&gt;
&lt;p&gt;onAttach - dateBox widget&lt;/p&gt;
&lt;pre&gt;&lt;code&gt;widget.value = new Date();
widget.datasource.load();
&lt;/code&gt;&lt;/pre&gt;
&lt;p&gt;DateBox onValueChange&lt;/p&gt;
&lt;pre&gt;&lt;code&gt;widget.datasource.load();
&lt;/code&gt;&lt;/pre&gt;
&lt;p&gt;I'm guessing that the problem is that the datasource query is running before I set the date in my dateBox. Any help would be greatly appreciated.&lt;/p&gt;
</t>
  </si>
  <si>
    <t xml:space="preserve">&lt;p&gt;due to it tickets &lt;a href="https://stackoverflow.com/questions/57754071/export-data-with-relations-in-excel/57773076#57773076"&gt;link&lt;/a&gt; I now have the problem "InternalError: Cannot convert Array to number[][]" .&lt;/p&gt;
&lt;p&gt;I'm telling you that setValues in line 81 causes problems. But I can't quite understand why. &lt;/p&gt;
&lt;p&gt;Maybe someone can help me find the error/problem.&lt;/p&gt;
&lt;pre&gt;&lt;code&gt; function baueSoftwareRow(Software, UnternehmenName) {
var UnternehmenVertragsgegenstand = Software.Vertragsgegenstand ;
var UnternehmenAnsprechpartnerD =Software.AnSP_Lieferant;
var UnternehmenVertragseigner =Software.Vetragseigner_Vertantwortlicher ;
/*var UnternehmenAnsprechpartnerNG =Software.Ansprechpartner || "";
var UnternehmenVertraege =Software.Vertraege || "";
var UnternehmenApp =Software.App || "";
var UnternehmenAVV =Software.AVV || "";
var UnternehmenNDA =Software.NDA || "";
var UnternehmenProjekt =Software.letztes_Projekt || "";
var UnternehmenKreditor =Software.Kreditor || "";
var UnternehmenKdnr =Software.KDNR || "";
var UnternehmenKlasse =Software.Klasse1 || "";
var UnternehmenISO270001 =Software.ISO270001 || "";
var UnternehmenDSGVO =Software.DSGVO_Taetigkeit || "";
var UnternehmenText_AVV1 =Software.Text_AVV_Taetigkeit || "";
var UnternehmenText_AVV2 =Software.Text_AVV_Bewertung || "";*/
var newRow = [UnternehmenName, UnternehmenVertragsgegenstand, UnternehmenAnsprechpartnerD, UnternehmenVertragseigner,/* UnternehmenAnsprechpartnerNG, UnternehmenVertraege, UnternehmenApp, UnternehmenAVV, UnternehmenNDA, UnternehmenProjekt,UnternehmenKreditor, UnternehmenKdnr, UnternehmenKlasse, UnternehmenISO270001, UnternehmenDSGVO, UnternehmenText_AVV1, UnternehmenText_AVV2*/ ]; //save Unternehmensdaten in a row
return newRow;      
&lt;/code&gt;&lt;/pre&gt;
&lt;p&gt;}&lt;/p&gt;
&lt;pre&gt;&lt;code&gt;function sammelSoftwareRows(allSoftware, UnternehmenName ) {
var data = [];
for (var j= 0; j&amp;lt; allSoftware.length; j++) {
      var newSoftWareRow = baueSoftwareRow(allSoftware[j], UnternehmenName);
      data.push(newSoftWareRow); //*
    }
return data;        
&lt;/code&gt;&lt;/pre&gt;
&lt;p&gt;}&lt;/p&gt;
&lt;p&gt;function baueUnternehmen(Unternehmen) {
    var UnternehmenName =Unternehmen.Hersteller;&lt;/p&gt;
&lt;pre&gt;&lt;code&gt;var allSoftware = Unternehmen.Software; //*
var gesammelteSoftwareDiesesUnternehmens = sammelSoftwareRows(allSoftware, UnternehmenName);
    return gesammelteSoftwareDiesesUnternehmens;
&lt;/code&gt;&lt;/pre&gt;
&lt;p&gt;}&lt;/p&gt;
&lt;pre&gt;&lt;code&gt;//define function to do the data export 
function ExportDaten(SoftwareUnternehmen) {
  //create sheet to populate data
  var fileName = new Date()+"Dienstleisterverzeichnis "; //file name
  var newExport = SpreadsheetApp.create(fileName); // create new spreadsheet
  var header = ["Name", "Vertragsgegenstand", "Ansprechpartner Dienstleister","Vertragseigner bzw. Verantwortlicher ",/*"Ansprechpartner ","Verträge","App","AVV","NDA","letztes Projekt bzw. letzter Kontakt","Kreditor#","Kdnr beim Lieferanten","Klasse","ISO270001?","DSGVO Tätigkeit nach Verfahrensverzeichnis","Text AVV: Tätigkeit","Text AVV: Bewertung"*/]; //define header
  newExport.appendRow(header); // append header to spreadsheet
  var data = []; //*
  //get all Unternehmen records
  var ds = app.models.Unternehmen.newQuery();
  ds.prefetch.Software._add(); //*
  var allUnternehmen = ds.run();
   // Sets a rollback point and starts a new transaction.
  //app.transaction.cloudSql.start();
   // Locks all records that are read in the transaction until the end of the transaction.
 // app.transaction.cloudSql.setLockOnRead(app.transaction.cloudSql.lockOnRead.UPDATE);
  for(var i=0; i&amp;lt; allUnternehmen.length; i++) {
    //get each student data
    var Unternehmen = allUnternehmen[i];
  //  console.log(Unternehmen.Hersteller);
    if (Unternehmen.Hersteller !== ""){
    var Zeilen = baueUnternehmen(Unternehmen);
    for(var Zeile in Zeilen){
    //  console.log(Zeile);
      data.push(Zeile);
    }
    }
  //console.log("Export fertig");
}
  console.log("Laenge: " + data.length);
  console.log("Laenge: " + header.length);
  console.log(data);
newExport.getActiveSheet().getRange(2,1,data.length+1,header.length).setValues(data); //*  HIER IST DER FEHLER BEI setValues
console.log("Export fertig");
&lt;/code&gt;&lt;/pre&gt;
&lt;p&gt;}&lt;/p&gt;
&lt;p&gt;&lt;a href="https://i.stack.imgur.com/LP45z.jpg" rel="nofollow noreferrer"&gt;Errormessage in log&lt;/a&gt;
many thanks in advance&lt;/p&gt;
</t>
  </si>
  <si>
    <t xml:space="preserve">&lt;p&gt;I know that outsystem is low code platform but i just wanted to know how Red hat fuse is similar to outsystem because i read one article related to Fuse. According those its also a drag and drop feature or tool. So can you please describe more about Red Hat fuse compare to Outsystem ?&lt;/p&gt;
</t>
  </si>
  <si>
    <t xml:space="preserve">&lt;p&gt;I'm building a form using google app maker. Now I want to implement something so That I can save the name/Email of the user who is submitting the form without entering their own email address. But I have no idea how to do that. But when they send email, it shows their gmail address.&lt;/p&gt;
&lt;p&gt;Thanks in Advance&lt;/p&gt;
</t>
  </si>
  <si>
    <t xml:space="preserve">&lt;p&gt;Don't know If someone still need help with this. Try to add in your client script&lt;/p&gt;
&lt;pre&gt;&lt;code&gt;app.Datasource.YourDataSource.item.YourField = app.user.username;
&lt;/code&gt;&lt;/pre&gt;
&lt;p&gt;This worked for me.&lt;/p&gt;
</t>
  </si>
  <si>
    <t xml:space="preserve">&lt;p&gt;I have a table that has a button on each row to assign a arrival boolean and timestamp on the record in the row. When I click the button that record is not showing as updated on the client. If I refresh the browser or use a button to reload the datasource, the changes are seen.&lt;/p&gt;
&lt;p&gt;The datasource model is Guests with a query script datasource of Guests_unchecked. The query script only displays guests that have not arrived, thus widget.datasource.item.arrived = false.&lt;/p&gt;
&lt;p&gt;When I click the check in button this script is fired.&lt;/p&gt;
&lt;pre&gt;&lt;code&gt;widget.datasource.item.arrived = true;
widget.datasource.item.arrival_timestamp = new Date();
widget.datasource.load();
&lt;/code&gt;&lt;/pre&gt;
&lt;p&gt;No updates to the datasource appear until I reload the page.&lt;/p&gt;
&lt;p&gt;Any help would be appreciated.&lt;/p&gt;
&lt;p&gt;Thanks&lt;/p&gt;
</t>
  </si>
  <si>
    <t xml:space="preserve">&lt;p&gt;I can't get this to work!!!&lt;/p&gt;
&lt;p&gt;I have a visitor registration powerapp, my data source is sharepoint list.The selectoffice column is a people column and the show filed is office.&lt;/p&gt;
&lt;p&gt;&lt;a href="https://i.stack.imgur.com/JB4oe.png" rel="nofollow noreferrer"&gt;sp column&lt;/a&gt;&lt;/p&gt;
&lt;p&gt;I have a gallery for the administrators to mass checkout visitors for their office.&lt;/p&gt;
&lt;p&gt;If I'm logging and my office is Toronto, I want to see the visitors in the Toronto Office.&lt;/p&gt;
&lt;p&gt;O35.Officelocation="selectOffice".LOCATION
But location is not available for selection. only display name, claims,email, image, department.
Can some one help me ?&lt;/p&gt;
&lt;p&gt;Thank you for your help!&lt;/p&gt;
</t>
  </si>
  <si>
    <t xml:space="preserve">&lt;p&gt;How to customize ForgotPasswordInterstitial page in Salesforce?&lt;/p&gt;
&lt;p&gt;I know we can customize login, change password page for a community in Salesforce. Is there a way to customize ForgotPasswordInterstitial page in Salesforce? &lt;/p&gt;
&lt;p&gt;This is the intermediate page that comes after we enable the option 'Don't immediately expire links in forgot password emails'.&lt;/p&gt;
</t>
  </si>
  <si>
    <t xml:space="preserve">&lt;p&gt;I have recently launched an App Maker application that uses Default Cloud SQL as the database. Even though the connection between the app and database works fine most of the time, I am consistently receiving below error:&lt;/p&gt;
&lt;p&gt;Exception: Execution Failed. More information: Unable to connect to database: Communications link failure The last packet sent successfully to the server was 0 milliseconds ago. The driver has not received any packets from the server..&lt;/p&gt;
&lt;p&gt;This error makes me think that we might be running out of database connections since we are making use of a shared Cloud SQL instance; however, I am still not sure if we are doing something wrong from the application side.&lt;/p&gt;
&lt;p&gt;Considering that this application serves a wide range of users and attracts a considerable user traffic together with many database pull/push operations, I tend to think that the problem might be running out of connections.&lt;/p&gt;
&lt;p&gt;I would appreciate any ideas, thank you.&lt;/p&gt;
</t>
  </si>
  <si>
    <t xml:space="preserve">&lt;p&gt;All the videos I watch, show Tree View and Screens View options on the left side of a screen. For some reason, I can only see the Tree View and not the Screens View option. How can I see the Screens View option? &lt;/p&gt;
&lt;p&gt;&lt;a href="https://i.stack.imgur.com/K8N3R.png" rel="nofollow noreferrer"&gt;&lt;img src="https://i.stack.imgur.com/K8N3R.png" alt="my screen"&gt;&lt;/a&gt;&lt;/p&gt;
</t>
  </si>
  <si>
    <t xml:space="preserve">&lt;p&gt;I think you are watching last year videos - where the previous version of canvas app designer being used. There were two views - Tree view &amp;amp; Thumbnail view. Refer the below screenshot from &lt;a href="https://powersweet.blog/2018/08/05/learning-from-a-powerapp-created-from-data-part-2-powerapps-studio/" rel="nofollow noreferrer"&gt;this blog&lt;/a&gt;:&lt;/p&gt;
&lt;p&gt;&lt;a href="https://i.stack.imgur.com/bt4Mq.png" rel="nofollow noreferrer"&gt;&lt;img src="https://i.stack.imgur.com/bt4Mq.png" alt="enter image description here"&gt;&lt;/a&gt;&lt;/p&gt;
&lt;p&gt;App designer is rapidly evolving, so lot of options getting changed quicker. Sometimes options are getting removed as well, like the thumbnail view you are pointing out.&lt;/p&gt;
</t>
  </si>
  <si>
    <t xml:space="preserve">&lt;p&gt;First, is there an official CS term for sending things between the front end and back end? I just made up "the wall" but I would like a cooler term.&lt;/p&gt;
&lt;p&gt;So in appmaker it seems you cannot pass whole records through to the backend (although you can handle them on either end). &lt;/p&gt;
&lt;p&gt;So basically what I was doing was &lt;/p&gt;
&lt;p&gt;get set of records, divide into chunks&lt;/p&gt;
&lt;pre&gt;&lt;code&gt;var records = app.datasources.filesToProcess.items;
&lt;/code&gt;&lt;/pre&gt;
&lt;p&gt;call backend process one time per chunk with this&lt;/p&gt;
&lt;pre&gt;&lt;code&gt;google.script.run.withSuccessHandler(onSuccess).backendProcess(records, start, end);
&lt;/code&gt;&lt;/pre&gt;
&lt;p&gt;This allows for a kind of multithreading. The problem is passing records. Is there an easy way to get just the IDS from a set of records client side so I can pass those as an array in place of the records? Passing the record object itself gives an error. &lt;/p&gt;
</t>
  </si>
  <si>
    <t xml:space="preserve">&lt;p&gt;I want to change the icon of the default checkbox widget with ones available from: material.io/resources/icons/&lt;/p&gt;
&lt;p&gt;E.g. 'keyboard_arrow_right' before click (or value change) and 'keyboard_arrow_down' after click (value change).&lt;/p&gt;
&lt;p&gt;How can I achieve this?&lt;/p&gt;
&lt;p&gt;The reason I want to do this is because I want to take advantage of binding the visibility of other UI elements so that they hide / unhide on value change. (This is easy and there is an example in Material Gallery official Google template).&lt;/p&gt;
&lt;p&gt;I want to change the icon because of UX reasons.&lt;/p&gt;
&lt;p&gt;Alternatively I'd use a button (icon). I don't know how to make it work that way.&lt;/p&gt;
</t>
  </si>
  <si>
    <t xml:space="preserve">&lt;p&gt;To use an icon button to get this accomplished, set a default value in the button text field for how you want the button icon to initially appear which should match whatever state you want the details to appear in, i.e. hidden or unhidden.&lt;/p&gt;
&lt;p&gt;Bind the visibility of your hide/unhide element(s) to &lt;code&gt;@widget.root.descendants.YourButton.text === 'keyboard_arrow_down'&lt;/code&gt; and then put the following in the onClick event of the button:&lt;/p&gt;
&lt;pre&gt;&lt;code&gt;if (widget.text === 'keyboard_arrow_right') {
  widget.text = 'keyboard_arrow_down';
} else {
  widget.text = 'keyboard_arrow_right';
}
&lt;/code&gt;&lt;/pre&gt;
&lt;p&gt;So if you set your button text property to 'keyboard_arrow_right' in this setup, then your elements/details would be hidden on page load.&lt;/p&gt;
</t>
  </si>
  <si>
    <t xml:space="preserve">&lt;p&gt;I am fairly new to powerapps, but it sounds like there is a major limitation on being able to return values for a SQL Server stored procedure. &lt;/p&gt;
&lt;p&gt;I have an app that when you push a button pulls data from various controls on screen and submits it to a stored procedure. This is done by invoking a flow. The code is basically : &lt;/p&gt;
&lt;pre&gt;&lt;code&gt;EditPuddles.Run(ActionDrop.Selected.Value, PuddlesText.Text,
                ClassicDrop.Selected.Value, ServiceRates.Text, User().FullName)
&lt;/code&gt;&lt;/pre&gt;
&lt;p&gt;The code works and does what it is supposed to. However, what I need now more than anything is it to tell me when it fails or succeeds. &lt;/p&gt;
&lt;p&gt;Ideally I would have it return  a values that I could use to determine if I should display a success or failure message. I get that I cannot return a data set, but it must at least be able to tell if there is an error. &lt;/p&gt;
</t>
  </si>
  <si>
    <t xml:space="preserve">&lt;p&gt;I have a calculator whose output i need to display on Submit button. The output comes from a decision tree running in Zoho Workflow module using deluge script.&lt;/p&gt;
&lt;p&gt;1) Have tried storing the output in workflow as a string and then passing it back to a form field&lt;/p&gt;
&lt;p&gt;2) Tried creating a zoho page for output display but unable to link output of workflow and zoho page&lt;/p&gt;
&lt;pre&gt;&lt;code&gt;if(input.Price &amp;gt; input.Income)
{
    if(input.EMI_Exp &amp;lt; 0.6)
    {
    info "Take the Personal Loan as you can easily manage the EMI. 
    If you choose a credit card then you  will mess your cashflow";
    }
    else
    {
    info "No Personal Loan, No Using Credit Card. You are stretching 
    yourself by purchasing this";
    }
}
else
&lt;/code&gt;&lt;/pre&gt;
&lt;p&gt;Need to pass the info information to a decision box ( text) in Zoho form.&lt;/p&gt;
</t>
  </si>
  <si>
    <t xml:space="preserve">&lt;p&gt;Is there a way in App Maker to know if the Preview is running or if it is a Deployment? If not is there a server-side script that can get the Cloud SQL database name being used?&lt;/p&gt;
</t>
  </si>
  <si>
    <t xml:space="preserve">&lt;p&gt;&lt;strong&gt;The case&lt;/strong&gt;&lt;/p&gt;
&lt;p&gt;1 - I have an accordion widget with datasource Tasks.&lt;br&gt;
2. - I have a form to display info on a selected Task. It has a datasource TaskByKey.&lt;/p&gt;
&lt;p&gt;&lt;strong&gt;The sought solution:&lt;/strong&gt;&lt;/p&gt;
&lt;ul&gt;
&lt;li&gt;&lt;p&gt;There is a button on both Tasks AccordionRow.&lt;/p&gt;&lt;/li&gt;
&lt;li&gt;&lt;p&gt;onClick the button should, based on the Key of the item of the AccordionRow load its data in the form with datasource TaskByKey.&lt;/p&gt;&lt;/li&gt;
&lt;/ul&gt;
&lt;p&gt;&lt;strong&gt;What I tried:&lt;/strong&gt;&lt;/p&gt;
&lt;p&gt;I tried implementing the solution given as an example in Google's template, Project Tracker:&lt;/p&gt;
&lt;pre&gt;&lt;code&gt;/**
 * Navigates user to the specific project view page.
 * @param {!string} projectKey - project key to view.
 * @param {boolean=} forceReplace - optional flag that forces to replace URL
 *     state in cases when state push would be normally used.
 */
function gotoViewProjectPageByKey(projectKey, forceReplace) {
  var params = {
    projectKey: projectKey
  };
  gotoViewProjectPageByParams(params, forceReplace);
}
&lt;/code&gt;&lt;/pre&gt;
&lt;p&gt;Of course the above example targets a page, where as I want to change the datasource of an element on the same page.&lt;/p&gt;
&lt;p&gt;&lt;strong&gt;TLDR&lt;/strong&gt;&lt;/p&gt;
&lt;p&gt;How can I set the onClick event of a button to load an item by key from datasource_X to datasource_X_byKey?&lt;/p&gt;
</t>
  </si>
  <si>
    <t xml:space="preserve">&lt;p&gt;Considering the fact that your &lt;strong&gt;TaskByKey&lt;/strong&gt; pretends to filter only a specific task... you can put the following on the &lt;strong&gt;onClick&lt;/strong&gt; event of the button.&lt;/p&gt;
&lt;pre&gt;&lt;code&gt;var taskKey = widget.datasource.item._key;
var ds = app.datasources.TaskByKey;
ds.query.filters._key._equals = taskKey;
ds.load();
//Then, here you either navigate to a page or open a dialog or open a popup.
&lt;/code&gt;&lt;/pre&gt;
&lt;p&gt;The above will work considering that your &lt;strong&gt;Tasks&lt;/strong&gt; datasource and your &lt;strong&gt;TaskByKey&lt;/strong&gt; datasource come from the same model.&lt;/p&gt;
&lt;p&gt;Reference: &lt;a href="https://developers.google.com/appmaker/scripting/api/client#Query" rel="nofollow noreferrer"&gt;https://developers.google.com/appmaker/scripting/api/client#Query&lt;/a&gt;&lt;/p&gt;
</t>
  </si>
  <si>
    <t xml:space="preserve">&lt;p&gt;I'm trying to get a Validation Rule on my opportunities that only fires when a non-admin tries to Close Win.  However, I'm running into a problem when a non-admin user moves the opportunity to Closed Lost (which I want them to be able to do)&lt;/p&gt;
&lt;p&gt;I've tried different variations of the rule below.  I cannot find a separate stage name for Closed, Closed Won, &amp;amp; Closed Lost.&lt;/p&gt;
&lt;p&gt;AND (&lt;/p&gt;
&lt;p&gt;ISPICKVAL(StageName, "Closed Won"),&lt;/p&gt;
&lt;p&gt;$User.Id &amp;lt;&gt; "005j000000FPcwR")&lt;/p&gt;
&lt;p&gt;The Validation Rule should only fire on Closed Won, not Closed Lost&lt;/p&gt;
</t>
  </si>
  <si>
    <t xml:space="preserve">&lt;p&gt;I'm using Outsystems Service Studio to develop a web application. I need to configure a connection to access a local server database. I get "Connection String test failed: &lt;/p&gt;
&lt;blockquote&gt;
  &lt;p&gt;Unable to connect to any of the specified SQL hosts.&lt;/p&gt;
&lt;/blockquote&gt;
&lt;p&gt;But I am able to connect the same database via MS SQL Server Management Studio", what is wrong?.&lt;/p&gt;
&lt;p&gt;Please find the below image for more details about the connection issue.&lt;/p&gt;
&lt;p&gt;&lt;a href="https://i.stack.imgur.com/6i9Um.png" rel="nofollow noreferrer"&gt;&lt;img src="https://i.stack.imgur.com/6i9Um.png" alt="enter image description here"&gt;&lt;/a&gt;&lt;/p&gt;
</t>
  </si>
  <si>
    <t xml:space="preserve">&lt;p&gt;1.When we copy &amp;amp; paste, sometimes Unicode characters will there. So need to type and fill our server details instead of copy&amp;amp;paste. &lt;/p&gt;
&lt;p&gt;2.And Application Name should be full server name and then the server name should be server Ip only as like below.&lt;/p&gt;
&lt;pre&gt;&lt;code&gt;[![enter image description here][1]][1]
[1]: https://i.stack.imgur.com/ZOfhy.png
&lt;/code&gt;&lt;/pre&gt;
</t>
  </si>
  <si>
    <t xml:space="preserve">&lt;p&gt;I am a iOS developer from China, and I developed a recording application based on AudioUnit. When I tested it on my iPhone6s using the 3.5 mm plug earphone，it worded well and it collected 1024 bytes per frame. But when I tested it on those iPhone which don't have 3.5mm plug, the AudioUnit collected 940 bytes per frame and it reported error.&lt;/p&gt;
&lt;p&gt;I tried to test my app on my iPhone 6s using the lightning plug earphone, and it also worked well.&lt;/p&gt;
</t>
  </si>
  <si>
    <t xml:space="preserve">&lt;p&gt;First of all, I am very new to the Salesforce platform. So apologies in advance if this is very straight forward and obvious. &lt;/p&gt;
&lt;p&gt;So we are migrating our old app (based on .net platform) to Salesforce Community Cloud. One of the components in the app connects to the third party API service. The third party API endpoint uses Basic Authentication. We use service account credentials to generate basic authentication header.&lt;/p&gt;
&lt;p&gt;We want to insert this component in a page using community builder. So whenever users visit the page, the component will pick the properties from logged in user, hit the third party API, get the required information and show on the page. &lt;/p&gt;
&lt;p&gt;Is this doable in Salesforce? If yes, what is the best preferred way of achieving this? &lt;/p&gt;
</t>
  </si>
  <si>
    <t xml:space="preserve">&lt;p&gt;Code-based approach - If your API is HTTP-based it's easy to implement in Salesforce via &lt;a href="https://trailhead.salesforce.com/content/learn/modules/apex_integration_services" rel="nofollow noreferrer"&gt;Apex callouts&lt;/a&gt;. The service account credentials should live in an instance of a &lt;a href="https://developer.salesforce.com/docs/atlas.en-us.apexcode.meta/apexcode/apex_callouts_named_credentials.htm" rel="nofollow noreferrer"&gt;Named Credential&lt;/a&gt;, it works together with a callout. Named Credential will automatically generate a Basic Auth header for you; this option in the Named Credential config screen is unhelpfully called "Password Authentication".&lt;/p&gt;
&lt;p&gt;Declarative-ish approach: take a look at &lt;a href="https://trailhead.salesforce.com/content/learn/modules/external-services" rel="nofollow noreferrer"&gt;External Services&lt;/a&gt;:&lt;/p&gt;
&lt;blockquote&gt;
  &lt;p&gt;With External Services, you use SF tools to import Swagger or
  Interagent-based API definitions right into Salesforce using a schema.
  Once you import the definitions, you can create a flow based on the
  Apex classes generated from your External Services registration.&lt;/p&gt;
&lt;/blockquote&gt;
</t>
  </si>
  <si>
    <t xml:space="preserve">&lt;p&gt;I have a picklist field with following values:
1)fall 2019
2)Winter 2019
3)summer 2018&lt;/p&gt;
&lt;p&gt;I have one more formula filed in the same object. If an user selects Fall 2019 from the picklist , the formula field should return 8193. 
8 - default for all cases
19 - year
3 - value for fall(in the same manner 2 is value for winter and 4 is value for summer).&lt;/p&gt;
&lt;p&gt;Please help me to write a formula.&lt;/p&gt;
</t>
  </si>
  <si>
    <t xml:space="preserve">&lt;p&gt;This is how your formula would be:&lt;/p&gt;
&lt;p&gt;&lt;code&gt;IF (NOT(ISBLANK(TEXT(Picklist__c))), "8" &amp;amp; RIGHT(TEXT(Picklist__c), 2) &amp;amp; 
    CASE(LEFT(TEXT(Picklist__c),Find(" ", TEXT(Picklist__c))-1), 
        "Fall", "3", 
        "Winter", "2", 
        "Summer", "4", 
        "")
, "")&lt;/code&gt;&lt;/p&gt;
&lt;p&gt;Change &lt;code&gt;Picklist__c&lt;/code&gt; with your Pick List field api name.&lt;/p&gt;
</t>
  </si>
  <si>
    <t xml:space="preserve">&lt;p&gt;I am trying to create a Kanban view based on several relationships between datasources.&lt;/p&gt;
&lt;p&gt;&lt;strong&gt;The case&lt;/strong&gt;&lt;/p&gt;
&lt;p&gt;I have: 
- &lt;em&gt;Tasks&lt;/em&gt; datasource
- &lt;em&gt;Task_Stages&lt;/em&gt; datasource (e.g. To Do / Doing / Done)
- Tasks many-to-many relationship with Tasks as in Master Task / Sub-Tasks&lt;/p&gt;
&lt;p&gt;&lt;strong&gt;The Issue&lt;/strong&gt;&lt;/p&gt;
&lt;p&gt;I am trying to use grid-layout and its grid-cells as the typical "List" in a Kanban. Where lists are representing the Stages&lt;/p&gt;
&lt;p&gt;Within a grid-cell I am trying to set a List-layout widget to represent a typical Kanban item.&lt;/p&gt;
&lt;p&gt;If I set the grid's datasource to Task_Stages, each grid-cell would represent a state, e.g. To do / doing / done. In this case, the list-layout widget would show absolutely &lt;strong&gt;all&lt;/strong&gt; Task records. &lt;/p&gt;
&lt;p&gt;I am struggling to set it to show only Tasks, which are related as Sub-Tasks to a selected Task.&lt;/p&gt;
&lt;p&gt;&lt;strong&gt;What I tried&lt;/strong&gt;&lt;/p&gt;
&lt;p&gt;I've tried a large number of relationship combinations using several layers of panels, but all fail. &lt;/p&gt;
&lt;p&gt;e.g. I set up a &lt;em&gt;Main-Panel&lt;/em&gt; as Task:Sub-Tasks, then the grid as Sub-Task:Stages - in this case it shows only 1 grid cell that represents the stage of the first sub-task record.&lt;/p&gt;
&lt;p&gt;This is how it looks with the above example:&lt;/p&gt;
&lt;p&gt;&lt;a href="https://i.stack.imgur.com/HXFkA.png" rel="nofollow noreferrer"&gt;&lt;img src="https://i.stack.imgur.com/HXFkA.png" alt="enter image description here"&gt;&lt;/a&gt;&lt;/p&gt;
&lt;p&gt;*Only one Stage is shown, instead of showing all stages as different "lists"(grid-cells)&lt;/p&gt;
&lt;p&gt;*The tasks visualized in the cell do not bear the relationship with the master task and are just tasks that have that stage type selected&lt;/p&gt;
&lt;hr&gt;
&lt;p&gt;Is there another way I can achieve this?&lt;/p&gt;
</t>
  </si>
  <si>
    <t xml:space="preserve">&lt;p&gt;My datasource "unit" has a relation to the datasource of many "tenants". My page that shows the "unit" also shows all the related "tenants". I'd like to add a button that creates a form popup to add another tenant to the specific "unit". The problem is, this popup form shows a list of all possible "unit" relations in the auto generated relations list. &lt;/p&gt;
&lt;p&gt;My work around is to create a property on the popup form and set it to the key of the "unit". I then assign the key to the unit_fk field which google has listed as depreciated. When the item is created the proper relation is in place and the "tenant" shows up under the correct "unit"&lt;/p&gt;
&lt;p&gt;What is the proper way to accomplish this since the use of _fk will be removed in the future? I am not sure how to pass the proper relation to the popup form.&lt;/p&gt;
</t>
  </si>
  <si>
    <t xml:space="preserve">&lt;p&gt;Problem is while trying to select the branch and click on "Ok" button internally we are calling a server action using "Ajax Submit" and based on response we are clicking a hidden button to trigger another "Ajax Submit" action. &lt;/p&gt;
&lt;p&gt;But below error i am getting while click on "Ok" button. Not sure what is the issues. If anybody have any idea about this type of issue and how to solve will be a great help.&lt;a href="https://i.stack.imgur.com/2W05B.png" rel="nofollow noreferrer"&gt;&lt;img src="https://i.stack.imgur.com/2W05B.png" alt="enter image description here"&gt;&lt;/a&gt;&lt;/p&gt;
</t>
  </si>
  <si>
    <t xml:space="preserve">&lt;p&gt;I have a table displaying vacation requests from employees. Right now I'm displaying requests from all years in that table with the "onAttach" event. I want to implement a dropdown with a binding to the "year" column in my external sql data. so whenever I select a year out of that dropdown, I want the table to update only showing requests from that specific year in the table. How do I implement it?&lt;/p&gt;
&lt;p&gt;the onAttach function &lt;code&gt;loadHolidayTable()&lt;/code&gt; of the table leads to this client function&lt;/p&gt;
&lt;pre&gt;&lt;code&gt;function loadHolidayTable() {
  app.datasources.HolidayModel.load({
    failure: function (error) {
      displayTimedSnackbar('Unable to load holidays table: ' + error);
    }
  });
}
&lt;/code&gt;&lt;/pre&gt;
&lt;p&gt;My Server Script in the datasource "HolidayModel"&lt;/p&gt;
&lt;pre&gt;&lt;code&gt;return calculateHolidayModel(query);
&lt;/code&gt;&lt;/pre&gt;
&lt;p&gt;leads to this server function:&lt;/p&gt;
&lt;pre&gt;&lt;code&gt;function calculateHolidayModel(query) {
  var queryStr = '';
  var currentYear = null; --&amp;gt; to be replaced by dropdown value
  if (currentYear === null || currentYear == 'undefined') {
    queryStr = 'SELECT * FROM Holidays WHERE employeeID = ' + "'" + empID + "'";
  }
  else {
    queryStr = 'SELECT * FROM Holidays WHERE employeeID = ' + "'" + empID + "'" + ' AND year = ' + "'" + currentYear + "'";
  }
  console.log(queryStr);
  //var dayRecords = [];
  var holidayRecords = [];
  var connection = getJDBCConnection_();
  var statement = connection.prepareStatement(queryStr);
  try {
    var results = statement.executeQuery();
    while(results.next()) {
      var holidayRecord = app.models.HolidayModel.newRecord();
      holidayRecord.ID = results.getInt(2);
      holidayRecord.From = new Date(results.getString(3));
      holidayRecord.To = new Date(results.getString(4));
      holidayRecord.Status = results.getString(5);
      holidayRecords.push(holidayRecord);
      console.log(results.getInt(2));
    }
    results.close();
    statement.close();
  } catch (err) {
    console.log(err);
  }
  return holidayRecords;
}
&lt;/code&gt;&lt;/pre&gt;
&lt;p&gt;&lt;code&gt;currentYear&lt;/code&gt; should be replaced by the value from the dropdown.&lt;/p&gt;
&lt;p&gt;any suggestions are welcome!&lt;/p&gt;
</t>
  </si>
  <si>
    <t xml:space="preserve">&lt;p&gt;If I develop an application with powerapps :
- How I can send it to many users.
- Does each user consider as a license I have to pay for? &lt;/p&gt;
&lt;p&gt;Thanks in advance ...&lt;/p&gt;
</t>
  </si>
  <si>
    <t xml:space="preserve">&lt;p&gt;I'm trying to build a custom component to display the feed associated with our cases on our support community as there are a number of features that we are not fond of with the default feed layout.&lt;/p&gt;
&lt;p&gt;I've put together a layout of the feed component, but am running into an issue when using the  output component, however the image links appear to come through in the following format &lt;/p&gt;
&lt;p&gt;&lt;code&gt;&amp;lt;img src="sfdc://0691g000000Fu3ZAAS"&amp;gt;&amp;lt;/img&amp;gt;&lt;/code&gt;&lt;/p&gt;
&lt;p&gt;This URL isn't resolving. Is there an easy way to display images with this format in a custom lightning component? Or do I have to do some trickery with the apex controller to query the Content Version ID, and then manually overwrite the links to the images using the long form URL (/sfc/servlet.shepherd/version...etc.)?&lt;/p&gt;
</t>
  </si>
  <si>
    <t xml:space="preserve">&lt;p&gt;I have two tables : Invoice_stat and PMLprojects.&lt;/p&gt;
&lt;p&gt;EER Diagram :
Invoice_stat&lt;br&gt;
- invoice_id INT(11)&lt;br&gt;
- other fields&lt;br&gt;&lt;br&gt;&lt;/p&gt;
&lt;p&gt;PMLProjects&lt;br&gt;
-id int(11)&lt;br&gt;
- other fields&lt;br&gt;&lt;br&gt;&lt;/p&gt;
&lt;p&gt;Relation :&lt;br&gt;
Invoice_stat&lt;br&gt;
Name : PMLProjects&lt;br&gt;
Count : One&lt;br&gt;
Ownership : blank&lt;br&gt;&lt;br&gt;&lt;/p&gt;
&lt;p&gt;Name : Invoice_stat&lt;br&gt;
Count : Many&lt;br&gt;
Ownership : blank&lt;br&gt;&lt;br&gt;&lt;/p&gt;
&lt;p&gt;(sorry, I want to put picture actually, but I need more reputation to put picture :)&lt;/p&gt;
&lt;p&gt;One project sometime have many Invoice, because it's invoice generated monthly.&lt;/p&gt;
&lt;p&gt;When I check on table, it show foreign_key on invoice_stat table. &lt;/p&gt;
&lt;pre&gt;&lt;code&gt;CREATE TABLE `Invoice_stat` (
 `Invoice_id` int(11) NOT NULL AUTO_INCREMENT,
 `EmailStatus` varchar(255) DEFAULT NULL,
 `PaidStatus` varchar(255) DEFAULT NULL,
 `Invoice_Number` int(11) DEFAULT NULL,
 `DateCreate` datetime DEFAULT NULL,
 `PMLprojects_fk` int(11) DEFAULT NULL,
 PRIMARY KEY (`Invoice_id`),
 KEY `PMLprojects_fk` (`PMLprojects_fk`),
 CONSTRAINT `Invoice_stat_ibfk_1` FOREIGN KEY (`PMLprojects_fk`) REFERENCES `PMLprojects` (`Id`)
) ENGINE=InnoDB AUTO_INCREMENT=190145 DEFAULT CHARSET=utf8 |
&lt;/code&gt;&lt;/pre&gt;
&lt;p&gt;but, when I check on PMLproject table, no foreign key.&lt;/p&gt;
&lt;p&gt;My problem is, when I create record in Invoice_stat, with click a button, it always show NULL on Invoice_stat table (PMLprojects_fk).&lt;/p&gt;
&lt;p&gt;To create table on Invoice_stat, I use script on server :&lt;/p&gt;
&lt;pre&gt;&lt;code&gt;function createCaseStatusWithItem() {
 // Automatically number todo lists for the user.
 var lock = LockService.getScriptLock();
 lock.waitLock(10000);
 var query = app.models.Invoice_stat.newQuery();
 var allTodoLists = query.run();
 var todoList = app.models.Invoice_stat.newRecord();
 now = new Date();
todoList.Invoice_id;
 todoList.Invoice_Number = allTodoLists.length + 1;
 todoList.EmailStatus = "Yes";
 todoList.PaidStatus = "No";
 todoList.DateCreate = now;
 app.saveRecords([todoList]);
 lock.releaseLock();
 } 
&lt;/code&gt;&lt;/pre&gt;
&lt;p&gt;How to fix this problem ?&lt;/p&gt;
</t>
  </si>
  <si>
    <t xml:space="preserve">&lt;p&gt;I need with a script to select a specific record of a datasource e change the value of quantity field. &lt;/p&gt;
&lt;p&gt;I have this datasource = Products
I want to change the quantity of the product with ID: C11&lt;/p&gt;
&lt;p&gt;In my script i wrote:&lt;/p&gt;
&lt;pre&gt;&lt;code&gt;g = app.datasources.Products.selectKey("C11");
g.quantity = 1;
&lt;/code&gt;&lt;/pre&gt;
&lt;p&gt;Error:
TypeError: Cannot set property "quantity" of null to "1".&lt;/p&gt;
</t>
  </si>
  <si>
    <t xml:space="preserve">&lt;p&gt;I am designing an asset management PowerApp which is based on a SharePoint Online list. It takes fields such as type of item (eg. laptop, server or printer etc.) and allows the user to currently filter based on a scanned barcode. 
However I have now created a menu screen, which the user chooses whether they would like to search for a laptop or a server. This navigates them to a different screen depending on what they choose. I would like to filter the data source based on a value within the &lt;code&gt;AssetType&lt;/code&gt; field. This is a multiple choice field that is either Laptops, Servers or Printers&lt;/p&gt;
&lt;p&gt;The current formula for the BrowseGallery is  &lt;code&gt;SortByColumns(Filter(EquipmentInventory, StartsWith(Barcode, BarcodeScanner1.Value)), "Title", If(SortDescending1, Descending, Ascending))&lt;/code&gt; &lt;/p&gt;
&lt;p&gt;I have tried &lt;code&gt;SortByColumns(Filter(EquipmentInventory.ItemType == "Laptop", StartsWith(Barcode, BarcodeScanner1.Value)), "Title", If(SortDescending1, Descending, Ascending))&lt;/code&gt; &lt;/p&gt;
&lt;p&gt;and also&lt;/p&gt;
&lt;p&gt;&lt;code&gt;SortByColumns(Search([@AssetType], BrowseScreen_SearchInput.Text in AssetType &amp;amp;&amp;amp; AssetType.Value = "Laptops", "AssetType", If(SortDescending1, Descending, Ascending))&lt;/code&gt;&lt;/p&gt;
&lt;p&gt;to try filter the data source to only show Laptops but I am getting an error of invalid arguments.&lt;/p&gt;
&lt;p&gt;Once I can get this working, the expected result would be to have a filter on each screen, displaying Laptops on the laptops screen etc. &lt;/p&gt;
&lt;p&gt;I would like each screen to display a BrowseGallery of its assets and then allow the user to still search based on barcode.&lt;/p&gt;
&lt;p&gt;Any help greatly appreciated!&lt;/p&gt;
</t>
  </si>
  <si>
    <t xml:space="preserve">&lt;p&gt;I built a powerapps app and I've setup it to connect to MySQL (a database that is locally hosted that is connected to a warehouse). After doing research, I was searching for a way to input new products into it.&lt;/p&gt;
&lt;p&gt;We process containers, so when there is an error with a container (extra or less product), they are able to log it but it is connected directly to the database.&lt;/p&gt;
&lt;p&gt;Is there a way for them to log when there is a new product, that shouldn't be in that container, but is? It shouldn't be connected to the database, but it should output the product/quantity into an excel table that's connected to onedrive (it's all setup)&lt;/p&gt;
&lt;p&gt;I was stuck with this issue for quite a while&lt;/p&gt;
&lt;pre&gt;&lt;code&gt;Patch(
    Product,
    Defaults(Product),
    {
        FirstName: FirstName,
        LastName: LastName,
        AuditDate: Value(Today()),
        Order: Gallery2.Selected.order_id,
        Carton: Gallery2.Selected.cntnr_id,
        Zone: Gallery2.Selected.zone_num,
        Date: Gallery2.Selected.shift_date,
        Customer: DataCardValue9.Text,
        'Product (Product)': Gallery2.Selected.sku,
        Location: Gallery2.Selected.loc_alias,
        OP: Gallery2.Selected.user_id,
        QRequested: Gallery2.Selected.quantity,
        Actual: Value(TextInput1_2.Text),
        CartonType: Gallery2.Selected.cntnr_type
    });
Set(TotalUnits, TotalUnits + Abs(Gallery2.Selected.quantity - TextInput1_2));
Reset(TextInput1_2);
Reset(TextInput2_2)
&lt;/code&gt;&lt;/pre&gt;
</t>
  </si>
  <si>
    <t xml:space="preserve">&lt;p&gt;Can you reassign the namespace in a developer org to another package?&lt;/p&gt;
&lt;p&gt;I currently have a manage package and in that package I've assigned my namespace. I created a Beta version for now.&lt;/p&gt;
&lt;p&gt;Ultimately I want to keep using the namespace but use an up to date code.&lt;/p&gt;
</t>
  </si>
  <si>
    <t xml:space="preserve">&lt;p&gt;Is there a way to construct a local link with parameters that will work in both test and prod? I was planning to hard code it but realized the first part of the link being different would cause problems. (yes, I can create a script variable but that isn't ideal).&lt;/p&gt;
&lt;p&gt;By this I mean links that end with &lt;code&gt;#Files?id=100&lt;/code&gt;&lt;/p&gt;
</t>
  </si>
  <si>
    <t xml:space="preserve">&lt;p&gt;Yes there is! You need to use this on the server script:&lt;/p&gt;
&lt;pre&gt;&lt;code&gt;var appUrl = ScriptApp.getService().getUrl();
appUrl += "#Files?id=100;
&lt;/code&gt;&lt;/pre&gt;
&lt;p&gt;Reference: &lt;a href="https://developers.google.com/apps-script/reference/script/service#getUrl()" rel="nofollow noreferrer"&gt;https://developers.google.com/apps-script/reference/script/service#getUrl()&lt;/a&gt;&lt;/p&gt;
</t>
  </si>
  <si>
    <t xml:space="preserve">&lt;p&gt;I have sdk ConnectSalesforceCloud and using as below which accepts properties values like xyz.sdc.security.oauth2.client.access-token-uri, xyz.sdc.security.oauth2.client.user-authorization-uri, xyz.sdc.security.oauth2.resource.user-info-uri, xyz.sdc.security.oauth2.client.client-id,xyz.sdc.security.oauth2.client.client-secret and connect to salesforce cloud:&lt;/p&gt;
&lt;p&gt;now I want to connect more salesforce cloud by using above connector. for that I want to just have multiple set of property values in same application.properties file and want to call multiple instance of ConnectSalesforceCloud connector.&lt;/p&gt;
&lt;p&gt;how can we make code dynamic to accept the multiple values.&lt;/p&gt;
&lt;p&gt;Can this approach let me to have multiple instances of ConnectSalesforceCloud connector that I can use for different services to connect clouds. Currently it accepts one set of property but want to make it dynamic to accept multiple properties.&lt;/p&gt;
&lt;p&gt;here is the sample code to use that connector currently.&lt;/p&gt;
&lt;pre&gt;&lt;code&gt;@ConnectSalesforceCloud
@ComponentScan
@Configuration
public class Application {
    public static void main(String[] args) {
         SpringApplication app = new SpringApplication(Application.class);
         app.run(args); 
    }
}
&lt;/code&gt;&lt;/pre&gt;
&lt;p&gt;so at the end I want connect multiple clouds with different set of properties and by passing them to the same connector&lt;/p&gt;
</t>
  </si>
  <si>
    <t xml:space="preserve">&lt;p&gt;I am trying to do what I would have through was very basic functionality. I am trying to setup a button so a user can click it, an explorer dialogue will pop up and let them choose their file. I see no way to do this and have read multiple places that this is impossible. What is the point of allowing someone to upload a file if they cannot chose it. The longer goal is to pull a file and read it into a database. &lt;/p&gt;
&lt;p&gt;I tried following the below example, however, I do not have many of steps and even then, you must hardcode the path to the file name or pull it from a text box. Both are useless I need the user to select the file off their computer.&lt;/p&gt;
</t>
  </si>
  <si>
    <t xml:space="preserve">&lt;p&gt;I have a dropdown @status with a "Done" and "Pending" options. When one of those options is selected I would also like to update a different field called @type with the value "Set".&lt;/p&gt;
&lt;p&gt;Could I do this under @status drop-down with some custom action onValueChange or is there a better way to do this?&lt;/p&gt;
&lt;p&gt;Thanks.&lt;/p&gt;
</t>
  </si>
  <si>
    <t xml:space="preserve">&lt;p&gt;Yes, you can do it on the &lt;strong&gt;onValueChange&lt;/strong&gt; event handler, although I would recommend to do it instead on the &lt;strong&gt;onValueEdit&lt;/strong&gt; event handler, unless you are planning to programatically change the value of the dropdown, then you better stick with the &lt;strong&gt;onValueChange&lt;/strong&gt;. Here is what you need to do:&lt;/p&gt;
&lt;pre&gt;&lt;code&gt;widget.datasource.item.type = "Set";
&lt;/code&gt;&lt;/pre&gt;
&lt;p&gt;Reference: &lt;a href="https://developers.google.com/appmaker/scripting/api/client#Record" rel="nofollow noreferrer"&gt;https://developers.google.com/appmaker/scripting/api/client#Record&lt;/a&gt;&lt;/p&gt;
</t>
  </si>
  <si>
    <t xml:space="preserve">&lt;p&gt;I am having a hard time trying to figure out how to attach a related datasource.
Datasources are: "Guest"&amp;lt;--&gt;"CheckIn"&amp;lt;--&gt;"Guard"&lt;/p&gt;
&lt;p&gt;"Guests" datasource - is displayed in a table with a clickable button on each record. On the button click, create mode is set on a related datasource "CheckIn". "Checkin" has a foreign key to "Guests", it also has a timestamp field. This works as intended.&lt;/p&gt;
&lt;p&gt;The problem is, I have another datasource called "Guard". "CheckIn" has a foreign key for "Guard". Since I am doing this with a button click, I am unable to use a list widget to select the "Guard". I have the _key/Id value saved in a session variable for the "Guard". How can I get the correct "Guard" item out of the datasource and set the relation in "CheckIn"? I have been cheating it by setting the _fk field to the "Guard" Id. &lt;/p&gt;
</t>
  </si>
  <si>
    <t xml:space="preserve">&lt;p&gt;I have created multiple custom .html pages and placed them in /themes in my project. To use these custom pages in my project, I am using iFrame widget, which is placed in a dataview and all the settings are done correctly as I have used this widget previously as well. When I navigate to this page with widget using iFrame, it works fine the first time and displays the page correctly. However, after first time, no link to any of the pages works and gives an error "Page Not Found". Can someone point out what I am doing wrong here or guide me to a different/better solution to achieve this? 
Note: I have also tried the same with iFrame tag inside HTML Snippet, and the behaviour is exactly same.&lt;/p&gt;
</t>
  </si>
  <si>
    <t xml:space="preserve">&lt;p&gt;A common mistake is that people use just the filename instead of complete url in iframe url property. Try changing the filename to complete url e.g. &lt;a href="http://example.com/file.html" rel="nofollow noreferrer"&gt;http://example.com/file.html&lt;/a&gt; instead of file.html.&lt;/p&gt;
</t>
  </si>
  <si>
    <t xml:space="preserve">&lt;p&gt;I am trying to send emails from my zoho account using PHPMailer latest version. I am not sure how to setup the Zoho oAuth in PHPMailer. It has built in support for Google Yahoo and Microsoft but not for Zoho.&lt;/p&gt;
&lt;pre&gt;&lt;code&gt;use PHPMailer\PHPMailer\PHPMailer;
use PHPMailer\PHPMailer\Exception;
require '/path/PHPMailer/src/Exception.php';
require '/path/PHPMailer/src/PHPMailer.php';
require '/path/PHPMailer/src/OAuth.php';
require '/path/PHPMailer/src/SMTP.php';
$phpMailer = new PHPMailer(true);
$phpMailer-&amp;gt;isSMTP();
$phpMailer-&amp;gt;Host = "smtp.zoho.com";
$phpMailer-&amp;gt;SMTPAuth = true;
$phpMailer-&amp;gt;Username = "$USER";
$phpMailer-&amp;gt;Password = "$PASS";
$phpMailer-&amp;gt;SMTPSecure = "tls";
$phpMailer-&amp;gt;Port = 587;
$phpMailer-&amp;gt;isHTML(true);
$phpMailer-&amp;gt;CharSet = "UTF-8";
$phpMailer-&amp;gt;setFrom("$FROMMAIL", "$NAME");
$phpMailer-&amp;gt;addAddress("$FROMMAIL");
$phpMailer-&amp;gt;Subject = "$SUBJECT";
$phpMailer-&amp;gt;Body = "$MESSAGE";
$phpMailer-&amp;gt;send();
&lt;/code&gt;&lt;/pre&gt;
&lt;p&gt;I am not sure how to use OAuth, or do i have to use :) Please can someone help me?&lt;/p&gt;
</t>
  </si>
  <si>
    <t xml:space="preserve">&lt;p&gt;I want to access a Power BI dataset (or few columns of it) in Power App.&lt;/p&gt;
&lt;p&gt;Whenever I'm trying to add &lt;code&gt;Data Connection&lt;/code&gt; -&gt; &lt;code&gt;Select PowerBI (Preview)&lt;/code&gt; -&gt; Type in my &lt;code&gt;PowerBI&lt;/code&gt; credentials, then under Data, &lt;code&gt;PowerBI&lt;/code&gt; is visible, but I cannot select it!&lt;/p&gt;
</t>
  </si>
  <si>
    <t xml:space="preserve">&lt;p&gt;You cannot do more than this using the connector. &lt;a href="https://powerusers.microsoft.com/t5/General-Discussion/Cannot-use-PowerBI-as-data-source/td-p/89247" rel="nofollow noreferrer"&gt;Read more&lt;/a&gt;&lt;/p&gt;
&lt;p&gt;After adding connector, you can go ahead and add a PowerBI tile from controls in a screen. Then choose a &lt;strong&gt;Workspace - Dashboard - Tile&lt;/strong&gt;.&lt;/p&gt;
&lt;p&gt;&lt;a href="https://i.stack.imgur.com/3PpME.png" rel="nofollow noreferrer"&gt;&lt;img src="https://i.stack.imgur.com/3PpME.png" alt="enter image description here"&gt;&lt;/a&gt;&lt;/p&gt;
&lt;p&gt;&lt;a href="https://i.stack.imgur.com/IxZI1.png" rel="nofollow noreferrer"&gt;&lt;img src="https://i.stack.imgur.com/IxZI1.png" alt="enter image description here"&gt;&lt;/a&gt;&lt;/p&gt;
</t>
  </si>
  <si>
    <t xml:space="preserve">&lt;p&gt;I'm using PowerApps to build a project management reporting interface, and I'd like to indicate on the main list of tasks whether something is a main task with subtasks or a subtask. We are syncing a microsoft project file with a sharepoint task list, and the mobile interface provided by sharepoint is bad. I can't find a task item property that is accessible within a powerapps query that will indicate this&lt;/p&gt;
&lt;p&gt;I've iterated through all of the task item properties that are apparently exposed to the list connector, and none of them seem to indicate when something is a subtask. isFolder always returns false, even on top level tasks, so it seems like that property isn't being used to track this.&lt;/p&gt;
&lt;p&gt;I expect to be able to build a conditional so that when my gallery is populated I can indicate if something has subordinate subtasks, how many there are, and allow people to browse to them. No matter what I've tried so far the list appears to populate unsorted and without any distinction between master tasks and subtasks&lt;/p&gt;
</t>
  </si>
  <si>
    <t xml:space="preserve">&lt;p&gt;Had a similar problem; the current connector to Project Online is very rudimentary. However, if you have access to Power BI you can use the ProjectData REST api to send an OData query to get everything you are looking for. Power BI is much better for reporting/browsing data, and if you need to edit the SharePoint list you can embed PowerApps within a Power BI report.&lt;/p&gt;
&lt;p&gt;Have also looked at using PowerApps to edit MS Project tasks, but as you noticed the connector is not fully functional. I think this may be by design; even the REST APIs do not allow for setting baselines, you have to open the file in MS Project Pro to have full access.&lt;/p&gt;
</t>
  </si>
  <si>
    <t xml:space="preserve">&lt;p&gt;I have a custom form tied to list "Furniture Order Form" that looks like this &lt;/p&gt;
&lt;p&gt;&lt;a href="https://i.stack.imgur.com/vtPG8.png" rel="nofollow noreferrer"&gt;&lt;img src="https://i.stack.imgur.com/vtPG8.png" alt="enter image description here"&gt;&lt;/a&gt;&lt;/p&gt;
&lt;p&gt;When I change the name of the form to "FormView", the controls on the form disappear.&lt;/p&gt;
&lt;p&gt;&lt;a href="https://i.stack.imgur.com/FsgDc.png" rel="nofollow noreferrer"&gt;&lt;img src="https://i.stack.imgur.com/FsgDc.png" alt="enter image description here"&gt;&lt;/a&gt;
Why is this happening and is there a way to fix it?&lt;/p&gt;
</t>
  </si>
  <si>
    <t xml:space="preserve">&lt;p&gt;I am trying to implement indeed apply using available job feed.&lt;br&gt;
I want to verify authenticity of post request sent through 'indeed'. Indeed does sent &lt;code&gt;X-Indeed-Signature&lt;/code&gt; http header.&lt;/p&gt;
&lt;p&gt;Post url endpoint is written in Outsystems environment. 
I am able to pull request header value in custom api end point.&lt;br&gt;
Using the shared API secret, Indeed Apply computes a message signature using the HMAC-SHA1 algorithm. &lt;br&gt;
How to validate this header and authenticate indeed in the api end, using api secret and token of indeed?
Can someone please provide some suggestion on this ?&lt;/p&gt;
</t>
  </si>
  <si>
    <t xml:space="preserve">&lt;p&gt;I'm new to LWC in salesforce and want to hide/show the button based status. I write below code but it is hiding for all statuses. Can you please help me if am wrong.&lt;/p&gt;
&lt;pre&gt;&lt;code&gt; &amp;lt;template for:each={savedCampaignList} for:item="savedCampaignListvar"&amp;gt;
       &amp;lt;a name={savedCampaignListvar.Id} &amp;gt;View&amp;lt;/a&amp;gt; 
        &amp;amp;nbsp;|&amp;amp;nbsp; 
      &amp;lt;a hidden =!IF(savedCampaignListvar.Status === 'Saved')" name={savedCampaignListvar.Id} &amp;gt;Delete&amp;lt;/a&amp;gt;
&amp;lt;/template&amp;gt;
&lt;/code&gt;&lt;/pre&gt;
</t>
  </si>
  <si>
    <t xml:space="preserve">&lt;p&gt;I have a page with the table widget. One the page is open, first record in the table is in focus and highlighted. Is is possible to remove focus from the first record? I would like users to search for records before anything (from the table widget) is highlighted.&lt;/p&gt;
</t>
  </si>
  <si>
    <t xml:space="preserve">&lt;p&gt;You cannot remove the default behavior of selecting the first row of the table when it gets loaded; However, if you pretend to only show data after the user starts searching for information, then you might as well not load any data. For that, you will need to uncheck the "Automatically load data" option form the datasource. See picture below:&lt;/p&gt;
&lt;p&gt;&lt;a href="https://i.stack.imgur.com/N33Af.png" rel="nofollow noreferrer"&gt;&lt;img src="https://i.stack.imgur.com/N33Af.png" alt="enter image description here"&gt;&lt;/a&gt;&lt;/p&gt;
&lt;p&gt;Then, what you want to do is load data after the user searches for something.&lt;/p&gt;
</t>
  </si>
  <si>
    <t xml:space="preserve">&lt;p&gt;Currently, I have a QuickBase table that is designed like the picture here: &lt;a href="https://i.stack.imgur.com/qZeph.png" rel="nofollow noreferrer"&gt;https://i.stack.imgur.com/qZeph.png&lt;/a&gt;&lt;/p&gt;
&lt;p&gt;I'd love to visualize the percent of people that answered "Y" for each date in a line graph. Is this possible in QuickBase?&lt;/p&gt;
</t>
  </si>
  <si>
    <t xml:space="preserve">&lt;p&gt;It looks like you are trying to build a weekly trend report. If so you could implement a Weeks table that would allow you to summarize the Total # of records from your data table that are associated to each week and also how many of those records have a value of Y. You could then created a numeric formula field on the Weeks table that calculates: [Total] / [Total answered Y] and plot that value on a line chart.&lt;/p&gt;
&lt;p&gt;Here is a link to presentation that explains how you could create this type of table and setup Quick Base Automations for creating the records needs for your reports: &lt;a href="https://university.quickbase.com/empower2019-course/342324" rel="nofollow noreferrer"&gt;https://university.quickbase.com/empower2019-course/342324&lt;/a&gt;&lt;/p&gt;
</t>
  </si>
  <si>
    <t xml:space="preserve">&lt;p&gt;@user.email seems to instantly print email address of a user that is using the app on any widget.
Is there a way to get User Name (First Last) in a similar way?&lt;/p&gt;
</t>
  </si>
  <si>
    <t xml:space="preserve">&lt;p&gt;The solution I usually use involves using the directory model. Follow these steps:&lt;/p&gt;
&lt;p&gt;1.) Enable the directory model by creating it, I usually name it &lt;strong&gt;directory&lt;/strong&gt;&lt;/p&gt;
&lt;p&gt;&lt;a href="https://i.stack.imgur.com/bC5M5.png" rel="nofollow noreferrer"&gt;&lt;img src="https://i.stack.imgur.com/bC5M5.png" alt="enter image description here"&gt;&lt;/a&gt;&lt;/p&gt;
&lt;p&gt;2.) Next, go to the &lt;strong&gt;DATASOURCES&lt;/strong&gt; section of the directoy model you just created and click on the &lt;strong&gt;ADD DATASOURCE&lt;/strong&gt; button. I usually name this datasource &lt;strong&gt;activeUser&lt;/strong&gt;.&lt;/p&gt;
&lt;p&gt;&lt;a href="https://i.stack.imgur.com/wq1we.png" rel="nofollow noreferrer"&gt;&lt;img src="https://i.stack.imgur.com/wq1we.png" alt="enter image description here"&gt;&lt;/a&gt;&lt;/p&gt;
&lt;p&gt;3.) Add the following to any server script: &lt;/p&gt;
&lt;pre&gt;&lt;code&gt;function getActiveUser() {    
  var dirQuery = app.models.directory.newQuery();
  dirQuery.filters.PrimaryEmail._equals =  Session.getActiveUser().getEmail();
  var userResult = dirQuery.run();
  return userResult;     
}
&lt;/code&gt;&lt;/pre&gt;
&lt;p&gt;4.) Go back to the &lt;strong&gt;activeUser&lt;/strong&gt; datasource. Add the following to the &lt;strong&gt;Server Script Query&lt;/strong&gt;:&lt;/p&gt;
&lt;pre&gt;&lt;code&gt;return getActiveUser();
&lt;/code&gt;&lt;/pre&gt;
&lt;p&gt;And change the query page size to &lt;strong&gt;1&lt;/strong&gt;.&lt;/p&gt;
&lt;p&gt;&lt;a href="https://i.stack.imgur.com/pzHRq.png" rel="nofollow noreferrer"&gt;&lt;img src="https://i.stack.imgur.com/pzHRq.png" alt="enter image description here"&gt;&lt;/a&gt;&lt;/p&gt;
&lt;p&gt;5.) Now all you have to make sure is that the widget where you will print the user name has the datasource &lt;strong&gt;activeUser&lt;/strong&gt; either directly or inherited. Then you simply bind it to the &lt;strong&gt;FullName&lt;/strong&gt; property. &lt;/p&gt;
&lt;p&gt;&lt;a href="https://i.stack.imgur.com/fkjkT.png" rel="nofollow noreferrer"&gt;&lt;img src="https://i.stack.imgur.com/fkjkT.png" alt="enter image description here"&gt;&lt;/a&gt;&lt;/p&gt;
</t>
  </si>
  <si>
    <t xml:space="preserve">&lt;p&gt;Ive been trying to figure out how Google App Maker works with models by trying to write a simple button to return the length(number of records) that exists within a model I've created and loaded temporary data into (which should have about 150 records).&lt;/p&gt;
&lt;p&gt;I'm working with a model called Generic Logs that has ten different &lt;/p&gt;
&lt;pre&gt;&lt;code&gt;app.models.GenericLogs.fields._values.length - Returns 10
alert(app.models.GenericLogs.fields.Id.maxValue) - Returns null 
alert(app.models._values.length) - Returns 2 (I have a second model) 
alert(app.models.GenericLogs.datasources._values.length) - Returns 1
&lt;/code&gt;&lt;/pre&gt;
&lt;p&gt;I definitely want to get the 150+ response for all of the records (non-unique)&lt;/p&gt;
</t>
  </si>
  <si>
    <t xml:space="preserve">&lt;p&gt;as the title says, is it possible to parse the Date from a DateBox (for example &lt;code&gt;Tue Sep 17 2019 00:00:00 GMT+0200 (CEST)&lt;/code&gt;) to a simple date format like &lt;code&gt;2019/09/17&lt;/code&gt;? And also get the year value from the date alone (2019)?&lt;/p&gt;
</t>
  </si>
  <si>
    <t xml:space="preserve">&lt;p&gt;I've recently created an override within Salesforce for the default "New" button on the Opportunity tab using the following: &lt;/p&gt;
&lt;p&gt;Everything is working perfectly, but when I created a new custom button on the contact object and replaced the original "New" one from the related list section which is the only place my company wants Opps created, this still fires and displays the message.&lt;/p&gt;
&lt;p&gt;What am I missing so that my override is not triggered by the "New Opportunity" button I've replaced the original "New" button in the Opportunity Related Lists section of the Contact page layout?&lt;/p&gt;
&lt;pre&gt;&lt;code&gt;&amp;lt;apex:page standardController="Opportunity"&amp;gt;
&amp;lt;apex:includeLightning /&amp;gt;
&amp;lt;apex:form &amp;gt;
    &amp;lt;apex:pageBlock &amp;gt;
    &amp;lt;apex:pageMessage summary="Create Opportunity from Contact record" severity="info"
     strength="3" /&amp;gt;
    &amp;lt;apex:pageMessages /&amp;gt;           
    &amp;lt;/apex:pageBlock&amp;gt;
&amp;lt;/apex:form&amp;gt;
&amp;lt;/apex:page&amp;gt;
&lt;/code&gt;&lt;/pre&gt;
</t>
  </si>
  <si>
    <t xml:space="preserve">&lt;p&gt;Note: This has been observed on &lt;strong&gt;Salesforce&lt;/strong&gt; website in &lt;strong&gt;Lightning&lt;/strong&gt; mode only.
After update of Chromedriver to version 77.0.3865.40 , the generic click() method is not working to click on a web element. I have to use the Actions class to get the job done (But it is not recommended in our framework). Can anyone help with why the standard click method is not working ?&lt;/p&gt;
</t>
  </si>
  <si>
    <t xml:space="preserve">&lt;p&gt;I'm trying to upload File as .doc or .pdf to Sharepoint using Microsoft Powerapps. The problem is that when the windows popup appear to select the document the default filter for file extension are Image extension but I want to change it for any kind of extension.
Can I change it?&lt;/p&gt;
&lt;p&gt;&lt;a href="https://i.stack.imgur.com/GCi3W.png" rel="nofollow noreferrer"&gt;&lt;img src="https://i.stack.imgur.com/GCi3W.png" alt="enter image description here"&gt;&lt;/a&gt;&lt;/p&gt;
</t>
  </si>
  <si>
    <t xml:space="preserve">&lt;p&gt;I'm using Postman to test Quickbase API call - AddRecord. For someone reason, my POST request is generating an error 2. What do I need to correct?&lt;/p&gt;
&lt;p&gt;AddRecord : (&lt;a href="https://help.quickbase.com/api-guide/add_record.html" rel="nofollow noreferrer"&gt;https://help.quickbase.com/api-guide/add_record.html&lt;/a&gt;)&lt;/p&gt;
&lt;p&gt;Error 2 : (&lt;a href="https://help.quickbase.com/api-guide/errorcodes.html" rel="nofollow noreferrer"&gt;https://help.quickbase.com/api-guide/errorcodes.html&lt;/a&gt;)&lt;/p&gt;
&lt;p&gt;I've tried using an apptoken in my call along with a usertoken. I've tried using FID instead of the field name. None my attempts to at a solution work.&lt;/p&gt;
&lt;pre&gt;&lt;code&gt;&amp;lt;qdbapi&amp;gt;
  &amp;lt;usertoken&amp;gt;MyUserToken&amp;lt;/usertoken&amp;gt;
  &amp;lt;field name="Last_Name"&amp;gt;My Last Name&amp;lt;/field&amp;gt;
  &amp;lt;field name="First_Name"&amp;gt;My First Name&amp;lt;/field&amp;gt;
&amp;lt;/qdbapi&amp;gt;
&lt;/code&gt;&lt;/pre&gt;
&lt;p&gt;POST-ing to url &lt;a href="https://myurlname.quickbase.com/db/DBID" rel="nofollow noreferrer"&gt;https://myurlname.quickbase.com/db/DBID&lt;/a&gt;&lt;/p&gt;
&lt;p&gt;Headers are:&lt;/p&gt;
&lt;p&gt;Content-Type: application/xml&lt;/p&gt;
&lt;p&gt;QUICKBASE-ACTION: API_AddRecord&lt;/p&gt;
&lt;p&gt;I expect to receive &lt;/p&gt;
&lt;pre&gt;&lt;code&gt;&amp;lt;qdbapi&amp;gt;
 &amp;lt;action&amp;gt;API_AddRecord&amp;lt;/action&amp;gt;
 &amp;lt;errcode&amp;gt;0&amp;lt;/errcode&amp;gt;
 &amp;lt;errtext&amp;gt;No error&amp;lt;/errtext&amp;gt;
 ...
&amp;lt;/qdbapi&amp;gt;
&lt;/code&gt;&lt;/pre&gt;
&lt;p&gt;but instead received &lt;/p&gt;
&lt;pre&gt;&lt;code&gt;&amp;lt;qdbapi&amp;gt;
 &amp;lt;action&amp;gt;API_AddRecord&amp;lt;/action&amp;gt;
 &amp;lt;errcode&amp;gt;2&amp;lt;/errcode&amp;gt;
 &amp;lt;errtext&amp;gt;Invalid input&amp;lt;/errtext&amp;gt;
&amp;lt;/qdbapi&amp;gt;
&lt;/code&gt;&lt;/pre&gt;
</t>
  </si>
  <si>
    <t xml:space="preserve">&lt;p&gt;It seems I was using the wrong target_db_id. Simply changing it to the correct db_id resolved my issue. &lt;/p&gt;
</t>
  </si>
  <si>
    <t xml:space="preserve">&lt;p&gt;I've been trying to get this simple filter to work in my PowerApps. When adding a dropbox that uses the Choice() to call the options from my SP to the filter formula it will display "Invalid argument type".&lt;/p&gt;
&lt;p&gt;Any advice is greatly appreciated.&lt;/p&gt;
&lt;pre&gt;&lt;code&gt;ClearCollect(
    cFeedback,
    Filter(
        Feedback,
        dropCompSrch.SelectedText.Value = Company,
        Product = dropProdSrch.Selected.Value))
&lt;/code&gt;&lt;/pre&gt;
&lt;p&gt;&lt;a href="https://i.stack.imgur.com/Jmrjf.png" rel="nofollow noreferrer"&gt;&lt;img src="https://i.stack.imgur.com/Jmrjf.png" alt="PowerApps Screenshot"&gt;&lt;/a&gt;&lt;/p&gt;
</t>
  </si>
  <si>
    <t xml:space="preserve">&lt;p&gt;I was able to get this working by just adding .Value to the column name. Below is the function.&lt;/p&gt;
&lt;pre&gt;&lt;code&gt;ClearCollect(
cFeedback,
Filter(
    Feedback,
    dropCompSrch.SelectedText.Value = Company,
    Product.Value = dropProdSrch.Selected.Value))
&lt;/code&gt;&lt;/pre&gt;
</t>
  </si>
  <si>
    <t xml:space="preserve">&lt;p&gt;Aura application event is firing successfully but it seems that the handler component is failing to listen or handle it and it does not call the action method &lt;strong&gt;openFeed&lt;/strong&gt;. This is the component that handle the application event.&lt;/p&gt;
&lt;pre&gt;&lt;code&gt;    &amp;lt;aura:component controller="ConnectApiCallsController"&amp;gt;
    &amp;lt;aura:attribute name="yourfeed" type="PortalFeedWrapper[]" access="public"/&amp;gt;
    &amp;lt;aura:handler name="init" value="{!this}" action="{!c.doInit}" /&amp;gt; 
    &amp;lt;aura:handler event="c:DraggableNavEvent" action="{!c.openFeed}" /&amp;gt;
    &amp;lt;aura:handler event="aura:doneRendering" action="{!c.doneRendering}" /&amp;gt; // not working if removing this line
    &amp;lt;div&amp;gt; 
        &amp;lt;div class="feedWrapper slds-scrollable" &amp;gt; 
            &amp;lt;div class="tab"&amp;gt;
                &amp;lt;c:HorizontalDraggableNav/&amp;gt; 
            &amp;lt;/div&amp;gt;
            &amp;lt;div id="yourFeedTab" class="tabcontent"&amp;gt; 
                &amp;lt;c:YourFeedWrapper feeds="{!v.yourfeed}"/&amp;gt; 
            &amp;lt;/div&amp;gt;
            &amp;lt;div id="discussionsByTopicsTab" class="tabcontent"&amp;gt;
                &amp;lt;c:DiscussionsByTopicsWrapper /&amp;gt;
            &amp;lt;/div&amp;gt;
            &amp;lt;!-- PrivateFeeds By THiru--&amp;gt;  
            &amp;lt;div id="privateFeedTab" class="tabcontent"&amp;gt;  
                &amp;lt;c:PrivateFeedWrapper isUserInternal="{!v.isInternalUser}"/&amp;gt;   
            &amp;lt;/div&amp;gt;
        &amp;lt;/div&amp;gt;
    &amp;lt;/div&amp;gt;
&amp;lt;/aura:component&amp;gt;
&lt;/code&gt;&lt;/pre&gt;
&lt;p&gt;When I remove doneRendering from the component than the openFeed is being called just fine, but the thing is why does doneRendering needs to be there for it to work? I dont have any doneRendering method declared on the controller. What am I doing wrong that doneRendering needs to stay there in order for it to work? Also that this is the parent component while the component that fires the application event is is &lt;strong&gt;c:HorizontalDraggableNav&lt;/strong&gt; by using the following code:&lt;/p&gt;
&lt;pre&gt;&lt;code&gt;var appEvent = $A.get("e.c:DraggableNavEvent");
appEvent.setParams({ feedType: e.target.id });
appEvent.fire();
&lt;/code&gt;&lt;/pre&gt;
&lt;p&gt;and the component looks as below:&lt;/p&gt;
&lt;pre&gt;&lt;code&gt;&amp;lt;aura:component&amp;gt;
    &amp;lt;aura:handler name="init" value="{!this}" action="{!c.doInit}" /&amp;gt;
    &amp;lt;aura:handler name="render" value="{!this}" action="{!c.onRender}" /&amp;gt;
    &amp;lt;aura:attribute name="isLoginUserInternal" type="Boolean" default="false" /&amp;gt; &amp;lt;!-- PrivateFeeds By Thiru--&amp;gt; 
    &amp;lt;aura:registerEvent name="appEvent" type="c:DraggableNavEvent" /&amp;gt;
    &amp;lt;div class="grid-container"&amp;gt;
        &amp;lt;div class="grid-item main"&amp;gt;
            &amp;lt;div class="items" id="items"&amp;gt;
                &amp;lt;div class="item" id="yourFeed"&amp;gt;Your feed&amp;lt;/div&amp;gt;
                &amp;lt;div class="item" id="discussionsByTopics"&amp;gt;Discussions by topics&amp;lt;/div&amp;gt; 
                &amp;lt;!-- PrivateFeeds By Thiru--&amp;gt; 
                &amp;lt;aura:if isTrue="{!v.isLoginUserInternal}"&amp;gt;
                    &amp;lt;div class="item" id="privateFeed"&amp;gt;Valmet internal&amp;lt;/div&amp;gt; 
                &amp;lt;/aura:if&amp;gt;
            &amp;lt;/div&amp;gt;
        &amp;lt;/div&amp;gt;
    &amp;lt;/div&amp;gt;
&amp;lt;/aura:component&amp;gt;
&lt;/code&gt;&lt;/pre&gt;
&lt;p&gt;Any idea or solution on this problem?&lt;/p&gt;
</t>
  </si>
  <si>
    <t xml:space="preserve">&lt;p&gt;I have two lightning web components and I have to navigate from one LWC to another LWC on button click. &lt;/p&gt;
&lt;p&gt;I tried navigation service to apply the NavigationMixin function in the component’s base class to extends NavigationMixin(LightningElement). but it didn't work.&lt;/p&gt;
&lt;p&gt;Can please anyone help me?&lt;/p&gt;
&lt;p&gt;Thank you.&lt;/p&gt;
</t>
  </si>
  <si>
    <t xml:space="preserve">&lt;h2&gt;GOAL&lt;/h2&gt;
&lt;p&gt;If you want to query and filter FullNames from the Directory Model, how do you do it? Can &lt;code&gt;filters.FullName._contains =&lt;/code&gt; be used?&lt;/p&gt;
&lt;h2&gt;What I've Tried&lt;/h2&gt;
&lt;p&gt;I've tried this in the Directory Model's Server Script. This returns all the GSuite records, cool.&lt;/p&gt;
&lt;pre&gt;&lt;code&gt;var gQ = app.models.GSuite.newQuery();
gQ.filters.FullName._contains = '';  // filter empty string
var recs = gQ.run();
return recs; // returns all records
&lt;/code&gt;&lt;/pre&gt;
&lt;p&gt;When I change the filter string to a character, I get no records.&lt;/p&gt;
&lt;pre&gt;&lt;code&gt;var gQ = app.models.GSuite.newQuery();
gQ.filters.FullName._contains = 'a';  // filter the letter a
var recs = gQ.run();
return recs; // returns - recs undefined 
&lt;/code&gt;&lt;/pre&gt;
&lt;h2&gt;Question&lt;/h2&gt;
&lt;p&gt;What is wrong with the &lt;code&gt;string&lt;/code&gt; I assign to &lt;code&gt;filters.FullName._contains =&lt;/code&gt;?&lt;/p&gt;
&lt;p&gt;What am I doing wrong?&lt;/p&gt;
</t>
  </si>
  <si>
    <t xml:space="preserve">&lt;h2&gt;Case Sensitive Solution&lt;/h2&gt;
&lt;p&gt;This script filters the Directory Model using a Custom Parameter, but it does not use &lt;code&gt;filters.FullName._contains =&lt;/code&gt;.&lt;/p&gt;
&lt;p&gt;Instead, using Javascript's &lt;code&gt;search()&lt;/code&gt;, each FullName get's a RegEx evaluation. &lt;code&gt;if (rec.FullName.search(eFilter) &amp;gt; -1))&lt;/code&gt; &lt;/p&gt;
&lt;p&gt;&lt;strong&gt;Server Script for Directory Model&lt;/strong&gt;&lt;/p&gt;
&lt;pre&gt;&lt;code&gt;var gQ = app.models.GSuite.newQuery();
var gD = gQ.run();
if (query.parameters.FilteredGSuiteEmail === null) {
  return gD; // return all records
}
var eFilter = query.parameters.FilteredGSuiteEmail;
console.info("eFilter: " + eFilter);
var recs = [];
gD.forEach(function(rec) {
  console.log("searchValue: " + rec.FullName.search(eFilter));
  //console.log("search: " + rec.FullName);
  if(rec.FullName.search(eFilter) &amp;gt; -1) {
    console.log("search: " + rec.FullName);
    var newRec = app.models.GSuite.newRecord();
    newRec.FullName = rec.FullName;
    newRec.PrimaryEmail = rec.PrimaryEmail;
    recs.push(newRec);    
  }
});
return recs;
&lt;/code&gt;&lt;/pre&gt;
&lt;p&gt;I need to convert my filter string to a RegEx argument that is case-insensitive.&lt;/p&gt;
&lt;p&gt;&lt;strong&gt;&lt;em&gt;Is there a better way to do this?&lt;/em&gt;&lt;/strong&gt;&lt;/p&gt;
</t>
  </si>
  <si>
    <t xml:space="preserve">&lt;p&gt;How can I add trash icon next to data row to delete that (row) value from datasource? &lt;/p&gt;
&lt;p&gt;I have data rows: @datasource.item.Type @datasource.item.Color and @datasource.item.Item
There are some drop down values for those items, e.g. blue, red etc.
No allowNull value is available in the drop down, but I would like to be able to delete data in that row.&lt;/p&gt;
</t>
  </si>
  <si>
    <t xml:space="preserve">&lt;p&gt;[appmaker] I'm trying to import data from related data in google sheets into an App Maker. I created the fields by importing them from sheets. The date field defaulted to a time stamp but my data only uses the date, so I changed the fields to date only but the import keeps failing because App maker is still expecting a time stamp.  Any ideas?&lt;/p&gt;
&lt;p&gt;So the images show how I have set up the data model for this data.  It is set up as a 'Date' . But it keeps getting rejected.&lt;/p&gt;
&lt;p&gt;&lt;a href="https://i.stack.imgur.com/0V0iK.png" rel="nofollow noreferrer"&gt;Details from App Maker&lt;/a&gt;&lt;/p&gt;
</t>
  </si>
  <si>
    <t xml:space="preserve">&lt;p&gt;How to send pipeline build notification to &lt;strong&gt;SalesForce Chatter&lt;/strong&gt; from &lt;strong&gt;GitLab-CI&lt;/strong&gt;?&lt;/p&gt;
</t>
  </si>
  <si>
    <t xml:space="preserve">&lt;p&gt;I want to create a custom lightning component to create new Case records and need to use fieldset to include fields in component. Need to use this only for one object. I never used fieldsets so dont have any idea on it. It would be really great if you can share some sample code or any link for the same.&lt;/p&gt;
</t>
  </si>
  <si>
    <t xml:space="preserve">&lt;p&gt;I want to integrate Zoho Invoice API in my Spring Application. I have integrated &lt;code&gt;AuthToken&lt;/code&gt; part successfully. Now I am working with Create contact API. But API returns an error 400.&lt;/p&gt;
&lt;p&gt;I am using the following code:&lt;/p&gt;
&lt;pre&gt;&lt;code&gt;public String processZohoRequest(String apiUrl,Map&amp;lt;String, String&amp;gt; params,String method, String auth) throws UnsupportedEncodingException, IOException {
    URL url = new URL(apiUrl);
    HttpURLConnection con = (HttpURLConnection) url.openConnection();
    con.setRequestMethod(method);
    if(!AppUtility.isEmpty(auth)) {
        con.setRequestProperty("Authorization", auth);
        con.setRequestProperty("Content-Type", "multipart/form-data");
        con.setRequestProperty("X-com-zoho-invoice-organizationid", testZohoOrgId);
    }
    if(!AppUtility.isEmpty(params)) {
        con.setDoOutput(true);
        DataOutputStream out = new DataOutputStream(con.getOutputStream());
        out.writeBytes(ParameterStringBuilder.getParamsString(params));
        out.flush();
        out.close();
    }
    BufferedReader in = new BufferedReader(new InputStreamReader(con.getInputStream()));
    String inputLine;
    StringBuffer content = new StringBuffer();
    while ((inputLine = in.readLine()) != null) {
        content.append(inputLine);
    }
    in.close();
    con.disconnect();
    return content.toString();
}
&lt;/code&gt;&lt;/pre&gt;
&lt;p&gt;I use sam method for obtaining access token which is working but when use it for create contact it returns error. Can anyone tell how I can fix this ?&lt;/p&gt;
&lt;pre&gt;&lt;code&gt;`API-URL`: https://invoice.zoho.com/api/v3/contacts
&lt;/code&gt;&lt;/pre&gt;
&lt;p&gt;&lt;code&gt;json String&lt;/code&gt; : "{\"contact_name\":\"Jay Panjwanai\",\"company_name\":\"Ozone\",\"billing_address\":{\"attention\":\"Jay \",\"address\":\"${address}\",\"city\":\"INDORE\",\"country\":\"India\",\"phone\":9xxxxxxxxx},\"shipping_address\":{\"attention\":\"Jay\",\"address\":\"${address}\",\"city\":\"INDORE\",\"country\":\"India\",\"phone\":9xxxxxxxxx}}"&lt;/p&gt;
&lt;p&gt;Thanks in Advance!&lt;/p&gt;
</t>
  </si>
  <si>
    <t xml:space="preserve">&lt;p&gt;Well, after discussing with their support team I got the answer. Just remove the following line:&lt;/p&gt;
&lt;pre&gt;&lt;code&gt;con.setRequestProperty("Content-Type", "multipart/form-data");
&lt;/code&gt;&lt;/pre&gt;
&lt;p&gt;This was creating a problem.&lt;/p&gt;
&lt;p&gt;Regards&lt;/p&gt;
</t>
  </si>
  <si>
    <t xml:space="preserve">&lt;p&gt;&lt;strong&gt;1.create Vue.js&lt;/strong&gt;&lt;/p&gt;
&lt;p&gt;vue was created with cli3.&lt;/p&gt;
&lt;p&gt;&lt;code&gt;vue -V 3.11.0&lt;/code&gt;&lt;/p&gt;
&lt;p&gt;&lt;code&gt;vue create vue_test&lt;/code&gt;&lt;/p&gt;
&lt;p&gt;preset is default&lt;/p&gt;
&lt;p&gt;Since it is not displayed even if it builds, vue.config.js file was created.&lt;/p&gt;
&lt;pre&gt;&lt;code&gt;module.exports = {
    publicPath: './',
    }
&lt;/code&gt;&lt;/pre&gt;
&lt;p&gt;The screen was displayed at index.html in dist.&lt;/p&gt;
&lt;p&gt;&lt;code&gt;zip -r VueTest.zip ./dist/*&lt;/code&gt;&lt;/p&gt;
&lt;p&gt;&lt;strong&gt;2.with salesforce&lt;/strong&gt;&lt;/p&gt;
&lt;p&gt;Register the created VueTest.zip as a Static Resource of Developer Edition.　
Static Resource name is VueTest&lt;/p&gt;
&lt;p&gt;Create a lightning application in the Developer Console.&lt;/p&gt;
&lt;pre&gt;&lt;code&gt;&amp;lt;aura:application &amp;gt;
    CHECK
    &amp;lt;lightning:container src="{!$Resource.VueTest + '/index.html'}"/&amp;gt;
    OK
&amp;lt;/aura:application&amp;gt;
&lt;/code&gt;&lt;/pre&gt;
&lt;p&gt;In the preview, only the &lt;strong&gt;CHECK&lt;/strong&gt; character appears on the screen.&lt;/p&gt;
&lt;p&gt;this a vuejs problem?
Or is it a salesforce?&lt;/p&gt;
</t>
  </si>
  <si>
    <t xml:space="preserve">&lt;p&gt;I would like to set a fixed width on the first column for lightning:datatable &lt;/p&gt;
&lt;p&gt;I have already tried adding a initialWidth property to a column but it did not work. Adding &lt;code&gt;.THIS tr :first-child {width: 800px !important;}&lt;/code&gt;  in CSS file did set custom witdh on the column but it gets overlapped by the next column. My idea is that the style gets overridden by salesforce in the rendering phase. Therefore I tried to set it in the Renderer.js in afterRender function but I can't get it to work. Here is the code I wrote so far&lt;/p&gt;
&lt;pre&gt;&lt;code&gt;   afterRender: function (component, helper) {
        this.superAfterRender();
        var table = document.getElementById('subscriptionsTable');
        var rows = table.getElementsByTagName('tr');
        for (var i=0; i&amp;lt;rows.length; i++) {
            rows[i].firstChild.style.width = '810px !important';
        }
&lt;/code&gt;&lt;/pre&gt;
&lt;p&gt;If you have any other ideas on how to achieve a custom column width please let me know. Thanks&lt;/p&gt;
</t>
  </si>
  <si>
    <t xml:space="preserve">&lt;p&gt;I have the below xpaths that need to be clicked using chrome driver on the same page. Selenium is unable to locate svg elements using xpath.&lt;/p&gt;
&lt;pre&gt;&lt;code&gt;//*[@id="brandBand_1"]/div/div[1]/div[4]/div/div/div/div/div/div/div[2]/div/div[2]/div/div[2]/div/div[2]/div/svg/g/path[1]
//*[@id="brandBand_1"]/div/div[1]/div[4]/div/div/div/div/div/div/div[2]/div/div[2]/div/div[2]/div/div[2]/div/svg/g/path[2]
//*[@id="brandBand_1"]/div/div[1]/div[4]/div/div/div/div/div/div/div[2]/div/div[2]/div/div[3]/div/div[2]/div/svg/g/path[1]
//*[@id="brandBand_1"]/div/div[1]/div[4]/div/div/div/div/div/div/div[2]/div/div[2]/div/div[3]/div/div[2]/div/svg/g/path[2]
//*[@id="brandBand_1"]/div/div[1]/div[4]/div/div/div/div/div/div/div[2]/div/div[2]/div/div[4]/div/div[2]/div/svg/g/path[1]
//*[@id="brandBand_1"]/div/div[1]/div[4]/div/div/div/div/div/div/div[2]/div/div[2]/div/div[4]/div/div[2]/div/svg/g/path[2]
&lt;/code&gt;&lt;/pre&gt;
&lt;p&gt;I have tried to locate the first element using both the below xpaths but it is not working&lt;/p&gt;
&lt;pre&gt;&lt;code&gt;@FindBy(xpath= "//*[@id=\"brandBand_1\"]/div/div[1]/div[4]/div/div/div/div/div/div/div[2]/div/div[2]/div/div[2]/div/div[2]/div/svg/g/path[1]")
@FindBy(xpath= "//*[@id="brandBand_1"]/div/div[1]/div[4]/div/div/div/div/div/div/div[2]/div/div[2]/div/div[2]/div/div[2]/div/*[local-name()='svg']/*[local-name()='g']/*[local-name()='path'][1]")
&lt;/code&gt;&lt;/pre&gt;
&lt;h1&gt;below is my html&lt;/h1&gt;
&lt;pre&gt;&lt;code&gt;&amp;lt;svg xmlns:xlink="http://www.w3.org/11/xlink" xmlns="http://www.w3.org/2000/svg" version="1.1" style="padding: 0.5em" viewBox="0 0 578 69"&amp;gt;
            &amp;lt;g fill-rule="evenodd" fill="#00A1E0" stroke-width="2"&amp;gt;
                &amp;lt;path stroke-width="1" stroke="#00A1E0" d="M34.497825,1.623 C35.2967825,-0.541 36.6147825,-0.541 37.4237825,1.623
                      L44.3607825,20.247 C45.1657825,22.412 47.7137825,24.262 50.0177825,24.36 L69.8787825,25.203
                      C72.1847825,25.301 72.5917825,26.555 70.7827825,27.991 L55.2137825,40.344 C53.4047825,41.781
                      52.4317825,44.773 53.0517825,46.997 L58.3867825,66.143 C59.0047825,68.368 57.9397825,69.144
                      56.0157825,67.868 L39.4547825,56.877 C37.5307825,55.601 34.3817825,55.601 32.4597825,56.877
                      L15.8987825,67.868 C13.9747825,69.144 12.9087825,68.368 13.5277825,66.143 L18.8627825,46.997
                      C19.4807825,44.773 18.5087825,41.781 16.6987825,40.344 L1.12978251,27.991 C-0.680217494,26.555
                      -0.270217494,25.301 2.03578251,25.203 L21.8947825,24.36 C24.2007825,24.262 26.7467825,22.412
                      27.5537825,20.247 L34.4917825,1.623" fill="#FFFFFF"&amp;gt;&amp;lt;/path&amp;gt;
                &amp;lt;path stroke-width="1" stroke="#00A1E0" d="M126.490359,1.623 C127.296359,-0.541 128.615359,-0.541
                      129.422359,1.623 L136.360359,20.247 C137.166359,22.412 139.713359,24.262 142.019359,24.36
                      L161.878359,25.203 C164.184359,25.301 164.591359,26.555 162.783359,27.991 L147.213359,40.344
                      C145.404359,41.781 144.431359,44.773 145.052359,46.997 L150.386359,66.143 C151.004359,68.368
                      149.939359,69.144 148.015359,67.868 L131.454359,56.877 C129.531359,55.601 126.383359,55.601
                      124.459359,56.877 L107.898359,67.868 C105.974359,69.144 104.907359,68.368 105.526359,66.143
                      L110.861359,46.997 C111.480359,44.773 110.507359,41.781 108.700359,40.344 L93.1293589,27.991
                      C91.3203589,26.555 91.7293589,25.301 94.0353589,25.203 L113.894359,24.36 C116.200359,24.262
                      118.746359,22.412 119.553359,20.247 L126.490359,1.623,Z" fill="#FFFFFF"&amp;gt;&amp;lt;/path&amp;gt;
            &amp;lt;/g&amp;gt;
        &amp;lt;/svg&amp;gt;
&lt;/code&gt;&lt;/pre&gt;
</t>
  </si>
  <si>
    <t xml:space="preserve">&lt;p&gt;I have a dropdown with years as options and I have 2 datasources which depend on the current year selected in the dropdown. In each datasource I created a parameter &lt;code&gt;currentYear&lt;/code&gt; but I'm unable to bind the dropdown value to both parameters of the two separate datasources. Binding it to one datasource like &lt;code&gt;@datasources.HolidayModel.properties.currentYear&lt;/code&gt;works unsurprisingly.&lt;/p&gt;
&lt;p&gt;Does anybody know, if it's possible to bind one value to two datasource properties? And if not, what would be a workaround without creating and binding the same dropdown twice?&lt;/p&gt;
&lt;p&gt;any suggestions are welcome!&lt;/p&gt;
</t>
  </si>
  <si>
    <t xml:space="preserve">&lt;p&gt;At this point dual bindings appear to be unsupported. Therefore this is only a workaround.&lt;/p&gt;
&lt;p&gt;Option 1:&lt;/p&gt;
&lt;p&gt;Leave the binding to the property of one of your datasources let’s call it datasource1 and put the following in the drop down onValueChange event:&lt;/p&gt;
&lt;pre&gt;&lt;code&gt;app.datasources.datasource2.properties.currentYear = newValue;
app.datasources.datasource2.load(); //optional depending on where you load your datasources
&lt;/code&gt;&lt;/pre&gt;
&lt;p&gt;Option 2:&lt;/p&gt;
&lt;p&gt;Remove the binding on the drop down entirely and put the following in the drop down onValueChange event:&lt;/p&gt;
&lt;pre&gt;&lt;code&gt;app.datasources.datasource1.properties.currentYear = newValue;
app.datasources.datasource2.properties.currentYear = newValue;
//optional reload your datasources here
&lt;/code&gt;&lt;/pre&gt;
&lt;p&gt;Option 3:&lt;/p&gt;
&lt;p&gt;If your datasource is not a calculated one and your setup allows to set up both datasources as a query builder instead, then you can bind your query parameter directly to your drop down from the datasource settings. This would actually allow you to do this for practically limit less datasources. The datasource query parameter binding in this case would be:&lt;/p&gt;
&lt;pre&gt;&lt;code&gt;@pages.YourPage.root.descendants.YourDropDown
&lt;/code&gt;&lt;/pre&gt;
</t>
  </si>
  <si>
    <t xml:space="preserve">&lt;p&gt;I am trying to load 3rd party Jquery library using aura component in Salesforce lightning framework but facing below error message:&lt;/p&gt;
&lt;p&gt;&lt;strong&gt;Custom Script Eval error in 'ltng:require' [SecureDOMEvent: [object Event]{ key: {"namespace":"c"} }]&lt;/strong&gt;&lt;/p&gt;
&lt;p&gt;Anyone have any idea about this error message?&lt;/p&gt;
</t>
  </si>
  <si>
    <t xml:space="preserve">&lt;p&gt;I am trying to migrate my company completely from Classic to Lightning. One of the issues that I am running into is that we default values using List Buttons on the related Lists. I know that I can use Quick Actions to default the values. Is it possible to use redirect on a custom list view button to the Quick Actions button?&lt;/p&gt;
&lt;p&gt;The reason is that I want everything to be consistent. &lt;/p&gt;
</t>
  </si>
  <si>
    <t xml:space="preserve">&lt;p&gt;I am trying to update the field "Success" based on the success of Email sending. How to update this? &lt;/p&gt;
&lt;p&gt;N.B - the datasource is in manual save mode and a relational database.
So far I've this&lt;/p&gt;
&lt;pre&gt;&lt;code&gt;var success = app.datasources.ChangeSystem.item;
   google.script.run
      .withFailureHandler(function(error) {
       status.text = error.message;
       success.Success = "Incomplete";
      })
      .withSuccessHandler(function(result) {
       status.text = 'Email sent';
       success.Success = "Active";
       clearEmailForm();
      })
       .sendEmailMessage(To, subject, msg);
     app.datasources.ChangeSystem.saveChanges();
&lt;/code&gt;&lt;/pre&gt;
</t>
  </si>
  <si>
    <t xml:space="preserve">&lt;p&gt;Hi I've been trying to figure this for the past couple of days.  I wrote the code below that use to work but doesn't work any more using the ExecuteScript method.  The only thing i have changed was update my chrome driver because it was not launching chrome since the driver wasn't working with the older chrome version I have. So once I updated the chrome driver it began to work until i had to run this piece of code.  I modified it below not to what the actual link text is.&lt;/p&gt;
&lt;pre&gt;&lt;code&gt;            IJavaScriptExecutor js = (IJavaScriptExecutor)WebActions.One;
            js.ExecuteScript("alert('Welcome to Guru99');"); // This was added for testing purpose
            IWebElement somelink = WebActions.One.FindElement(By.XPath("//span[text()='Some Text']"));
            js.ExecuteScript("arguments[0].click();", somelink );
&lt;/code&gt;&lt;/pre&gt;
&lt;p&gt;When i changed the method to be ExecuteAsyncScript it started working again. Is this something that has changed with the app or is this something i'm doing wrong.  I tried reading up on ExecuteAsyncScript vs ExecuteScript to see the difference but all i was able to get was something about the call back telling 
when its finished which i'm not experienced in java script. &lt;/p&gt;
&lt;p&gt;I would just like to understand more then anything or should i just start using ExecuteAsyncScript method.  Thanks&lt;/p&gt;
</t>
  </si>
  <si>
    <t xml:space="preserve">&lt;p&gt;There's a chromedriver ticket about this issue here:&lt;/p&gt;
&lt;p&gt;&lt;a href="https://bugs.chromium.org/p/chromedriver/issues/detail?id=3103" rel="nofollow noreferrer"&gt;https://bugs.chromium.org/p/chromedriver/issues/detail?id=3103&lt;/a&gt;&lt;/p&gt;
&lt;p&gt;It states:&lt;/p&gt;
&lt;blockquote&gt;
  &lt;p&gt;The cause of the issue is this website modifies the constructor of the
  built-in AsyncFunction object. This causes difficulty when
  ChromeDriver tries to create an AsyncFunction to wrap the script being
  executed.&lt;/p&gt;
&lt;/blockquote&gt;
&lt;p&gt;chromedriver 78 fixes the issue. For testing with Chrome 77, the ticket recommends switching to executeAsyncScript, or using chromedriver 76 since "ChromeDriver vX will run with Chrome vX+1".&lt;/p&gt;
</t>
  </si>
  <si>
    <t xml:space="preserve">&lt;p&gt;[![enter image description here][1]][1]Disabling all other checkboxes when one checkbox is checked in Lightning component client controller&lt;/p&gt;
&lt;p&gt;We are currently displaying images dynamic and using checkboxes for user to select a particular image.Once an image has been selected disabled all other checkboxes and pass the data to another lightning component.&lt;/p&gt;
&lt;pre&gt;&lt;code&gt;&amp;lt;aura:component &amp;gt;
    &amp;lt;aura:attribute name="img" type="Map"/&amp;gt;
    &amp;lt;aura:attribute name="checked" type="Boolean" default="false" /&amp;gt;
    &amp;lt;aura:attribute name="options" type="List"/&amp;gt;
    &amp;lt;aura:attribute name="value" type="List"/&amp;gt;
    &amp;lt;aura:attribute type="List" name="images" default="['/ed6a99fd0a76647_1280.jpg','/ed6a9369fd0a76647_1920.jpg','/ed6a9364a9fd0a76647.jpg']" /&amp;gt;
    &amp;lt;aura:attribute type="String" name="base" default ="https://pixabay.com/get"/&amp;gt;
    &amp;lt;aura:handler name="init" value="{!this}" action="{!c.doInit}"/&amp;gt;
    &amp;lt;aura:iteration items="{!v.img.content}" var="item" &amp;gt;
        &amp;lt;aura:if isTrue="{!item.guid!=null}"&amp;gt;
        &amp;lt;aura:iteration items="{!item.images}" var="mapValue"&amp;gt;
            &amp;lt;div class ="gallery"&amp;gt;
             &amp;lt;img src= "{!v.base + mapValue.imageFile}" style="width:200px;height:200px;"/&amp;gt;
             &amp;lt;div class="desc"&amp;gt;
             &amp;lt;lightning:input type="checkbox" name="{!mapValue.aspectRatio}" aura:id="{!mapValue.aspectRatio}" value="{!mapValue.aspectRatio+'::'+item.guid}" onchange="{! c.onCheck }"  /&amp;gt;
      &amp;lt;/div&amp;gt;&amp;lt;/div&amp;gt;
       &amp;lt;/aura:iteration&amp;gt;
        &amp;lt;/aura:if&amp;gt;
    &amp;lt;/aura:iteration&amp;gt;
&amp;lt;/aura:component&amp;gt;
({
onCheck: function(cmp, evt) {
    var capturedCheckboxName = evt.getSource().get("v.value");
     alert(capturedCheckboxName);
}
})
&lt;/code&gt;&lt;/pre&gt;
&lt;p&gt;When one of the image is selected the other images checkboxes should be disabled and the value should be posted to the another lightning page&lt;/p&gt;
</t>
  </si>
  <si>
    <t xml:space="preserve">&lt;p&gt;I need help with Google App Maker data model security. I want to set multiple owners for a single record. Like the current user + the assigned admin + super admin.
I need this because all records can have different owners and super-owners/admins.
I know that we can point google app maker to a field containing record owner's email and we can set that field to the current user at the time of the creation of the record.&lt;/p&gt;
&lt;p&gt;&lt;code&gt;record.Owner = Session.getActiveUser().getEmail();&lt;/code&gt;&lt;/p&gt;
&lt;p&gt;I want to know if it is possible to have field owners or have multiple fields like owner1, owner2 and then assign access levels to owner1, owner2...&lt;/p&gt;
&lt;p&gt;&lt;em&gt;Or how can we programmatically control the access/security/permissions of records?&lt;/em&gt;&lt;/p&gt;
</t>
  </si>
  <si>
    <t xml:space="preserve">&lt;p&gt;The solution I'd use for this one definitely involves a field on the record that contains a comma separated string of all the users who should have access to it. I've worked on the following example to explain better what I have in mind.&lt;/p&gt;
&lt;p&gt;I created a model and is called &lt;strong&gt;documents&lt;/strong&gt; and looks like this:&lt;/p&gt;
&lt;p&gt;&lt;a href="https://i.stack.imgur.com/Qeqim.png" rel="nofollow noreferrer"&gt;&lt;img src="https://i.stack.imgur.com/Qeqim.png" alt="enter image description here"&gt;&lt;/a&gt;&lt;/p&gt;
&lt;p&gt;In a page, I have a table and a button to add new document records. The page looks like this: &lt;/p&gt;
&lt;p&gt;&lt;a href="https://i.stack.imgur.com/Rf3c8.png" rel="nofollow noreferrer"&gt;&lt;img src="https://i.stack.imgur.com/Rf3c8.png" alt="enter image description here"&gt;&lt;/a&gt;&lt;/p&gt;
&lt;p&gt;When I click on the &lt;strong&gt;Add Document&lt;/strong&gt; button, a dialog pops up and looks like this:&lt;/p&gt;
&lt;p&gt;&lt;a href="https://i.stack.imgur.com/bzmzs.png" rel="nofollow noreferrer"&gt;&lt;img src="https://i.stack.imgur.com/bzmzs.png" alt="enter image description here"&gt;&lt;/a&gt;&lt;/p&gt;
&lt;p&gt;The logic on the &lt;strong&gt;SUBMIT&lt;/strong&gt; button on the form above is the following:&lt;/p&gt;
&lt;pre&gt;&lt;code&gt;widget.datasource.item.owners = app.user.email;
widget.datasource.createItem(function(){
  app.closeDialog();
});
&lt;/code&gt;&lt;/pre&gt;
&lt;p&gt;That will automatically assign the creator of the record the ownership. To add additional owners, I do it on an edit form. The edit form popus up when I click the &lt;strong&gt;edit&lt;/strong&gt; button inside the record row. It looks like this:&lt;/p&gt;
&lt;p&gt;&lt;a href="https://i.stack.imgur.com/J5B32.png" rel="nofollow noreferrer"&gt;&lt;img src="https://i.stack.imgur.com/J5B32.png" alt="enter image description here"&gt;&lt;/a&gt;&lt;/p&gt;
&lt;p&gt;As you can see, I'm using a list widget to control who the owners are. For that, it is necessary to use a &lt;code&gt;&amp;lt;List&amp;gt;String&lt;/code&gt; custom property in the edit dialog and that will be the datasource of the list widget. In this case, I've called it &lt;strong&gt;owners&lt;/strong&gt;. I've applied the following to the &lt;strong&gt;onClick&lt;/strong&gt; event of the edit button:&lt;/p&gt;
&lt;pre&gt;&lt;code&gt;var owners = widget.datasource.item.owners;
owners = owners ? owners.split(",") : [];
app.pageFragments.documentEdit.properties.owners = owners;
app.showDialog(app.pageFragments.documentEdit);
&lt;/code&gt;&lt;/pre&gt;
&lt;p&gt;The &lt;strong&gt;add&lt;/strong&gt; button above the list widget has the following logic for the &lt;strong&gt;onClick&lt;/strong&gt; event handler:&lt;/p&gt;
&lt;pre&gt;&lt;code&gt;widget.root.properties.owners.push("");
&lt;/code&gt;&lt;/pre&gt;
&lt;p&gt;The &lt;strong&gt;TextBox&lt;/strong&gt; widget inside the row of the list widget has the following logic for the &lt;strong&gt;onValueEdit&lt;/strong&gt; event handler:&lt;/p&gt;
&lt;pre&gt;&lt;code&gt;widget.root.properties.owners[widget.parent.childIndex] = newValue;
&lt;/code&gt;&lt;/pre&gt;
&lt;p&gt;And the &lt;strong&gt;CLOSE&lt;/strong&gt; button has the following logic for the &lt;strong&gt;onClick&lt;/strong&gt; event handler:&lt;/p&gt;
&lt;pre&gt;&lt;code&gt;var owners = widget.root.properties.owners || [];
if(owners &amp;amp;&amp;amp; owners.length){
  owners = owners.filter(function(owner){
    return owner != false; //jshint ignore:line
  });
}
widget.datasource.item.owners = owners.join();
app.closeDialog();
&lt;/code&gt;&lt;/pre&gt;
&lt;p&gt;Since I want to create a logic that will load records only for authorized users, then I had to use a query script in the datasource that will serve that purpose. For that I created this function on a server script:&lt;/p&gt;
&lt;pre&gt;&lt;code&gt;function getAuthorizedRecords(){
  var authorized = [];
  var userRoles = app.getActiveUserRoles();
  var allRecs = app.models.documents.newQuery().run();
  if(userRoles.indexOf(app.roles.Admins) &amp;gt; -1){
    return allRecs;
  } else {
    for(var r=0; r&amp;lt;allRecs.length; r++){
      var rec = allRecs[r];
      if(rec.owners &amp;amp;&amp;amp; rec.owners.indexOf(Session.getActiveUser().getEmail()) &amp;gt; -1){
        authorized.push(rec);
      }
    }
    return authorized;
  }  
}
&lt;/code&gt;&lt;/pre&gt;
&lt;p&gt;And then on the &lt;strong&gt;documents&lt;/strong&gt; datasource, I added the following to the query script:&lt;/p&gt;
&lt;pre&gt;&lt;code&gt;return getAuthorizedRecords();
&lt;/code&gt;&lt;/pre&gt;
&lt;p&gt;&lt;a href="https://i.stack.imgur.com/IaYYA.png" rel="nofollow noreferrer"&gt;&lt;img src="https://i.stack.imgur.com/IaYYA.png" alt="enter image description here"&gt;&lt;/a&gt;&lt;/p&gt;
&lt;p&gt;This solution will load all records for admin users, but for non-admin users, it will only load records where their email is located in the &lt;strong&gt;owners&lt;/strong&gt; field of the record. This is the most elegant solution I could come up with and I hope it serves your purpose.&lt;/p&gt;
&lt;p&gt;References: &lt;br&gt;
&lt;a href="https://developers.google.com/appmaker/models/datasources#query_script" rel="nofollow noreferrer"&gt;https://developers.google.com/appmaker/models/datasources#query_script&lt;/a&gt; &lt;br&gt;
&lt;a href="https://developers.google.com/appmaker/ui/binding#custom_properties" rel="nofollow noreferrer"&gt;https://developers.google.com/appmaker/ui/binding#custom_properties&lt;/a&gt; &lt;br&gt;
&lt;a href="https://developers.google.com/appmaker/ui/logic#events" rel="nofollow noreferrer"&gt;https://developers.google.com/appmaker/ui/logic#events&lt;/a&gt; &lt;br&gt;
&lt;a href="https://developers-dot-devsite-v2-prod.appspot.com/appmaker/scripting/api/client#Record" rel="nofollow noreferrer"&gt;https://developers-dot-devsite-v2-prod.appspot.com/appmaker/scripting/api/client#Record&lt;/a&gt;&lt;/p&gt;
</t>
  </si>
  <si>
    <t xml:space="preserve">&lt;p&gt;I am currently automating test of Salesforce application and in the automation suite, logging into the application is performed numerous time. I am using Selenium + Java for the purpose of automation.&lt;/p&gt;
&lt;p&gt;Is there any way to skip the multiple logins via; like if we can hit some login endpoint and inject the response cookies to the browser instance. Or if we can log in once and somehow save the session id or necessary cookies which could then be injected to new browser instances so that we can skip login step.&lt;/p&gt;
&lt;p&gt;Also, I want to add on that I am using Salesforce lightning.&lt;/p&gt;
&lt;p&gt;Any sort of help is highly appreciated :)&lt;/p&gt;
</t>
  </si>
  <si>
    <t xml:space="preserve">&lt;p&gt;Thank you, everyone, for helping me!
I am just stuck I don't know if this was the issue with Salesforce or&lt;/p&gt;
&lt;p&gt;I am doing something wrong!!!&lt;/p&gt;
&lt;p&gt;Here  is the scenario I have enabled inline editing on the card and when the user changes the value of the Quantity, the component call the JS Controller function&lt;/p&gt;
&lt;p&gt;It didn't get the List which I have passed as a Parameter its Nothing output is attached below,&lt;/p&gt;
&lt;p&gt;&lt;strong&gt;Interesting Fact&lt;/strong&gt;&lt;/p&gt;
&lt;ol&gt;
&lt;li&gt;&lt;p&gt;But I called the same function from somewhere else like make a 
checkbox and on the change called the same, I get the list of Array 
passed as Parameter&lt;/p&gt;&lt;/li&gt;
&lt;li&gt;&lt;p&gt;I didn't get the List when I called it from the 
other than that I get all the values using component.get()&lt;/p&gt;&lt;/li&gt;
&lt;/ol&gt;
&lt;p&gt;&lt;strong&gt;Aura Component Attributes&lt;/strong&gt;&lt;/p&gt;
&lt;pre&gt;&lt;code&gt;&amp;lt;aura:attribute name="item" type="Object" required="true"&amp;gt;&amp;lt;/aura:attribute&amp;gt;
&amp;lt;aura:attribute name="title" type="String" required="true"&amp;gt;&amp;lt;/aura:attribute&amp;gt;
&amp;lt;aura:attribute name="bid" type="Object[]" required="true"&amp;gt;&amp;lt;/aura:attribute&amp;gt;
&amp;lt;aura:attribute name="box1" type="Boolean" default="false" /&amp;gt;
&amp;lt;aura:attribute name="categoriesSum" type="Object" required="true"&amp;gt;&amp;lt;/aura:attribute&amp;gt;
&amp;lt;aura:attribute name="quantityEditMode" type="boolean" default="false"&amp;gt;&amp;lt;/aura:attribute&amp;gt;
&lt;/code&gt;&lt;/pre&gt;
&lt;p&gt;&lt;strong&gt;Component Code Calling with InputNumber Not working&lt;/strong&gt;&lt;/p&gt;
&lt;pre&gt;&lt;code&gt;   &amp;lt;ui:inputNumber class="slds-input " labelClass="slds-form- 
   element__label slds-form-element__label_edit slds-no-flex" 
   change ="{!c.onQuantityChange}" 
   required="true" value=" 
   {!v.item.Quantity__c}" /&amp;gt;
&lt;/code&gt;&lt;/pre&gt;
&lt;p&gt;&lt;strong&gt;Component Code Calling with CheckBox Working&lt;/strong&gt;&lt;/p&gt;
&lt;pre&gt;&lt;code&gt;&amp;lt;ui:inputCheckbox aura:id="checkbox1" value="v2" change="{!c.onQuantityChange}"/&amp;gt;
&lt;/code&gt;&lt;/pre&gt;
&lt;p&gt;&lt;strong&gt;JS Controller&lt;/strong&gt;&lt;/p&gt;
&lt;pre&gt;&lt;code&gt;  onQuantityChange : function(component, event, helper){
    console.log('----Item----'+component.get('v.item')); 
    console.log('----title---'+ component.get('v.title'));
    console.log('----Bid---'+ component.get('v.bid'));
    console.log('----Box---'+ component.get('v.box1'));
    console.log('---categoriesSum--component.get('v.categoriesSum'));
    console.log('----quantityEditMode---'+ component.get('v.quantityEditMode'));
   }
&lt;/code&gt;&lt;/pre&gt;
&lt;p&gt;&lt;strong&gt;Output with InputNumber&lt;/strong&gt;
&lt;a href="https://i.stack.imgur.com/5ZhJ2.png" rel="nofollow noreferrer"&gt;&lt;img src="https://i.stack.imgur.com/5ZhJ2.png" alt="enter image description here"&gt;&lt;/a&gt;&lt;/p&gt;
&lt;p&gt;&lt;strong&gt;Ouputput with Checkbox&lt;/strong&gt;
&lt;a href="https://i.stack.imgur.com/wxLMV.png" rel="nofollow noreferrer"&gt;&lt;img src="https://i.stack.imgur.com/wxLMV.png" alt="enter image description here"&gt;&lt;/a&gt;&lt;/p&gt;
&lt;p&gt;if you need more explanation please let me know I m stuck here for almost 7 hours and yes I have also tried the helper class it's the same scenario&lt;/p&gt;
</t>
  </si>
  <si>
    <t xml:space="preserve">&lt;p&gt;You cannot directly change the value of a field on the object using &lt;/p&gt;
&lt;pre&gt;&lt;code&gt;value=" 
   {!v.item.Quantity__c}"
&lt;/code&gt;&lt;/pre&gt;
&lt;p&gt;Instead try saving it in an attribute like v2 (you have done that on the checkbox)&lt;/p&gt;
&lt;p&gt;The change from the ui:inputNumber will then make it to the controller.&lt;/p&gt;
&lt;p&gt;Basically this:&lt;/p&gt;
&lt;pre&gt;&lt;code&gt;&amp;lt;aura:attribute name="v2" type="Integer"/&amp;gt;
&amp;lt;ui:inputNumber class="slds-input " labelClass="slds-form- 
   element__label slds-form-element__label_edit slds-no-flex" 
   change ="{!c.onQuantityChange}" 
   required="true" value=" 
   {!v.v2}" /&amp;gt;
&lt;/code&gt;&lt;/pre&gt;
&lt;p&gt;Hope this helps.&lt;/p&gt;
</t>
  </si>
  <si>
    <t xml:space="preserve">&lt;p&gt;I am trying to consume a .net core 2.2 web api i created and display the json data, &lt;strong&gt;keys AND VALUES&lt;/strong&gt;, in a Google App Maker App. My js is very very weak (caz ive been trying to re-purpose the &lt;a href="https://developers.google.com/appmaker/models/external-data-options" rel="nofollow noreferrer"&gt;main example&lt;/a&gt; in googles docs for 7 days now with no real progress).&lt;/p&gt;
&lt;p&gt;I have fought though many many issues to get to a final ERROR ( i hope).&lt;/p&gt;
&lt;p&gt;When i commit some of the REST API data to the datastore. its ask for:&lt;/p&gt;
&lt;ul&gt;
&lt;li&gt;an array ( in js i guess &lt;strong&gt;arrays are object&lt;/strong&gt;s...who knew)  &lt;/li&gt;
&lt;li&gt;a Key ( no idea how to make a &lt;strong&gt;key&lt;/strong&gt; with out returning &lt;strong&gt;one FULL ITEM&lt;/strong&gt; from the js object array i created for my data)  &lt;/li&gt;
&lt;li&gt;and for some form of &lt;strong&gt;mapping&lt;/strong&gt; for the object ( i think i have overcome this requirement..not sure. this most likely will comeback after i fix the error bellow)&lt;/li&gt;
&lt;/ul&gt;
&lt;p&gt;ERROR: &lt;/p&gt;
&lt;pre&gt;&lt;code&gt;The function queryRecords must return an array of records, but the 
array contained an element that was not a record. Error: The 
function queryRecords must return an array of records, but the 
array contained an element that was not a record.
&lt;/code&gt;&lt;/pre&gt;
&lt;p&gt;Sun Sep 22 15:42:46 GMT-700 2019&lt;/p&gt;
&lt;pre&gt;&lt;code&gt;Executing query for datasource Weather: (Error) : The function 
queryRecords must return an array of records, but the array 
contained an element that was not a record.
at loadWeatherDataSource (CallWeatherService:6:27)
at Weather.LocationTextBox.onValueChange:1:1
at Weather.LocationTextBox.onAttach:1:14
&lt;/code&gt;&lt;/pre&gt;
&lt;p&gt;Sun Sep 22 15:42:46 GMT-700 2019&lt;/p&gt;
&lt;pre&gt;&lt;code&gt;Executing query for datasource Weather failed.
&lt;/code&gt;&lt;/pre&gt;
&lt;p&gt;&lt;strong&gt;Server side code&lt;/strong&gt;&lt;/p&gt;
&lt;pre&gt;&lt;code&gt;function clearEmailForm(){
       var url= 'https://xxx.azurewebsites.net/api/xxxxxx/3';
          var response1 = UrlFetchApp.fetch(url);
          var api1= response1;
  return JSON.parse(api1);
      }  
 function cal() {
   var coordinates =  clearEmailForm(); 
     return {
      forecast: coordinates.Scene,
      citystate: coordinates.imageurl
    };
  }
function calculateWeatherModel_() {
  var response;
  try {
    response = cal(); 
  } catch (error) {
    throw new Error('Error Unable to locate provided city: \"' + response +  '\".');
  }
  if (response === null) {
    throw new Error('null Unable to locate provided city: \"' + response + '\".');
  }
  var forecastPeriods = response.forecast;
  var citystate = response.citystate;
  var arr = [];
     var record = app.models.Weather.newRecord();
     arr.push(record.forcast = forecastPeriods  ); 
      var record = app.models.Weather.newRecord();
    arr.push(record.citystate = citystate);
    return arr;
  }
&lt;/code&gt;&lt;/pre&gt;
&lt;p&gt;&lt;strong&gt;Client side code&lt;/strong&gt;&lt;/p&gt;
&lt;pre&gt;&lt;code&gt;function loadWeatherDataSource() {
  app.datasources.Weather.load({
    failure: function (error) {
      displayTimedSnackBar(error.toString());
    }
  });
}
&lt;/code&gt;&lt;/pre&gt;
&lt;p&gt;&lt;strong&gt;Client side code&lt;/strong&gt;&lt;/p&gt;
&lt;pre&gt;&lt;code&gt;return calculateWeatherModel_();
&lt;/code&gt;&lt;/pre&gt;
&lt;p&gt;Thanks ahead of time for any and all detailed help here..I am at a complete loss and will have to delay a critical project.&lt;/p&gt;
&lt;p&gt;I will now study and start to mastering JS as i see a clear need! I have my books and online course ready to go. if i can get some detailed help on this issue it will give my project some new life now instead of a long time from now. thank you all! &lt;/p&gt;
</t>
  </si>
  <si>
    <t xml:space="preserve">&lt;p&gt;I beleive that your problem is here:&lt;/p&gt;
&lt;pre&gt;&lt;code&gt;var arr = [];
var record = app.models.Weather.newRecord();
arr.push(record.forcast = forecastPeriods  ); 
var record = app.models.Weather.newRecord();
arr.push(record.citystate = citystate);
return arr;
&lt;/code&gt;&lt;/pre&gt;
&lt;p&gt;That is a wrong way of doing it. It should be like this:&lt;/p&gt;
&lt;pre&gt;&lt;code&gt;var arr = [];
var record = app.models.Weather.newRecord();
record.forcast = forecastPeriods;
record.citystate = citystate;
arr.push(record);
return arr;
&lt;/code&gt;&lt;/pre&gt;
&lt;p&gt;Obviously, in order for that to work,  your calculated model should have a &lt;strong&gt;forcast&lt;/strong&gt; field and a &lt;strong&gt;citystate&lt;/strong&gt; field.&lt;/p&gt;
&lt;p&gt;Reference: &lt;a href="https://developers.google.com/appmaker/models/calculated#query_script_example" rel="nofollow noreferrer"&gt;https://developers.google.com/appmaker/models/calculated#query_script_example&lt;/a&gt;&lt;/p&gt;
</t>
  </si>
  <si>
    <t xml:space="preserve">&lt;p&gt;I'm trying to embed a Zoho CRM by iframe into an application that knows only a phone number.  &lt;/p&gt;
&lt;p&gt;(Ramble: Originally I intended to call the Zoho api to lookup the Contact by phone number and redirect to or load the Contact's Zoho page - but the hosting app doesn't seem to support enough features to accommodate Zoho's OAuth2-only authentication - so I think I'm stuck with Zoho Deluge which I'm finding to be an ATROCIOUS language)&lt;/p&gt;
&lt;p&gt;I'm hoping to GET navigate to this Zoho Function with the phone number as a parameter, have it find the unique match, and redirect to the customer details.&lt;/p&gt;
&lt;pre&gt;&lt;code&gt;response = zoho.crm.searchRecords(
    "Contacts", 
    "", // no criteria - I hope the later parameter 
        // normalizes better than this would?
    1, // first page
    2, // of two max results - just to verify uniqueness
    "{ phone: '" + phoneNumber + "'}"); // Docs are terrible.  Is this the format? 
                                        // I also tried "phone:equal:..."
//if (1 &amp;lt; response.size()) { // script errors show up on nonsense line 
//  return "[Ambiguous]";    // numbers, but this seems to work until later
//}                          // lines are included - then errors point here
return response; // Works, but useless string output
return response.firstName; // "Invalid collection object found" - but not expected to work
return response.get(0); // 'TEXT' can not be cast to '[KEY-VALUE, TEXT, LIST]' for the function 'get'
return response.get('firstName'); // 'TEXT' can not be cast to '[KEY-VALUE, TEXT, LIST]' for the function 'get'
return response.get(0).firstName; // Improper Statement Error might be due to missing ';' at end of the line or incomplete expression
// openUrl( &amp;lt;string&amp;gt;, &amp;lt;window_type&amp;gt; ); // hoping to get here
&lt;/code&gt;&lt;/pre&gt;
&lt;p&gt;I've also tried variations on returning from inside a for each element loop, no luck.&lt;/p&gt;
&lt;p&gt;I THINK I've successfully found the user by phone number because I think I indeed get one match, but I can't verify it and I don't know how to derive the url of the customer detail page for the openUrl() call.  Do you know how to make progress on this?&lt;/p&gt;
</t>
  </si>
  <si>
    <t xml:space="preserve">&lt;p&gt;The &lt;em&gt;criteria&lt;/em&gt; is malformed, and function &lt;em&gt;searchRecords&lt;/em&gt; returns a list of maps.&lt;/p&gt;
&lt;p&gt;To access the first element of al list you must use .get(0) and get an element of a map .get("First_Name")&lt;/p&gt;
&lt;p&gt;The fields are malformed, you must get the API name of the field form crm.zoho.com-&gt;setup-&gt;API-&gt;API names-&gt;Contacts &lt;/p&gt;
&lt;p&gt;You can use &lt;em&gt;info&lt;/em&gt; to debug the response (info response;)&lt;/p&gt;
&lt;p&gt;&lt;a href="https://www.zoho.com/crm/developer/docs/api/search-records.html" rel="nofollow noreferrer"&gt;Zoho CRM API Search records&lt;/a&gt;&lt;/p&gt;
&lt;pre&gt;&lt;code&gt;toReturn = "";
response = zoho.crm.searchRecords("Contacts", "Phone:equals:" + phoneNumber, 1, 2);
if (1 &amp;lt; response.size()) {
    toReturn = "[Ambiguous]";
} else if (0 == response.size()) {//error triggered if use get(0) of emty list
    toReturn = "[None]";
}else {
    toReturn = reponse.get(0).get("First_Name");
    openUrl("https://crm.zoho.com/crm/org[yourOrgID]/tab/Contacts/" + reponse.get(0).get("id"), "new window");
}
return toReturn;
&lt;/code&gt;&lt;/pre&gt;
</t>
  </si>
  <si>
    <t xml:space="preserve">&lt;p&gt;I am working on a application developed by third party on salesforce , This is a managed package application. I have access to UAT org and some other orgs. When I tried to retrieve the packaged application metadata using salesforce Ant migration tool,I got all the components in the package retrieved successfully. But the content of this components is shown as "(Hidden)". I am not able to see any real code in this components.
Are there any access level restrictions on Managed package? if yes How can I know the restrictions?
Also It will be very great if someone can help with application life cycle management of a managed package application in salesforce. As I am new in this field , Please recommend any tools for the same.
Thanks in advance.&lt;/p&gt;
</t>
  </si>
  <si>
    <t xml:space="preserve">&lt;p&gt;Apologies, if this question is duplicate but all the scenarios I have found do not quite match what I am trying to do.&lt;/p&gt;
&lt;p&gt;So, all this is share point online and using powerapps for customized forms.  All forms/styles etc are modern, multi choice answers are not allowed.&lt;/p&gt;
&lt;p&gt;I have 3 lists, A, B and C. C contains a lookup column to List B so that I can create a parent (B) link to (many) children (C).&lt;/p&gt;
&lt;p&gt;I would now like to create a fourth list D, which includes 3 columns looking up lists A, B and C. Doing this as a straight look up column is not an issue and works out of the box.  Except I would like to filter list C using the selected value from list B. I have been trying to make this work using powerapps and the 'Choices'  and 'Filter' functionality.&lt;/p&gt;
&lt;p&gt;so in form D, column 3 only show items from list C where list C 
parent = list B.selected&lt;/p&gt;
&lt;p&gt;It appears that you are unable to filter lists where the filtering criteria is, itself, a lookup value.&lt;/p&gt;
&lt;p&gt;whilst i can type the code into the powerapps editor (see below), the app/form cannot be saved because the code is not acceptable.&lt;/p&gt;
&lt;pre&gt;&lt;code&gt;"Filter(Choices(listC.itemNames), itemName = ListB.Selected.Value)" (pseudo code)
"Filter(Choices('Elements'.Primary_Compliance), 'Primary Compliance' = DataCardValue2.Selected.Value)" (actual code)
&lt;/code&gt;&lt;/pre&gt;
&lt;p&gt;Could anyone point me in the right direction for a workaround please?&lt;/p&gt;
&lt;p&gt;Thanks&lt;/p&gt;
</t>
  </si>
  <si>
    <t xml:space="preserve">&lt;p&gt;Trying to automate a page in salesforce, seeing weird issue when trying to wait for an element.&lt;/p&gt;
&lt;pre&gt;&lt;code&gt;@FindBy(xpath = "//span[@title='console']")
private WebElement consoleTitle;
public void switchApplicationLightening(String applicationName) throws InterruptedException {
    String st = util.driver.getPageSource(); //This step to debug I am seeing null here
    String str = util.driver.findElement(By.xpath("//span[@title='console']")).getText(); // This step is not required but added to debug and this is working fine
     if(!verifyElementVisible(consoleTitle, 5)){ //Its failing here and seeing issue
        switchToApplication(applicationName);
    }
}
public static Boolean verifyElementVisible(WebElement element, int explicitWait) {
    WebDriverWait wait = new WebDriverWait(util.driver, explicitWait);
    System.out.println(util.driver);
    try {
        wait.until(ExpectedConditions.visibilityOf(element));
        return true;
    } catch (NoSuchElementException | NoSuchFrameException | NoSuchWindowException | ErrorHandler.UnknownServerException | TimeoutException e) {
        VERIFICATION_ERRORS.append("Element: ").append(element).append(" is not present on page \n -Caugth exception: ").append(e.getMessage()).append("\n\n");
        return false;
    }
}
&lt;/code&gt;&lt;/pre&gt;
&lt;p&gt;Seeing below error on step - &lt;code&gt;wait.until(ExpectedConditions.visibilityOf(element));&lt;/code&gt;&lt;/p&gt;
&lt;pre&gt;&lt;code&gt;java.lang.NullPointerException
    at org.openqa.selenium.remote.RemoteWebElement.isDisplayed(RemoteWebElement.java:320)
    at sun.reflect.NativeMethodAccessorImpl.invoke0(Native Method)
    at sun.reflect.NativeMethodAccessorImpl.invoke(NativeMethodAccessorImpl.java:62)
    at sun.reflect.DelegatingMethodAccessorImpl.invoke(DelegatingMethodAccessorImpl.java:43)
    at java.lang.reflect.Method.invoke(Method.java:498)
    at org.openqa.selenium.support.pagefactory.internal.LocatingElementHandler.invoke(LocatingElementHandler.java:51)
    at com.sun.proxy.$Proxy31.isDisplayed(Unknown Source)
    at org.openqa.selenium.support.ui.ExpectedConditions.elementIfVisible(ExpectedConditions.java:315)
    at org.openqa.selenium.support.ui.ExpectedConditions.access$100(ExpectedConditions.java:44)
    at org.openqa.selenium.support.ui.ExpectedConditions$10.apply(ExpectedConditions.java:301)
    at org.openqa.selenium.support.ui.ExpectedConditions$10.apply(ExpectedConditions.java:298)
    at org.openqa.selenium.support.ui.FluentWait.until(FluentWait.java:248)
&lt;/code&gt;&lt;/pre&gt;
&lt;p&gt;It looks like its not liking wait.until - every time when this is called its throwing null pointer&lt;/p&gt;
&lt;p&gt;PS: Please ignore String str = util.driver.findElement(By.xpath("//span[@title='console']")).getText(); this I put for debug illogical as we are waiting for same element below. Also getPageSource() is null but I next step is executed.&lt;/p&gt;
</t>
  </si>
  <si>
    <t xml:space="preserve">&lt;p&gt;So i have a ReferenceProduct_DataCard1 which has:&lt;/p&gt;
&lt;ul&gt;
&lt;li&gt;checkbox1&lt;/li&gt;
&lt;li&gt;comboBox2&lt;/li&gt;
&lt;li&gt;DatacardValue4&lt;/li&gt;
&lt;/ul&gt;
&lt;p&gt;By default a user can select value from a combobox2 or create a new reference product by clicking the checkbox1. But once I save it and come back to edit form it says the field is required but I want the field required but not during editing the form. I tried to program the required field but it does not seem to work. Any ideas?&lt;/p&gt;
&lt;p&gt;I tried doing:&lt;/p&gt;
&lt;pre&gt;&lt;code&gt;if(Checkbox1.Value=false, DatacardValue4)
&lt;/code&gt;&lt;/pre&gt;
&lt;p&gt;I think this is wrong&lt;/p&gt;
</t>
  </si>
  <si>
    <t xml:space="preserve">&lt;p&gt;I am trying to build a Flow to create records for contacts. I am going to create a button off of Accounts on the related list of Contacts. 
Step 2 is where I am having an issue&lt;/p&gt;
&lt;p&gt;1.) I created a Get Records - which gets the ID of accounts. 
2.) I created a Screen: 
    I have a lookup field that I want to be defaulted to the parent.&lt;/p&gt;
&lt;p&gt;I have the FieldAPIName as AccountID which is a Varialble I created that is stored from Step 1. 
Label : Entity Name
Object API Name : Account&lt;/p&gt;
&lt;p&gt;When I run the program I get the following error: 
Looks like you don't have access to this field, or the object or field API name is not valid on this Lookup component. Contact your Salesforce admin for help.&lt;/p&gt;
&lt;p&gt;&lt;a href="https://i.stack.imgur.com/Omae5.png" rel="nofollow noreferrer"&gt;&lt;img src="https://i.stack.imgur.com/Omae5.png" alt="enter image description here"&gt;&lt;/a&gt;&lt;/p&gt;
&lt;p&gt;&lt;a href="https://i.stack.imgur.com/h4HXm.png" rel="nofollow noreferrer"&gt;&lt;img src="https://i.stack.imgur.com/h4HXm.png" alt="enter image description here"&gt;&lt;/a&gt;&lt;/p&gt;
</t>
  </si>
  <si>
    <t xml:space="preserve">&lt;p&gt;We are using the below request to send SMS/Message on Cell 9898989898@tmomail.net(T-Mobile)  from Salesforce using Graph API however we are unable to send it. &lt;/p&gt;
&lt;p&gt;We are also unable to send the message on Pager number by adding carrier information/code in pager number 8181818181@msg.myairmail.com (American Messaging). Instead of Pager or Cell  if we use the valid email address then we are able to send email.&lt;/p&gt;
&lt;p&gt;Could you please check and let us know is there any other way to send the message on Pager or Cell number.&lt;/p&gt;
&lt;p&gt;We have tried to send message on Pager and Cell using below code.&lt;/p&gt;
&lt;p&gt;{
  "message": {
    "subject": "Test Message from test",
    "body": {
      "contentType": "text",
      "content": "Test pager message from PM"
    },
    "toRecipients": [
      {
        "emailAddress": {
          "address": "9898989898@tmomail.net"
        }
      }
    ]
  },
  "saveToSentItems": "false"
}&lt;/p&gt;
&lt;p&gt;We want to send the message on Pager number and Cell number using Microsoft Graph APIs.&lt;/p&gt;
&lt;p&gt;Thanks in advance !!&lt;/p&gt;
</t>
  </si>
  <si>
    <t xml:space="preserve">&lt;p&gt;I hope someone can help me with this. I have created a form using PowerApps which requires users to enter a time in the format of hours and minutes as separate fields. &lt;/p&gt;
&lt;p&gt;I now need to create a list in SharePoint to hold the data, however, I'm not sure how to combine the hour field and minute field into one field so that a time can be kept correctly. I have been looking online and tried a few things, but SharePoint simply says "something went wrong". &lt;/p&gt;
&lt;p&gt;Alternatively, if PowerApps has a time picker that would work too.&lt;/p&gt;
&lt;p&gt;I probably have gone about this the wrong way. Can someone help? &lt;/p&gt;
&lt;p&gt;Thanks. &lt;/p&gt;
</t>
  </si>
  <si>
    <t xml:space="preserve">&lt;p&gt;I'm currently going through PowerApps Model-driven application and I have Added a table connection to my Common Data Model and it seems to be working, if partially. If I make a manual modification to an item in my SQL Server DB, this modification is eventually reflected to my Common Data Model and of course my application. The problem is that the inverse, i.e. adding or modifying an item in my Common Data Model through my application does not seem to affect my SQL Server Database.&lt;/p&gt;
&lt;p&gt;Am I missing Something? Is this connection unidirectional? Or is there some setting that would allow bidirectionality?&lt;/p&gt;
</t>
  </si>
  <si>
    <t xml:space="preserve">&lt;p&gt;If you are doing some LoB application to do CRUD operations on your database - then Common Data Model (CDM) is not the way to go. CDS for Apps or even a simple Canvas app can be built from your datasource using any of the available connectors (or custom connector API) to furnish CRUD operations. &lt;a href="https://docs.microsoft.com/en-us/powerapps/maker/index#canvas-apps" rel="nofollow noreferrer"&gt;Read more&lt;/a&gt;&lt;/p&gt;
&lt;p&gt;CDM is actually part of Open Data Initiative - &lt;a href="https://github.com/MicrosoftDocs/common-data-model-and-service/blob/master/common-data-model/faq.md#what-are-the-expectations-of-a-common-data-model-data-consumer" rel="nofollow noreferrer"&gt;Learn more&lt;/a&gt; &lt;/p&gt;
&lt;blockquote&gt;
  &lt;p&gt;&lt;strong&gt;What are the expectations of a Common Data Model data consumer&lt;/strong&gt;&lt;br&gt;
  In the Common Data Model ecosystem, data consumers are expected to read the metadata and data as the producer described and &lt;strong&gt;not to modify any data&lt;/strong&gt; that consumer didn't also produce. If a data consumer wants to extend or modify the data from another data producer, the consumer then becomes a data producer and should follow the best practices of data producers.&lt;/p&gt;
  &lt;p&gt;&lt;strong&gt;What are the expectations of a Common Data Model data producer&lt;/strong&gt;&lt;br&gt;
  In the Common Data Model ecosystem, data producers are expected to provide sufficient information for a data consumer to understand and parse the data files. A general principle is to make the metadata as rich as possible to simplify the experience for data consumers.&lt;/p&gt;
&lt;/blockquote&gt;
&lt;p&gt;&lt;a href="https://i.stack.imgur.com/SMmje.png" rel="nofollow noreferrer"&gt;&lt;img src="https://i.stack.imgur.com/SMmje.png" alt="enter image description here"&gt;&lt;/a&gt;&lt;/p&gt;
&lt;blockquote&gt;
  &lt;p&gt;With the Common Data Model, you can put your data into formats that represent concepts and activities that are commonly used and well understood. That way, you can query that data, reuse it, and interoperate with other businesses and apps that use the same format.&lt;/p&gt;
  &lt;p&gt;Both platforms that currently support the Common Data Model also offer data-integration experiences through Power Query Online that allow users to bring in data from a variety of sources, transform it if necessary, and then map it to standard entities in the Common Data Model or create custom entities. Power Query Online leverages the same visual, self-service data-prep experience as Power Query within Excel and Power BI Desktop, so existing users can ramp up quickly.&lt;/p&gt;
&lt;/blockquote&gt;
&lt;p&gt;&lt;a href="https://docs.microsoft.com/en-us/common-data-model/use" rel="nofollow noreferrer"&gt;Read more&lt;/a&gt;&lt;/p&gt;
</t>
  </si>
  <si>
    <t xml:space="preserve">&lt;p&gt;I'm building a website that fetches data directly from Salesforce.&lt;/p&gt;
&lt;p&gt;I've installed the &lt;a href="https://github.com/omniphx/forrest" rel="nofollow noreferrer"&gt;omniphx/forrest&lt;/a&gt; package which has been configured and is working as expected.&lt;/p&gt;
&lt;p&gt;In order to authenticate, I have the following route:&lt;/p&gt;
&lt;pre&gt;&lt;code&gt;Route::get('/authenticate', function()
{
    return Forrest::authenticate();
});
&lt;/code&gt;&lt;/pre&gt;
&lt;p&gt;Which when called, returns the token to:&lt;/p&gt;
&lt;pre&gt;&lt;code&gt;Route::get('/callback', function()
{
    Forrest::callback();
    return Redirect::to('/');
});
&lt;/code&gt;&lt;/pre&gt;
&lt;p&gt;So, now onto the issue. If I'm browsing the website and I navigate manually to /authenticate, the app stores the token for future use - great.&lt;/p&gt;
&lt;p&gt;But I can't expect my users to have to navigate to the link manually and I can't make the website authenticate automatically on the home page because the users entry point might be somewhere else (that requires the API connection).&lt;/p&gt;
&lt;p&gt;Is there a way that I can check (from any page) if the user is authenticated and if they are, no action required, but if they're not, I need to authenticate them and return them to their original page (which is hard because requests are sent to /callback).&lt;/p&gt;
&lt;p&gt;Thanks in advance for any help.&lt;/p&gt;
</t>
  </si>
  <si>
    <t xml:space="preserve">&lt;p&gt;I'm new to Salesforce and I've downloaded this data in hopes to learn more about what kind of data insights I can gain from this Salesforce data. I would like to learn more about salesforce and how to ask and create reports based on salesforce data.&lt;/p&gt;
&lt;p&gt;reading up on salesforce and how this can relate to sales&lt;/p&gt;
&lt;p&gt;I'm not sure what stages represent&lt;a href="https://i.stack.imgur.com/OSP3R.png" rel="nofollow noreferrer"&gt;enter image description here&lt;/a&gt;&lt;/p&gt;
</t>
  </si>
  <si>
    <t xml:space="preserve">&lt;p&gt;Our application will integrate customer data to zoho crm. We developed a lambda function in nodejs which uses ZohoCrm Library to call zoho api.  All works fine in development environment. But when we deploy the code to lambda function which throws error "post err: Error: connect ETIMEDOUT". However this will not throw error consistently sometimes worked perfectly and sometimes throws error. We could not figure out the exact root cause. &lt;/p&gt;
&lt;p&gt;zoho crm uses oauth 2.0. When the zohocrm client generating access token by post request throws error "post err: Error: connect ETIMEDOUT". &lt;/p&gt;
&lt;p&gt;AWS Architecture for lambda function:&lt;/p&gt;
&lt;p&gt;Lambda function is inside our VPC. We properly configured subnets which can communicate to internet (public subnet).Also security groups properly configured.&lt;/p&gt;
&lt;p&gt;Lambda Memory 256 MB
Time out 3 mins (We tried to increase time out even then the same issue exist.)&lt;/p&gt;
&lt;p&gt;Nodejs version 10.16.0
zcrmsdk version 0.0.15&lt;/p&gt;
</t>
  </si>
  <si>
    <t xml:space="preserve">&lt;p&gt;Here is my code am trying to display all data records that have no empty values in Image column from my table in a gallary but its failing.&lt;/p&gt;
&lt;p&gt;SortByColumns(Search(Filter(InspectionImages,Image!=""), TextSearchBox1.Text,"Machine"), "Machine", Ascending)&lt;/p&gt;
</t>
  </si>
  <si>
    <t xml:space="preserve">&lt;p&gt;I am developing a radar chart in Microsoft Powerapps. When pressing a button the chart must change. Since radar charts are not supported I create one myself using a SVG image. By pressing the button the SVG polygon points must change so it matches the level of the radar chart. &lt;/p&gt;
&lt;p&gt;Unfortunately I can't find a method to add a variable to the polygon points which let met control it by pressing a button. The data looks as the following&lt;/p&gt;
&lt;pre&gt;&lt;code&gt;data:image/svg+xml,%3Csvg xmlns='http://www.w3.org/2000/svg' height='1000' width='1000' %3E%3Cpolygon points='1000,500 933,250 750,67 500,0 250,67 67,250 0,500 67,750 250,933 500,1000 750,933 933,750' style='fill:orange;fill-opacity:0.9;stroke:black;stroke-width:1' /%3E%3C/svg%3E
&lt;/code&gt;&lt;/pre&gt;
&lt;p&gt;Does anyone know how to add a variable to one of the polygon points? E.g.:&lt;/p&gt;
&lt;pre&gt;&lt;code&gt;polygon points='1000,500 933,250 750,67 500,var1 250,67 67,250 0,500 67,750 250,933 500,1000 750,933 933,750
&lt;/code&gt;&lt;/pre&gt;
&lt;p&gt;I have tried these options:&lt;/p&gt;
&lt;pre&gt;&lt;code&gt;polygon points='1000,500 933,250 750,67 500,"var1(Label1)" 250,67 67,250 0,500 67,750 250,933 500,1000 
  750,933 933,750
&lt;/code&gt;&lt;/pre&gt;
&lt;p&gt;In this option it let's me link to a variable (Label1) or a pressed button, but the rest of the image is no longer working. I searched for some solution, and found that you can create function, but this does not seem to be working in PowerApps. 9@function:yourfunction at the beginning&lt;/p&gt;
&lt;p&gt;Can anyone help me?&lt;/p&gt;
</t>
  </si>
  <si>
    <t xml:space="preserve">&lt;p&gt;Since the SVG content is a string, you can use string concatenation (either the &lt;a href="https://docs.microsoft.com/powerapps/maker/canvas-apps/functions/operators" rel="nofollow noreferrer"&gt;&amp;amp; operator&lt;/a&gt;, or the &lt;a href="https://docs.microsoft.com/powerapps/maker/canvas-apps/functions/function-concatenate" rel="nofollow noreferrer"&gt;Concatenate function&lt;/a&gt;). In your case, if the value is in a variable called &lt;code&gt;var&lt;/code&gt;, you can use this expression:&lt;/p&gt;
&lt;p&gt;"data:image/svg+xml,%3Csvg xmlns='&lt;a href="http://www.w3.org/2000/svg" rel="nofollow noreferrer"&gt;http://www.w3.org/2000/svg&lt;/a&gt;' height='1000' width='1000' %3E%3Cpolygon points='1000,500 933,250 750,67 500," &amp;amp; var &amp;amp; " 250,67 67,250 0,500 67,750 250,933 500,1000 750,933 933,750' style='fill:orange;fill-opacity:0.9;stroke:black;stroke-width:1' /%3E%3C/svg%3E"&lt;/p&gt;
&lt;p&gt;The screen capture below shows this expression in action:&lt;/p&gt;
&lt;p&gt;&lt;a href="https://i.stack.imgur.com/Y2nmg.gif" rel="nofollow noreferrer"&gt;&lt;img src="https://i.stack.imgur.com/Y2nmg.gif" alt="enter image description here"&gt;&lt;/a&gt;&lt;/p&gt;
</t>
  </si>
  <si>
    <t xml:space="preserve">&lt;p&gt;I am making a search on type Lightning Component for Salesforce.
I made a debounce function to check if a user stops typing, which does the delay successfully. However the function that runs in my debounce function will not accept an event now and a &lt;code&gt;console.log(event)&lt;/code&gt; says 'undefined'. I am not sure how to fix this error. My code is below...&lt;/p&gt;
&lt;pre&gt;&lt;code&gt;    debounce(func, wait, immediate) {
        var timeout;
        return function executedFunction() {
          var context = this;
          var args = arguments;
          var later = function() {
            timeout = null;
            if (!immediate) func.apply(context, args);
          };
          var callNow = immediate &amp;amp;&amp;amp; !timeout;
          clearTimeout(timeout);
          timeout = setTimeout(later, wait);
          if (callNow) func.apply(context, args);
        };
      }
    termChange(evt) {
        this.rows = [];
        this.searchTerm = evt.target.value;
        this.getCases();
    }
    handleTermChange = this.debounce(evt, function(){
        this.termchange();
    }, 2000, false)
&lt;/code&gt;&lt;/pre&gt;
&lt;p&gt;When I used to just call termChange, It would search every key press and you would end up with duplicates, or unwanted records. Now with debounce it delays, but I can't find a way to pass the event in. (&lt;code&gt;this.getCases()&lt;/code&gt; is another function I created that retrieves the records.) Any ideas on how to do this?&lt;/p&gt;
</t>
  </si>
  <si>
    <t xml:space="preserve">&lt;p&gt;First, the &lt;code&gt;debounce&lt;/code&gt; function takes a &lt;em&gt;function&lt;/em&gt; as the first argument and you are trying to call it with &lt;em&gt;event object&lt;/em&gt;. Second, &lt;code&gt;termChange&lt;/code&gt; is camel cased but inside the debounce call is is all lowercase, so this code would not run anyways.  &lt;/p&gt;
&lt;p&gt;Now, let's take a close look at what &lt;code&gt;debounce&lt;/code&gt; does. It takes a function and then returns another function that expects the same exact arguments. So if you just do: &lt;/p&gt;
&lt;p&gt;&lt;code&gt;handleTermChange = debounce(termChange)&lt;/code&gt;  &lt;/p&gt;
&lt;p&gt;then you should get a function that would take the event as it's first argument. To be safe, I would bind it to whatever "this" you use in your example and then it should be good to go&lt;/p&gt;
</t>
  </si>
  <si>
    <t xml:space="preserve">&lt;p&gt;I am trying to make a button which acts as a switch, enabling the visibility of a panel.
I am running a client side script when the onClick event fires, which is the following:&lt;/p&gt;
&lt;pre&gt;&lt;code&gt;function {
  if(app.datasources.global.item.hideshow===false)
    {
       *does one thing*
    }
    else if(app.datasources.global.item.hideshow===true)
    { 
       *does another*
    }
}
&lt;/code&gt;&lt;/pre&gt;
&lt;p&gt;My problem is, that the global (which is the datasource).item seems to be a null according to the console error log. It seems like i am trying to access one property of a record from a database, but I would like to access and edit a property which is not attached to any database, it would be just a "global variable". &lt;/p&gt;
&lt;p&gt;Maybe I haven't phrased it too well, but I hope somebody can help me out with this. Thank you in advance.&lt;/p&gt;
</t>
  </si>
  <si>
    <t xml:space="preserve">&lt;p&gt;There are a few ways you could do this.  This link may help &lt;a href="https://www.w3schools.com/jsref/tryit.asp?filename=tryjsref_ontoggle_dom" rel="nofollow noreferrer"&gt;ontoggle Event&lt;/a&gt;.
Another way I could see doing this would be using local storage.&lt;/p&gt;
</t>
  </si>
  <si>
    <t xml:space="preserve">&lt;p&gt;I have a div that have the left and right border, i want that if i drag one of the border the div start to resize following the mouse movement but only horizontally.&lt;/p&gt;
&lt;pre&gt;&lt;code&gt;       &amp;lt;div style="resize: horizontal;width:50px" resizable="true" id="infoi" onresize="{!c.resize}"&amp;gt;
       &amp;lt;/div&amp;gt;
&lt;/code&gt;&lt;/pre&gt;
&lt;p&gt;I have this div and when the resize event is fired i expect that the code provide in the 'resize' function is run but this don't happen&lt;/p&gt;
&lt;pre&gt;&lt;code&gt;resize : function(component, event, helper){
    console.log('resize  ');
}
&lt;/code&gt;&lt;/pre&gt;
&lt;p&gt;How can i achieve to make the div resizing horizzontaly ?&lt;/p&gt;
</t>
  </si>
  <si>
    <t xml:space="preserve">&lt;p&gt;I have an app-maker server-side script that I would like to be able to call from the client script, or from code in a Google Sheet. Is this possible? If not, what would be the best way to create code that can be called from an app maker client or a google sheet?&lt;/p&gt;
</t>
  </si>
  <si>
    <t xml:space="preserve">&lt;p&gt;I was able to make HTTP request but it shows the refresh token only for one time.But, i want to do it after initializing the SDK and I need to know that How can I store the information for a session and get the user details as well for that session.
Now, I'm trying to initialize the sdk using $configuration array (I've made it in config using env) For e.g &lt;/p&gt;
&lt;pre&gt;&lt;code&gt;public function mGetUser() {
    $refreshToken = "my refresh token";
    ZCRMRestClient::initialize(config('ZohoConfig.config'));
    $oAuthClient = ZohoOAuth::getClientInstance();
    $userIdentifier = "my email";
    $oAuthTokens = $oAuthClient-&amp;gt;generateAccessTokenFromRefreshToken($refreshToken, $userIdentifier);
$zcrmModuleIns = ZCRMModule::getInstance("Tasks"); $bulkAPIResponse=$zcrmModuleIns-&amp;gt;getRecords();  
 $recordsArray = $bulkAPIResponse-&amp;gt;getData(); 
dd($recordsArray);
}
&lt;/code&gt;&lt;/pre&gt;
&lt;p&gt;It stores the access and refresh token in the database but I want to happen zoho authentication first and then the usage of the tokens afterwards.&lt;/p&gt;
</t>
  </si>
  <si>
    <t xml:space="preserve">&lt;p&gt;We have developed a application using AppMaker and deployed the application. Immediately after deployment the app is working fine. But, after few mins, we start getting an error&lt;/p&gt;
&lt;pre&gt;&lt;code&gt;Exception: Authorization Failed. More information: Unable to fetch tokens for CloudSql connection 
&lt;/code&gt;&lt;/pre&gt;
&lt;p&gt;We are getting this error when we load application, the application will query a cloud sql table while loading causing this error.
The script tries to query table &lt;/p&gt;
&lt;pre&gt;&lt;code&gt; var newQuery = app.models.AppSettings.newQuery();
 var settingsRecords = newQuery.run();  --&amp;gt;Failing while running this line as per log.
 var newQuery = app.models.AppSettings.newQuery();
 var settingsRecords = newQuery.run();  --&amp;gt;Failing while running this line as per log.
&lt;/code&gt;&lt;/pre&gt;
</t>
  </si>
  <si>
    <t xml:space="preserve">&lt;p&gt;How to apply css styles on dynamically injected html elements in Lightning Web Components&lt;/p&gt;
</t>
  </si>
  <si>
    <t xml:space="preserve">&lt;p&gt;I want to put &lt;code&gt;material-ui&lt;/code&gt; table app into a PowerApps app, is it possible? if so, how?&lt;/p&gt;
&lt;p&gt;I already have the code and the bundle made with webpack, actually I am on the step that I don't know how to add it to Powerapps.&lt;/p&gt;
</t>
  </si>
  <si>
    <t xml:space="preserve">&lt;p&gt;Model driven PowerApps will allow you to add external JS libraries, HTML web pages, CSS, etc as Web resources to design a custom UI within Dynamics. &lt;a href="https://docs.microsoft.com/en-us/powerapps/developer/model-driven-apps/web-resources" rel="nofollow noreferrer"&gt;Read more&lt;/a&gt;&lt;/p&gt;
&lt;p&gt;For example, the &lt;a href="https://crm-rocks.com/reactjs-as-dynamics-365-ce-web-resource/" rel="nofollow noreferrer"&gt;ReactJS is used in Dynamics web resource&lt;/a&gt; like below using &lt;code&gt;bundle.js&lt;/code&gt;. Same approach you should try.&lt;/p&gt;
&lt;pre&gt;&lt;code&gt;&amp;lt;html&amp;gt;
&amp;lt;head&amp;gt;
    ...
    &amp;lt;link href="./static/css/styles.css" rel="stylesheet"&amp;gt;
&amp;lt;/head&amp;gt;
&amp;lt;body&amp;gt;
    &amp;lt;div id="root"&amp;gt;&amp;lt;/div&amp;gt;     
    &amp;lt;script type="text/javascript" src="./static/js/bundle.js"&amp;gt;&amp;lt;/script&amp;gt;
&amp;lt;/body&amp;gt;
&amp;lt;/html&amp;gt;
&lt;/code&gt;&lt;/pre&gt;
&lt;p&gt;Step by step instructions in another &lt;a href="https://stackoverflow.com/q/56622495/7920473"&gt;SO thread&lt;/a&gt; will give you an idea.&lt;/p&gt;
&lt;p&gt;Canvas is a low-code WYSIWYG app builder, so you won't get a lot of support there to do all this custom UI development with third party libraries.&lt;/p&gt;
</t>
  </si>
  <si>
    <t xml:space="preserve">&lt;p&gt;I using below code to send http post request for with json request body, I getting 400 status = null but upon trying with postman i am getting status code 500 which means at least its hitting the server. &lt;/p&gt;
&lt;p&gt;Tried Using postman with same request body and getting status code 500 which means at least its reaching to server. &lt;/p&gt;
&lt;pre&gt;&lt;code&gt;String reqbodydata = '{"TUCANREL4": "&amp;lt;TUCANREL4&amp;gt;&amp;lt;Route RouteDest=\"Canada\" RouteType=\"Test\" /&amp;gt;&amp;lt;UserReference&amp;gt;TEST&amp;lt;/UserReference&amp;gt;&amp;lt;MemberCode&amp;gt;ZZ97519832&amp;lt;/MemberCode&amp;gt;&amp;lt;Password&amp;gt;MICH&amp;lt;/Password&amp;gt;&amp;lt;Product&amp;gt;07000&amp;lt;/Product&amp;gt;&amp;lt;TTY&amp;gt;&amp;lt;FFR&amp;gt;Y&amp;lt;/FFR&amp;gt;&amp;lt;Language&amp;gt;English&amp;lt;/Language&amp;gt;&amp;lt;/TTY&amp;gt;&amp;lt;Subject&amp;gt;&amp;lt;Name&amp;gt;&amp;lt;LastName&amp;gt;Isabell&amp;lt;/LastName&amp;gt;&amp;lt;FirstName&amp;gt;Fernando&amp;lt;/FirstName&amp;gt;&amp;lt;/Name&amp;gt;&amp;lt;DOB&amp;gt;19550825&amp;lt;/DOB&amp;gt;&amp;lt;Address&amp;gt;&amp;lt;Civic&amp;gt;170&amp;lt;/Civic&amp;gt;&amp;lt;Street&amp;gt;Jackson St. E.&amp;lt;/Street&amp;gt;&amp;lt;City&amp;gt;Hamilton&amp;lt;/City&amp;gt;&amp;lt;Postal&amp;gt;L8N1L4&amp;lt;/Postal&amp;gt;&amp;lt;Prov&amp;gt;ON&amp;lt;/Prov&amp;gt;&amp;lt;Telephone&amp;gt;9053185555&amp;lt;/Telephone&amp;gt;&amp;lt;/Address&amp;gt;&amp;lt;/Subject&amp;gt;&amp;lt;OptionalRequest&amp;gt;&amp;lt;OwningBureau&amp;gt;Y&amp;lt;/OwningBureau&amp;gt;&amp;lt;ErrorText&amp;gt;B&amp;lt;/ErrorText&amp;gt;&amp;lt;TradeMop&amp;gt;Y&amp;lt;/TradeMop&amp;gt;&amp;lt;Summary&amp;gt;Y&amp;lt;/Summary&amp;gt;&amp;lt;/OptionalRequest&amp;gt;&amp;lt;/TUCANREL4&amp;gt;","birthDate": "1955-08-25","employmentTypeCode": "FullTime","financialConditionCode": "BK","dependentsCount": 0,"maritalStatusCode": "Married","homeOwnerInd": true,"monthlyRentPaymentAmount": 1,"totalOtherMonthlyExpensesAmount": 1,"monthsEmployed": 1,"grossMonthlyIncomeAmount": 1,"politicallyExposedInd": true,"otherBeneficiaryInd": true}';
&lt;/code&gt;&lt;/pre&gt;
&lt;pre&gt;&lt;code&gt;    HttpRequest req = new HttpRequest();
    HttpResponse res = new HttpResponse();
    Http http = new Http();
    req.setEndpoint('https://paschidev-api-bdm-canaccede-fidemcc.azurewebsites.net/default');
    req.setMethod('POST');
    req.setHeader('Content-Type', 'application/json;charset=UTF-8');
    system.debug('Checkreq01' +  reqbodydata);
    req.setBody(reqbodydata);
    req.setCompressed(true); // otherwise we hit a limit of 32000
    try {
    system.debug('Checkreq' +  req.getBody());
        res = http.send(req);
&lt;/code&gt;&lt;/pre&gt;
&lt;p&gt;request body i am using : &lt;/p&gt;
&lt;pre&gt;&lt;code&gt;{
    "TUCANREL4": "&amp;lt;TUCANREL4&amp;gt;&amp;lt;Route RouteDest=\"Canada\" RouteType=\"Test\" /&amp;gt;&amp;lt;UserReference&amp;gt;TEST&amp;lt;/UserReference&amp;gt;&amp;lt;MemberCode&amp;gt;ZZ97519832&amp;lt;/MemberCode&amp;gt;&amp;lt;Password&amp;gt;MICH&amp;lt;/Password&amp;gt;&amp;lt;Product&amp;gt;07000&amp;lt;/Product&amp;gt;&amp;lt;TTY&amp;gt;&amp;lt;FFR&amp;gt;Y&amp;lt;/FFR&amp;gt;&amp;lt;Language&amp;gt;English&amp;lt;/Language&amp;gt;&amp;lt;/TTY&amp;gt;&amp;lt;Subject&amp;gt;&amp;lt;Name&amp;gt;&amp;lt;LastName&amp;gt;Isabell&amp;lt;/LastName&amp;gt;&amp;lt;FirstName&amp;gt;Fernando&amp;lt;/FirstName&amp;gt;&amp;lt;/Name&amp;gt;&amp;lt;DOB&amp;gt;19550825&amp;lt;/DOB&amp;gt;&amp;lt;Address&amp;gt;&amp;lt;Civic&amp;gt;170&amp;lt;/Civic&amp;gt;&amp;lt;Street&amp;gt;Jackson St. E.&amp;lt;/Street&amp;gt;&amp;lt;City&amp;gt;Hamilton&amp;lt;/City&amp;gt;&amp;lt;Postal&amp;gt;L8N1L4&amp;lt;/Postal&amp;gt;&amp;lt;Prov&amp;gt;ON&amp;lt;/Prov&amp;gt;&amp;lt;Telephone&amp;gt;9053185555&amp;lt;/Telephone&amp;gt;&amp;lt;/Address&amp;gt;&amp;lt;/Subject&amp;gt;&amp;lt;OptionalRequest&amp;gt;&amp;lt;OwningBureau&amp;gt;Y&amp;lt;/OwningBureau&amp;gt;&amp;lt;ErrorText&amp;gt;B&amp;lt;/ErrorText&amp;gt;&amp;lt;TradeMop&amp;gt;Y&amp;lt;/TradeMop&amp;gt;&amp;lt;Summary&amp;gt;Y&amp;lt;/Summary&amp;gt;&amp;lt;/OptionalRequest&amp;gt;&amp;lt;/TUCANREL4&amp;gt;",
    "birthDate": "1955-08-25",
    "employmentTypeCode": "FullTime",
    "financialConditionCode": "BK",
    "dependentsCount": 0,
    "maritalStatusCode": "Married",
    "homeOwnerInd": true,
    "monthlyRentPaymentAmount": 1,
    "totalOtherMonthlyExpensesAmount": 1,
    "monthsEmployed": 1,
    "grossMonthlyIncomeAmount": 1,
    "politicallyExposedInd": true,
    "otherBeneficiaryInd": true
}
&lt;/code&gt;&lt;/pre&gt;
&lt;p&gt;Expected output should be : status code 500 upon hitting from apex in response, as coming from postman, please suggest.&lt;/p&gt;
</t>
  </si>
  <si>
    <t xml:space="preserve">&lt;p&gt;I am using Express for API development, Needs to submit HTML form on calling  GET API call&lt;/p&gt;
&lt;p&gt;I have added below code, it's working fine when its opened from the browser but when calling from Postman or Angular HTTP GET it will not submit a form.&lt;/p&gt;
&lt;p&gt;controller code :&lt;/p&gt;
&lt;pre&gt;&lt;code&gt;  zohoFormSubmit: async (req, res, next) =&amp;gt; {
        res.writeHead(200, { 'Content-Type': 'text/html' });
        res.write('&amp;lt;html&amp;gt;&amp;lt;body&amp;gt;&amp;lt;meta http-equiv="content-type" content="text/html;charset=UTF-8"&amp;gt;&amp;lt;form name="WebToLeads25788000000071001" method="POST" accept-charset="UTF-8" id="zohoForm" action="https://**.zoho.in/crm/**"&amp;gt;&amp;lt;input type="text" name="****" value="**" /&amp;gt;&amp;lt;input type="hidden" name="zc_gad" id="zc_gad" value="" /&amp;gt;&amp;lt;input type="text" name="xmIwtLD" value="**" /&amp;gt;&amp;lt;input type="text" name="actionType" value="TGVhZHM=" /&amp;gt;&amp;lt;input type="text" name="returnURL" value="https&amp;amp;#x3a;&amp;amp;#x2f;&amp;amp;#x2f;login.sthalmatrimony.com&amp;amp;#x2f;" /&amp;gt;&amp;lt;input type="text" name="First Name" value="MANGESH" /&amp;gt;&amp;lt;input type="text" name="Last Name" value="MANGESH" /&amp;gt;&amp;lt;input type="text" name="Email" value="**@gmail.com" /&amp;gt;&amp;lt;input type="text" name="Mobile" value="*****" /&amp;gt;&amp;lt;input type="text" name="City" value="Pune" /&amp;gt;&amp;lt;/form&amp;gt;&amp;lt;script type="text/javascript"&amp;gt;document.WebToLeads25788000000071001.submit();&amp;lt;/script&amp;gt;&amp;lt;/body&amp;gt;&amp;lt;/html&amp;gt;');
        res.end();
    }
&lt;/code&gt;&lt;/pre&gt;
&lt;p&gt;If any one came across the same scenerio please help here. Thanks&lt;/p&gt;
</t>
  </si>
  <si>
    <t xml:space="preserve">&lt;p&gt;I am trying to get the url query string parameters from current page and I have the following code:&lt;/p&gt;
&lt;pre&gt;&lt;code&gt;doInit: function (component, event, helper) {
    var urlParams = new URLSearchParams(window.location.search);
    console.log("params::: ", urlParams);
    if (urlParams.has("openSidebar") &amp;amp;&amp;amp; urlParams.get("openSidebar") == true) {
      console.log("redirection happening....");
      component.set("v.showFeed", true);
      component.set("v.isSidebarOpen", true);
    }
  },
&lt;/code&gt;&lt;/pre&gt;
&lt;p&gt;for some reason seems that I cannot use this line &lt;strong&gt;var urlParams = new URLSearchParams(window.location.search);&lt;/strong&gt; and I dont know why.&lt;/p&gt;
&lt;p&gt;Are there any alternative or salesforce way hwo to get the query string parameters from url?&lt;/p&gt;
&lt;p&gt;I am basically getting nothing, the execution seems to stop at the line where I am using &lt;strong&gt;URLSearchParams&lt;/strong&gt;!&lt;/p&gt;
&lt;p&gt;Also curious to know why does lightning does not let plain javascript to execute in this case?&lt;/p&gt;
</t>
  </si>
  <si>
    <t xml:space="preserve">&lt;p&gt;Using &lt;code&gt;new URLSearchParams&lt;/code&gt; will return an instance of a class, not an object (or map).&lt;/p&gt;
&lt;p&gt;You can use this code to convert the key/pair values into an object. Then you can check the value on the object instead:&lt;/p&gt;
&lt;p&gt;&lt;div class="snippet" data-lang="js" data-hide="false" data-console="true" data-babel="false"&gt;
&lt;div class="snippet-code"&gt;
&lt;pre class="snippet-code-js lang-js prettyprint-override"&gt;&lt;code&gt;const searchParams = new URLSearchParams('?openSidebar=true&amp;amp;foo=bar&amp;amp;test=hello%26world')
const params = [...searchParams.entries()].reduce((a, [k, v]) =&amp;gt; (a[k] = v, a), {})
console.log(params)
if (params.openSidebar === 'true') {
  console.log("redirection happening....");
  // do stuff here      
}&lt;/code&gt;&lt;/pre&gt;
&lt;/div&gt;
&lt;/div&gt;
&lt;/p&gt;
&lt;blockquote&gt;
  &lt;p&gt;Note, we use &lt;code&gt;=== 'true'&lt;/code&gt; since the url parameter will always be a type of string.&lt;/p&gt;
&lt;/blockquote&gt;
&lt;p&gt;Since you said it wasn't working, you could build your own parser:&lt;/p&gt;
&lt;p&gt;&lt;div class="snippet" data-lang="js" data-hide="false" data-console="true" data-babel="false"&gt;
&lt;div class="snippet-code"&gt;
&lt;pre class="snippet-code-js lang-js prettyprint-override"&gt;&lt;code&gt;const qs = '?openSidebar=true&amp;amp;foo=bar&amp;amp;test=hello%26world'
  .slice(1) // remove '?'
const d = decodeURIComponent // used to make it shorter, replace d with decodeURIComponent if you want
const params = qs
  .split('&amp;amp;') // split string into key/pair
  .map(s =&amp;gt; s.split('=')) // split key/pair to key and pair
  .reduce((a, [k, v]) =&amp;gt; ((a[d(k)] = d(v)), a), {}) // set each object prop name to k, and value to v
console.log(params)&lt;/code&gt;&lt;/pre&gt;
&lt;/div&gt;
&lt;/div&gt;
&lt;/p&gt;
&lt;blockquote&gt;
  &lt;p&gt;Note, we use &lt;code&gt;decodeURIComponent()&lt;/code&gt; (or shorthand &lt;code&gt;d()&lt;/code&gt;) &lt;em&gt;last&lt;/em&gt;, because the parameters may contain ampersands or equals signs. Should we call &lt;code&gt;d()&lt;/code&gt; first, we would split on these characters, which we don't want to happen.&lt;/p&gt;
&lt;/blockquote&gt;
</t>
  </si>
  <si>
    <t xml:space="preserve">&lt;p&gt;How to import rxjs in LWC within Salesforce? I assume rxjs should be considered static resource. I tried to follow the instruction for that, but it did not work. For now, I am just trying to run this code in a simple lightning web component:&lt;/p&gt;
&lt;p&gt;of(1,2,3).pipe(map(x =&gt; x + '!!!'))) &lt;/p&gt;
&lt;p&gt;Can someone help with that?&lt;/p&gt;
</t>
  </si>
  <si>
    <t xml:space="preserve">&lt;p&gt;I have the following problem,&lt;/p&gt;
&lt;p&gt;I have this piece of code in my Javascript file,&lt;/p&gt;
&lt;pre&gt;&lt;code&gt;    termChange(evt) {
        this.rows = [];
        this.searchTerm = evt.target.value;
        this.getCases();
    }
&lt;/code&gt;&lt;/pre&gt;
&lt;p&gt;This clears out the rows returned after the search takes place, gets the search term through the event taking place and then calls getCases.&lt;/p&gt;
&lt;p&gt;This Code block calls another async function, getCases, that gets a response from our server and gets the results back. The html has onChange = {termChange}. However this is where the problem comes in. Every-time you type, it calls it, causing it to fire 8 times while searching. This results in unwanted search results, and duplicates at times. I need to figure out a way to call this event after the user has finished typing. I have tried to setTimeouts, and even use a debounce. However neither I could get to work in order to solve the problem. Any help with this would be huge. Thanks!&lt;/p&gt;
&lt;p&gt;It has to automatically search when the user finishes typing without any movements or button presses.&lt;/p&gt;
&lt;pre&gt;&lt;code&gt;    debounce(func, wait, immediate) {
        var timeout;
        return function executedFunction() {
          var context = this;
          var args = arguments;
          var later = function() {
            timeout = null;
            if (!immediate) func.apply(context, args);
            };
          var callNow = immediate &amp;amp;&amp;amp; !timeout;
          clearTimeout(timeout);
          timeout = setTimeout(later, wait);
          if (callNow) func.apply(context, args);
        };
    }
&lt;/code&gt;&lt;/pre&gt;
&lt;p&gt;This is the debounce function I wrote. However when I tried to do something along the lines of &lt;/p&gt;
&lt;pre&gt;&lt;code&gt;    handleTermChange = this.debounce(this.termChange(), 1000, false);
&lt;/code&gt;&lt;/pre&gt;
&lt;p&gt;It throws me an error that it can not find target of undefined. So it does not pass the event through and I could not figure out away to do this and make it work, hence my problem with debounce.&lt;/p&gt;
</t>
  </si>
  <si>
    <t xml:space="preserve">&lt;p&gt;Debounce is 100% the way to go - it describes exactly what you're trying to do.  Maybe you need a longer timer?  Or there was something wrong with the debounce function?&lt;/p&gt;
&lt;p&gt;I use a 250ms timer on the site I maintain's search box - but if it's a slower API or if it makes major page rewrites, you'd probably want to go larger.&lt;/p&gt;
&lt;p&gt;Also check to make sure the input actually changed... e.g. store the last searched term and abort it in the search function if new input = old input&lt;/p&gt;
</t>
  </si>
  <si>
    <t xml:space="preserve">&lt;p&gt;I've created a list of menu items with dynamic names from DataSource, I want to navigate to appropriate pages by clicking the menu items.
I have got this code where we can hard code the page name to use in &lt;code&gt;onClick&lt;/code&gt; for the current menu item.&lt;/p&gt;
&lt;pre&gt;&lt;code&gt;app.showPage(app.pages.home);
&lt;/code&gt;&lt;/pre&gt;
&lt;p&gt;I want to use dynamic page name from DataSource for the current item in the list.&lt;/p&gt;
&lt;p&gt;I've data model named &lt;code&gt;MenuItems&lt;/code&gt; with 2 string fields &lt;code&gt;DisplayName&lt;/code&gt; and &lt;code&gt;PageName&lt;/code&gt;&lt;/p&gt;
&lt;p&gt;&lt;em&gt;I want to use  &lt;code&gt;PageName&lt;/code&gt; value in &lt;code&gt;showPage&lt;/code&gt; method instead of hardcoded value--- Thanks for help&lt;/em&gt;&lt;/p&gt;
</t>
  </si>
  <si>
    <t xml:space="preserve">&lt;p&gt;In this case you should be able to change your code as follows:&lt;/p&gt;
&lt;pre&gt;&lt;code&gt;app.showPage(app.pages[app.datasources.MenuItems.item.PageName]);
&lt;/code&gt;&lt;/pre&gt;
&lt;p&gt;This will only work if your MenuItems datasource is loaded to the client however.&lt;/p&gt;
&lt;p&gt;Let me add that if you are running this code out of a list widget and your onclick event of the list row is your navigation, then you can simplify your code by just doing:&lt;/p&gt;
&lt;pre&gt;&lt;code&gt;app.showPage(app.pages[widget.datasource.item.PageName]);
&lt;/code&gt;&lt;/pre&gt;
&lt;p&gt;This way you will eliminate the possibility of a race condition where App Maker may first recognize the the showPage() function before it will recognize the correctly selected item in your list widget.&lt;/p&gt;
</t>
  </si>
  <si>
    <t xml:space="preserve">&lt;p&gt;I want Google Analytics data in my Zoho CRM leads information.&lt;/p&gt;
&lt;p&gt;like below fields in my Zoho CRM are the fields which should be filled by Google Analytics.&lt;/p&gt;
&lt;p&gt;&lt;a href="https://i.stack.imgur.com/cIIU1.png" rel="nofollow noreferrer"&gt;&lt;img src="https://i.stack.imgur.com/cIIU1.png" alt="enter image description here"&gt;&lt;/a&gt;&lt;/p&gt;
&lt;p&gt;although, I have tried a third party extension i.e. &lt;a href="https://gaconnector.com/" rel="nofollow noreferrer"&gt;GA Connector&lt;/a&gt; and it does work, but sometimes data is invalid or wrongly filled. So i tried to work on it myself by starting to study Google Analytics API, but I couldn't find a proper way to get a current users info which is right now on my website and submitting a form and I have to send his GA's data like his source/medium/campaign etc. &lt;/p&gt;
&lt;p&gt;Now I am trying to do like when user is submitting any form on my website I am sending his info to GA and then after couple of minutes when data is reflected into GA dashboard then I am thinking to fetch that data of user's and update my ZOHO leads information, but I don't know what is the correct way to do that or how I am thinking whether right or wrong!  &lt;/p&gt;
&lt;p&gt;All I just want Zoho Leads info must contain these information above in the picture. If anyone have done this or can help me through this, I'll be really grateful. By the way, I am not a native English speaker so really sorry for any mistake. &lt;/p&gt;
&lt;p&gt;Thanks in advance.&lt;/p&gt;
</t>
  </si>
  <si>
    <t xml:space="preserve">&lt;p&gt;Assume a URL link (containing a merge field on the Account object) exist on the Account object with the API Name link_1, and I have a VF Page with a standrdcontroller on Account, is there a way to call link_1 from the controller or when the page loads, the goal here is to invoke that link programtically once the controller and action are completed. &lt;/p&gt;
&lt;p&gt;&lt;/p&gt;
</t>
  </si>
  <si>
    <t xml:space="preserve">&lt;p&gt;I have designed a PowerApps App to collect data from the user. A flow will be used to insert a new row into a 2 SQL Server tables. The app has 2 screens with a form each. The first form is InvoiceHeader and the 2nd form is InvoiceDetails. As is probably apparent from the names, there is a parent-child relationship between InvoiceHeader and InvoiceDetails. &lt;/p&gt;
&lt;p&gt;The flow will create two actions in parallel - an 'Insert Row' on SQL Server table &lt;code&gt;tblInvH&lt;/code&gt; and an insert row on table &lt;code&gt;tblInvD&lt;/code&gt;. What I want to ensure is that in case the insert to either table is successful but the other fails, the entire transaction should rollback. Only a rollback mechanism would align to business logic where you cannot have an &lt;code&gt;InvoiceHeader&lt;/code&gt; without &lt;code&gt;InvoiceDetails&lt;/code&gt; and vice versa.&lt;/p&gt;
&lt;p&gt;I have successfully attempted this construct through SSIS where I can wrap both insertrow dataflow tasks under an integrated transaction. This is exactly what I want to achieve with the construct of the flow.&lt;/p&gt;
&lt;p&gt;A few google searches indicate that the "scope" control may be what I need.  &lt;/p&gt;
&lt;p&gt;However, upon a bare reading, it appears that scope control would  only return a net failure or success back to the user. There does not appear to be any cure for reversing the data posted to either &lt;code&gt;tblInvH&lt;/code&gt; with no matching posting in &lt;code&gt;tblInvD&lt;/code&gt;, or vice versa.  &lt;/p&gt;
&lt;p&gt;Within each table I have ensured implicit transaction control by specifying NOT NULL constraints - it's the cross table transaction control that is eating into me.&lt;/p&gt;
&lt;p&gt;Just to preempt any suggestions to stay with SSIS - that's really not an option. This is because PowerApps offers a far more scalable solution than distributing excel templates which the users will otherwise be required to populate. Further, the PowerApps capability of mining into the Office365Users means that the multi-layer invoice approvals can be triggered from within the PowerApps form itself. Plus all validation can happen at the form level rather than post hoc Excel sheet checking. Just recreating this in Excel will be a world of pain.&lt;/p&gt;
</t>
  </si>
  <si>
    <t xml:space="preserve">&lt;p&gt;Assuming a link is created and is pointing to a URL with the following pattern:
/00O70000001SOsa?pv0={!Account.Id}&amp;amp;pv1={!Case.IsClosed}
How can this be written in an Apex controller if I have to invoke the same thing using pagereference or any other similar API.&lt;/p&gt;
</t>
  </si>
  <si>
    <t xml:space="preserve">&lt;p&gt;Thanx for Helping &lt;/p&gt;
&lt;p&gt;I have gone through a couple of docs but I didn't find the solution to my problem&lt;/p&gt;
&lt;p&gt;&lt;strong&gt;Problem&lt;/strong&gt;&lt;/p&gt;
&lt;p&gt;When I click on the link I want it to be selected for that I create a variable and set it's value coming from the Tag attribute name into JS Controller &lt;/p&gt;
&lt;p&gt;After getting value I set the attribute value to the name&lt;/p&gt;
&lt;p&gt;I am assigning the class to the tag based on the value of variable set from the aura Js Controller&lt;/p&gt;
&lt;p&gt;But I have to &lt;strong&gt;double click&lt;/strong&gt; to select the Element&lt;/p&gt;
&lt;p&gt;&lt;strong&gt;Attribute&lt;/strong&gt;&lt;/p&gt;
&lt;pre&gt;&lt;code&gt;&amp;lt;aura:attribute name="active" type="String" default="ALL"/&amp;gt;
&lt;/code&gt;&lt;/pre&gt;
&lt;p&gt;&lt;strong&gt;Checks on the Tag&lt;/strong&gt;&lt;/p&gt;
&lt;pre&gt;&lt;code&gt;&amp;lt;li  class="{!v.active == 'Exterior'? 'slds-nav-vertical__item slds-nav-vertical__action hover': 'slds-nav-vertical__item slds-nav-vertical__action'}" name="Exterior" onclick="{!c.getFilterCategories}"&amp;gt;
        Exterior
&amp;lt;/li&amp;gt;
&amp;lt;li  class="{!v.active == 'MEP'? 'slds-nav-vertical__item slds-nav-vertical__action hover': 'slds-nav-vertical__item slds-nav-vertical__action'}" name="MEP" onclick="{!c.getFilterCategories}"&amp;gt;
       MEP
&amp;lt;/li&amp;gt;
&amp;lt;li class="{!v.active == 'Paint'? 'slds-nav-vertical__item slds-nav-vertical__action hover': 'slds-nav-vertical__item slds-nav-vertical__action'}"  name="Paint" onclick="{!c.getFilterCategories}"&amp;gt;
     Paint
&amp;lt;/li&amp;gt;
&amp;lt;li  class="{!v.active == 'Flooring'? 'slds-nav-vertical__item slds-nav-vertical__action hover': 'slds-nav-vertical__item slds-nav-vertical__action'}"  name="Flooring" onclick="{!c.getFilterCategories}"&amp;gt;
    Flooring
&amp;lt;/li&amp;gt;
&amp;lt;li class="{!v.active == 'Misc'? 'slds-nav-vertical__item slds-nav-vertical__action hover': 'slds-nav-vertical__item slds-nav-vertical__action'}"  name="Misc" onclick="{!c.getFilterCategories}"&amp;gt;
    Misc
&amp;lt;/li&amp;gt;
&lt;/code&gt;&lt;/pre&gt;
&lt;p&gt;&lt;strong&gt;AURA JS Controller&lt;/strong&gt;&lt;/p&gt;
&lt;pre&gt;&lt;code&gt;getFilterCategories : function(component, event, helper){
   var title =  event.currentTarget.name;
   console.log(' event.currentTarget.name-------'+ event.currentTarget.name);
   component.set('v.active', event.currentTarget.name); 
   console.log(component.get('v.active'));
}
&lt;/code&gt;&lt;/pre&gt;
&lt;p&gt;&lt;strong&gt;First and Second Click&lt;/strong&gt;
&lt;a href="https://i.stack.imgur.com/geuEe.png" rel="nofollow noreferrer"&gt;&lt;img src="https://i.stack.imgur.com/geuEe.png" alt="enter image description here"&gt;&lt;/a&gt;&lt;/p&gt;
</t>
  </si>
  <si>
    <t xml:space="preserve">&lt;p&gt;When I click the "Add more item/s" button, layout should be able to expand and add a widget. Imagine having a cart where I can add an item.&lt;/p&gt;
&lt;p&gt;I tried using a table to be able to do this. I can easily add a widget to the table row thanks to this platform. However, the table is bind in a datasource. I don't want to add entry to a database whenever I clicked a button. I am handling the data to a json variable, then I will only save the data to a database when I click the submit button.&lt;/p&gt;
&lt;p&gt;I am new to this platform and it's hard for me to find a source to this specific problem.&lt;/p&gt;
&lt;p&gt;How will I be able to do this without using the built in table?&lt;/p&gt;
</t>
  </si>
  <si>
    <t xml:space="preserve">&lt;p&gt;How do we set up a domain name for the Google App Maker?
I've got a domain name from google and working on an app maker project.&lt;/p&gt;
&lt;p&gt;&lt;em&gt;I was not able to find any help in Google App Maker documentation, Stackoverflow or anywhere on the internet.&lt;/em&gt;&lt;/p&gt;
</t>
  </si>
  <si>
    <t xml:space="preserve">&lt;p&gt;App Maker apps are only available to users in your G Suite organization. You can't share apps with external users. You cannot use your custom domain name for App Maker apps.&lt;/p&gt;
&lt;p&gt;There is a feature request for this ability: &lt;a href="https://issuetracker.google.com/issues/63382989" rel="nofollow noreferrer"&gt;link&lt;/a&gt;.&lt;/p&gt;
&lt;p&gt;If you understand how to buid a website you could create a custom URL with your domain name that when hit redirects the user to the actual URL. This is very easy to do and only takes a line of code. This could also be configured in the Apache webserver or just about all webservers.&lt;/p&gt;
&lt;p&gt;Example:&lt;/p&gt;
&lt;p&gt;User goes to your website: &lt;a href="https://www.example.com/my-url" rel="nofollow noreferrer"&gt;https://www.example.com/my-url&lt;/a&gt;&lt;/p&gt;
&lt;p&gt;Your website redirects &lt;code&gt;my-url&lt;/code&gt; to the App Maker URL. I would use a 301 for a permanent redirect or a 307 for a temporary redirect.&lt;/p&gt;
</t>
  </si>
  <si>
    <t xml:space="preserve">&lt;p&gt;I am working on a salesforce project where the front end is made of lightning component and I would like to migrate an external jQuery library (&lt;a href="https://podio.github.io/jquery-mentions-input/" rel="nofollow noreferrer"&gt;https://podio.github.io/jquery-mentions-input/&lt;/a&gt;) on the project by including this way on the component:&lt;/p&gt;
&lt;pre&gt;&lt;code&gt;&amp;lt;ltng:require scripts="https://cdnjs.cloudflare.com/ajax/libs/underscore.js/1.8.3/underscore-min.js" /&amp;gt;
&amp;lt;ltng:require scripts="http://podio.github.io/jquery-mentions-input/jquery.mentionsInput.js" afterScriptsLoaded="{!c.test}" /&amp;gt;
&lt;/code&gt;&lt;/pre&gt;
&lt;p&gt;For some reason test function is never called, therefor I assume the script is never being loaded and I dont know why.&lt;/p&gt;
&lt;p&gt;I also tried it this way: &lt;code&gt;&amp;lt;ltng:require scripts="{!$Resource.jqueryMentionsInput}" afterScriptsLoaded="{!c.test}"/&amp;gt;&lt;/code&gt; where jqueryMentionsInput is the name of the static resource in this case the javascript library file.&lt;/p&gt;
&lt;p&gt;Any idea why this is happening or how to integrate this jQuery library &lt;a href="https://github.com/podio/jquery-mentions-input" rel="nofollow noreferrer"&gt;https://github.com/podio/jquery-mentions-input&lt;/a&gt; into salesforce app?&lt;/p&gt;
&lt;p&gt;UPDATE: Tried this way to make sure that jquery is loaded first than underscore and then finally the mention input library:&lt;/p&gt;
&lt;pre&gt;&lt;code&gt;&amp;lt;ltng:require scripts="{!join(',', $Resource.jquery, $Resource.underscore, $Resource.jqueryMentionInput)}" afterScriptsLoaded="{!c.test}"/&amp;gt;
&lt;/code&gt;&lt;/pre&gt;
&lt;p&gt;Still not working :s&lt;/p&gt;
</t>
  </si>
  <si>
    <t xml:space="preserve">&lt;p&gt;I've a table with two columns:
1. Month
2. Week&lt;/p&gt;
&lt;p&gt;Data in table is as follows:&lt;/p&gt;
&lt;p&gt;Month  |  Week&lt;/p&gt;
&lt;p&gt;1      |  4&lt;/p&gt;
&lt;p&gt;2      |  3&lt;/p&gt;
&lt;p&gt;3      |  2&lt;/p&gt;
&lt;p&gt;4      |  1&lt;/p&gt;
&lt;p&gt;5      |  4&lt;/p&gt;
&lt;p&gt;6      |  3&lt;/p&gt;
&lt;p&gt;7      |  2&lt;/p&gt;
&lt;p&gt;8      |  1&lt;/p&gt;
&lt;p&gt;9      |  4&lt;/p&gt;
&lt;p&gt;10     |  3&lt;/p&gt;
&lt;p&gt;11     |  2&lt;/p&gt;
&lt;p&gt;12     |  1&lt;/p&gt;
&lt;p&gt;Now, based on the date which user provides I need to find the corresponding first day of the week based on the mapping in the table above.&lt;/p&gt;
&lt;p&gt;&lt;strong&gt;Example-1&lt;/strong&gt;: &lt;/p&gt;
&lt;p&gt;Date from user: 9/29/2019&lt;/p&gt;
&lt;p&gt;Now, I will see the month in the date provided by the user and then based on that month; I'll look into the table and see the corresponding week for that month.
Here, for month 9(September) the corresponding week will be week 4.
Now, since I've the week for that month; I need to find the first date of that week in that month of the year. In this case, it'll be 9/23/2019.&lt;/p&gt;
&lt;p&gt;My solution should be 9/23/2019.&lt;/p&gt;
&lt;p&gt;&lt;strong&gt;Example-2&lt;/strong&gt;:&lt;/p&gt;
&lt;p&gt;Date from user: 10/10/2019&lt;/p&gt;
&lt;p&gt;Now, I will see the month in the date provided by the user and then based on that month; I'll look into the table and see the corresponding week for that month.
Here, for month 10(October) the corresponding week will be week 3.
Now, since I've the week for that month; I need to find the first date of that week in that month of the year. In this case, it'll be 10/21/2019.&lt;/p&gt;
&lt;p&gt;My solution should be 10/21/2019.&lt;/p&gt;
&lt;p&gt;I'm trying to come up with PowerApps formula for this scenario.
Any help will be appreciated.&lt;/p&gt;
</t>
  </si>
  <si>
    <t xml:space="preserve">&lt;p&gt;With your requirements, you should be able to use this expression (given that the date from the user comes from a date picker; if the date comes from some other source you'll need to adjust the expression):&lt;/p&gt;
&lt;pre&gt;&lt;code&gt;With(
    { firstDay: Date(Year(DatePicker1.SelectedDate), Month(DatePicker1.SelectedDate), 1) },
    With(
        {
            firstMonday: DateAdd(firstDay, 7 - Weekday(firstDay, StartOfWeek.Tuesday), Days),
            weekNumber: LookUp(MyTable, Month = Month(DatePicker1.SelectedDate), Week)
        },
        DateAdd(firstMonday, 7 * (weekNumber - 1), Days)))
&lt;/code&gt;&lt;/pre&gt;
&lt;p&gt;Let's break it down:&lt;/p&gt;
&lt;ul&gt;
&lt;li&gt;The first &lt;a href="https://docs.microsoft.com/powerapps/maker/canvas-apps/functions/function-with" rel="nofollow noreferrer"&gt;&lt;code&gt;With&lt;/code&gt;&lt;/a&gt; creates a scope variable called &lt;code&gt;firstDay&lt;/code&gt; that holds the first day of the month selected by the user;&lt;/li&gt;
&lt;li&gt;The second &lt;code&gt;With&lt;/code&gt; calculates the first &lt;em&gt;Monday&lt;/em&gt; of the month, since this is what determines the week number in your scenario. It does that by adding the number of days until the next Monday to the first day of the month, which was calculated in the above step. It also retrieves the week number from your table (in my example I called it 'MyTable', you would replace it with the appropriate name in your scenario)&lt;/li&gt;
&lt;li&gt;Finally, given the week number and the first Monday of the month, we can add the appropriate number of days to get the desired result.&lt;/li&gt;
&lt;/ul&gt;
&lt;p&gt;Hope this helps!&lt;/p&gt;
</t>
  </si>
  <si>
    <t xml:space="preserve">&lt;p&gt;This is the salesforce application.
I want to get the below attributes value from the &lt;code&gt;&amp;lt;a&amp;gt;&lt;/code&gt; tag&lt;/p&gt;
&lt;ol&gt;
&lt;li&gt;&lt;p&gt;Href&lt;/p&gt;&lt;/li&gt;
&lt;li&gt;&lt;p&gt;Title&lt;/p&gt;&lt;/li&gt;
&lt;/ol&gt;
&lt;p&gt;HTML Code&lt;/p&gt;
&lt;pre&gt;&lt;code&gt;&amp;lt;one-app-nav-bar-item-root one-appnavbar_appnavbar="" data-id="home" data-assistive-id="operationId" aria-hidden="false" draggable="true" class="navItem slds-context-bar__item slds-shrink-none slds-is-active" role="listitem" xpath="1"&amp;gt;
&amp;lt;a href="/lightning/page/home" title="Home" tabindex="0" draggable="false" aria-describedby="operationId-14" class="slds-context-bar__label-action dndItem" style=""&amp;gt;
&amp;lt;span class="slds-truncate"&amp;gt;Home&amp;lt;/span&amp;gt;
&amp;lt;/a&amp;gt;&amp;lt;/one-app-nav-bar-item-root&amp;gt;
&lt;/code&gt;&lt;/pre&gt;
&lt;p&gt;Selenium code (groovy scripting language)&lt;/p&gt;
&lt;pre&gt;&lt;code&gt;for(int i:(1..size)){
            WebElement getHref = driver.findElement(By.xpath("//one-app-nav-bar-item-root[${i}]//a[1]"))
            println getHref.getAttribute("href")
            println getHref.getAttribute("title")
}
&lt;/code&gt;&lt;/pre&gt;
&lt;p&gt;output&lt;/p&gt;
&lt;pre&gt;&lt;code&gt;null
null
&lt;/code&gt;&lt;/pre&gt;
&lt;p&gt;NOTE:
When I execute the above code in FireFox, I'm getting my expected result&lt;/p&gt;
</t>
  </si>
  <si>
    <t xml:space="preserve">&lt;p&gt;There are some questions posted in relation to this, however none of those questions give a definite answer as which method to use without compromising the security of the app and of zoho system.&lt;/p&gt;
&lt;p&gt;am developing node js application through which I am trying to send mail from (localhost:3000), 
but I am getting error, please help on how do I send mail using node js nodemailer and zoho smtp&lt;/p&gt;
&lt;p&gt;( I have created Application specific password using below link
&lt;a href="https://www.zoho.com/mail/help/adminconsole/two-factor-authentication.html#alink5" rel="nofollow noreferrer"&gt;https://www.zoho.com/mail/help/adminconsole/two-factor-authentication.html#alink5&lt;/a&gt; )&lt;/p&gt;
&lt;p&gt;I am using nodemailer
Here is the code, how I am creating transporter object&lt;/p&gt;
&lt;pre&gt;&lt;code&gt;const nodemailer = require('nodemailer');
const transporter = nodemailer.createTransport({
   host: "smtp.zoho.com",,
   port: 465,
   secure: true,
   secureConnection: false,
   auth: {
       user: "email@email.com",
       pass: "password"
   }
});
obj = {
          from: 'valid@fromemail.com',
                to: 'valid@email.com',
                subject: 'subject',
                text: 'text',
                html: &amp;lt;b&amp;gt;Test HTML&amp;lt;/b&amp;gt;
            }
transporter.sendMail(obj);
&lt;/code&gt;&lt;/pre&gt;
&lt;p&gt;I got below error:&lt;/p&gt;
&lt;pre&gt;&lt;code&gt;{ Error: self signed certificate in certificate chain
   at TLSSocket.onConnectSecure (_tls_wrap.js:1055:34)
   at TLSSocket.emit (events.js:198:13)
   at TLSSocket.EventEmitter.emit (domain.js:448:20)
   at TLSSocket._finishInit (_tls_wrap.js:633:8) code: 'ESOCKET', command: 'CONN' }
&lt;/code&gt;&lt;/pre&gt;
&lt;hr&gt;
&lt;p&gt;Its giving error even If I am using non secure connection&lt;/p&gt;
</t>
  </si>
  <si>
    <t xml:space="preserve">&lt;p&gt;I would like to have a interlocked Slider and DatacardValue, so that if the user changes the value in one of them, the other will be altered for the same value in response.&lt;/p&gt;
&lt;p&gt;Making this an one-way affair was simple enough by setting the Dafault property in the DatacardValue to the Slider value, but no matter how I try to make changing the DatacardValue also change the Slider, I aways get a circular reference error.&lt;/p&gt;
&lt;p&gt;Any ideas?&lt;/p&gt;
</t>
  </si>
  <si>
    <t xml:space="preserve">&lt;p&gt;I have two tables, WaterUseData and PermitList with a many-to-many relation that is captured in a table with a name designation of 'WaterUseDataPermits - RelatedPermits' in the default database. I am running a calculated sql datasource against the WaterUseData table where the RelatedPermits key is equal to a parameter of type Permit key that I pass from the client. The relevant query is as follows:&lt;/p&gt;
&lt;pre&gt;&lt;code&gt;SELECT
  YEAR(Date + INTERVAL 3 MONTH) AS WaterYear,
  SUM(IF(DATE_FORMAT(Date,'%m') = '10',Water_Use_Gallons,null)) as 'Oct',
  SUM(IF(DATE_FORMAT(Date,'%m') = '11',Water_Use_Gallons,null)) as 'Nov',
  SUM(IF(DATE_FORMAT(Date,'%m') = '12',Water_Use_Gallons,null)) as 'Dec',
  SUM(IF(DATE_FORMAT(Date,'%m') = '01',Water_Use_Gallons,null)) as 'Jan',
  SUM(IF(DATE_FORMAT(Date,'%m') = '02',Water_Use_Gallons,null)) as 'Feb',
  SUM(IF(DATE_FORMAT(Date,'%m') = '03',Water_Use_Gallons,null)) as 'Mar',
  SUM(IF(DATE_FORMAT(Date,'%m') = '04',Water_Use_Gallons,null)) as 'Apr',
  SUM(IF(DATE_FORMAT(Date,'%m') = '05',Water_Use_Gallons,null)) as 'May',
  SUM(IF(DATE_FORMAT(Date,'%m') = '06',Water_Use_Gallons,null)) as 'Jun',
  SUM(IF(DATE_FORMAT(Date,'%m') = '07',Water_Use_Gallons,null)) as 'Jul',
  SUM(IF(DATE_FORMAT(Date,'%m') = '08',Water_Use_Gallons,null)) as 'Aug',
  SUM(IF(DATE_FORMAT(Date,'%m') = '09',Water_Use_Gallons,null)) as 'Sep',
  SUM(Water_Use_Gallons) as Total
FROM WaterUseData
WHERE [WaterUseDataPermits - RelatedPermits].RelatedPermits = :PermitKey
GROUP BY YEAR(Date + INTERVAL 3 MONTH)
ORDER BY YEAR(Date + INTERVAL 3 MONTH) ASC
&lt;/code&gt;&lt;/pre&gt;
&lt;p&gt;Besides the [WaterUseDataPermits - RelatedPermits] in an attempt to reference the table holding the relation keys I have also tried 'WaterUseDataPermits - RelatedPermits', "WaterUseDataPermits - RelatedPermits", &lt;em&gt;'WaterUseDataPermits - RelatedPermits&lt;/em&gt;', ['WaterUseDataPermits - RelatedPermits'], ["WaterUseDataPermits - RelatedPermits"], and WaterUseDataPermits_RelatedPermits. All of these have resulted in an error in the SQL syntax or an error due to a reference to an unknown column.&lt;/p&gt;
&lt;p&gt;Other answers I have found in regards to referencing relation tables have only suggested to include the table name for the relation keys like My_Relation_Table but the table name in App Maker does not appear to conform to this type of naming convention. If anyone might be able to help me solve this problem I would appreciate it.&lt;/p&gt;
&lt;p&gt;Added images of of the relevant tables. There are no foreign key fields in either table and the field 'WR_Number' that both tables contain is no longer relevant since App Maker uses a customized relation API.&lt;/p&gt;
&lt;p&gt;&lt;a href="https://i.stack.imgur.com/5d7gQ.png" rel="nofollow noreferrer"&gt;&lt;img src="https://i.stack.imgur.com/5d7gQ.png" alt="PermitList Table"&gt;&lt;/a&gt;&lt;/p&gt;
&lt;p&gt;&lt;a href="https://i.stack.imgur.com/KR9R4.png" rel="nofollow noreferrer"&gt;&lt;img src="https://i.stack.imgur.com/KR9R4.png" alt="WaterUse Table"&gt;&lt;/a&gt;&lt;/p&gt;
</t>
  </si>
  <si>
    <t xml:space="preserve">&lt;p&gt;Based on the useful insight posted by Bruce under the Googe-App-Maker user group here &lt;a href="https://groups.google.com/forum/#!topic/appmaker-users/wovN3w3TpT4" rel="nofollow noreferrer"&gt;https://groups.google.com/forum/#!topic/appmaker-users/wovN3w3TpT4&lt;/a&gt; I was able to use Calculated SQL models to get a list of all my tables within my database and then I used an additional SQL command to fetch the correct column names within the relation table resulting in an adjusted query that solved my problem. Here are the steps I took to accomplish this:&lt;/p&gt;
&lt;ol&gt;
&lt;li&gt;Created a calculated SQL model, called it 'Tables', created one
Field of type string and set the name setting of the field to
'Tables_in_MyDatabaseKey'. Set the datasource query to &lt;code&gt;show
tables;&lt;/code&gt;. Created a blank page, created a list widget with
datasource set to 'Tables', created a label widget within the list
row and set binding to &lt;code&gt;@datasource.item.Tables_in_MyDatabaseKey&lt;/code&gt;.
This resulted in being able to see the correct table name of my
relation table.&lt;/li&gt;
&lt;li&gt;Created an other calculated SQL model, called it 'TableDescription',
created one Field of type string and set the name setting of the
field to 'Field'. Set the datasource query to &lt;code&gt;DESCRIBE
MyDBTableName;&lt;/code&gt; (This portion has been edited to change DESCRIPTION to DESCRIBE, thank you to @Morfinismo for pointing out this error). Added another list widget to my newly created page
and set the datasource to 'TableDescription', created a label widget
within this list row and set binding to &lt;code&gt;@datasource.item.Field&lt;/code&gt;.
This displayed the correct column names within my table.&lt;/li&gt;
&lt;/ol&gt;
&lt;p&gt;The corrected SQL query is as follows:&lt;/p&gt;
&lt;pre&gt;&lt;code&gt;SELECT
  YEAR(Date + INTERVAL 3 MONTH) AS WaterYear,
  SUM(IF(DATE_FORMAT(Date,'%m') = '10',Water_Use_Gallons,null)) as 'Oct',
  SUM(IF(DATE_FORMAT(Date,'%m') = '11',Water_Use_Gallons,null)) as 'Nov',
  SUM(IF(DATE_FORMAT(Date,'%m') = '12',Water_Use_Gallons,null)) as 'Dec',
  SUM(IF(DATE_FORMAT(Date,'%m') = '01',Water_Use_Gallons,null)) as 'Jan',
  SUM(IF(DATE_FORMAT(Date,'%m') = '02',Water_Use_Gallons,null)) as 'Feb',
  SUM(IF(DATE_FORMAT(Date,'%m') = '03',Water_Use_Gallons,null)) as 'Mar',
  SUM(IF(DATE_FORMAT(Date,'%m') = '04',Water_Use_Gallons,null)) as 'Apr',
  SUM(IF(DATE_FORMAT(Date,'%m') = '05',Water_Use_Gallons,null)) as 'May',
  SUM(IF(DATE_FORMAT(Date,'%m') = '06',Water_Use_Gallons,null)) as 'Jun',
  SUM(IF(DATE_FORMAT(Date,'%m') = '07',Water_Use_Gallons,null)) as 'Jul',
  SUM(IF(DATE_FORMAT(Date,'%m') = '08',Water_Use_Gallons,null)) as 'Aug',
  SUM(IF(DATE_FORMAT(Date,'%m') = '09',Water_Use_Gallons,null)) as 'Sep',
  SUM(Water_Use_Gallons) as Total
FROM WaterUseData, WaterUseDataPermits_HAS_Permits
WHERE WaterUseData.id = WaterUseDataPermits_HAS_Permits.WaterUseDataPermits_fk AND WaterUseDataPermits_HAS_Permits.Permits_fk = :PermitKey
GROUP BY YEAR(Date + INTERVAL 3 MONTH)
ORDER BY YEAR(Date + INTERVAL 3 MONTH) ASC
&lt;/code&gt;&lt;/pre&gt;
</t>
  </si>
  <si>
    <t xml:space="preserve">&lt;p&gt;I have a table where I am displaying an entry. As of now, it display all data in the database. However, I only want to display data associated to my email address.&lt;/p&gt;
&lt;p&gt;Tried using this code below and calling this method in an &lt;code&gt;onAttach&lt;/code&gt; event of the main canvas of the page, but it does not show anything.&lt;/p&gt;
&lt;pre&gt;&lt;code&gt;function loadDataForDashboard() {
  var ds = app.datasources.Sample_Db; 
  ds.query.filters.Email._equals = app.user.email;
  ds.query.filters.Status._equals = "Pending";
  ds.load();
}
&lt;/code&gt;&lt;/pre&gt;
&lt;p&gt;How will I be able to work this out? To show only my entry in the table?&lt;/p&gt;
</t>
  </si>
  <si>
    <t xml:space="preserve">&lt;p&gt;I have a form, which has to check that some of its fields' values are unique. &lt;/p&gt;
&lt;p&gt;I have a text box which would show the error based on the response from the server. I can only check the uniqueness with a server side query, but I don't know how to get the result back to the client side, since server-side scripts can't call client side scripts, only the other way around.&lt;/p&gt;
&lt;p&gt;Maybe I should find another way to handle the validation, any ideas?
Thanks in advance!&lt;/p&gt;
</t>
  </si>
  <si>
    <t xml:space="preserve">&lt;p&gt;I create popup for create and edit data. Now datasource in popup is "xxxx (create)" . I want to send value from clicked table row and show those value in pop up for data edit purpose.&lt;/p&gt;
&lt;hr&gt;
&lt;p&gt;This page use to pass data on clicked table row.&lt;/p&gt;
&lt;p&gt;&lt;a href="https://i.stack.imgur.com/bXMXp.png" rel="nofollow noreferrer"&gt;&lt;img src="https://i.stack.imgur.com/bXMXp.png" alt="enter image description here"&gt;&lt;/a&gt;&lt;/p&gt;
&lt;hr&gt;
&lt;p&gt;This page use to display retrieved data from table row for edit data.&lt;/p&gt;
&lt;p&gt;&lt;a href="https://i.stack.imgur.com/Mtj0a.png" rel="nofollow noreferrer"&gt;&lt;img src="https://i.stack.imgur.com/Mtj0a.png" alt="enter image description here"&gt;&lt;/a&gt;&lt;/p&gt;
&lt;p&gt;And now I can get record id and I can log data in this record but data is not show in popup&lt;/p&gt;
</t>
  </si>
  <si>
    <t xml:space="preserve">&lt;p&gt;When a button is clicked (screen1) open in next (screen2)  a c: folder or map. &lt;/p&gt;
&lt;pre&gt;&lt;code&gt;Navigate ()? 
&lt;/code&gt;&lt;/pre&gt;
</t>
  </si>
  <si>
    <t xml:space="preserve">&lt;p&gt;While testing LWC in VSCode using jest script, unable to render custom LWC component, it throws an error- Unknown public property "smalldevicesize" of element . This is likely a typo on the corresponding attribute "smalldevicesize".&lt;/p&gt;
&lt;p&gt;&lt;a href="https://i.stack.imgur.com/oDjtj.png" rel="nofollow noreferrer"&gt;Here is the error screenshot&lt;/a&gt;&lt;/p&gt;
</t>
  </si>
  <si>
    <t xml:space="preserve">&lt;p&gt;I have a table with a search bar above it. The content of the search bar filters the query for the table. I want the data in the table to be reloaded each time the user inputs a letter. &lt;/p&gt;
&lt;p&gt;If I set the onValueEdit event to Reload the Datasource, it reloads the data just right, but if I set the onInputChange event to do the reloading, it reloads the table without filtering the query, displaying all of the records. No matter what I type in, it does not filter at all (altough it does seem to reload the datasource), unless I hit enter, fireing the onValueEdit event, when it does the filtering. Any ideas why can't I filter the query with the onInputChange event?&lt;/p&gt;
&lt;p&gt;Thank you in advance!&lt;/p&gt;
</t>
  </si>
  <si>
    <t xml:space="preserve">&lt;p&gt;The onInputChange event does not appear to support the value binding of a particular widget. Whether this is a bug or the intended behavior is unknown. There are two options to circumvent this behavior however and they are as follows:&lt;/p&gt;
&lt;p&gt;Change your code in the onInputChange event to:&lt;/p&gt;
&lt;p&gt;Option 1:&lt;/p&gt;
&lt;pre&gt;&lt;code&gt;widget.value = widget.value;
widget.datasource.load();
&lt;/code&gt;&lt;/pre&gt;
&lt;p&gt;Option 2:&lt;/p&gt;
&lt;pre&gt;&lt;code&gt;widget.value = event.target.value;
widget.datasource.load();
&lt;/code&gt;&lt;/pre&gt;
</t>
  </si>
  <si>
    <t xml:space="preserve">&lt;p&gt;Apologies if this has been asked before, however I am transitioning over from Access and am getting slightly lost with how power-apps functions.&lt;/p&gt;
&lt;p&gt;I am creating a vehicle tracking app which is using 2 sharepoint lists. The home screen has a gallery list of all the vehicles within the fleet, taken from the list "VehicleRegister". Upon selecting the required vehicle the app navigates to a booking page with an edit form which accesses a list named "BookingLog", this contains the fields;&lt;/p&gt;
&lt;p&gt;Vehicle Registration &amp;lt; Relating to the VehicleRegister List
Booked out by
Date booked...
etc&lt;/p&gt;
&lt;p&gt;Currently I use OnSelect,&lt;/p&gt;
&lt;p&gt;NewForm(VehicleBookingForm);Navigate(BookingDetails, ScreenTransition.Fade)&lt;/p&gt;
&lt;p&gt;To access the form where the user will input their information and date to book the vehicle etc. However how can I get it so that when the user is brought to this edit form the combobox with the selected vehicle is already selected?&lt;/p&gt;
</t>
  </si>
  <si>
    <t xml:space="preserve">&lt;p&gt;(server side script)&lt;/p&gt;
&lt;p&gt;This is a stripped down version of my code but what this should be doing is &lt;/p&gt;
&lt;ul&gt;
&lt;li&gt;&lt;p&gt;find records where the "uniqueid" is equal to matchid &lt;/p&gt;&lt;/li&gt;
&lt;li&gt;&lt;p&gt;return 0 if there are less than two of these items&lt;/p&gt;&lt;/li&gt;
&lt;li&gt;print the region of each item if there are two or more items&lt;/li&gt;
&lt;li&gt;&lt;p&gt;return the number of items&lt;/p&gt;
&lt;pre&gt;&lt;code&gt;function copyFile(matchid){
  var fileName = getProp('projectName')+" "+row[0];
  var query = app.models.Files.newQuery();
  query.filters.uniqueid._equals = matchid;
  records = query.run();
  var len = records.length;
  if (len &amp;lt; 2) return 0;
  console.log(row[2]+"  - "+len);          
  for (var i=0; i&amp;lt;len;i++){            
    console.log("Loop "+i);
    var r = records[i];
    console.log(r.region);
  }
  return records.length
&lt;/code&gt;&lt;/pre&gt;&lt;/li&gt;
&lt;/ul&gt;
&lt;p&gt;Strangely, it can only get at the region (or any of the other data for the FIRST record ( records[0]) for the others it says undefined. This is extremely confusing and frustrating. To reiterate it passes the len &amp;lt; 2 check, so there are more records in the set returned from the query, they just seem to be undefined if I try to get them from records[i]&lt;/p&gt;
&lt;p&gt;Note: uniqueid is not actually a unique field, the name is from something else, sorry about confusion.&lt;/p&gt;
&lt;p&gt;Question: WHY can't I get at records[1] records [2]&lt;/p&gt;
</t>
  </si>
  <si>
    <t xml:space="preserve">&lt;p&gt;Seeing below error when trying to find element. Here I want to fill text after finding web element. &lt;/p&gt;
&lt;p&gt;I am able to find xpath through chrome console, some how I am getting this issue. There are some posts on this issue, however most of them are related to appium, which is irrelevant to me.&lt;/p&gt;
&lt;pre&gt;&lt;code&gt;    util.driver.switchTo().defaultContent();
    util.driver.switchTo().frame(0);
    util.driver.findElement(By.xpath("//label[text()='Reason for Escalation']/following-sibling::div/input"));
&lt;/code&gt;&lt;/pre&gt;
&lt;p&gt;Error message:&lt;/p&gt;
&lt;pre&gt;&lt;code&gt;org.openqa.selenium.WebDriverException: Returned value cannot be converted to WebElement: {error=no such element, message=no such element: Unable to locate element: {"method":"xpath","selector":"//label[text()='Reason for Escalation']/following-sibling::div/input"}
Driver info: driver.version: RemoteWebDriver
  at org.openqa.selenium.remote.RemoteWebDriver.findElement(RemoteWebDriver.java:324)
  at org.openqa.selenium.remote.RemoteWebDriver.findElementByXPath(RemoteWebDriver.java:419)
  at org.openqa.selenium.By$ByXPath.findElement(By.java:353)
  at org.openqa.selenium.remote.RemoteWebDriver.findElement(RemoteWebDriver.java:309)
Caused by: java.lang.ClassCastException: com.google.common.collect.Maps$TransformedEntriesMap cannot be cast to org.openqa.selenium.WebElement
  at org.openqa.selenium.remote.RemoteWebDriver.findElement(RemoteWebDriver.java:322)
  at org.openqa.selenium.remote.RemoteWebDriver.findElementByXPath(RemoteWebDriver.java:419)
  at org.openqa.selenium.By$ByXPath.findElement(By.java:353)
  at org.openqa.selenium.remote.RemoteWebDriver.findElement(RemoteWebDriver.java:309)
&lt;/code&gt;&lt;/pre&gt;
&lt;p&gt;&lt;a href="https://i.stack.imgur.com/wxueP.png" rel="nofollow noreferrer"&gt;&lt;img src="https://i.stack.imgur.com/wxueP.png" alt="enter image description here"&gt;&lt;/a&gt;&lt;/p&gt;
&lt;p&gt;There are 3 iframes on the page the elements am accessing are in first page&lt;/p&gt;
</t>
  </si>
  <si>
    <t xml:space="preserve">&lt;p&gt;&lt;strong&gt;Case:&lt;/strong&gt;&lt;/p&gt;
&lt;p&gt;I have 3 datamodels:&lt;/p&gt;
&lt;ul&gt;
&lt;li&gt;Tasks &lt;/li&gt;
&lt;li&gt;Sub-Tasks&lt;/li&gt;
&lt;li&gt;Status&lt;/li&gt;
&lt;/ul&gt;
&lt;p&gt;The models are related in the following way: Tasks have a many-to-one with Statuses, same applies to Sub-Statuses. Some e.g. statuses are: To Do, Doing Done etc. &lt;/p&gt;
&lt;p&gt;I can filter all Tasks using a dropdown with a set value of: "@datasource.query.filters." so that I select an option, only the records that have the specific value are shown. &lt;/p&gt;
&lt;p&gt;I cannot use query on related datasources. E.g. if I want to apply query on "Tasks:Sub-Tasks(relation)", in order to filter the sub-tasks by their status (Sub-Tasks:Status(relation), query is missing as an option. &lt;/p&gt;
&lt;p&gt;How can I achieve this? How can I apply a filter to related to the currently selected record items based on a specific to them attribute?&lt;/p&gt;
&lt;p&gt;&lt;strong&gt;Case 2&lt;/strong&gt;&lt;/p&gt;
&lt;p&gt;How can a list based on multiple relationships be set up?&lt;/p&gt;
&lt;p&gt;3 datasources:&lt;/p&gt;
&lt;ul&gt;
&lt;li&gt;Stages&lt;/li&gt;
&lt;li&gt;Statuses&lt;/li&gt;
&lt;li&gt;Tasks&lt;/li&gt;
&lt;/ul&gt;
&lt;p&gt;Tasks pass through stages, with its status changing along the way as well. E.g. Task can be in planning stage with status to do, doing or done. &lt;/p&gt;
&lt;p&gt;Please refer to the added screenshot for an interface example.&lt;/p&gt;
&lt;p&gt;&lt;a href="https://i.stack.imgur.com/gEUfB.png" rel="nofollow noreferrer"&gt;&lt;img src="https://i.stack.imgur.com/gEUfB.png" alt="enter image description here"&gt;&lt;/a&gt;&lt;/p&gt;
</t>
  </si>
  <si>
    <t xml:space="preserve">&lt;p&gt;I have a problem with the server-side error management on Google App Maker.&lt;/p&gt;
&lt;p&gt;Here an exemple of my code &lt;/p&gt;
&lt;p&gt;&lt;strong&gt;Server-side&lt;/strong&gt;&lt;/p&gt;
&lt;pre&gt;&lt;code&gt;function serverSideFn() {
    // Consider the error to be throw.
    if ( anError ) {
        throw new Error("A specific error message");
    }
}
&lt;/code&gt;&lt;/pre&gt;
&lt;p&gt;&lt;strong&gt;Client-side&lt;/strong&gt;&lt;/p&gt;
&lt;pre&gt;&lt;code&gt;function clientSideFn() {
    google.script.run
        .withSuccessHandler(function(result) {
            // Success code...
        })
        .withFailureHandler(function(error) {
            console.log(error.message); // The message error here is not the same if I have or not the Admin role.
            showErrorPopup(error.message);
        })
        .serverSideFn();
}
&lt;/code&gt;&lt;/pre&gt;
&lt;p&gt;When I execute the "clientSideFn" function with default role Admin, I have the good message ("A specific error message"), but if I don't have the Admin role, I have a "Server Error" message instead of the expected.&lt;/p&gt;
&lt;p&gt;I've tried to use the developer account option, and set Admin role to this account and execute the server side scripts, but the error is still present for users without Admin role.&lt;/p&gt;
&lt;p&gt;I've also tried to throw a custom Exception, but the error is still changed on client side.&lt;/p&gt;
&lt;p&gt;What I can change to got the expected message when the user don't have the Admin role ?&lt;/p&gt;
</t>
  </si>
  <si>
    <t xml:space="preserve">&lt;p&gt;The relevant documentation to your question is located here &lt;a href="https://developers.google.com/appmaker/scripting/api/server" rel="nofollow noreferrer"&gt;https://developers.google.com/appmaker/scripting/api/server&lt;/a&gt;. The basics is that you use:&lt;/p&gt;
&lt;pre&gt;&lt;code&gt;throw new app.ManagedError('Your custom message here');
&lt;/code&gt;&lt;/pre&gt;
</t>
  </si>
  <si>
    <t xml:space="preserve">&lt;p&gt;I've been playing around with Microsoft's PowerApps these days and I tried to develop a very small POC which is this:&lt;/p&gt;
&lt;ul&gt;
&lt;li&gt;I created a "Party" entity&lt;/li&gt;
&lt;li&gt;And a "PartyMember" entity&lt;/li&gt;
&lt;/ul&gt;
&lt;p&gt;Obviously a Party has a name, date and a list of PartyMembers.&lt;/p&gt;
&lt;p&gt;How to define the List of PartyMembers is where I'm getting confused/stuck.
If I create a "PartyMember" lookup field, inside my "Party" table, it is created as a Many-to-one relationship, which does not match my needs here.&lt;/p&gt;
&lt;p&gt;If I create a Many-to-many relationship manually, I just don't understand how to associate this relationship with a field in my entity.&lt;/p&gt;
&lt;p&gt;Some resources I found seem to indicate that many-to-many lookup fields are just not possible right now. In that case, what's the purpose of many-to-many relationships inside the platform?&lt;/p&gt;
</t>
  </si>
  <si>
    <t xml:space="preserve">&lt;p&gt;What you need is three entities - Party, Member &amp;amp; PartyMember. &lt;strong&gt;PartyMember&lt;/strong&gt; should have two lookups from Party &amp;amp; Member - this is intersect table. This is called Manual N:N (many to many) relationship. So primary key of Party &amp;amp; Member tables will be stored in PartyMember.&lt;/p&gt;
&lt;p&gt;If you create a Native N:N relationship, there will be a hidden intersect entity where the association of Part &amp;amp; Member happens. &lt;/p&gt;
&lt;p&gt;Or even simply create a lookup of Party in PartyMember. This way multiple members can be added to the Party. May be you added the lookup in wrong place. In 1:N relationship - &lt;code&gt;N&lt;/code&gt; side (PartyMember) will have a lookup of &lt;code&gt;1&lt;/code&gt; side entity (Party).&lt;/p&gt;
&lt;p&gt;You will need a subgrid of PartyMembers in Party record.&lt;/p&gt;
&lt;p&gt;&lt;a href="https://i.stack.imgur.com/dhN04.png" rel="nofollow noreferrer"&gt;&lt;img src="https://i.stack.imgur.com/dhN04.png" alt="enter image description here"&gt;&lt;/a&gt;&lt;/p&gt;
&lt;p&gt;What is impossible is creating a multi-record type lookup. That's not what you want.&lt;/p&gt;
</t>
  </si>
  <si>
    <t xml:space="preserve">&lt;p&gt;Is it possible to auto populate per user information from a SharePoint List?&lt;br&gt;&lt;/p&gt;
&lt;p&gt;I have a form with the following text input&lt;br&gt;&lt;/p&gt;
&lt;p&gt;Payroll Name&lt;br&gt;
Job Title Description&lt;br&gt;
Home Department Description&lt;br&gt;
Location Description&lt;br&gt;
Reports To Name&lt;br&gt;
Work Contact: Work Email&lt;br&gt;&lt;/p&gt;
&lt;p&gt;Also have a SharePoint list with all the users information data with the column above.&lt;br&gt;&lt;/p&gt;
&lt;p&gt;Wanted to see if there is way to auto populate that user information once they open up the form.&lt;br&gt;&lt;/p&gt;
&lt;p&gt;Thank you in advance!&lt;/p&gt;
</t>
  </si>
  <si>
    <t xml:space="preserve">&lt;p&gt;Yes, that should be possible.&lt;/p&gt;
&lt;ol&gt;
&lt;li&gt;Make the connection to SharePoint list where the users info are stored.&lt;/li&gt;
&lt;li&gt;In the form you want to pre-populate information select a card e.g. Payroll Name&lt;/li&gt;
&lt;li&gt;Change the Default property of that card for something like &lt;/li&gt;
&lt;/ol&gt;
&lt;blockquote&gt;
  &lt;p&gt;First(Filter('User Info List', username = currentUser)).PayrollName&lt;/p&gt;
&lt;/blockquote&gt;
&lt;ul&gt;
&lt;li&gt;'User Info List' is the connection name&lt;/li&gt;
&lt;li&gt;username is a column in that list&lt;/li&gt;
&lt;li&gt;"user" is the information you are matching to find list items&lt;/li&gt;
&lt;li&gt;Since filter returns a table we use &lt;strong&gt;First&lt;/strong&gt; to get a record&lt;/li&gt;
&lt;li&gt;currentUser is the variable that has the user's e-mail&lt;/li&gt;
&lt;/ul&gt;
&lt;p&gt;You can get the current user details by using and store that OnVisible for that screen&lt;/p&gt;
&lt;blockquote&gt;
  &lt;p&gt;User().Email&lt;/p&gt;
  &lt;p&gt;Set(currentUser,User().Email)&lt;/p&gt;
&lt;/blockquote&gt;
</t>
  </si>
  <si>
    <t xml:space="preserve">&lt;p&gt;AppMaker gives this error: "The default Google Cloud SQL instance is not setup properly. Please ask a G Suite administrator to check the Google Cloud SQL configuration for your domain. (Reason: App Maker is unable to verify the default Google Cloud SQL instance. The instance must be a 2nd generation SQL database.)"&lt;/p&gt;
&lt;p&gt;But the SQL database is a 2nd generation
ALF-experiments instances:
Instance ID     Type    High availability   Location    Labels&lt;br&gt;
 sgialfmysql    MySQL 2nd Gen 5.7       us-central1-a   &lt;/p&gt;
&lt;p&gt;Connected as the default in admin console
Google Cloud SQL instance setting
Enter the Google Cloud SQL instance connection name to use with App Maker:
alf-experiments:us-central1:sgialfmysql&lt;/p&gt;
&lt;p&gt;I have made multiple Cloud instances under multiple project but none seem to be able to connect. I have reviewed the documentation several times to verify that GCP and Cloud SQL are set correctly and they are.&lt;/p&gt;
</t>
  </si>
  <si>
    <t xml:space="preserve">&lt;p&gt;I have finally connected my default Google SQL database to my AppMaker and I have imported my data. I have built a very simple view and it shows my data. When I preview my app it shows all my data. When I publish it, it does not show any data&lt;/p&gt;
&lt;p&gt;I have changed the access mode and publish as user or publish as me, but it has no effect&lt;/p&gt;
&lt;p&gt;The preview should be just like the publish, right? what is the point of having a preview that looks different from production. Why is it not showing my data?&lt;/p&gt;
</t>
  </si>
  <si>
    <t xml:space="preserve">&lt;p&gt;How will I get the element in my NodeList in Salesforce Lightning?
It seems that the Salesforce lightning does have a different format or standalone javascript.&lt;/p&gt;
&lt;p&gt;Please Help.&lt;/p&gt;
&lt;p&gt;Please see attached Image.&lt;a href="https://i.stack.imgur.com/lEFMj.png" rel="nofollow noreferrer"&gt;&lt;img src="https://i.stack.imgur.com/lEFMj.png" alt="enter image description here"&gt;&lt;/a&gt;&lt;/p&gt;
</t>
  </si>
  <si>
    <t xml:space="preserve">&lt;p&gt;For now I have two table &lt;/p&gt;
&lt;p&gt;1.Leave table &lt;/p&gt;
&lt;p&gt;[field]  ID, StartDate, EndDate, Employee_fk&lt;/p&gt;
&lt;ol start="2"&gt;
&lt;li&gt;Employee&lt;/li&gt;
&lt;/ol&gt;
&lt;p&gt;[field] ID, Name, Email&lt;/p&gt;
&lt;p&gt;And I want to input data to "employee_fk" field. This function below was run in script server.&lt;/p&gt;
&lt;pre&gt;&lt;code&gt;function createRequest(leaveId){
  console.log("leave id "+leaveId);
  var emp = app.models.Employee.newQuery();
  var leave = app.models.LeaveRequest.getRecord(leaveId);
  emp.filters.Email._equals = Session.getActiveUser().getEmail();
  leave.Employee = emp.run()[0].Id;
  app.saveRecords([leave]);
}
&lt;/code&gt;&lt;/pre&gt;
&lt;p&gt;But I got an error.&lt;/p&gt;
&lt;pre&gt;&lt;code&gt;Type mismatch: property ".Employee", value is 7; expected: Record&amp;lt;Employee&amp;gt; Error: Type mismatch: property ".Employee", value is 7; expected: Record&amp;lt;Employee&amp;gt; at createRequest (RequestManage:18)
Type mismatch: property ".Employee", value is 7; expected: Record&amp;lt;Employee&amp;gt;
at createRequest (RequestManage:18)
at Object.&amp;lt;anonymous&amp;gt; (LeaveRequestPopup.Content.CreatePanal.CButtonPanal.Button1.onClick:4:21)
&lt;/code&gt;&lt;/pre&gt;
&lt;p&gt;Could you suggest me how to input data to "employee_fk" field.&lt;/p&gt;
</t>
  </si>
  <si>
    <t xml:space="preserve">&lt;p&gt;I am using zoho oauth2 for authentication. I configured my client id and secret, i am able to access the info using api when i use my account . but getting error invalid client when trying to login with other user. &lt;/p&gt;
&lt;p&gt;how is it possible to use single client id for multiple users.&lt;/p&gt;
</t>
  </si>
  <si>
    <t xml:space="preserve">&lt;p&gt;Basically, there is parent component in lightning which contains a child component called thrice with passing different attribute values everytime as:&lt;/p&gt;
#######component code
&lt;pre&gt;&lt;code&gt;&amp;lt;parentcomp&amp;gt;
&amp;lt;aura:attribute name="showComp" type="Boolean" default="true"/&amp;gt;
&amp;lt;aura:attribute name="mathsQuestions" type="Integer" default="0"/&amp;gt;
&amp;lt;aura:attribute name="scienceQuestions" type="Integer" default="0"/&amp;gt;
&amp;lt;aura:attribute name="englishQuestions" type="Integer" default="0"/&amp;gt;
&amp;lt;aura:handler event="aura:doneRendering" action="{!c.doneRendering}"/&amp;gt;
&amp;lt;aura:attribute name="isDoneRendering" type="Boolean" default="false"/&amp;gt;
&amp;lt;aura:if isTrue="{!v.showComp}"&amp;gt;
  &amp;lt;c:childcmp questions="{!v.mathsQuestions}"/&amp;gt;
  &amp;lt;c:childcmp questions="{!v.scienceQuestions}"/&amp;gt;
  &amp;lt;c:childcmp questions="{!v.englishQuestions}"/&amp;gt;
   &amp;lt;aura:set attribute="else"&amp;gt;
    Some HTML elements
   &amp;lt;/aura:set&amp;gt;
&amp;lt;/aura:if&amp;gt;
&amp;lt;/parentcomp&amp;gt;
################controller code#################
({
  doneRendering: function(cmp, event, helper) {
    if(!cmp.get("v.isDoneRendering")){
      cmp.set("v.isDoneRendering", true);
      if(cmp.get('v.mathsQuestions')==0 &amp;amp;&amp;amp; cmp.get('v.scienceQuestions')==0 &amp;amp;&amp;amp; cmp.get('v.englishQuestions')==0)
       cmp.set('v.showComp',false);
   else
       cmp.set('v.showComp',true);
    }
  }
})
&lt;/code&gt;&lt;/pre&gt;
&lt;p&gt;The issue I am facing is whether there are questions or not in corresponding child call the corresponding question parameters of parent are not updating because the done rendering event is fired before the child components are called and thus every time sets the "showComp" boolean to false depending on the default value of the maths/science/english questions and thus aura:if does not let the child component call anyway.
Any suggestions or workaround are welcome.&lt;/p&gt;
</t>
  </si>
  <si>
    <t xml:space="preserve">&lt;p&gt;I have a little calculated data source that joins up a couple of tables, does some cold calculations on the page using functions, and then displays them in a big table. It has a month and year selector, as it's dealing with monthly invoicing. It'll return every month, except for one. Which of course, is the most recent (September). The table is set to not load automatically, so I'm not looking at the entire datasource at once. Normally, one would set the month, set the year, hit generate, and the spinner runs for a few seconds and then displays. &lt;/p&gt;
&lt;p&gt;For September, it runs for a few moments, and then in the console displays the titular error "com.google.apps.appmaker.shared.json.JsonException: JSON is not an object"&lt;/p&gt;
&lt;p&gt;I've tried swapping to different filters in the where clause, I've been randomly deleting lines from my dataset, thinking that perhaps it's a data issue, since it'll work for all my other data. Maybe an unescaped character somewhere is messing with the source. Worth noting, I'm not doing any JSON manipulation that I know of.&lt;/p&gt;
&lt;p&gt;Here's the query for the datasource&lt;/p&gt;
&lt;pre&gt;&lt;code&gt;   SELECT ParticipantData.VRS_Office as Office, 
ServiceData.Participant_Name as Consumer_Name, 
ServiceData.Service as Service, 
ServiceData.Auth_Number as Auth_Num,
MONTH(ActivityData.Date) as ActivityMonth, 
YEAR(ActivityData.Date) as ActivityYear,
Round(SUM(ActivityData.Hours_Used),1) as Hours, 
Round(SUM(ActivityData.Mileage_Used),1) as Miles,
ServiceData.ReadyForBilling as ReadyForBilling,
ServiceData.OtherDescription as OtherDescription,
ServiceData.OtherLumpSumAmount as OtherAmount,
ServiceData.Start_Date as Start_Date,
ServiceData.End_Date as End_Date,
ServiceData.InvoicingComplete as InvoicingComplete,
ServiceData.Participant_ID as Participant_ID
FROM (( ActivityData
INNER JOIN ServiceData ON ActivityData.Auth_Number = ServiceData.Auth_Number)
INNER JOIN ParticipantData ON ActivityData.Participant_ID = ParticipantData.Participant_ID)
WHERE MONTH(ActivityData.Date) = :MonthSelector AND YEAR(ActivityData.Date) = :YearSelector 
GROUP BY Auth_Num, ActivityMonth, ActivityYear, Office, Consumer_Name, Service, Participant_ID, OtherDescription, OtherAmount, Start_Date, End_Date, InvoicingComplete, ReadyForBilling
ORDER BY Consumer_Name ASC;
&lt;/code&gt;&lt;/pre&gt;
&lt;p&gt;The data is sensitive, but I can provide what information I can. Recently the databases were changed to use datetime instead of date as a sql field type, but I don't know if that is coincidental or not. &lt;/p&gt;
&lt;p&gt;Are there any special characters that I'd have to keep an eye out for that might cause an error like this?&lt;/p&gt;
</t>
  </si>
  <si>
    <t xml:space="preserve">&lt;p&gt;Some of the values that are provided were cold calculated in the table to generate amounts against a table of rates. &lt;/p&gt;
&lt;p&gt;In short, someone had put a description into a field that it was trying to do math with. I corrected the data, and the error evaporated. &lt;/p&gt;
&lt;p&gt;I arrived at it in the most support-y way I think i could have. I randomly deleted records in the QA environment that I have set up until it worked, and then narrowed it down from there to being a small set of the records. Then it was just spotting the difference. &lt;/p&gt;
&lt;p&gt;Lesson learned, data validation required. &lt;/p&gt;
</t>
  </si>
  <si>
    <t xml:space="preserve">&lt;p&gt;There are tons of images in the json response  and they are not store locally. I will like to show all images using pagination, so the viewer can view all available images.&lt;/p&gt;
&lt;pre&gt;&lt;code&gt;     Here is the snippet of the lightning component that display the remote images for preview
&amp;lt;aura:component controller="Images_Callout" implements="force:appHostable,flexipage:availableForAllPageTypes access="global" &amp;gt;
                &amp;lt;aura:attribute name="img" type="Map"/&amp;gt;
                &amp;lt;aura:attribute name="response" type="Map"/&amp;gt;
                &amp;lt;aura:attribute name="aspectRatio" type="string" default="Square" /&amp;gt;
                &amp;lt;aura:attribute name="properties" type="List"/&amp;gt;
                &amp;lt;aura:attribute name="value" type="List"/&amp;gt;
               &amp;lt;aura:attribute name="container" type="List"/&amp;gt;
               &amp;lt;aura:attribute name="PageSize" type="Integer" default="10"/&amp;gt;
               &amp;lt;aura:attribute name="currentPageNumber" type="Integer" default="1"/&amp;gt;
               &amp;lt;aura:attribute name="totalPages" type="Integer" default="0"/&amp;gt; 
               &amp;lt;aura:attribute name="pageList" type="List"/&amp;gt;       
              &amp;lt;aura:attribute type="String" name="base" default ="https://pixabay.com/images/"/&amp;gt;
               &amp;lt;aura:attribute name="imageId" type="String"/&amp;gt;
                 &amp;lt;!--Header part--&amp;gt;
                    &amp;lt;div class="slds-page-header" role="banner"&amp;gt;
                        &amp;lt;div&amp;gt;
                            &amp;lt;p class="slds-page-header__title slds-truncate" title="Image Selection"&amp;gt;Images&amp;lt;/p&amp;gt;
                        &amp;lt;/div&amp;gt;
                    &amp;lt;/div&amp;gt;
                    &amp;lt;!--Header part close--&amp;gt;
               &amp;lt;aura:iteration items="{!v.img}" var="item"  start="0"&amp;gt;
                    &amp;lt;aura:if isTrue="{!item.ImageId!=null}"&amp;gt;
                    &amp;lt;aura:iteration items="{!v.item}" var="mapValue"&amp;gt;
                        &amp;lt;aura:if isTrue="{!mapValue.aspectRatio == v.aspectRatio}"&amp;gt;
                        &amp;lt;div class ="gallery" onclick="{!c.onClick}" title="{!item.ImageId}" &amp;gt;
                         &amp;lt;img src= "{!v.base + mapValue.imageFile}"  style="width:200px;"/&amp;gt;
                        &amp;lt;/div&amp;gt;
                        &amp;lt;/aura:if&amp;gt;
                   &amp;lt;/aura:iteration&amp;gt;
                 &amp;lt;div class="Container"&amp;gt;
                     &amp;lt;lightning:button variant="brand" label="SingleProperty" onclick="{!c.onClick2}" /&amp;gt; 
                       &amp;lt;lightning:button variant="brand" label="Multiproperty" onclick="{!c.onClick2}" /&amp;gt; 
                       &amp;lt;lightning:button variant="brand" label="Branded Property" onclick="{!c.onClick2}" /&amp;gt; 
                     &amp;lt;lightning:button variant="neutral" label="Close" onclick="{!c.closeMe}"/&amp;gt;
                &amp;lt;/div&amp;gt;
            &amp;lt;/aura:component&amp;gt;
&lt;/code&gt;&lt;/pre&gt;
&lt;p&gt;Here is below is the client controller that calls the server side controller and get the json response from the server side.&lt;/p&gt;
&lt;p&gt;&lt;div class="snippet" data-lang="js" data-hide="false" data-console="true" data-babel="false"&gt;
&lt;div class="snippet-code"&gt;
&lt;pre class="snippet-code-js lang-js prettyprint-override"&gt;&lt;code&gt;({
      getResponse: function(component, event) {
      // create a server side action.       
      var action = component.get("c.getResponseContent");
      // set the url parameter for getResponseContents method (to use as endPoint)
      action.setStorable(); 
      action.setParams({"payload":'{ "types": ["PPT_IMAGE"]}',
         "url": 'https://pixabay.com/api/?key=13561952-c6ff1da5b37420c109968e25c'});
      action.setCallback(this, function(response) {
       var state = response.getState();
       if (component.isValid() &amp;amp;&amp;amp; state === "SUCCESS") {
        // set the response(return Map&amp;lt;String,object&amp;gt;) to response attribute.      
        component.set("v.response", response.getReturnValue());
        var getContents = component.get("v.response");
        component.set("v.img", getContents.content);
         }                
      });            
     }
    });&lt;/code&gt;&lt;/pre&gt;
&lt;/div&gt;
&lt;/div&gt;
&lt;/p&gt;
&lt;pre&gt;&lt;code&gt;Below is the sample Json reponse that is received then I used a nested for loop to iterate through the map to get the image url for display 
&lt;/code&gt;&lt;/pre&gt;
&lt;p&gt;{
            "total": 1,
            "numRecords": 1,
            "maxRecords": 1,
            "content": [{
                    "ImageId": "1430a3eb",
                    "type": "PPT_IMAGE",
                    "taxonomies": ["/Pty Codes/S/BGVCX"],
                    "images": [{&lt;/p&gt;
&lt;pre&gt;&lt;code&gt;                        "imageFile": "/photo/2013/10/15/09/12/Roseflower-19589_150.jpg",
                        "aspectRatio": "2x1"
                    }, {
                        "imageFile": "/photo/2015/11/15/09/12/Roseflower-19589_151.jpg",
                        "aspectRatio": "3x1"
                    }, {
                        "imageFile": "/photo/2013/10/15/09/12/Roseflower-19589_152.jpg",
                        "aspectRatio": "3x2"
                    }, {
                        "imageFile": "/photo/2013/10/15/09/12/Roseflower-19589_153.jpg",
                        "aspectRatio": "2x2"
                   }] 
                }]
    }
&lt;/code&gt;&lt;/pre&gt;
</t>
  </si>
  <si>
    <t xml:space="preserve">&lt;p&gt;I'm trying to create a simple OneNote page with the nested unordered list from PowerApps. The code is:&lt;/p&gt;
&lt;pre&gt;&lt;code&gt;'OneNote(Business)'.CreatePageInSection(
        SelectedNoteBook.Key,
        SelectedSection.pagesUrl,
        "&amp;lt;!DOCTYPE html&amp;gt;&amp;lt;html lang='en-US'&amp;gt;&amp;lt;head&amp;gt;&amp;lt;title&amp;gt;{NoteDate}&amp;lt;/title&amp;gt;&amp;lt;meta http-equiv='Content-Type' content='text/html; charset=utf-8'/&amp;gt;&amp;lt;/head&amp;gt;&amp;lt;body data-absolute-enabled='true' style='font-family:Calibri;font-size:12pt'&amp;gt;&amp;lt;div data-id='_default' style='position:absolute;left:48px;top:120px;width:624px'&amp;gt;&amp;lt;ul&amp;gt;&amp;lt;li&amp;gt;Parent&amp;lt;ul&amp;gt;&amp;lt;li&amp;gt;&amp;lt;span&amp;gt;Child&amp;lt;/span&amp;gt;&amp;lt;/li&amp;gt;&amp;lt;/ul&amp;gt;&amp;lt;/li&amp;gt;&amp;lt;/ul&amp;gt;&amp;lt;/body&amp;gt;&amp;lt;/html&amp;gt;"
    );
&lt;/code&gt;&lt;/pre&gt;
&lt;p&gt;The problem is that in OneNote 2016 the result looks like here:&lt;/p&gt;
&lt;p&gt;&lt;a href="https://i.stack.imgur.com/ehOBh.png" rel="nofollow noreferrer"&gt;&lt;img src="https://i.stack.imgur.com/ehOBh.png" alt="OneNote2016 page"&gt;&lt;/a&gt;&lt;/p&gt;
&lt;p&gt;it contains a blank line between Parent and Child, and also quotes are added on another div element.
Though Graph Explorer shows proper markup (except those quotes):&lt;/p&gt;
&lt;pre&gt;&lt;code&gt;&amp;lt;html lang="en-US"&amp;gt;
&amp;lt;head&amp;gt;
    &amp;lt;title&amp;gt;{NoteDate}&amp;lt;/title&amp;gt;
    &amp;lt;meta http-equiv="Content-Type" content="text/html; charset=utf-8" /&amp;gt;
&amp;lt;/head&amp;gt;
&amp;lt;body data-absolute-enabled="true" style="font-family:Calibri;font-size:11pt"&amp;gt;
    &amp;lt;div data-id="_default" style="position:absolute;left:48px;top:120px;width:624px"&amp;gt;
        &amp;lt;p style="margin-top:5.5pt;margin-bottom:5.5pt"&amp;gt;&amp;amp;quot;&amp;lt;/p&amp;gt;
        &amp;lt;p style="margin-top:5.5pt;margin-bottom:5.5pt"&amp;gt;&amp;amp;quot;&amp;lt;/p&amp;gt;
    &amp;lt;/div&amp;gt;
    &amp;lt;div data-id="_default" style="position:absolute;left:48px;top:120px;width:624px"&amp;gt;
        &amp;lt;ul&amp;gt;
            &amp;lt;li&amp;gt;&amp;lt;p style="margin-top:0pt;margin-bottom:0pt"&amp;gt;&amp;lt;span style="font-size:12pt"&amp;gt;Parent&amp;lt;/span&amp;gt;&amp;lt;/p&amp;gt;
            &amp;lt;ul&amp;gt;
                &amp;lt;li&amp;gt;&amp;lt;span style="font-size:12pt"&amp;gt;Child&amp;lt;/span&amp;gt;&amp;lt;/li&amp;gt;
            &amp;lt;/ul&amp;gt;
            &amp;lt;/li&amp;gt;
        &amp;lt;/ul&amp;gt;
        &amp;lt;br /&amp;gt;
    &amp;lt;/div&amp;gt;
&amp;lt;/body&amp;gt;
&lt;/code&gt;&lt;/pre&gt;
&lt;p&gt;&lt;/p&gt;
&lt;p&gt;Does anyone knows how to avoid this?&lt;/p&gt;
</t>
  </si>
  <si>
    <t xml:space="preserve">&lt;p&gt;zoho oauth client_id is not working for multiple users. It works for only those users who are added in my zoho crm account . i want to integrate the zoho mail.&lt;/p&gt;
</t>
  </si>
  <si>
    <t xml:space="preserve">&lt;p&gt;I override the Opportunity New button with the lightning component. Whenever I creating new Opportunity from Account's related list from URL I am getting Account Id as well as Parent Object Api name but not getting lookup field Id. I have only one Record Type on Opportunity Object. When there are multiple RecordType then I am getting lookup field Id but when there is a single record type not getting. Anyone know how to get field Id or any other alternate solution.&lt;/p&gt;
&lt;p&gt;Thanks and Regards&lt;/p&gt;
&lt;p&gt;Pratik Patil Raut&lt;/p&gt;
</t>
  </si>
  <si>
    <t xml:space="preserve">&lt;p&gt;i am trying to add 'Mobilisten' through pods to xcode 11, but getting error 'Module compiled with Swift 5.0.1 cannot be imported by the Swift 5.1 compiler'. &lt;/p&gt;
</t>
  </si>
  <si>
    <t xml:space="preserve">&lt;p&gt;I was trying to send email using send button. Inside the save button I have added some code to declare : to, subject and email body. I want to make the email body a bit nice, by adding some html like h1/h5, p. etc &lt;/p&gt;
&lt;p&gt;I have tried to added the html tags like h1/h2 etc or p.. but those part also pops up in the email. &lt;/p&gt;
&lt;p&gt;&lt;code&gt;"&amp;lt;html&amp;gt;&amp;lt;body&amp;gt;&amp;lt;h1&amp;gt;Description:&amp;lt;/h1&amp;gt;&amp;lt;/body&amp;gt;&amp;lt;/html&amp;gt;\n\t\t"        + widgets.Objective.value&lt;/code&gt;&lt;/p&gt;
</t>
  </si>
  <si>
    <t xml:space="preserve">&lt;p&gt;I am learning LWC and want to convert charts into pdf . So can't find any proper documents or tutorial to convert charts into pdf.&lt;/p&gt;
</t>
  </si>
  <si>
    <t xml:space="preserve">&lt;p&gt;I am trying to write a C# program to integrate my Appian cases with an external electronic document records management system (EDRMS).&lt;/p&gt;
&lt;p&gt;The program needs to download the documents that have been uploaded for each case in Appian and then ensure that they're uploaded to the EDRMS using web-services.&lt;/p&gt;
&lt;p&gt;I have written an Appian Web-api that I can use to log in and retrieve a list of the documents for each case, so I know where in the EDRMS I need to put the documents.&lt;/p&gt;
&lt;p&gt;The documents are accessible [using a web-browser] with a URL like this: &lt;a href="https://myappiansite.appiancloud.com/suite/doc/123456" rel="nofollow noreferrer"&gt;https://myappiansite.appiancloud.com/suite/doc/123456&lt;/a&gt;&lt;/p&gt;
&lt;p&gt;If I browse to this URL using my web-browser, it immediately downloads the file.&lt;/p&gt;
&lt;p&gt;However, if I attempt to connect to this url programmatically from my C# program, what I get when I [attempt to] open the file-stream, is some HTML of the default landing page rather than the contents of the document.&lt;/p&gt;
&lt;p&gt;The code I'm writing looks like this:&lt;/p&gt;
&lt;pre&gt;&lt;code&gt;        HttpWebRequest MyRequest = (HttpWebRequest)WebRequest.Create("https://myappiansite.appiancloud.com/suite/doc/123456?signin=native");
        MyRequest.Timeout = 10000; // 10 seconds
        CredentialCache credentialCache = new CredentialCache();
        credentialCache.Add(new System.Uri("https://myappiansite.appiancloud.com/suite/doc/123456?signin=native"),
                            "Basic",
                            new NetworkCredential("myAppianUsername",
                                                  "myAppainPassword"));
        MyRequest.Credentials = credentialCache; 
        MyRequest.PreAuthenticate = true;
        // Get the web response
        HttpWebResponse MyResponse = (HttpWebResponse)MyRequest.GetResponse();
        if (HttpStatusCode.OK == MyResponse.StatusCode)
        {
            int chunkSize = 524288;
            using (FileStream fs = new FileStream("C:\temp\myNewFile.doc", FileMode.Create))
            {
                using (Stream MyResponseStream = MyResponse.GetResponseStream())
                {
                    BinaryReader br = new BinaryReader(MyResponseStream);
                    byte[] data;
                    Boolean lastChunk = false;
                    do
                    {
                        data = br.ReadBytes(chunkSize);
                        if (data == null || data.Length == 0 || data.Length &amp;lt; chunkSize)
                        {
                            lastChunk = true;
                        }
                        if (data != null)
                        {
                            fs.Write(data, 0, data.Length);
                        }
                   }
                   while (!lastChunk);
                   br.Close();
                }//using MyResponseStream
            } // Using fs
        }
&lt;/code&gt;&lt;/pre&gt;
&lt;p&gt;But when this code has run, the document "C:\temp\myNewFile.doc" just contains HTML of our main landing page.&lt;/p&gt;
&lt;p&gt;Any thoughts on why browsing to &lt;a href="https://myappiansite.appiancloud.com/suite/doc/123456" rel="nofollow noreferrer"&gt;https://myappiansite.appiancloud.com/suite/doc/123456&lt;/a&gt; would download the document, but the code above just gets the HTML of the landing page?&lt;/p&gt;
&lt;p&gt;[Note that the user "myAppianUsername" is a non-saml user, whereas normally, one would login using an account connected to AD via SAML.  If I remove the "?signin=native" from the URL, then the file that is downloaded contains the HTML for the SAML login]&lt;/p&gt;
&lt;p&gt;thanks heaps,&lt;/p&gt;
&lt;p&gt;David.&lt;/p&gt;
</t>
  </si>
  <si>
    <t xml:space="preserve">&lt;p&gt;I figured out what the problem was - it turns out that there are security restrictions built into Appian that won't allow applications to use the url "&lt;a href="https://myappiansite.appiancloud.com/suite/doc/123456" rel="nofollow noreferrer"&gt;https://myappiansite.appiancloud.com/suite/doc/123456&lt;/a&gt;" to download documents.  I had to create a seperate web-api to do this.  Fortunately, Appian provides a document download web-api template/wizard that generates the api for you.&lt;/p&gt;
&lt;p&gt;So, by using the document download web-api wizard to generate a web api called "DownloadMyFile", I was able to use the code unchanged, with a web-api of:&lt;/p&gt;
&lt;p&gt;&lt;a href="https://myappiansite.appiancloud.com/suite/webapi/DownloadMyFile/12345" rel="nofollow noreferrer"&gt;https://myappiansite.appiancloud.com/suite/webapi/DownloadMyFile/12345&lt;/a&gt; &lt;/p&gt;
&lt;p&gt;The only minor tweaks I had to make to to it was to add extra document types to its whitelist.&lt;/p&gt;
</t>
  </si>
  <si>
    <t xml:space="preserve">&lt;p&gt;I'm new to Salesforce development, but not new to web development (Angular, React, C#, JS, etc...). So it's been very frustrating that I cannot get something so simple as the example below to work. I want to display content based upon a condition of a custom fields value:&lt;/p&gt;
&lt;pre&gt;&lt;code&gt;&amp;lt;aura:component controller="MyTestController" implements="flexipage:availableForRecordHome,force:appHostable,lightning:actionOverride,force:hasRecordId"&amp;gt;
    &amp;lt;aura:attribute name="oppty" type="Opportunity" /&amp;gt;
    &amp;lt;article class="slds-card"&amp;gt;
        &amp;lt;aura:if isTrue="{!v.oppty.MyCustomField__c == 'hello'}"&amp;gt;
            Hello
        &amp;lt;/aura:if&amp;gt;
        &amp;lt;lightning:button label="Click Me" onclick="{!c.handleClick}" class="slds-m-top_medium" /&amp;gt;
    &amp;lt;/article&amp;gt;    
&amp;lt;/aura:component&amp;gt;
&lt;/code&gt;&lt;/pre&gt;
&lt;p&gt;In my JS controller, when I &lt;code&gt;console.log()&lt;/code&gt; my attribute &lt;code&gt;oppty&lt;/code&gt;, I get &lt;code&gt;undefined&lt;/code&gt;:&lt;/p&gt;
&lt;pre&gt;&lt;code&gt;({
    handleClick : function(cmp, event) {
        var myOpportunity = cmp.get("v.oppty");
        console.log(myOpportunity); // or
        console.log(myOpportunity.MyCustomField__c); 
    }
})
&lt;/code&gt;&lt;/pre&gt;
&lt;p&gt;I guess a better question is this: How do I get a value from a field of object Opportunity and bind it to the aura attribute?&lt;/p&gt;
</t>
  </si>
  <si>
    <t xml:space="preserve">&lt;p&gt;The problem is that when i am trying to login to user that was previously logged out in lightning mode - i've got my home page without salesforce default header, tabs, etc. Just visualforce page.&lt;/p&gt;
&lt;p&gt;When i switch to classic mode and then logout from some user, and then logging in back - salesforce header, tabs and etc are present.&lt;/p&gt;
&lt;p&gt;I did not tried much, becuase it seems like salesforce bug, not my own(dev bug). I tried to add showHeaders="true" to apex:page tag&lt;/p&gt;
&lt;p&gt;&lt;a href="https://i.stack.imgur.com/VDqUs.png" rel="nofollow noreferrer"&gt;if user in lightning mode&lt;/a&gt;&lt;/p&gt;
&lt;p&gt;&lt;a href="https://i.stack.imgur.com/yIEX7.png" rel="nofollow noreferrer"&gt;if user in classic mode&lt;/a&gt;&lt;/p&gt;
&lt;p&gt;Do you have any ideas ? thanks.&lt;/p&gt;
</t>
  </si>
  <si>
    <t xml:space="preserve">&lt;p&gt;I need to calculate in a custom field if a Date is more than 2 years ago ... if so then return a YES or if it is not then return a NO&lt;/p&gt;
&lt;p&gt;I'm trying this formula, making the return type "text" &lt;code&gt;Last_won_deal_date__c &amp;gt;  DATEVALUE("2 years ago")&lt;/code&gt; but it's giving the following error:&lt;/p&gt;
&lt;blockquote&gt;
  &lt;p&gt;Error: Formula result is data type (Boolean), incompatible with
  expected data type (Text).&lt;/p&gt;
&lt;/blockquote&gt;
</t>
  </si>
  <si>
    <t xml:space="preserve">&lt;p&gt;There are lots of sample formulas that could get you started: &lt;a href="https://help.salesforce.com/articleView?id=formula_examples_dates.htm&amp;amp;type=5" rel="nofollow noreferrer"&gt;https://help.salesforce.com/articleView?id=formula_examples_dates.htm&amp;amp;type=5&lt;/a&gt; (check the "Finding the Number of Days Between Two Dates" part)&lt;/p&gt;
&lt;p&gt;Try &lt;code&gt;IF(Last_won_deal_date__c &amp;lt; TODAY() - 2 * 365, 'YES', 'NO')&lt;/code&gt; or some variations of it.&lt;/p&gt;
</t>
  </si>
  <si>
    <t xml:space="preserve">&lt;p&gt;I have a datasource '[dbo].[Equipment]' that I want to update records from a collection 'EquipmentToBeChanged'.&lt;/p&gt;
&lt;p&gt;I assumed this would be the correct code to do so&lt;/p&gt;
&lt;pre&gt;&lt;code&gt;Patch('[dbo].[Equipment]',EquipmentToBeChanged);
&lt;/code&gt;&lt;/pre&gt;
&lt;p&gt;But I get this error.&lt;/p&gt;
&lt;p&gt;&lt;em&gt;Invalid argument type (Table). Expecting a Record value instead.&lt;/em&gt;&lt;/p&gt;
</t>
  </si>
  <si>
    <t xml:space="preserve">&lt;p&gt;Patch requires you to pass in the collection you're updating as it traces back to how you got it (query, filter, search, etc), if you're not creating new records.  So you'd need something like this, assuming you're trying to update a single device in your datasource:&lt;/p&gt;
&lt;p&gt;&lt;code&gt;Patch( '[dbo].[Equipment]', First( Filter( '[dbo].[Equipment]', ColumnToCompare = "ValueToCompare" ) ), { ColumnToUpdate: “Value” } )&lt;/code&gt;&lt;/p&gt;
&lt;p&gt;Instead of nesting &lt;code&gt;Filter&lt;/code&gt; inside of &lt;code&gt;First&lt;/code&gt;, you can also use LookUp to pull the first matching record, assuming your comparison is precise enough.&lt;/p&gt;
&lt;p&gt;&lt;a href="https://docs.microsoft.com/en-us/powerapps/maker/canvas-apps/functions/function-patch" rel="nofollow noreferrer"&gt;https://docs.microsoft.com/en-us/powerapps/maker/canvas-apps/functions/function-patch&lt;/a&gt;&lt;/p&gt;
</t>
  </si>
  <si>
    <t xml:space="preserve">&lt;p&gt;How to create a collection from &lt;strong&gt;Office365.Outlook data source&lt;/strong&gt;?&lt;/p&gt;
&lt;p&gt;I've already tried it in a button with &lt;code&gt;OnSelect&lt;/code&gt;:&lt;/p&gt;
&lt;pre&gt;&lt;code&gt;ClearCollect(Emails, Office365.GetEmails({folderPath: EmailFolderName, fetchOnlyUnread: false}));
&lt;/code&gt;&lt;/pre&gt;
&lt;p&gt;But it doesn't work. Just getting errors.&lt;/p&gt;
&lt;p&gt;Thanks&lt;/p&gt;
</t>
  </si>
  <si>
    <t xml:space="preserve">&lt;p&gt;I have a screen where a user can edit a form, the form is pulling from a sharepoint list.  I would like to link the value of a lookup field from this form to a new view pulling from a &lt;strong&gt;different&lt;/strong&gt; sharepoint list.&lt;/p&gt;
&lt;p&gt;&lt;a href="https://i.stack.imgur.com/zZ4ma.png" rel="nofollow noreferrer"&gt;&lt;img src="https://i.stack.imgur.com/zZ4ma.png" alt="enter image description here"&gt;&lt;/a&gt;&lt;/p&gt;
&lt;p&gt;Ideally the value &lt;strong&gt;Vendor 1&lt;/strong&gt; would link to a DetailsScreen for the specific vendor.  The issue is I am unable to add the necessary &lt;strong&gt;OnSelect&lt;/strong&gt; function to the &lt;strong&gt;DataCard&lt;/strong&gt; to achieve this and even the default &lt;strong&gt;Navigate&lt;/strong&gt; Function does nothing when attached to the &lt;strong&gt;DataCardValue&lt;/strong&gt;. The default Navigate function does work in other elements, for example in the &lt;strong&gt;arrow&lt;/strong&gt; to the right of Vendor 1, which I added as a test.  I attempted the solution &lt;a href="https://powerusers.microsoft.com/t5/Building-PowerApps-Formerly/Creating-link-from-one-view-to-another-view/td-p/34514" rel="nofollow noreferrer"&gt;here&lt;/a&gt;, but was unsuccessful. What am I doing wrong?&lt;/p&gt;
&lt;p&gt;&lt;a href="https://i.stack.imgur.com/z8sJv.png" rel="nofollow noreferrer"&gt;&lt;img src="https://i.stack.imgur.com/z8sJv.png" alt="enter image description here"&gt;&lt;/a&gt;&lt;/p&gt;
&lt;p&gt;&lt;a href="https://i.stack.imgur.com/M40xS.png" rel="nofollow noreferrer"&gt;&lt;img src="https://i.stack.imgur.com/M40xS.png" alt="enter image description here"&gt;&lt;/a&gt;&lt;/p&gt;
</t>
  </si>
  <si>
    <t xml:space="preserve">&lt;p&gt;I just tried with Textbox, Dropdownbox and combobox and for all of them onselect worked fine for me&lt;/p&gt;
&lt;pre&gt;&lt;code&gt;Navigate(Screen2,ScreenTransition.None,{ FirstName: "CRM365" , Argument2: "SomeText" })
&lt;/code&gt;&lt;/pre&gt;
&lt;p&gt;I would say simple try using arrow button and try navigating and then go step by step&lt;/p&gt;
&lt;p&gt;&lt;a href="https://i.stack.imgur.com/Gs3p4.png" rel="nofollow noreferrer"&gt;&lt;img src="https://i.stack.imgur.com/Gs3p4.png" alt="enter image description here"&gt;&lt;/a&gt;&lt;/p&gt;
</t>
  </si>
  <si>
    <t xml:space="preserve">&lt;p&gt;I have two tables that are related as follows:&lt;/p&gt;
&lt;ul&gt;
&lt;li&gt;&lt;strong&gt;PMLprojects&lt;/strong&gt; ONE - MANY &lt;strong&gt;Inovice_stat&lt;/strong&gt;&lt;/li&gt;
&lt;/ul&gt;
&lt;p&gt;I have a script to create a record in the Invoice_stat table. It goes as follows:&lt;/p&gt;
&lt;pre&gt;&lt;code&gt;var myProjectList = app.datasources.PMLprojects;
var myProjectListID = myProjectList.Id;
var myDatasource = app.datasources.Invoice_stat;
var myCreateDatasource = myDatasource.modes.create;
now = new Date();
var draft = myDatasource.modes.create.item;
draft.EmailStatus = "Yes";
draft.PaidStatus = "No";
draft.DateCreate = now;
myCreateDatasource.createItem(function(newRecord) {
    var key = newRecord._key;
});
myDatasource.saveChanges();
&lt;/code&gt;&lt;/pre&gt;
&lt;p&gt;All the fields are properly populates except the relation to &lt;strong&gt;PMLprojects&lt;/strong&gt;. How can I related the record from &lt;strong&gt;Invoice_stat&lt;/strong&gt; to &lt;strong&gt;PMLprojects&lt;/strong&gt;? I'm getting the following message:&lt;/p&gt;
&lt;blockquote&gt;
  &lt;p&gt;Error log : &lt;br&gt;
  com.google.apps.appmaker.client.datasource.AbstractModelDataSource
  WARNING: Could not select element with key RecordKey{key=private$6,
  model
  key=1Y8Ijd68IZyWFllY3d_C9fhAOFtVgKCtH|Gu5LnmmFmZHfEbrL5Ug1fybNaVLSEPn6}.
  No records bound.&lt;/p&gt;
&lt;/blockquote&gt;
</t>
  </si>
  <si>
    <t xml:space="preserve">&lt;p&gt;After login into ios mobile sdk with salesforce i want to open community url on webview by passing the token and community url without asking me to login in again.&lt;/p&gt;
&lt;p&gt;Below is the code which we have tried but it asks me login again&lt;/p&gt;
&lt;p&gt;Communityurl/services/oauth2/authorize?response_type=&amp;amp;client_id=&amp;amp;redirect_uri=&lt;/p&gt;
</t>
  </si>
  <si>
    <t xml:space="preserve">&lt;p&gt;Example : In Account Object I have Phone Field when Account Phone Number Changed  I need Also Update  contact Phone Number as Same  By Using Flows. I need Proper Steps To Slove This Problem any One Help Me On This pls...&lt;/p&gt;
</t>
  </si>
  <si>
    <t xml:space="preserve">&lt;p&gt;I am trying zoho databridge 10.1.2 to get data from advantage database server 10.10 (jdbc driver available) in windows 10. following are the connection details&lt;/p&gt;
&lt;p&gt;Driver Class = com.extendedsystems.jdbc.advantage.ADSDriver&lt;/p&gt;
&lt;p&gt;jdbc connection = jdbc:extendedsystems:advantage://192.168.2.101:6262;catalog=d:\ADT\omalloor\OMALLOOR.add&lt;/p&gt;
&lt;p&gt;user = adssys&lt;/p&gt;
&lt;p&gt;but it throwing a error as follows&lt;/p&gt;
&lt;p&gt;Alert Message
Sorry, problem in connecting to your database server.&lt;/p&gt;
&lt;p&gt;Reason
"[[iAnywhere Solutions][Advantage JDBC]Unexpected EOF while reading from socket.]".&lt;/p&gt;
&lt;p&gt;But I can access another advantage database server (11.0) running in linux with the jdbc driver version 10 of ADS ?&lt;/p&gt;
&lt;p&gt;How can I correct this ?&lt;/p&gt;
</t>
  </si>
  <si>
    <t xml:space="preserve">&lt;p&gt;I have a Canvas app with three pages.&lt;/p&gt;
&lt;p&gt;Page 1 has a gallery listing records.  When a user selects an item in the gallery the following is executed&lt;/p&gt;
&lt;pre&gt;&lt;code&gt;Set(SelectedRecord, ThisItem); 
Navigate('Page 2',ScreenTransition.Fade);
&lt;/code&gt;&lt;/pre&gt;
&lt;p&gt;Page 2 has a label with &lt;/p&gt;
&lt;pre&gt;&lt;code&gt;Text = SelectedRecord.Field1
&lt;/code&gt;&lt;/pre&gt;
&lt;p&gt;and a link to open page 3&lt;/p&gt;
&lt;p&gt;Page three has a form with the same dataset a the Gallery on page 1 and&lt;/p&gt;
&lt;pre&gt;&lt;code&gt;items = SelectedRecord
&lt;/code&gt;&lt;/pre&gt;
&lt;p&gt;and a save button with&lt;/p&gt;
&lt;pre&gt;&lt;code&gt;OnSelect = SubmitForm(Form_1);
Navigate('Page 2', ScreenTransition.Fade);
&lt;/code&gt;&lt;/pre&gt;
&lt;p&gt;My issue is that when the control returns to page 2 the label still shows the old value, I would expect that the global variable would be linked to the dataset and update when changes were made.&lt;/p&gt;
&lt;p&gt;Is there a bug here or some process to update the global variable with the updated data?&lt;/p&gt;
</t>
  </si>
  <si>
    <t xml:space="preserve">&lt;p&gt;I am able to submit feedback  in the form of text , screen and audio from app .
But i do not want audio to be submitted .
I have attached an screenshot with an circle mark, which i want to  customize .&lt;/p&gt;
&lt;p&gt;&lt;a href="https://i.stack.imgur.com/R4sC2.jpg" rel="nofollow noreferrer"&gt;&lt;img src="https://i.stack.imgur.com/R4sC2.jpg" alt="enter image description here"&gt;&lt;/a&gt;&lt;/p&gt;
</t>
  </si>
  <si>
    <t xml:space="preserve">&lt;p&gt;I'm creating a table where the header is in the left side of the table. How can I make the table row flow to the right? Is this possible in app maker?&lt;/p&gt;
&lt;p&gt;I tried to make the layout of the tablerow to vertical, so the cells will be listed down.&lt;/p&gt;
</t>
  </si>
  <si>
    <t xml:space="preserve">&lt;p&gt;I have a form which used to work, but today I noticed it does not save the created record to the database. &lt;/p&gt;
&lt;p&gt;I can access the newly created record from the other parts of the app, so it must be stored somewhere, when I access the database from MySQGL Workbench, the record is not there, also If I reload the app the record is gone.&lt;/p&gt;
&lt;p&gt;I run some code on the Send button:
&lt;div class="snippet" data-lang="js" data-hide="false" data-console="true" data-babel="false"&gt;
&lt;div class="snippet-code"&gt;
&lt;pre class="snippet-code-js lang-js prettyprint-override"&gt;&lt;code&gt;widget.datasource.createItem({success: function() {
  widget.parent.descendants.errorLabel.text = 
    "Sikeres mentés! ";
  setTimeout(function(){ widget.parent.descendants.errorLabel.text = 
    "";},10000);
}, 
failure: function(error) {
  widget.parent.descendants.errorLabel.text = 
    "Sikertelen mentés, talán már létezik ilyen cég? ";
  setTimeout(function(){ widget.parent.descendants.errorLabel.text = 
    "";},10000);
}
});&lt;/code&gt;&lt;/pre&gt;
&lt;/div&gt;
&lt;/div&gt;
Which tells me that the creating of the item is succesful. When it used to work it took some time to create it, but now it just responds immediately that the save is succesful.&lt;/p&gt;
&lt;p&gt;Also the other forms in the app can save records without trouble.
Thank you in advance!&lt;/p&gt;
</t>
  </si>
  <si>
    <t xml:space="preserve">&lt;p&gt;So my latest problem is the following:&lt;/p&gt;
&lt;p&gt;I store an id(a foreign key) in a custom property. I want to set the Foreign Key field of an item I just created, to the stored custom property.&lt;/p&gt;
&lt;p&gt;I am trying to achieve this in a server script, which looks like this:&lt;/p&gt;
&lt;p&gt;&lt;div class="snippet" data-lang="js" data-hide="false" data-console="true" data-babel="false"&gt;
&lt;div class="snippet-code"&gt;
&lt;pre class="snippet-code-js lang-js prettyprint-override"&gt;&lt;code&gt;function setFKforCustomer(customerID, companyID)
{
  var query = app.models.Customer.newQuery();
  query.filters.Id._equals(customerID);
  var records = query.run();
  records[0].Company_fk=companyID;
}&lt;/code&gt;&lt;/pre&gt;
&lt;/div&gt;
&lt;/div&gt;
&lt;/p&gt;
&lt;p&gt;I want to call this function from a client side script, which has to know the customer's ID, the id of the item I just created. I am not entirely sure I am approaching the problem from the right angle, so I am open to other ideas.
Thank you in advance (Markus)!&lt;/p&gt;
</t>
  </si>
  <si>
    <t xml:space="preserve">&lt;p&gt;I have a requirement as below:&lt;/p&gt;
&lt;p&gt;There are 3 tabs in a community 
  - Home ( Type as Community Page and showing one Lightning Component )
  - A  ( Type as Community Page and showing one Lightning Component )
  - B  ( Type as Community Page and showing one Lightning Component )&lt;/p&gt;
&lt;p&gt;Now A and B contain forms such as input text and all, so there is a save button on each forms. The requirement is to prompt an alert message to the user if the user leaves the page without saving the form.&lt;/p&gt;
&lt;p&gt;That means if the user clicks back/Next/Refresh Or any other Tabs like Home or A Or B before hitting the save button, they will get a confirmation message.&lt;/p&gt;
&lt;p&gt;Rerender.js file with the below code:&lt;/p&gt;
&lt;pre class="lang-js prettyprint-override"&gt;&lt;code&gt;window.addEventListener("beforeunload", function (e) {
    var abc = component.get('v.isUnSavedChanges');
    if (!abc) {
        return undefined;
    } else {
        var confirmationMessage = 'UNSAVED CHANGES.';
        (e || window.event).returnValue = confirmationMessage;
        return confirmationMessage;
    }
});,
&lt;/code&gt;&lt;/pre&gt;
&lt;p&gt;With the above code it works When user refreshes/manually changes the URL before saving then they will get the message my problem is when user clicks the other tabs ( Home or A(If on B) Or B(If on A) the prompt message is not firing.&lt;/p&gt;
&lt;p&gt;Further digging I found that If the type of the navigation menu Item is External URL ( &lt;a href="https://www/google.co.in" rel="nofollow noreferrer"&gt;https://www/google.co.in&lt;/a&gt; ) then it works fine, but nothing gets called on Clicking of Tabs&lt;/p&gt;
&lt;p&gt;I read that these Nav Menu items are Relative URLs, so they might not refreshing the page: 
FYI, Link: &lt;a href="https://help.salesforce.com/articleView?id=rss_setup_nav_menu.htm" rel="nofollow noreferrer"&gt;https://help.salesforce.com/articleView?id=rss_setup_nav_menu.htm&lt;/a&gt;
                -- Community Page—Links to a page inside your community using a relative URL. For example, /contactsupport.&lt;/p&gt;
&lt;p&gt;So there are 3 possible solutions in my mind, but need some guidance/correction or code snippet to do the same : 
1. Is there a way we can know when the Navigation Menu item is clicked in the controller.js?
2. Can we change the Theme Layout to show our own custom Navbar ( so Onclick of navBar we can have some code of our own as this: &lt;a href="https://trailhead.salesforce.com/en/content/learn/projects/communities_theme_layout/create_component" rel="nofollow noreferrer"&gt;https://trailhead.salesforce.com/en/content/learn/projects/communities_theme_layout/create_component&lt;/a&gt;
3. Is there anyway by using Jquery or something &lt;/p&gt;
&lt;p&gt;Please help on this one&lt;/p&gt;
&lt;p&gt;Thanks,
Nru&lt;/p&gt;
</t>
  </si>
  <si>
    <t xml:space="preserve">&lt;p&gt;I'm building a new community and the spec includes being able to show pre-determined articles/CMSable content at pre-determined times in a user's life e.g. 1 month after being created they'll see Article X, 3 months in they'll see Article Y in the same space on the page. All the content needs to be managed through a CMS; creating the articles in CMS workspaces would be great.&lt;/p&gt;
&lt;p&gt;Is this possible using out-of-the-box Salesforce functionality or an existing AppExchange package or would it required building a custom component?&lt;/p&gt;
</t>
  </si>
  <si>
    <t xml:space="preserve">&lt;p&gt;We used google app maker for a web development required by the client.&lt;/p&gt;
&lt;p&gt;However, working with a team makes the performance of the platform laggy. Our team composed of 4 developers are working on the same time. If I am working alone, there is no performance issue at all.&lt;/p&gt;
&lt;p&gt;Does anyone know what is the problem here?
Is it all about my internet, RAM/CPU related things, or it is because of the platform itself?&lt;/p&gt;
&lt;p&gt;How will I be able to resolve this blocker? To be able for us to work smoothly in our project.&lt;/p&gt;
</t>
  </si>
  <si>
    <t xml:space="preserve">&lt;p&gt;I have some problems with a couple of listboxes in a powerapps app. There is an app with 4-5 pages and forms for collecting info. Most works fine but I cant get the selected info in the listbox to work. Im guessing its simple but.. please help. &lt;/p&gt;
&lt;p&gt;&lt;code&gt;Update = Listbox.SelectedItems&lt;/code&gt; - I want something like this.. but either Im only getting one selected value or error message.. Tried some different like Text() - SelectedItemsText osv osv.. cant fint the right one I guess.&lt;/p&gt;
&lt;p&gt;Thnx.&lt;/p&gt;
</t>
  </si>
  <si>
    <t xml:space="preserve">&lt;p&gt;I finally seems to have found what I was looking for.. &lt;/p&gt;
&lt;pre&gt;&lt;code&gt;Left(Concat(DataCardValue3.SelectedItemsText.Value; Concatenate(Text(Value); ", ")); Len(Concat(DataCardValue3.SelectedItemsText.Value; Concatenate(Text(Value); ""))) - 1)
&lt;/code&gt;&lt;/pre&gt;
&lt;p&gt;&lt;strong&gt;Thnx!&lt;/strong&gt;&lt;/p&gt;
</t>
  </si>
  <si>
    <t xml:space="preserve">&lt;p&gt;Create an automated test script for salesforce application using selenium webdriver with java. I have some clarification in my XPath.
Below is the HTML code for the salesforce application [Lightning mode]&lt;/p&gt;
&lt;pre&gt;&lt;code&gt;&amp;lt;div one-appnavbarmenubutton_appnavbarmenubutton="" class="menuItemsWrapper" style="" xpath="1"&amp;gt;
&amp;lt;slot one-appnavbarmenubutton_appnavbarmenubutton=""&amp;gt;
&amp;lt;one-app-nav-bar-menu-item one-appnavbaritemdropdown_appnavbaritemdropdown="" class="slds-dropdown__item" one-appnavbarmenuitem_appnavbarmenuitem-host=""&amp;gt;
&amp;lt;span one-appnavbarmenuitem_appnavbarmenuitem="" class="slds-truncate"&amp;gt;
&amp;lt;span one-appnavbarmenuitem_appnavbarmenuitem=""&amp;gt;Tech Path
&amp;lt;/span&amp;gt;
&amp;lt;/span&amp;gt;
&amp;lt;/one-app-nav-bar-menu-item&amp;gt;
&amp;lt;one-app-nav-bar-menu-item one-appnavbaritemdropdown_appnavbaritemdropdown="" class="slds-dropdown__item" one-appnavbarmenuitem_appnavbarmenuitem-host=""&amp;gt;
&amp;lt;span one-appnavbarmenuitem_appnavbarmenuitem="" class="slds-truncate"&amp;gt;
&amp;lt;span one-appnavbarmenuitem_appnavbarmenuitem=""&amp;gt;Keyword
&amp;lt;/span&amp;gt;
&amp;lt;/span&amp;gt;
&amp;lt;/one-app-nav-bar-menu-item&amp;gt;
&amp;lt;one-app-nav-bar-menu-item one-appnavbaritemdropdown_appnavbaritemdropdown="" class="slds-dropdown__item" one-appnavbarmenuitem_appnavbarmenuitem-host=""&amp;gt;
&amp;lt;span one-appnavbarmenuitem_appnavbarmenuitem="" class="slds-truncate"&amp;gt;
&amp;lt;span one-appnavbarmenuitem_appnavbarmenuitem=""&amp;gt;Invention Disclosures by Hierarchy
&amp;lt;/span&amp;gt;
&amp;lt;/span&amp;gt;
&amp;lt;/one-app-nav-bar-menu-item&amp;gt;
&amp;lt;/slot&amp;gt;
&amp;lt;/div&amp;gt;
&lt;/code&gt;&lt;/pre&gt;
&lt;p&gt;From the above, I want to get the total no of tag &lt;code&gt;&amp;lt;one-app-nav-bar-menu-item&amp;gt;&lt;/code&gt;&lt;/p&gt;
&lt;p&gt;below is my test script&lt;/p&gt;
&lt;pre&gt;&lt;code&gt;WebElement menuCount = driver.findElement(By.xpath("//div[@class='menuItemsWrapper']//slot"))
List&amp;lt;WebElement&amp;gt;menuItemCount = menuCount.findElements(By.tagName("one-app-nav-bar-menu-item"))
&lt;/code&gt;&lt;/pre&gt;
&lt;p&gt;When I executed i am getting the &lt;code&gt;menuITemCount =0&lt;/code&gt;&lt;/p&gt;
&lt;p&gt;Let me know is there any problem in my script&lt;/p&gt;
&lt;p&gt;Environment:
chrome driver&lt;/p&gt;
</t>
  </si>
  <si>
    <t xml:space="preserve">&lt;p&gt;Try adjusting to &lt;code&gt;By.xpath("//one-app-nav-bar-menu-item")&lt;/code&gt;&lt;/p&gt;
</t>
  </si>
  <si>
    <t xml:space="preserve">&lt;p&gt;&lt;strong&gt;how can create Sub-Field inside a Field to using custom fields?&lt;/strong&gt;&lt;/p&gt;
&lt;p&gt;I want to create Sub-Field inside a Field such as Name field with Prefix Salutation.&lt;/p&gt;
&lt;p&gt;&lt;strong&gt;Following figure for your understanding...&lt;/strong&gt;
&lt;a href="https://i.stack.imgur.com/HKfgq.jpg" rel="nofollow noreferrer"&gt;&lt;img src="https://i.stack.imgur.com/HKfgq.jpg" alt="enter image description here"&gt;&lt;/a&gt;&lt;/p&gt;
&lt;p&gt;It is possible OR not?&lt;/p&gt;
&lt;p&gt;If any one have solution of this question then tell me.&lt;/p&gt;
</t>
  </si>
  <si>
    <t xml:space="preserve">&lt;p&gt;Im having a problem validatin a step in the Process Automation Specialist!&lt;/p&gt;
&lt;p&gt;This are the tasks that they ask to accomplish:&lt;/p&gt;
&lt;p&gt;&lt;a href="https://i.stack.imgur.com/TVkxE.png" rel="nofollow noreferrer"&gt;&lt;img src="https://i.stack.imgur.com/TVkxE.png" alt="enter image description here"&gt;&lt;/a&gt;&lt;/p&gt;
&lt;p&gt;&lt;a href="https://i.stack.imgur.com/oUtvg.png" rel="nofollow noreferrer"&gt;&lt;img src="https://i.stack.imgur.com/oUtvg.png" alt="enter image description here"&gt;&lt;/a&gt;&lt;/p&gt;
&lt;p&gt;But I did created this step in my process:&lt;/p&gt;
&lt;p&gt;&lt;a href="https://i.stack.imgur.com/IGVF3.png" rel="nofollow noreferrer"&gt;&lt;img src="https://i.stack.imgur.com/IGVF3.png" alt="enter image description here"&gt;&lt;/a&gt;&lt;/p&gt;
&lt;p&gt;The Opp fields being validated are Opp.Stage and Opp.Amount in the rows above.&lt;/p&gt;
&lt;p&gt;Any idea how this can be accomplished ?&lt;/p&gt;
</t>
  </si>
  <si>
    <t xml:space="preserve">&lt;p&gt;&lt;strong&gt;My Overall Goal:&lt;/strong&gt;
I am trying to Patch "Notes" to my SharePoint List Lead_History.&lt;/p&gt;
&lt;p&gt;&lt;strong&gt;My Process:&lt;/strong&gt;
I have a main SharePoint list that contains all my Lead Data called Lead_Data but this list excludes my Lead_History (or notes) as there can be multiple entries per lead for this. 
I have a dashboard page that I click to display the Specfic Lead data which has a list at the bottom of all the history of notes. I want to be able from this same screen to be able to add to my history of notes.
I have added a textbox and I want to be able to patch this box by clicking on the + button rather than the checkmark in my top right corner. I want the user to see that the item is added to the gallery at the bottom of the screen.&lt;/p&gt;
&lt;p&gt;&lt;strong&gt;The current code I have, that is not working is:&lt;/strong&gt; &lt;/p&gt;
&lt;pre&gt;&lt;code&gt;Patch(Lead_History, Lead_History.LeadID = Gallery_Dashboard.Selected.ID, {Note: txt_HistoryDetail.Text, HistoryDate: Text( Now(), "[$-en-US]mm/dd/yyyy hh:mm:ss")});
&lt;/code&gt;&lt;/pre&gt;
&lt;p&gt;It just keeps telling me there is an invalid argument but I have no idea what I am doing wrong. In my mind this should do what I want. &lt;/p&gt;
&lt;p&gt;Is anyone able to help me figure this out? I have a screen cap below to visualize what I am saying above.&lt;/p&gt;
&lt;p&gt;&lt;a href="https://i.stack.imgur.com/spUDG.jpg" rel="nofollow noreferrer"&gt;Screen capture of my app&lt;/a&gt;&lt;/p&gt;
</t>
  </si>
  <si>
    <t xml:space="preserve">&lt;p&gt;I'm trying to create a Zoho books invoice through their API and I'm trying to include multiple item lines, how do I do that?&lt;/p&gt;
&lt;p&gt;I tried &lt;/p&gt;
&lt;pre class="lang-php prettyprint-override"&gt;&lt;code&gt;'line_items' =&amp;gt; [
    [
        'item_id'           =&amp;gt; '7131',
        'description'       =&amp;gt; something
        'rate'              =&amp;gt; somthing
        'quantity'          =&amp;gt; something
    ]
]
&lt;/code&gt;&lt;/pre&gt;
&lt;p&gt;duplicating this with the same tag and it goes through but only one product line was created then I tried changing it to line_items2 and I get this error &lt;/p&gt;
&lt;blockquote&gt;
  &lt;p&gt;resulted in a &lt;code&gt;400 Bad Request&lt;/code&gt; response: {"code":15,"message":"Please ensure that the line_items2 has less than 100 characters."}&lt;/p&gt;
&lt;/blockquote&gt;
</t>
  </si>
  <si>
    <t xml:space="preserve">&lt;p&gt;I am new to the community and would love to implement a button in my DEAL table where it sends out an email (i want it to prompt my outlook window) to the email linked to a different table, CONTACTS and auto-record the content that is being sent into a different table, say EMAIL.&lt;/p&gt;
&lt;p&gt;I have created a button already like below: in the URL section of my button.&lt;/p&gt;
&lt;pre&gt;&lt;code&gt;"mailto:"&amp;amp;""&amp;amp;[email]&amp;amp;"\n"&amp;amp;"?subject="&amp;amp;"\n"&amp;amp;[Subject]&amp;amp;""&amp;amp;"&amp;amp;body="&amp;amp;[Body]&amp;amp;""
&lt;/code&gt;&lt;/pre&gt;
&lt;p&gt;where [email] is where i want to grab the mail
and [subject] and [body] are my predefined fields in the same table&lt;/p&gt;
&lt;p&gt;but I don't know how to
1) grab the email address that is being stored in a different table
2) save the content that was sent out attached by an ID that is the same ID as deal
Additional Questions:
3) Would it be possible to track the sender's and receivers email conversation beyond just the initial "send"?
4) Are there any other third party software than can do this for me?&lt;/p&gt;
</t>
  </si>
  <si>
    <t xml:space="preserve">&lt;p&gt;When I publish the model-driven app, it leads to this page. I click to see my app, it doesn't work, but it returns to this page again. I don't know what the issue here. I watched some tutorials and see that left corner is "Dynamics 365" but mine is "PowerApps". I'm not sure this causes the issue? &lt;/p&gt;
&lt;p&gt;&lt;img src="https://i.stack.imgur.com/DHId6.png" alt="enter image description here"&gt;&lt;/p&gt;
</t>
  </si>
  <si>
    <t xml:space="preserve">&lt;p&gt;So I've come across a problem that's right now being a major bottleneck in most of my dashboard's effectiveness.&lt;/p&gt;
&lt;p&gt;My company stores a lot of its Data in the Zoho CRM. It also stores some of its data on a mysql database, and on aws' web services. These tend to be easier to connect to. However, the data on Zoho CRM is extremely difficult to set up a path/gateway to (would be lovely if someone could explain all that terminology to me too!). What i've been doing so far is manually downloading the data on the Zoho CRM and supplying it into a folder where PBI receives its info from. However, this is not a practical solution in the long-term.&lt;/p&gt;
&lt;p&gt;Eager to hear from anyone else who's successfully set up refreshes of data from Zoho CRM.&lt;/p&gt;
</t>
  </si>
  <si>
    <t xml:space="preserve">&lt;p&gt;I created a screen flow that ends in an Action which has as an action a predefined Toast. I tested with alert dialog and the toast controller is triggered but for some reason it does not show up on the screen. Moreover the flow opens in the same tab a page with "flow finished"&lt;/p&gt;
&lt;p&gt;The flow is triggered from a visualforcepage on a button click.&lt;/p&gt;
&lt;p&gt;Toast component&lt;/p&gt;
&lt;pre&gt;&lt;code&gt;&amp;lt;aura:component implements="force:lightningQuickAction,lightning:availableForFlowActions" access="global"&amp;gt;
&amp;lt;aura:attribute name="type" type="string" default="success" access="global"/&amp;gt;
&amp;lt;aura:attribute name="messageText" type="string" access="global" /&amp;gt;
 &amp;lt;aura:handler name="init" value="{!this}" action="{!c.invoke}"/&amp;gt;
&lt;/code&gt;&lt;/pre&gt;
&lt;p&gt;&lt;/p&gt;
&lt;p&gt;Toast controller&lt;/p&gt;
&lt;pre&gt;&lt;code&gt;({
invoke : function(component, event, helper) {
   // var args = event.getParam("arguments");
    var message = "Message"+ component.get("v.messageText");
    var type = component.get("v.type");
    var toastEvent = $A.get("e.force:showToast");
    toastEvent.setParams({
        "messageText": message,
        "type": type,
        "duration": 10000,
        "mode": "dismissible",
    });
    toastEvent.fire();
}
})
&lt;/code&gt;&lt;/pre&gt;
&lt;p&gt;Toast design&lt;/p&gt;
&lt;pre&gt;&lt;code&gt;&amp;lt;design:component &amp;gt;
&amp;lt;design:attribute name="type" /&amp;gt;
&amp;lt;design:attribute name="messageText" /&amp;gt;
 &amp;lt;/design:component&amp;gt;
&lt;/code&gt;&lt;/pre&gt;
&lt;p&gt;The flow that has the toast as the core action is triggered from this command button&lt;/p&gt;
&lt;pre&gt;&lt;code&gt;  &amp;lt;apex:commandButton action="/flow/flow_to_be_triggered?recordId={!a.ID}" 
  value="Create " styleClass="slds-vf-button_neutral" /&amp;gt;
&lt;/code&gt;&lt;/pre&gt;
</t>
  </si>
  <si>
    <t xml:space="preserve">&lt;p&gt;I am trying to find a way to remove popout/expand icon from my salesforce softphone in Utility bar. The right-most icon in below attached screenshot.&lt;/p&gt;
&lt;p&gt;&lt;a href="https://i.stack.imgur.com/eK72R.png" rel="nofollow noreferrer"&gt;&lt;img src="https://i.stack.imgur.com/eK72R.png" alt="enter image description here"&gt;&lt;/a&gt;&lt;/p&gt;
&lt;p&gt;Following are available methods to access CTI application, some of which can be used to change title, icon, width, height etc of softphone but there is not method to remove expand icon, nor there is ant in App setup page.&lt;/p&gt;
&lt;p&gt;&lt;a href="https://developer.salesforce.com/docs/atlas.en-us.api_cti.meta/api_cti/sforce_api_cti_methods_intro_lightning.htm" rel="nofollow noreferrer"&gt;https://developer.salesforce.com/docs/atlas.en-us.api_cti.meta/api_cti/sforce_api_cti_methods_intro_lightning.htm&lt;/a&gt;&lt;/p&gt;
</t>
  </si>
  <si>
    <t xml:space="preserve">&lt;p&gt;does Salesforce offer a way to obtain all Objects like Account, Contact etc and populate them in a SQL table with certain columns like 
ObjectEntity, FieldName , FieldType ?&lt;/p&gt;
</t>
  </si>
  <si>
    <t xml:space="preserve">&lt;p&gt;I'm pretty sure the only way to achieve this would be by using the &lt;code&gt;Schema.sObjectType&lt;/code&gt; and &lt;code&gt;Schema.sObjectField&lt;/code&gt;. &lt;a href="https://developer.salesforce.com/docs/atlas.en-us.apexcode.meta/apexcode/apex_dynamic_global_describe.htm" rel="nofollow noreferrer"&gt;Here is a link to the documentation for getting all sObjects&lt;/a&gt;. You will basically call the &lt;code&gt;Schema.getGlobalDescribe()&lt;/code&gt; method which will return you a map of sObjectTypes with their sObject name as the key. Then you'll need to call &lt;code&gt;getDesribe()&lt;/code&gt; on each sObjectType get the fields of the object from that Describe result. You'll again need to call &lt;code&gt;getDescribe()&lt;/code&gt; on each sObjectField in order to have access to the columns you wanted (eg. FieldType). &lt;a href="https://developer.salesforce.com/docs/atlas.en-us.apexcode.meta/apexcode/apex_methods_system_fields_describe.htm#apex_methods_system_fields_describe" rel="nofollow noreferrer"&gt;Here is the documentation on that&lt;/a&gt;  You could save each DescribeFieldResult into a list that goes into a Map of &gt; with the sObject name as the key, then you could do what you want with them... Put them in a table if you like. Keep in mind this is all going to be very expensive when it comes to CPU time. You may even run into some governor limits. 
Here is a little example you can run using &lt;em&gt;Execute Anonymous&lt;/em&gt; in the developer console where the sObject Name and all its field names and types are printed to  the debug logs&lt;/p&gt;
&lt;pre class="lang-java prettyprint-override"&gt;&lt;code&gt;Map&amp;lt;String, sObjectType&amp;gt; objects = Schema.getGlobalDescribe();
for(String objName : objects.keySet()){
    system.debug('=======' + objName + '=========\n Fields: ');
    sObjectType o = objects.get(objName);
    DescribeSobjectResult oDRes = o.getDescribe();
    Map&amp;lt;String, Schema.SObjectField&amp;gt; fields = dResult.fields.getMap();
    for(Schema.SObjectField f : fields.values()){
        DescribeFieldResult fDRes = f.getDescribe();
        system.debug('name: ' + fDRes.getName() + ' | type: ' + fDRes.getType());
    }
}
&lt;/code&gt;&lt;/pre&gt;
&lt;p&gt;Hope this helps&lt;/p&gt;
</t>
  </si>
  <si>
    <t xml:space="preserve">&lt;p&gt;I am trying to implement html2canvas in my lightning component to take screenshot of my page. I am getting an error when i am trying to do so. The error is- '[PromiseRejection: Unable to find element in cloned iframe]'. Below is my code:&lt;/p&gt;
&lt;p&gt;Lightning cmp:&lt;/p&gt;
&lt;pre&gt;&lt;code&gt;&amp;lt;aura:component &amp;gt;
&amp;lt;ltng:require scripts="{!$Resource.html2Canvas}"/&amp;gt;
&amp;lt;ltng:require scripts="{!$Resource.jqueryDocu}" /&amp;gt;
&amp;lt;aura:attribute type="String" name="testVal" /&amp;gt;
&amp;lt;div id="target"&amp;gt;
        &amp;lt;h1&amp;gt;Header tag&amp;lt;/h1&amp;gt;
&amp;lt;/div&amp;gt;
&amp;lt;lightning:button onclick="{!c.generatePDF}" label="Screenshot" /&amp;gt;
&amp;lt;/aura:component&amp;gt;
&lt;/code&gt;&lt;/pre&gt;
&lt;p&gt;Controller:&lt;/p&gt;
&lt;pre&gt;&lt;code&gt;({
generatePDF : function(component, event, helper) {
    helper.generatePDFHelper(component,event);
}
})
&lt;/code&gt;&lt;/pre&gt;
&lt;p&gt;Helper:&lt;/p&gt;
&lt;pre&gt;&lt;code&gt;({
generatePDFHelper : function(component,event) {
    debugger;
     html2canvas(document.getElementById('target'),{ onrendered: function (canvas) {
        var imgData = canvas.toDataURL("image/jpeg", 1.0);
     }
     });
}
})
&lt;/code&gt;&lt;/pre&gt;
</t>
  </si>
  <si>
    <t xml:space="preserve">&lt;p&gt;I have  a list of elements in my visualforce page that can sometime be empty. The visualforcepage is displayed in a visualforce component on the home page. I wonder if there is any possibility to hide the component if the list is empty.&lt;/p&gt;
&lt;pre&gt;&lt;code&gt; &amp;lt;apex:repeat var="a" value="{!accounts}"&amp;gt;
                &amp;lt;apex:outputLabel for="link" value="{!a.Name} " /&amp;gt;
 &amp;lt;/apex:repeat&amp;gt;
&lt;/code&gt;&lt;/pre&gt;
</t>
  </si>
  <si>
    <t xml:space="preserve">&lt;p&gt;You could use the &lt;code&gt;rendered&lt;/code&gt; attribute. Something like &lt;/p&gt;
&lt;pre class="lang-html prettyprint-override"&gt;&lt;code&gt;&amp;lt;apex:repeat var "a" value="{!accounts}" rendered="{!NOT(AccountsEmpty)}"&amp;gt;
    &amp;lt;apex:outputLabel for="link" value="{!a.name}" /&amp;gt;
&amp;lt;/apex:repeat&amp;gt;
&lt;/code&gt;&lt;/pre&gt;
&lt;p&gt;and in your controller add the method:&lt;/p&gt;
&lt;pre class="lang-java prettyprint-override"&gt;&lt;code&gt;public boolean getAccountsEmpty(){
  return this.accounts == null || this.account.size() == 0;
}
&lt;/code&gt;&lt;/pre&gt;
&lt;p&gt;EDIT: Adding how to also not render parent components/page&lt;/p&gt;
&lt;p&gt;&lt;a href="https://developer.salesforce.com/page/Controller_Component_Communication" rel="nofollow noreferrer"&gt;Here is some in depth documentation on this&lt;/a&gt; but put simply you need to add an attribute to your component with the repeat in it so you can pass in the page parent page/components apex controller for example if your parent page had a apex controller with the name &lt;code&gt;MyApexController&lt;/code&gt;...&lt;/p&gt;
&lt;pre class="lang-html prettyprint-override"&gt;&lt;code&gt;&amp;lt;apex:attribute name="controller" description="parent page controller" type="MyApexController" assignTo="{!pageController}"/&amp;gt;
&lt;/code&gt;&lt;/pre&gt;
&lt;p&gt;Then you can access its members with public getters and setters from within the component
Heres how that would look
&lt;strong&gt;Parent Page Controller&lt;/strong&gt;&lt;/p&gt;
&lt;pre class="lang-java prettyprint-override"&gt;&lt;code&gt;public class MyApexController {
  public boolean hasAccounts {get; set;}
  public MyApexController(){
    //Your controller constructor
  }
}
&lt;/code&gt;&lt;/pre&gt;
&lt;p&gt;&lt;strong&gt;Child Components Apex controller&lt;/strong&gt;&lt;/p&gt;
&lt;pre class="lang-java prettyprint-override"&gt;&lt;code&gt;public class MyComponentsController {
  public List&amp;lt;Account&amp;gt; accounts {get; set;}
  public MyApexController pageController {get; set;} //this will get set by apex:attibute
  public MyComponentController(){
    if(getAccountsEmpty()){
      this.pageController.hasAccounts = false; //no accounts let parent page know
    } else {
      this.pageController.hasAccounts = true;
    }
  }
public boolean getAccountsEmpty(){
  return this.accounts == null || this.account.size() == 0;
}
&lt;/code&gt;&lt;/pre&gt;
&lt;p&gt;Then on your parent page or component just add a similar attribute to your child component 
Parent page tag
&lt;code&gt;&amp;lt;apex:page rendered="{!hasAccounts}"&amp;gt;&lt;/code&gt; &lt;/p&gt;
&lt;p&gt;or a parent component tag&lt;/p&gt;
&lt;p&gt;&lt;code&gt;&amp;lt;apex:component rendered="{!hasAccounts}"&amp;gt;&lt;/code&gt;&lt;/p&gt;
</t>
  </si>
  <si>
    <t xml:space="preserve">&lt;p&gt;I have a boolean field for which I am using a radio group for which allowNull=true and no default value has been set. It currently looks like the below&lt;/p&gt;
&lt;p&gt;&lt;a href="https://i.stack.imgur.com/jvgfO.png" rel="nofollow noreferrer"&gt;&lt;img src="https://i.stack.imgur.com/jvgfO.png" alt="enter image description here"&gt;&lt;/a&gt;&lt;/p&gt;
&lt;p&gt;I want the same to look like below (as I don't want to show the null option)&lt;/p&gt;
&lt;p&gt;&lt;a href="https://i.stack.imgur.com/pqHDr.png" rel="nofollow noreferrer"&gt;&lt;img src="https://i.stack.imgur.com/pqHDr.png" alt="enter image description here"&gt;&lt;/a&gt;&lt;/p&gt;
&lt;p&gt;Note: Want to achieve this without changing the allowNull value and also without setting default value to true or false.&lt;/p&gt;
</t>
  </si>
  <si>
    <t xml:space="preserve">&lt;p&gt;Adding the following to the &lt;strong&gt;onAttach&lt;/strong&gt; event handler did the trick for me:&lt;/p&gt;
&lt;pre&gt;&lt;code&gt;setTimeout(function(){
  var elem = widget.getElement();
  var children = elem.children[1];
  var grandChildren = children.children;
  var grandChild = grandChildren[0];
  grandChild.parentNode.removeChild(grandChild);
},100);
&lt;/code&gt;&lt;/pre&gt;
</t>
  </si>
  <si>
    <t xml:space="preserve">&lt;p&gt;Here I have a stripped version on my code written in apps script. It prints to a sheet the number of classrooms and the id for each.&lt;/p&gt;
&lt;pre class="lang-js prettyprint-override"&gt;&lt;code&gt;function simpleList() {
  // create spreadsheet
  var ss = SpreadsheetApp.create('Simple List');
  // limit results to 10
  var optionalArgs = {
    pageSize: 10
  };
  var response = Classroom.Courses.list(optionalArgs),
  i = 0,
  count = 0,
  courses = response.courses,
  sheet = ss.getSheets()[0];
  for (i = 0; i &amp;lt; courses.length; i++) {
    var course = courses[i], count = i+1;
    // 1st line 
    var classNumber = count.toString();
    var res = 'result #'+classNumber;
    var currentRow=sheet.getLastRow()+1;
    var range=sheet.getRange(currentRow,1,1,2);
    range.setValues([[res, '']]);
    range.merge();
    // append class ID
    sheet.appendRow(['ID',course.id]);
    currentRow=sheet.getLastRow();
    range=sheet.getRange(currentRow,1,1,2);
    // append empty row
    sheet.appendRow([' ',' ']);
    currentRow=sheet.getLastRow();
    range=sheet.getRange(currentRow,1,1,2);
  }
}
&lt;/code&gt;&lt;/pre&gt;
&lt;p&gt;I would like to use App Maker to print the results within an “index card style” widget. I don’t have google cloud sql.   &lt;/p&gt;
&lt;p&gt;I need a few pointers on how create the models and feed it the data.&lt;/p&gt;
&lt;p&gt;Thanks&lt;/p&gt;
</t>
  </si>
  <si>
    <t xml:space="preserve">&lt;p&gt;I am new to &lt;code&gt;Salesforce&lt;/code&gt;, I am unable to form a grid with images from the URLs that I have given in my apex class using &lt;code&gt;JSON&lt;/code&gt;, they are returning a list view instead of resulting side by side. &lt;/p&gt;
&lt;p&gt;Any help would be appreciated.&lt;/p&gt;
&lt;p&gt;&lt;strong&gt;Component:&lt;/strong&gt;&lt;/p&gt;
&lt;pre&gt;&lt;code&gt;&amp;lt;aura:component implements="force:appHostable,flexipage:availableForAllPageTypes" controller="pic_ctrl"&amp;gt;
    &amp;lt;aura:handler name="init" value="{!this}" action="{!c.doInit}"/&amp;gt;
    &amp;lt;aura:attribute name="urls" type="String" /&amp;gt;
    &amp;lt;!--  data: {!v.urls}  --&amp;gt;
    &amp;lt;aura:iteration items="{!v.urls}" var="row"&amp;gt;
        &amp;lt;div class="slds-grid  slds-wrap"  style="height: 203px; width:400px ; background-color:white;" onclick="{!c.showcarousel}" &amp;gt;
            &amp;lt;div class="slds-col slds-size_1-of-2"&amp;gt;
                &amp;lt;img src="{!row}"  style="height: 200px; width:400px ; background-color:white;"/&amp;gt;
            &amp;lt;/div&amp;gt;
        &amp;lt;/div&amp;gt;
    &amp;lt;/aura:iteration&amp;gt;
&amp;lt;/aura:component&amp;gt;
&lt;/code&gt;&lt;/pre&gt;
&lt;p&gt;&lt;strong&gt;Controller.js:&lt;/strong&gt;&lt;/p&gt;
&lt;pre&gt;&lt;code&gt;({ 
    doInit : function(component, event, helper) {
        var getdata = component.get("c.geturl");
        var h = [];
        getdata.setCallback(this, function(response){      
            var state = response.getState();
            if (state === 'SUCCESS'){
                var Result = response.getReturnValue();
                console.log("enter" + Result);
                // console.log('1'+JSON.parse(result));
                //var finalJson = JSON.parse(finalJson1);
                var len=Result.length;
                console.log("final length" + Result.length);
                for(var i=0; i&amp;lt;len; i++){
                    console.log (Result[i]["imageURL"]); 
                    h.push(Result[i]["imageURL"]);
                }
                console.log("test--&amp;gt;"+h);
                component.set("v.urls",h);
                console.log("caught");
            }
        });
        $A.enqueueAction(getdata);      
}
&lt;/code&gt;&lt;/pre&gt;
&lt;p&gt;&lt;strong&gt;Apex Class:&lt;/strong&gt;&lt;/p&gt;
&lt;pre&gt;&lt;code&gt;public class pic_ctrl {
    @AuraEnabled
    public static Object geturl() {
        String ImgJson = ' [        {"imageName": "Mice1.jpg","imageId": "101", "imageURL": "https://labpulse.s3.amazonaws.com/images/images1.jpg", "imageDescription": "Some description" },{"imageName": "Mice2.jpg","imageId": "101", "imageURL": "https://labpulse.s3.amazonaws.com/images/images2.jpg", "imageDescription": "Some description" },' +
   '{ "imageName": "Mice3.jpg","imageId": "102",  "imageURL": "https://labpulse.s3.amazonaws.com/images/images3.jpg", "imageDescription": "Some description" }, {"imageName": "Mice4.jpg", "imageId": "103", "imageURL": "https://labpulse.s3.amazonaws.com/images/images4.jpg",  "imageDescription": "Some description" }]';
        Object Finaljson= JSON.deserializeUntyped(ImgJson); 
        return Finaljson;
    } 
}
&lt;/code&gt;&lt;/pre&gt;
</t>
  </si>
  <si>
    <t xml:space="preserve">&lt;p&gt;I've a dropdown named "testDateField" and a label named "testLabel". &lt;/p&gt;
&lt;p&gt;In the dropdown, I've data as month/year. For example:
01/2019
02/2019
03/2019
04/2019
05/2019
06/2019
07/2019
08/2019
...
...&lt;/p&gt;
&lt;p&gt;Now, in the testLabel; I want to use the below formula:&lt;/p&gt;
&lt;p&gt;&lt;code&gt;Date(Right(testdatefield.SelectedText.Value, 4), Left(testdatefield.SelectedText.Value, 2), 1)&lt;/code&gt;&lt;/p&gt;
&lt;p&gt;With this formula, I can get the first day of the month which is selected from the dropdown.&lt;/p&gt;
&lt;p&gt;Ideally, I should get 08/01/2019 on selecting 08/2019 from the dropdown.
Example-2: On selecting 01/2019 from the dropdown, I should get 01/01/2019 in the label.&lt;/p&gt;
&lt;p&gt;Any help will be appreciated.&lt;/p&gt;
</t>
  </si>
  <si>
    <t xml:space="preserve">&lt;p&gt;I am trying to link three tables in PowerApps based on a field called EntName.  The demographics and Individual Notes will have a single line item (or none) for each Name, and Skills will have multiple lines per EntName.  I am trying to get to the point where I can have a single Detailed Screen that shows everything about an individual (e.g. Kevin is from Boston, ____ notes, and is skilled in Excel and PowerPoint).  &lt;/p&gt;
&lt;p&gt;The idea is that users will be able to add in notes about each individual.  The reason why tables are separated is that my Demographics are pulled (looking for new people or updates) on a daily basis and I don't want to wipe away the Notes logged previously.&lt;/p&gt;
&lt;p&gt;Table 1: Demographics
Table 2: Individual Notes
Table 3: Skills&lt;/p&gt;
</t>
  </si>
  <si>
    <t xml:space="preserve">&lt;p&gt;I am trying to develop a courier price calculator based on geolocation on the courier Wordpress website.
Mainly the calculator should help with how much it costs for certain countries to send parcel/goods in terms of kg.
( For UK -&gt; 2kg -&gt; 100 dollars )&lt;/p&gt;
&lt;p&gt;This is not a woocommerce store. This is a normal website. I am not using any woo-commerce services.&lt;/p&gt;
&lt;p&gt;This is my website: &lt;a href="https://vegaexpress.net" rel="nofollow noreferrer"&gt;https://vegaexpress.net&lt;/a&gt;&lt;/p&gt;
&lt;p&gt;This is what I want to achieve (Ref website): &lt;a href="http://garudavega.com/prices.php" rel="nofollow noreferrer"&gt;http://garudavega.com/prices.php&lt;/a&gt;&lt;/p&gt;
&lt;p&gt;Just I need the pricing calculator table as like ref website. Whenever I try to open the ref website link it goes to Zoho mail in the next tab. I think they have used some Zoho services.&lt;/p&gt;
&lt;p&gt;Is there any calculator services by Zoho or any Wordpress plugins to achieve this.&lt;/p&gt;
&lt;p&gt;Can anyone suggest me how to achieve this?&lt;/p&gt;
</t>
  </si>
  <si>
    <t xml:space="preserve">&lt;p&gt;I have a text box that accepts phone numbers.  I want to automatically strip any special characters that aren't a + from the input, and show the user that I've done so.&lt;/p&gt;
&lt;p&gt;I've tried this, but I'm not even seeing any onChange event fire, let alone actually updating my data.&lt;/p&gt;
&lt;p&gt;In my OnChange for the text-input, I have this:&lt;/p&gt;
&lt;pre&gt;&lt;code&gt;Substitute(cvarNumberE164ValueNew,"(","");
Substitute(cvarNumberE164ValueNew,"-","");
Substitute(cvarNumberE164ValueNew,".","");
Substitute(cvarNumberE164ValueNew," ","");
UpdateContext({cvarNumberE164ValueNew : cvarNumberE164ValueNew});```
&lt;/code&gt;&lt;/pre&gt;
&lt;p&gt;The logic here is "replace these 5 common characters in a phone number, and then trigger UpdateContext which is supposed to trigger the field to re-get the value".&lt;/p&gt;
&lt;p&gt;Obviously I'm not doing something properly, but can't figure out what.  I've also tried repeatedly firing UpdateContext to set &lt;code&gt;cvarNumberE164ValueNew&lt;/code&gt; to be the result of the Substitute functions, to no avail.&lt;/p&gt;
&lt;p&gt;&lt;strong&gt;Edit&lt;/strong&gt;
I have this working now, but it ended up being a bit convoluted.  I had to initialize and set a global variable in the OnChange of the text input.  Then do all my substitutions against that variable, and finally, do the UpdateContext to set my Context Variable with the value of the global one. The Default property of my text input is cvarE164Value, so at least PA's data handling auto-updates the text input after all this.&lt;/p&gt;
&lt;p&gt;To clean up, I set the global variable back to an empty string, so the logic can repeat itself reliably if users repeatedly edit the field with data I want to prune and so it doesn't persist to their previous value if they go to the form again later in the same session..&lt;/p&gt;
&lt;pre&gt;&lt;code&gt;Set(gvarNumberE164ValueNew,txtNumberE164ValueNew.Text);
/* prune ) */
Set(gvarNumberE164ValueNew,Substitute(gvarNumberE164ValueNew,")",""));
/* prune ( */
Set(gvarNumberE164ValueNew,Substitute(gvarNumberE164ValueNew,"(",""));
/* prune - */
Set(gvarNumberE164ValueNew,Substitute(gvarNumberE164ValueNew,"-",""));
/* prune - */
Set(gvarNumberE164ValueNew,Substitute(gvarNumberE164ValueNew,".",""));
/* prune SPACE */
Set(gvarNumberE164ValueNew,Substitute(gvarNumberE164ValueNew," ",""));
/* replace cvar with cleaned gvar */
UpdateContext({
  cvarE164Value : gvarNumberE164ValueNew
});
Set(gvarNumberE164ValueNew,"");```
&lt;/code&gt;&lt;/pre&gt;
</t>
  </si>
  <si>
    <t xml:space="preserve">&lt;p&gt;My organisation does not have a Google Cloud SQL account while most App Maker tutorials require it. No finding much on the web, I've spent the last few days trying to send a string from the server script back to a widget. I've come to the realization that I need help getting started. I'm guessing this is pretty basic stuff.&lt;/p&gt;
&lt;p&gt;I have a front page with 2 widgets, a button named Button1 and a text area named Output. I also have a server side function doSomething()&lt;/p&gt;
&lt;p&gt;The onClick action calls google.script.run.doSometing()&lt;/p&gt;
&lt;p&gt;From the server script, how can I assign a sting value and send it back to Output.text ?&lt;/p&gt;
&lt;p&gt;Much appreciated.&lt;/p&gt;
</t>
  </si>
  <si>
    <t xml:space="preserve">&lt;p&gt;When I try to connect to Dynamics 365 CRM with the Plugin Registration Tool I get the following permission error:&lt;/p&gt;
&lt;blockquote&gt;
  &lt;p&gt;"You don't have permission to access any of the organizations in the
  Microsoft Common Data Service region that you specified. If you're not
  sure which region your organization resides in, choose "Don't know"
  for the CDS region and try again. Otherwise check with your CDS
  administrator. Parameter name: EMEA"&lt;/p&gt;
&lt;/blockquote&gt;
&lt;ul&gt;
&lt;li&gt;I have the System Administrator role&lt;/li&gt;
&lt;li&gt;I can sign-in to the web interface and work with no issues&lt;/li&gt;
&lt;li&gt;I'm sure of our region, tried to login with and without it ("Don't know" option)&lt;/li&gt;
&lt;li&gt;Also tried with an application password as our organization uses multi factor authentication&lt;/li&gt;
&lt;li&gt;Using the latest version of the tool on Nuget (9.0.0.9506 in the about dialog)&lt;/li&gt;
&lt;li&gt;I can connect to my trial server the same way&lt;/li&gt;
&lt;li&gt;We had a user who was able to connect with the same user roles set&lt;/li&gt;
&lt;li&gt;This seems machine and account independent. Other users including the organization creator are getting the same error&lt;/li&gt;
&lt;li&gt;We are directly connected to the internet, no proxies&lt;/li&gt;
&lt;li&gt;One solution I've read suggested cleaning the cache files which don't appear on my system. And we get the same error on clean installations.&lt;/li&gt;
&lt;/ul&gt;
</t>
  </si>
  <si>
    <t xml:space="preserve">&lt;p&gt;Solved by leaving the "Show Advanced" checkbox unchecked and not entering User ID / Password. Then a second dialog opens for credentials and 2FA authentication which just works.&lt;/p&gt;
&lt;p&gt;You don't need an application password, as you'll be asked for MFA in the next step.&lt;/p&gt;
&lt;p&gt;I don't know how our old teammate was able to sign in with the "Show Advanced" option selected. He was getting the same dialog and continue.&lt;/p&gt;
</t>
  </si>
  <si>
    <t xml:space="preserve">&lt;p&gt;I have a Insert form for Account Entity.
Once user create Record, I want to move to another page and show same record as Edit Form.&lt;/p&gt;
&lt;p&gt;Does anyone have idea way to achieve this?&lt;/p&gt;
</t>
  </si>
  <si>
    <t xml:space="preserve">&lt;p&gt;Out of Box configuration helps!!!&lt;/p&gt;
&lt;p&gt;There is a field on "Entity Form" records named "Append Record ID to Query String". This is to configure passing the id of the record to the page after form submission. This screenshot shows it in the Redirect Section in the classic interface&lt;/p&gt;
&lt;p&gt;&lt;a href="https://i.stack.imgur.com/PHVVf.png" rel="nofollow noreferrer"&gt;&lt;img src="https://i.stack.imgur.com/PHVVf.png" alt="enter image description here"&gt;&lt;/a&gt;&lt;/p&gt;
</t>
  </si>
  <si>
    <t xml:space="preserve">&lt;p&gt;I have a SP List that holds events in a Date format (Columns are Participants, StartDate, Intent, Location). I'd like to create a screen in my PowerApp that will hold all of this information. The StartDate column is a Date (no Time) field while the others are Single Text&lt;/p&gt;
&lt;p&gt;I am trying to convert the Calendar data source to the SharePoint List with the following formula in the CalendarEventsGallery Items, but am getting failures. Thoughts?&lt;/p&gt;
&lt;pre&gt;&lt;code&gt;/* Show Event for selected date */
SortByColumns(
 Filter(
       CarmodyTest2, 
       Text(StartDate, DateTimeFormat.ShortDate) = Text(_dateSelected, DateTimeFormat.ShortDate)
 ),
"StartDate"
 )
&lt;/code&gt;&lt;/pre&gt;
&lt;p&gt;&lt;a href="https://i.stack.imgur.com/21rQA.png" rel="nofollow noreferrer"&gt;&lt;img src="https://i.stack.imgur.com/21rQA.png" alt="enter image description here"&gt;&lt;/a&gt;&lt;/p&gt;
</t>
  </si>
  <si>
    <t xml:space="preserve">&lt;p&gt;I was working on the salesforce admin part... Can anyone help me to remove the app launcher icon?&lt;/p&gt;
&lt;p&gt;I have to hide that app launcher for all users other than system administration&lt;/p&gt;
&lt;p&gt;&lt;a href="https://i.stack.imgur.com/gg8uM.png" rel="nofollow noreferrer"&gt;I have to remove this icon&lt;/a&gt;&lt;/p&gt;
</t>
  </si>
  <si>
    <t xml:space="preserve">&lt;p&gt;I'm developing an app using Google AppMaker. I don't have a lot of coding experience, so I'm learning as I go. I'm stuck on transforming a binded boolean value. I want the values to be Yes for true and No for false. &lt;/p&gt;
&lt;p&gt;Using the documentation for App Maker, I tried both fromBoolean and boolToStr transformers, but they both return errors like "At column 69: Expected ')', but instead was (." So I looked up correct JavaScript syntax via Javascript.info and just got even more confused.&lt;/p&gt;
&lt;p&gt;Here's what I've tried so far:&lt;/p&gt;
&lt;pre&gt;&lt;code&gt;@datasources.AffectedFacilities.item.Cross_Bore_Involved_2#boolToStr(("0")= 'false', ("") = 'true');
@datasources.AffectedFacilities.item.Cross_Bore_Involved_2#fromBool(0 = 'NO', 1 = 'YES');
&lt;/code&gt;&lt;/pre&gt;
&lt;p&gt;Instead of seeing the boolean fields converted, I just receive syntax errors. I just need to see coding examples, and the Google documentation doesn't offer that.&lt;/p&gt;
</t>
  </si>
  <si>
    <t xml:space="preserve">&lt;p&gt;Based on the documentation here &lt;a href="https://developers-dot-devsite-v2-prod.appspot.com/appmaker/scripting/api/transformers#boolToNum" rel="nofollow noreferrer"&gt;https://developers-dot-devsite-v2-prod.appspot.com/appmaker/scripting/api/transformers#boolToNum&lt;/a&gt; using 'boolToStr' is a literal transformer converting the true value to 'true'. And based on the documentation here &lt;a href="https://developers-dot-devsite-v2-prod.appspot.com/appmaker/scripting/api/transformers#fromBoolean" rel="nofollow noreferrer"&gt;https://developers-dot-devsite-v2-prod.appspot.com/appmaker/scripting/api/transformers#fromBoolean&lt;/a&gt; using 'fromBoolean' interprets a 'yes' into true.&lt;/p&gt;
&lt;p&gt;What you would want to do in your case is:&lt;/p&gt;
&lt;pre&gt;&lt;code&gt;@datasources.AffectedFacilities.item.Cross_Bore_Involved ? 'Yes' : 'No'
&lt;/code&gt;&lt;/pre&gt;
</t>
  </si>
  <si>
    <t xml:space="preserve">&lt;p&gt;In PowerBIIntegration mode, what formula to use when writing out a new entry (row) into my Excel Table on OneDrive.&lt;/p&gt;
&lt;p&gt;I have published my Power BI Report to Power BI Online - I have added 5 fields from 2 tables in my input Excel file -&gt; I have created a NewForm screen in PowerApps starting from Power BI -&gt; my PowerBIIntegration data table contains the fields that populate the dropdowns in the NewForm -&gt; now I want to write a NewForm entry into my 3rd table in my Excel file called Assignments - I cannot use the SubmitForm control. what formula do I use? My fields are called function, job etc.. &lt;/p&gt;
</t>
  </si>
  <si>
    <t xml:space="preserve">&lt;p&gt;I am a beginner on the administration of salesforce.&lt;/p&gt;
&lt;p&gt;A user has complained to me about email-to-case sync. When the user sends an email to a customer from salesforce the email is saved on Emails related list. When the customer replies to the user the reply is not saved on emails related list on case object. &lt;/p&gt;
&lt;p&gt;There are other users who do the same work but it works fine for them the only difference between users is profiles. (The user who complains has a different profile form other users)  &lt;/p&gt;
&lt;p&gt;I checked everything in detail in two profiles and every permission is the same. 
I also checked Email-to-Case settings everything seems to be fine. &lt;strong&gt;Insert Thread ID in the Email Subject&lt;/strong&gt; and &lt;strong&gt;Insert Thread ID in the Email Body&lt;/strong&gt; are checked. I tried to make a test form sandbox and it does not work for me too. &lt;/p&gt;
&lt;p&gt;I do not know what the problem may be. 
Am I missing anything? &lt;/p&gt;
&lt;p&gt;Thank you in advance!&lt;/p&gt;
</t>
  </si>
  <si>
    <t xml:space="preserve">&lt;p&gt;I am trying to send email from my website using the SMTP zoho. The website is founded on php with Yii2.0 framework. Using the yii2 default mailer SwiftMailer i am having problem in sending email. I always get error like:&lt;/p&gt;
&lt;p&gt;Swift_TransportException Object ( [message:protected] =&gt; Connection could not be established with host smtp.zoho.in [Connection refused #111] [string:Exception:private] =&gt; [code:protected] =&gt; 0 [file:protected] =&gt; /home/dbgum4gf3oqr/public_html/vendor/swiftmailer/swiftmailer/lib/classes/Swift/Transport/StreamBuffer.php [line:protected] =&gt; 269&lt;/p&gt;
&lt;p&gt;Mailer configuration is as below &lt;/p&gt;
&lt;pre&gt;&lt;code&gt; 'mailer' =&amp;gt; [
        'class' =&amp;gt; 'yii\swiftmailer\Mailer',
        'viewPath' =&amp;gt; '@common/mail',
        'useFileTransport' =&amp;gt; false,
        'transport' =&amp;gt; [
            'class' =&amp;gt; 'Swift_SmtpTransport',
            'host' =&amp;gt; 'smtp.zoho.in',
            'username' =&amp;gt; 'donot-reply@test.com',
            'password' =&amp;gt; '###########',
            'port' =&amp;gt; '587',
            'encryption' =&amp;gt; 'tls',
        ],
    ],
&lt;/code&gt;&lt;/pre&gt;
&lt;p&gt;I used sendemail function to send email as follows:&lt;/p&gt;
&lt;pre&gt;&lt;code&gt; $mail = Yii::$app-&amp;gt;mailer-&amp;gt;compose();
        $mail-&amp;gt;setFrom('donot-reply@test.com' =&amp;gt; 'Test'])
            -&amp;gt;setTo($to_email)
            -&amp;gt;setBcc('test1@gmail.com','test2@gmail.com.com')
            -&amp;gt;setSubject($subject)
            -&amp;gt;setHtmlBody($msg)
            -&amp;gt;send();
&lt;/code&gt;&lt;/pre&gt;
&lt;p&gt;The exception occurs when run in live server which made me to check all the configuration of my server but it seems fine.&lt;/p&gt;
&lt;p&gt;How might be the probable reason the error might have occurred?&lt;/p&gt;
&lt;p&gt;Please help!! Thanks in advance !!&lt;/p&gt;
</t>
  </si>
  <si>
    <t xml:space="preserve">&lt;p&gt;We are facing a weird issue on iPhone, when we are shifiting in between lightning tabs, suddenly the mobile screen becomes blank.&lt;/p&gt;
&lt;p&gt;Has anyone faced similar issue or do you have any solution to resolve this issue, please help us thank you in advance.&lt;/p&gt;
&lt;p&gt;We are using lightning:tabset and displaying details tab in the first tab and chatter feed tab in the second tab, when we remove  chatter feed tab from  the second tab then the issue works fine&lt;/p&gt;
&lt;pre&gt;&lt;code&gt;&amp;lt;lightning:tabset&amp;gt;
   &amp;lt;lightning:tab&amp;gt;
       Details
   &amp;lt;/lightning:tab&amp;gt;
   &amp;lt;lightning:tab&amp;gt;
       &amp;lt;forceChatter:feed type="Record" subjectId="{!v.recordId}"/&amp;gt;
   &amp;lt;/lightning:tab&amp;gt;
&amp;lt;/lightning:tabset&amp;gt;
&lt;/code&gt;&lt;/pre&gt;
&lt;p&gt;Above code has tab structure that displays one  for details  and other  for  chatter&lt;/p&gt;
&lt;p&gt;Expected to navigate between the tabs normally,but shows whitescreen on iPhone Device.&lt;/p&gt;
</t>
  </si>
  <si>
    <t xml:space="preserve">&lt;p&gt;Sorry if this is too basic for this site, but app maker help directed me here. I am creating a data entry screen that includes basic info for a user - name, email, phone, etc. I am using the user picker to select the individual from our Directory. How do I pass all of the needed Directory field values of the selected user to my insert record screen. I am checking the valueisRecord box on the user picker, but can't figure out how to assign the selected user's info to the form's value fields. Thanks for the help.&lt;/p&gt;
</t>
  </si>
  <si>
    <t xml:space="preserve">&lt;p&gt;Ok, your last comment makes sense. But please, to avoid going back and forth, I encourage you to formultae your question properly by including all the information that could be required. Now, moving on to your problem...&lt;/p&gt;
&lt;p&gt;The reason you are getting that error is because you are binding the &lt;strong&gt;UserPicker&lt;/strong&gt; widget value to the datasource email field. Remember, the &lt;strong&gt;UserPicker&lt;/strong&gt; value is an object, not a string.&lt;/p&gt;
&lt;p&gt;To fix your problem, remove the binding of the value from the &lt;strong&gt;UserPicker&lt;/strong&gt;. Then for the &lt;strong&gt;onValueChange&lt;/strong&gt; change event of the &lt;strong&gt;UserPicker&lt;/strong&gt; please add the following:&lt;/p&gt;
&lt;pre&gt;&lt;code&gt;var fullName = newValue.FullName;
var email = newValue.PrimaryEmail;
widget.datasource.item.Name = fullName
widget.datasource.item.email = email;
&lt;/code&gt;&lt;/pre&gt;
&lt;p&gt;That way, you don't assing an object to the email field but instead a plain string.&lt;/p&gt;
</t>
  </si>
  <si>
    <t xml:space="preserve">&lt;p&gt;I am building a Custom Application in Heroku for Member portal with data integration with Salesforce.&lt;/p&gt;
&lt;p&gt;Would like to know are there any data centers with Servers within Canada or if I can rent any heroku private spaces so that none of my data leaves Canada.&lt;/p&gt;
</t>
  </si>
  <si>
    <t xml:space="preserve">&lt;p&gt;So I am working with Salesforce's Metadata API CRUD based operations, and I am able to successfully create a custom object using the &lt;code&gt;createMetadataAsync()&lt;/code&gt; method. But when I try adding fields to the custom object before creating it, it just creates the object and not the fields, even though I get a successful result for creating both. I have read online that I need to go through the UI in SF and allow these fields to be viewable, but when I go to my SF environment, I see the object I created but not the custom field. Here is my code, any help would be great:&lt;/p&gt;
&lt;pre&gt;&lt;code&gt;public async Task&amp;lt;createMetadataResponse&amp;gt; CreateObjectInSalesforce(string name, string label, string pluralLabel)
        {
            if (!this.isInitialized)
            {
                Initialize();
            }
            var nameField = new CustomField()
            {
                type = FieldType.Text,
                typeSpecified = true,
                label = label + " Name"
            };
            var customFields = new List&amp;lt;CustomField&amp;gt;()
            {
                new CustomField()
                {
                    type = FieldType.Text,
                    description = "this is the custom field 12 for test object 1",
                    label = "CustomFieldTest",
                    fullName = "CustomFieldTest12__c",
                    length = 255
                },
                new CustomField()
                {
                    type = FieldType.Text,
                    description = "this is the custom field 24 for test object 1",
                    label = "CustomFieldTest",
                    fullName = "CustomFieldTest24__c",
                    length = 255
                }
            }.ToArray();
            var customObject = new CustomObject()
            {
                fullName = name + "__c",
                label = label,
                pluralLabel = pluralLabel,
                nameField = nameField,
                deploymentStatus = DeploymentStatus.Deployed,
                deploymentStatusSpecified = true,
                description = "Created by Metadata API",
                enableActivities = true,
                fields = customFields,
                sharingModel = SharingModel.ReadWrite,
                sharingModelSpecified = true
            };
            return await CreateMetadata(new Metadata[] { customObject });
        }
public async Task&amp;lt;createMetadataResponse&amp;gt; CreateMetadata(Metadata[] objects)
        {
            this.metadataClient = new MetadataPortTypeClient(new MetadataPortTypeClient.EndpointConfiguration(), this.metadataUrl);
            var result = await this.metadataClient.createMetadataAsync(this.metadataCredentials, null, null, objects);
            return result;
        }
&lt;/code&gt;&lt;/pre&gt;
</t>
  </si>
  <si>
    <t xml:space="preserve">&lt;p&gt;I have a page, where I have a table showing the name of the Customers and the company they work at ( it's a many to one relation with the Companies data model, the relation is called Company), and a search bar below it. The search bar's value is binded like this:&lt;/p&gt;
&lt;blockquote&gt;
  &lt;p&gt;@datasource.query.filters.Name._contains&lt;/p&gt;
&lt;/blockquote&gt;
&lt;p&gt;which works perfectly fine, but I want the search bar to also filter the names of the companies, the customers work at, I tried &lt;/p&gt;
&lt;blockquote&gt;
  &lt;p&gt;@datasource.query.filters.Company.Name._contains ||
  @datasource.query.filters.Name._contains&lt;/p&gt;
&lt;/blockquote&gt;
&lt;p&gt;But it isn't really working, so my question is, how could I filter both of these fields for my table?&lt;/p&gt;
</t>
  </si>
  <si>
    <t xml:space="preserve">&lt;p&gt;For this specific scenario I would recommend to use a query builder in your datasource. The query builder should look like this:&lt;/p&gt;
&lt;pre&gt;&lt;code&gt;Name contains? :searchVal or Company.Name contains? :searchVal
&lt;/code&gt;&lt;/pre&gt;
&lt;p&gt;Then the value of your search bar should be binded like this:&lt;/p&gt;
&lt;pre&gt;&lt;code&gt;@datasource.query.parameters.searchVal
&lt;/code&gt;&lt;/pre&gt;
&lt;p&gt;Please refer to the official documentation below for a more detailed explanation:&lt;/p&gt;
&lt;p&gt;Reference: &lt;a href="https://developers.google.com/appmaker/models/datasources#query_builder" rel="nofollow noreferrer"&gt;https://developers.google.com/appmaker/models/datasources#query_builder&lt;/a&gt;&lt;/p&gt;
</t>
  </si>
  <si>
    <t xml:space="preserve">&lt;p&gt;This below code is not working in Salesforce lightning page for highlighting the web element. But, it is working fine in normal web page and Salesforce classic page.&lt;/p&gt;
&lt;pre&gt;&lt;code&gt;public static void highLightElement(WebElement element, WebDriver driver) throws InterruptedException {
    JavascriptExecutor js = (JavascriptExecutor) driver;
    js.executeScript("arguments[0].style.background='green'", element);
    TimeUnit.MILLISECONDS.sleep(700);
}
&lt;/code&gt;&lt;/pre&gt;
&lt;p&gt;While using this code the script is not failing. But it is not highlighting the element &lt;/p&gt;
</t>
  </si>
  <si>
    <t xml:space="preserve">&lt;p&gt;We have around 40 office365 users with a seeded PowerApps license. from Office365.&lt;/p&gt;
&lt;p&gt;Now, I need to develop an app that will consume data from Common Data Service, so my company needs to buy a "Per user" license.&lt;/p&gt;
&lt;p&gt;My question is: when I share this app with the other users in the company, will they also need to buy additional licenses or can they just use their standard Office365 accounts? So, the scenario here is one developer, multiple users.&lt;/p&gt;
&lt;p&gt;Thanks for your advice!&lt;/p&gt;
</t>
  </si>
  <si>
    <t xml:space="preserve">&lt;p&gt;If your app depends on CDS, you will need PowerApps license in order to use the app. You can also consider the Per-app plan for your case, which allows individual users to run applications for a specific business scenario based on the full capabilities of PowerApps. Pricing will be $10 user/app/month. (&lt;a href="https://powerapps.microsoft.com/en-us/pricing/?&amp;amp;ef_id=EAIaIQobChMIwZm0-bam5QIVEf5kCh2YuwcGEAAYASABEgKgt_D_BwE:G:s&amp;amp;OCID=AID2000569_SEM_GrNWQ89B&amp;amp;MarinID=sGrNWQ89B_358609764638_power%20apps%20licensing_e_c_qgyjj3OY_75418092947_aud-397602257972:kwd-967524826272_" rel="nofollow noreferrer"&gt;link to pricing details&lt;/a&gt;)&lt;/p&gt;
</t>
  </si>
  <si>
    <t xml:space="preserve">&lt;p&gt;Know what data I have in a list&lt;/p&gt;
&lt;p&gt;I tried some codes that I found but the code makes a mistake.&lt;/p&gt;
&lt;pre&gt;&lt;code&gt;contactsList = zoho.crm.getRecords("Contacts");
for each contact in contactsList
{
input.ID_holis:ui.add(contact.get("Email"));
}
&lt;/code&gt;&lt;/pre&gt;
&lt;p&gt;My ComboBox where I want to show the results is empty.&lt;/p&gt;
&lt;p&gt;&lt;a href="https://i.stack.imgur.com/RfDqW.png" rel="nofollow noreferrer"&gt;&lt;img src="https://i.stack.imgur.com/RfDqW.png" alt="enter image description here"&gt;&lt;/a&gt;&lt;/p&gt;
</t>
  </si>
  <si>
    <t xml:space="preserve">&lt;p&gt;&lt;strong&gt;Component :&lt;/strong&gt;&lt;/p&gt;
&lt;pre&gt;&lt;code&gt;&amp;lt;aura:if isTrue="{!v.internal}"&amp;gt;
                &amp;lt;lightning:layoutItem size="6" padding="horizontal-small"&amp;gt;
                    &amp;lt;lightning:inputField fieldName="To__c" class = "customRequired" value = "{!v.mailTo}" required="true"/&amp;gt;
                &amp;lt;/lightning:layoutItem&amp;gt;
            &amp;lt;/aura:if&amp;gt;
            &amp;lt;aura:if isTrue="{!v.external}"&amp;gt;
                &amp;lt;lightning:layoutItem size="6" padding="horizontal-small"&amp;gt;
                    &amp;lt;lightning:inputField fieldName="ToExternal__c" class = "customRequired" value = "{!v.mailExtTo}" required="true"/&amp;gt;
                &amp;lt;/lightning:layoutItem&amp;gt;
            &amp;lt;/aura:if&amp;gt;
&lt;/code&gt;&lt;/pre&gt;
&lt;p&gt;&lt;strong&gt;Helper :&lt;/strong&gt;&lt;/p&gt;
&lt;pre&gt;&lt;code&gt;var toMail = component.get("v.mailTo");
var toExtMail = component.get("v.mailExtTo");
&lt;/code&gt;&lt;/pre&gt;
&lt;p&gt;Why is it coming undefined, even if I populate some value in the form?&lt;/p&gt;
</t>
  </si>
  <si>
    <t xml:space="preserve">&lt;p&gt;It's hard to know what the problem is without the entire component code. Do you have 'aura:attribute' tags for these fields? If you don't then I believe using &lt;code&gt;component.get("v.mailTo");&lt;/code&gt; will not work as it is attempting to get an attribute that just doesn't exist. To get the value of the input field directly you could try adding the &lt;code&gt;aura:id="someId"&lt;/code&gt; attribute to the &lt;code&gt;&amp;lt;lightning:inputfield/&amp;gt;&lt;/code&gt; tags and then access them this way:
&lt;code&gt;var toMail = component.find("someId").get("v.value");&lt;/code&gt; so you could try that out.&lt;/p&gt;
</t>
  </si>
  <si>
    <t xml:space="preserve">&lt;p&gt;Just started with Salesforce and here is the problem I am facing:&lt;/p&gt;
&lt;p&gt;I have created a lightning page using Lightning app builder using sales analytic template and added a standard component (&lt;code&gt;Einstein Analytics Dashboard&lt;/code&gt;) to it. Now, there is a part of that standard component I don't need so I want to hide/remove it. But there seems to be no way of editing standard component. As far as my research goes I have created another custom component and added two static resources -  &lt;code&gt;jquery&lt;/code&gt; library and a custom &lt;code&gt;javascript&lt;/code&gt; file (to hide that element). I added the custom component to my lightning page as well. &lt;br&gt;
On reloading the page, javascript code is running in the browser as I can see the console logs (&lt;code&gt;Not found&lt;/code&gt;) but it is having no effect on the standard component's element. If I run the same hide/remove command in chrome console it works (the element gets removed from DOM) but that too only after I click on the inspect element and then run command in the console not sure about this behavior.&lt;br&gt;
Any help would be appreciated on how to manipulate DOM from a component or edit a standard components. Thanks&lt;/p&gt;
&lt;h2&gt;Test.cmp&lt;/h2&gt;
&lt;pre&gt;&lt;code&gt;&amp;lt;aura:component implements="force:appHostable,flexipage:availableForAllPageTypes,flexipage:availableForRecordHome,force:hasRecordId,forceCommunity:availableForAllPageTypes,force:lightningQuickAction" access="global" &amp;gt;
    &amp;lt;ltng:require  scripts="{!join(',',$Resource.jquery, $Resource.customjs)}"/&amp;gt;
&amp;lt;/aura:component&amp;gt;
&lt;/code&gt;&lt;/pre&gt;
&lt;h2&gt;customjs.js&lt;/h2&gt;
&lt;pre&gt;&lt;code&gt;/* setInterval is used just to compensate for async load of page*/
$(document).ready(function(){
    setInterval(function () {
         if ($(".class_name_of_element").length) {
               $(".class_name_of_element").remove();
               console.log("removed");
         }else{
             console.log("Not found");
         }
    },300);
  });
&lt;/code&gt;&lt;/pre&gt;
</t>
  </si>
  <si>
    <t xml:space="preserve">&lt;p&gt;I am trying to connect to a Google Cloud SQL database from my Google App Maker app.  Unfortunately, my IT staff hasn't set up Google App Maker to use Google Cloud SQL as the default so I'm trying to connect to the database the same way I have connected to external MySQL databases in the past but it's not working with the public IP address.&lt;/p&gt;
&lt;p&gt;I have created a Google Cloud SQL database and I'm able to connect to it from MySQLWorkbench using the public IP address. I had to add my the IP address for my home computer in order to connect the database.  I did not need to use SSL.&lt;/p&gt;
&lt;p&gt;I created a Google service account for my Google App Maker app.  I then included this service account in the Google project that contains the Cloud SQL database.  I assigned it permissions for Cloud SQL Admin and Cloud SQL Client. &lt;/p&gt;
&lt;p&gt;I am using this code in App Maker to try and connect.  It's the same code I have used with other external MySQL databases.  The ip address 34.xx.xx.xx is the public IP address listed in the overview page of the Google Cloud SQL instance.&lt;/p&gt;
&lt;pre&gt;&lt;code&gt;// App Settings
// Important Note: This is for demo purposes only, storing passwords in scripts
// is not recommended in production applications.
// DB Credentials (you need to provide these)
var address = '34.xx.xx.xx';
var db = 'Kenco_IoT_Template';
var dbUrl = 'jdbc:mysql://' + address + '/' + db;
var user = 'real_username';
var userPwd = 'real_password';
&lt;/code&gt;&lt;/pre&gt;
&lt;p&gt;I receive this error message:&lt;/p&gt;
&lt;p&gt;"Executing query for datasource ActivityTable: (Error) : Failed to establish a database connection. Check connection string, username and password. Please refer to the ReadMe and edit your database settings!"&lt;/p&gt;
&lt;p&gt;My guess is the issue is with setting up the Cloud SQL database to accept the connection from Google App Maker. The best solution will be to enable Cloud SQL as the default for Google App Maker but I'm hoping there is some alternative I can use for now.&lt;/p&gt;
&lt;p&gt;Any help appreciated.&lt;/p&gt;
</t>
  </si>
  <si>
    <t xml:space="preserve">&lt;p&gt;To make this an answer so others can more easily find it:&lt;/p&gt;
&lt;p&gt;The answer is that you needed to whitelist the IP ranges for appscript. Public IPs on Cloud SQL instances either require whitelisting of the IP addresses for access, or they need to use the Cloud SQL Proxy.&lt;/p&gt;
&lt;p&gt;The OP also mentioned that they had to switch which Jdbc method they used from getConnection() to getCloudSqlConnection().&lt;/p&gt;
</t>
  </si>
  <si>
    <t xml:space="preserve">&lt;p&gt;i'm still new to appmaker and trying to learn how most things work the proper way,i have the db tables&lt;/p&gt;
&lt;pre&gt;&lt;code&gt;Tasks
Subtasks
Projects
&lt;/code&gt;&lt;/pre&gt;
&lt;p&gt;all linked with relations in appmkaer google cloud sql model 
i'm trying to create a new table with a select statement that joins all these tables (inner join) thought of using the calculated sql model but i'm not sure if there's another way to do that , since that model won't create the table to be available all the time to be able to add to google data studio later on.&lt;/p&gt;
&lt;p&gt;also another issue is in the new table i have some field ( calculated fields based on date from Tasks table and today's date )
in google data studio there's no way to get today's date unfortunately in app maker i can get it using a script but how can i use that with my sql query  to fill this new table &lt;/p&gt;
&lt;p&gt;what i have &lt;/p&gt;
&lt;pre&gt;&lt;code&gt;Table 
Projects:
ID
Name 
Tasks :
ID
Name
Date
Project_fk
Subtaks :
ID 
Name 
AssignmentDate
ActionDate
Task_fk
Result ( table i want to create / Get )
Subtask.Name 
Subtask.ID 
Task.ID 
Projects.ID 
SubAge = TodayDate - Subtask.AssignmentDate (Calculated) 
TimeLeft = Task.Date -TodayDate (Calculated)
&lt;/code&gt;&lt;/pre&gt;
&lt;p&gt;i tried to check the documentations appmaker sample and search online for similar cases but till now i'm not able to find a way to achieve that the way i want it to work my issue isn't how to write the sql statement for this new table but it is where to use that sql if it can be used or if there are other approaches i shall think of&lt;/p&gt;
</t>
  </si>
  <si>
    <t xml:space="preserve">&lt;p&gt;I'm building an PowerApps application. I would like to know if is it possible to geolocate an user whose using my PowerApps Application. For example, i want to create a button, and when user click on this button, the geolocation will be activated and the user's position archivated in my apps. Is it possible ?
Thanks for answers !&lt;/p&gt;
</t>
  </si>
  <si>
    <t xml:space="preserve">&lt;p&gt;Yes it is possible.&lt;/p&gt;
&lt;p&gt;&lt;strong&gt;Location&lt;/strong&gt;&lt;/p&gt;
&lt;p&gt;The Location signal returns the location of the device based on the Global Positioning System (GPS) and other device information, such as cell-tower communications and IP address.&lt;/p&gt;
&lt;p&gt;&lt;em&gt;When a user accesses the location information for the first time, the device may prompt that user to allow access to this information.&lt;/em&gt;&lt;/p&gt;
&lt;p&gt;As the location changes, dependencies on the location will continuously recalculate, which will consume power from the device's battery. To conserve battery life, you can use the Enable and Disable functions to turn location updates on and off. Location is automatically turned off if the displayed screen doesn't depend on location information.&lt;/p&gt;
&lt;p&gt;&lt;strong&gt;Location.Altitude&lt;/strong&gt;   Returns a number that indicates the altitude, measured in feet, above sea level.&lt;/p&gt;
&lt;p&gt;&lt;strong&gt;Location.Latitude&lt;/strong&gt;   Returns a number, from -90 to 90, that indicates the latitude, as measured in degrees from the equator. A positive number indicates a location that's north of the equator.&lt;/p&gt;
&lt;p&gt;&lt;strong&gt;Location.Longitude&lt;/strong&gt;  Returns a number, from 0 to 180, that indicates the longitude, as measured in degrees west from Greenwich, England.&lt;/p&gt;
&lt;p&gt;From Microsofts own documentation found here: &lt;a href="https://docs.microsoft.com/en-us/powerapps/maker/canvas-apps/functions/signals#location" rel="nofollow noreferrer"&gt;https://docs.microsoft.com/en-us/powerapps/maker/canvas-apps/functions/signals#location&lt;/a&gt;&lt;/p&gt;
</t>
  </si>
  <si>
    <t xml:space="preserve">&lt;p&gt;I have a lighting component from where I am sending a mail. 
I'm using a rich text area field for mail body.&lt;/p&gt;
&lt;p&gt;When I try to paste excel table in the lightning component's rich text area, it loses the table structure while it maintains its structure in classic?&lt;/p&gt;
&lt;p&gt;why is this happening?&lt;/p&gt;
</t>
  </si>
  <si>
    <t xml:space="preserve">&lt;p&gt;Hi I am having issue while deploying the new created LWC component from the VS Code to my dev hub org.&lt;/p&gt;
&lt;p&gt;Please find the error as below :&lt;/p&gt;
&lt;pre&gt;&lt;code&gt;19:18:39.577 sfdx force:source:deploy --sourcepath c:\Users\ABHIJEET KUMAR\Downloads\OCT\Documents\TrailheadBasic\HelloWordLightningComponent\force-app\main\default --json --loglevel fatal
&lt;/code&gt;&lt;/pre&gt;
&lt;p&gt;19:18:44.413 sfdx force:source:deploy --sourcepath c:\Users\ABHIJEET KUMAR\Downloads\OCT\Documents\TrailheadBasic\HelloWordLightningComponent\force-app\main\default --json --loglevel fatal ended with exit code 1&lt;/p&gt;
&lt;pre&gt;&lt;code&gt;SFDX: Deploy Source to Org failed to run
&lt;/code&gt;&lt;/pre&gt;
&lt;p&gt;Error is here :&lt;/p&gt;
&lt;pre&gt;&lt;code&gt;MissingMessageError: Missing message mdapi_deploy:mdDeployCommandCliCheckOnly for locale en_US.
at Messages.getMessageWithMap (C:/Program Files/Salesforce CLI/client/node_modules/@salesforce/core/lib/messages.js:277:19)
at Messages.getMessage (C:/Program Files/Salesforce CLI/client/node_modules/@salesforce/core/lib/messages.js:261:21)
at Object.&amp;lt;anonymous&amp;gt; (C:/Program Files/Salesforce CLI/client/node_modules/salesforce-alm/dist/commands/force/source/deploy.js:38:36)
at Module._compile (C:/Program Files/Salesforce CLI/client/node_modules/v8-compile-cache/v8-compile-cache.js:192:30)
at LazyLoader.loadModule (C:/Program Files/Salesforce CLI/client/node_modules/@salesforce/lazy-require/lib/LazyLoader.js:139:21)
at Function._load (C:/Program Files/Salesforce CLI/client/node_modules/@salesforce/lazy-require/lib/LazyLoader.js:115:29)
at require (C:/Program Files/Salesforce CLI/client/node_modules/v8-compile-cache/v8-compile-cache.js:161:20)
at fetch (C:/Program Files/Salesforce CLI/client/node_modules/@oclif/config/lib/plugin.js:111:21)
at Plugin.findCommand (C:/Program Files/Salesforce CLI/client/node_modules/@oclif/config/lib/plugin.js:125:21)
at Object.load (C:/Program Files/Salesforce CLI/client/node_modules/@oclif/config/lib/plugin.js:58:72)
at Config.runCommand (C:/Program Files/Salesforce CLI/client/node_modules/@oclif/config/lib/config.js:149
&lt;/code&gt;&lt;/pre&gt;
</t>
  </si>
  <si>
    <t xml:space="preserve">&lt;p&gt;Need to display a embedded dashboard in an aura component&lt;/p&gt;
&lt;p&gt;I have completed with the code part but the dashboard wont appear due to access related issues. I have enabled all access, but still cant find a way to get it to work&lt;/p&gt;
&lt;p&gt;&lt;strong&gt;component file:&lt;/strong&gt;&lt;/p&gt;
&lt;pre class="lang-js prettyprint-override"&gt;&lt;code&gt;({
    doInit: function(component, event, helper) {
    var config = {
        "developerId" : '01Z7F0000011SMYUA2',
        "showHeader": false,
        "showTitle": false,
        "height": 400
    };
    $A.createComponent("wave:waveDashboard", config,
        function(dashboard, status, err) {
            if (status === "SUCCESS") {
                dashboard.set("v.rendered", true);
                dashboard.set("v.showHeader", false);
                component.set("v.body", dashboard);
            } else if (status === "INCOMPLETE") {
                console.log("No response from server or client is offline.")
            } else if (status === "ERROR") {
                console.log("Error: " + err);
            }
        }
    );
}
})
&lt;/code&gt;&lt;/pre&gt;
&lt;pre class="lang-html prettyprint-override"&gt;&lt;code&gt;&amp;lt;aura:component description="WaveContainer" 
                implements="force:appHostable,force:hasRecordId,flexipage:availableForAllPageTypes" 
                access="global"&amp;gt;
    &amp;lt;!-- handlers --&amp;gt;
    &amp;lt;aura:handler name="init" 
                  value="{!this}" 
                  action="{!c.doInit}"/&amp;gt;
    {!v.body}
&amp;lt;/aura:component&amp;gt;
&amp;lt;aura:component description="WaveContainer" 
            implements="force:appHostable,force:hasRecordId,flexipage:availableForAllPageTypes" 
            access="global"&amp;gt;
    &amp;lt;!-- handlers --&amp;gt;
    &amp;lt;aura:handler name="init" 
                  value="{!this}" 
                  action="{!c.doInit}"/&amp;gt;
    {!v.body}
&amp;lt;/aura:component&amp;gt;
&lt;/code&gt;&lt;/pre&gt;
&lt;p&gt;&lt;strong&gt;Javascript handler file&lt;/strong&gt;&lt;/p&gt;
&lt;pre class="lang-js prettyprint-override"&gt;&lt;code&gt;({
    doInit: function(component, event, helper) {
    var config = {
        "developerId" : '01Z7F0000011SMYUA2',
        "showHeader": false,
        "showTitle": false,
        "height": 400
    };
    $A.createComponent("wave:waveDashboard", config,
        function(dashboard, status, err) {
            if (status === "SUCCESS") {
                dashboard.set("v.rendered", true);
                dashboard.set("v.showHeader", false);
                component.set("v.body", dashboard);
            } else if (status === "INCOMPLETE") {
                console.log("No response from server or client is offline.")
            } else if (status === "ERROR") {
                console.log("Error: " + err);
            }
        }
    );
}
})
&lt;/code&gt;&lt;/pre&gt;
&lt;p&gt;When I try to view the component after adding it to the page it gives the below error:&lt;/p&gt;
&lt;blockquote&gt;
  &lt;p&gt;&lt;code&gt;"The asset cannot be displayed because you don't have sufficient permissions."&lt;/code&gt;&lt;/p&gt;
&lt;/blockquote&gt;
</t>
  </si>
  <si>
    <t xml:space="preserve">&lt;p&gt;Hi all I currently working in the salesforce community portal in my case I want to get all muted feed posts in one list. I tried but unable to find the proper SOQL to get all muted and unmuted feed post lists.help anyone how to handle it.&lt;/p&gt;
</t>
  </si>
  <si>
    <t xml:space="preserve">&lt;p&gt;I'm trying to retrieve the list of available PowerApps from my Office 365 tenant. Is there a set of APIs that I could use to get the information about PowerApps (existing environments, all PowerApps, PowerApps shared with me, etc.)?&lt;/p&gt;
&lt;p&gt;I couldn't find any documentation on this.&lt;/p&gt;
</t>
  </si>
  <si>
    <t xml:space="preserve">&lt;p&gt;You can try PowerShell to get all the necessary details like below: &lt;/p&gt;
&lt;p&gt;&lt;strong&gt;Display a list of all PowerApps&lt;/strong&gt;&lt;/p&gt;
&lt;pre&gt;&lt;code&gt;Get-AdminPowerApp
&lt;/code&gt;&lt;/pre&gt;
&lt;p&gt;Returns a list of all PowerApps across the tenant, with details of each (e.g., application name (guid), display name, creator, etc).&lt;/p&gt;
&lt;p&gt;&lt;strong&gt;Display the number of apps each user owns&lt;/strong&gt;&lt;/p&gt;
&lt;pre&gt;&lt;code&gt;Get-AdminPowerApp | Select –ExpandProperty Owner | Select –ExpandProperty displayname | Group
&lt;/code&gt;&lt;/pre&gt;
&lt;p&gt;&lt;strong&gt;Display the number of apps in each environment&lt;/strong&gt;&lt;/p&gt;
&lt;pre&gt;&lt;code&gt;Get-AdminPowerApp | Select -ExpandProperty EnvironmentName | Group | %{ New-Object -TypeName PSObject -Property @{ DisplayName = (Get-AdminPowerAppEnvironment -EnvironmentName $_.Name | Select -ExpandProperty displayName); Count = $_.Count } }
&lt;/code&gt;&lt;/pre&gt;
&lt;p&gt;&lt;a href="https://docs.microsoft.com/en-us/power-platform/admin/powerapps-powershell#display-a-list-of-all-powerapps" rel="nofollow noreferrer"&gt;Read more&lt;/a&gt;&lt;/p&gt;
</t>
  </si>
  <si>
    <t xml:space="preserve">&lt;p&gt;I'm new to Google App Maker. I found it interesting when I came to know about it through Google documentation.&lt;/p&gt;
&lt;p&gt;I have created two pages namely logout and login. But whenever I restart app, it will open login page by default. But I would like app to open page based on the button clicked. Like if login button is already clicked then logout page should be opened, even if I reload the page.&lt;/p&gt;
&lt;p&gt;This is what happening till now,&lt;/p&gt;
&lt;p&gt;By default when I load the app, it login page will open and there is a login button in login page. When I click on login button it will redirect to logout page. &lt;/p&gt;
&lt;p&gt;LogOut page contains a confirmation message along with logout button. When I click on logout button, it will redirect to login page.&lt;/p&gt;
&lt;p&gt;But the problem is when I click on login button in login page, it redirects to logout page as I would like it to be. But when i reload the page (app is inserted in a Google site) again. It will open login page b default.&lt;/p&gt;
&lt;p&gt;Kindly help me with any suggestion to improve my small application and let me grow in Google App Maker :)&lt;/p&gt;
</t>
  </si>
  <si>
    <t xml:space="preserve">&lt;p&gt;&lt;a href="https://i.stack.imgur.com/EkMCl.png" rel="nofollow noreferrer"&gt;&lt;img src="https://i.stack.imgur.com/EkMCl.png" alt="enter image description here"&gt;&lt;/a&gt;&lt;/p&gt;
&lt;p&gt;I'm trying to use the user picker to collect several data as entered and then store the data into the grid cell to show. But Now, My grid cells is showing empty cells even before I start searching. and the data is empty. 
The employee Name "OnValueChange" code is "addTrainee(widget, newValue);" &lt;/p&gt;
&lt;pre&gt;&lt;code&gt;
  var ds = app.pages.PracticePage.descendants.Grid1.datasource;
  var traineesEmails = ds.items.map(function(item) {
    return item.PrimaryEmail;
  });
  return traineesEmails.indexOf(primaryEmail);
}
function deleteTrainee(primaryEmail) {
 var testBox = app.pages.PracticePage.descendants.TestBox;
  //Test
  console.log ("Email: "+primaryEmail);
  console.log("Before: "+ testBox.value);
testBox.value =  testBox.value.replace(primaryEmail,"");
  console.log("After: "+ testBox.value);
  //Test
  var index = getTraineeIndex(primaryEmail);
  if (index === -1) {
    return;
  }  
   var ds = app.pages.PracticePage.descendants.Grid1.datasource;
   ds.items.splice(index, 1);
}
function addTrainee(userPickerWidget, newValue) {
if (!newValue) {
    console.log("Checking for new Value Statement.");
    return;
  } 
  if (getTraineeIndex(newValue.PrimaryEmail) &amp;gt; -1) {
    console.log("Cheking for repeatation");
    return;
  } 
  var ds = app.pages.PracticePage.descendants.Grid1.datasource;
  ds.items.push({
    FullName: newValue.FullName,
    PrimaryEmail: newValue.PrimaryEmail,
  });
 console.log("Pushed Email Address: ", newValue.PrimaryEmail);
  var testBox = app.pages.PracticePage.descendants.TestBox;
   if(testBox.value === null){
   testBox.value = newValue.PrimaryEmail;
     console.log("No data in text box");
  }  
  else {
    testBox.value = testBox.value + ", "+ newValue.PrimaryEmail;
  console.log("Enter data in text box");
  }
  userPickerWidget.value = null;
}
function addNewData(PrimaryEmail){
  console.log("running AddNewData function ");
  while(typeof(PrimaryEmail) != undefined){
     console.log("returning Primary Email: "+ PrimaryEmail);
    return PrimaryEmail;
  }
}
&lt;/code&gt;&lt;/pre&gt;
&lt;p&gt;and the grid cell doesn't have any event. The text value of the label inside the grid cell. which supposed to collect the email address is "addNewData(@datasource.item['PrimaryEmail'])" 
&lt;a href="https://i.stack.imgur.com/mw9lv.png" rel="nofollow noreferrer"&gt;&lt;img src="https://i.stack.imgur.com/mw9lv.png" alt="enter image description here"&gt;&lt;/a&gt;&lt;/p&gt;
&lt;p&gt;what could be the reason behind it? and How to fix it? &lt;/p&gt;
</t>
  </si>
  <si>
    <t xml:space="preserve">&lt;p&gt;i've got a straightforward problem. I'm using a grid to create a large navigation page, based off a lookup table, but this doesn't work for the onclick. Why not?&lt;/p&gt;
&lt;pre&gt;&lt;code&gt;var p = widget.datasource.item.InputFormPageName;
console.log(p); //LOOKS GOOD
var pagestring = "app.pages."+p;
console.log(pagestring); //LOOKS GOOD
app.showPage(pagestring);
&lt;/code&gt;&lt;/pre&gt;
&lt;p&gt;Expected behavior: app opens pages "pagestring" 
Actual behavior,&gt; throws error:  &lt;/p&gt;
&lt;blockquote&gt;
  &lt;p&gt;(TypeError) : Cannot read property '_d' of undefined at 
  EveryFlavor.PagePanel.Grid1.Grid1Cell.onClick:5:5&lt;/p&gt;
&lt;/blockquote&gt;
&lt;p&gt;The simpler&lt;/p&gt;
&lt;pre&gt;&lt;code&gt;app.showPage(app.pages.p);
&lt;/code&gt;&lt;/pre&gt;
&lt;p&gt;Threw the same error as does&lt;/p&gt;
&lt;pre&gt;&lt;code&gt;   app.showPage(app.pages[p]);
&lt;/code&gt;&lt;/pre&gt;
</t>
  </si>
  <si>
    <t xml:space="preserve">&lt;p&gt;That is because you are trying to compose the path to the object using dot notation. This won't work. Instead, please use the square brackets notation:&lt;/p&gt;
&lt;pre&gt;&lt;code&gt;var p = widget.datasource.item.InputFormPageName;
app.showPage(app.pages[p]);
&lt;/code&gt;&lt;/pre&gt;
</t>
  </si>
  <si>
    <t xml:space="preserve">&lt;p&gt;I am building a page in Google AppMaker and cannot retrieve the latest record of the related data that was submitted.&lt;br&gt;
In my app: I have multiple wounds, each with many inspection dates.  I want to be able to list each wound, and pull up the most recent measurements (latest Length, latest Width, and latest depth)
&lt;a href="https://i.stack.imgur.com/Tt1zy.png" rel="nofollow noreferrer"&gt;Here is the Visual&lt;/a&gt;.
I have tried advanced datasource options and did not get anywhere. I was hoping to use as little app script as possible. I thought this would be easily retrievable with the bult-in widgets (I can easily do this in spreadsheet using Vlookup... but I don't know what the equivalent would be in appmaker)  Any help would be appreciated, Thanks.&lt;/p&gt;
</t>
  </si>
  <si>
    <t xml:space="preserve">&lt;p&gt;If you have a field that can be used as a criterion for getting the latest record, say CreationDate, then you can specify a sorting option in the relation settings.&lt;/p&gt;
&lt;p&gt;&lt;a href="https://i.stack.imgur.com/Qs09x.png" rel="nofollow noreferrer"&gt;See sample One-to-many relation setting with sorting option (screen-shot)&lt;/a&gt;&lt;/p&gt;
</t>
  </si>
  <si>
    <t xml:space="preserve">&lt;p&gt;I am a small used dealership and we are using app maker to manage our inventory. In google app maker I created a simple table which shows my inventory along with reconditioning process (mechanic, detailing, inspection etc. On another page, I added some toggle switch, so when a task is completed, we turn the toggle on and in my list is shows ''true''. All I want to do, is when the statement is true, show a green circle and if false show a yellow circle. I have a basic of JavaScript and CSS, but i've been at it for 4 hours and still haven't figured out.&lt;/p&gt;
&lt;p&gt;I tried a couple CSS styling and If/Else statements, but it has not worked.&lt;/p&gt;
</t>
  </si>
  <si>
    <t xml:space="preserve">&lt;p&gt;I've spent about a week or so on this, and there's very little documentation online so I figured I'd come on here to see if anyone could potentially help out. So the top level summary is that I'm trying to use an external library (neovis.js) to visualize a neo4j graph database in a Salesforce Lightning web component. I've already explored d3.js (which is compatible with Salesforces locker service) and a few other visualization libraries, but neovis.js would be the most viable option for my use case. I've made some slight modifications shown in the code below to avoid using Document.getElementById in the neovis.js library to select the element and append the canvas to the page. &lt;/p&gt;
&lt;p&gt;However, once the canvas is drawn to the page, none of the canvas elements (nodes and edges) are shown on the screen. Here's the weird part though, I can still hover over where the nodes should be on the canvas, and the popup which displays specific information for each node appears on screen with the correct information for each node. I am not super familiar with how the canvas element works, but it seems to me as if some css property is not being applied because of Salesforce's locker service, which causes to elements to be rendered invisibly.&lt;/p&gt;
&lt;p&gt;I've gone through a good chunk of the neovis.js library (which is just a library built on top of vis.js), and I've looked for places where perhaps styles aren't being applied to the canvas element; however up to now I've had no luck. &lt;/p&gt;
&lt;p&gt;Here's the code I've used so far: &lt;/p&gt;
&lt;p&gt;index.html&lt;/p&gt;
&lt;pre&gt;&lt;code&gt;&amp;lt;template&amp;gt;
    &amp;lt;lightning-card title="Neovis" icon-name="custom:custom19"&amp;gt;
        &amp;lt;div class="slds-m-around_medium"&amp;gt;
            &amp;lt;div id="neovisContainerViz" class="neoVizClass" lwc:dom="manual" style="height: 700px; width: 400px;"&amp;gt;
            &amp;lt;/div&amp;gt;
        &amp;lt;/div&amp;gt;
    &amp;lt;/lightning-card&amp;gt;
&amp;lt;/template&amp;gt;
&lt;/code&gt;&lt;/pre&gt;
&lt;p&gt;index.js&lt;/p&gt;
&lt;pre&gt;&lt;code&gt;drawNeovis() {
        const config = {
            container_id: "",
            server_url: "bolt://neo4j.het.io:7687", //This is a publicly available neo4j database that I'm using for testing purposes. 
            server_user: "",
            server_password: "",
            labels: {
            },
            relationships: {
            },
            initial_cypher: "MATCH (node:Disease {name: 'lung cancer'}) RETURN node"
        }
        const parent = this.template.querySelector('div.neoVizClass');
        const container = document.createElement('DIV');
        container.className = 'neoViz';
        parent.appendChild(container);
        const viz = new NeoVis.default(config);
        viz._container = container; //This is a property inside of the NeoVis library. This property is normally set by using the document.getElementById method, however I've replaced it with my predefined container to get around the Salesforce Locker Service.
        viz.render();
    }
&lt;/code&gt;&lt;/pre&gt;
&lt;p&gt;Here is exactly what is rendered onto the Salesforce App page:&lt;/p&gt;
&lt;pre&gt;&lt;code&gt;&amp;lt;div class="slds-card__body"&amp;gt;
    &amp;lt;slot&amp;gt;
        &amp;lt;div class="slds-m-around_medium"&amp;gt;
            &amp;lt;div id="neovisContainerViz-67" class="neoVizClass" style="height: 700px; width: 400px;"&amp;gt;
                &amp;lt;div class="neovis"&amp;gt;
                    &amp;lt;div class="vis-network" tabindex="900" style="position: relative; overflow: hidden; touch-action: pan-y; user-select: none; -webkit-user-drag: none; -webkit-tap-highlight-color: rgba(0, 0, 0, 0); width: 100%; height: 100%;"&amp;gt;
                        &amp;lt;canvas width="200" height="200" style="position: relative; touch-action: none; user-select: none; -webkit-user-drag: none; -webkit-tap-highlight-color: rgba(0, 0, 0, 0); width: 100%; height: 100%;"&amp;gt;
                        &amp;lt;/canvas&amp;gt;
                        &amp;lt;div class="vis-tooltip" style="left: 5px; top: 5px; visibility: hidden;"&amp;gt;
                            &amp;lt;strong&amp;gt;
                                license:
                            &amp;lt;/strong&amp;gt; 
                            CC BY 3.0
                            &amp;lt;br&amp;gt;
                            &amp;lt;strong&amp;gt;identifier:&amp;lt;/strong&amp;gt; 
                            DOID:1324
                            &amp;lt;br&amp;gt;
                            &amp;lt;strong&amp;gt;name:&amp;lt;/strong&amp;gt; 
                            lung cancer
                            &amp;lt;br&amp;gt;
                            &amp;lt;strong&amp;gt;source:&amp;lt;/strong&amp;gt; 
                            Disease Ontology
                            &amp;lt;br&amp;gt;
                            &amp;lt;strong&amp;gt;url:&amp;lt;/strong&amp;gt; 
                            http://purl.obolibrary.org/obo/DOID_1324
                            &amp;lt;br&amp;gt;
                        &amp;lt;/div&amp;gt;
                    &amp;lt;/div&amp;gt;
                &amp;lt;/div&amp;gt;
            &amp;lt;/div&amp;gt;
        &amp;lt;/div&amp;gt;
    &amp;lt;/slot&amp;gt;
&amp;lt;/div&amp;gt;
&lt;/code&gt;&lt;/pre&gt;
&lt;p&gt;The canvas and the tooltip are appended to the DOM, AND the tooltip dynamically updates when I hover over where the canvas elements should be displayed. However none of the nodes or edges are visible on the screen.&lt;/p&gt;
&lt;p&gt;All in all, I am not very familiar with how the canvas element actually functions, and am hoping that someone can give me some tips on how to trouble shoot this issue and get the elements on the canvas to display.&lt;/p&gt;
&lt;p&gt;Thank you all!&lt;/p&gt;
</t>
  </si>
  <si>
    <t xml:space="preserve">&lt;p&gt;I was able to finally figure this out incase anyone else is running into similar issues. I wouldn't say this is the preferred answer, but it works (for now). Basically I injected an &lt;code&gt;iframe&lt;/code&gt; into Salesforce, and inside of the iframe I injected the neovis.js library and generated the graph, works perfectly now.&lt;/p&gt;
</t>
  </si>
  <si>
    <t xml:space="preserve">&lt;p&gt;This is a general how-to question for the easiest way to make an input widget using mostly Google App Maker's GUI interface and as little scripting as possible.&lt;/p&gt;
&lt;p&gt;Let's assume a large reference table with 2 fields, ID and DisplayName, like Countries - (US, United States) etc. There are many other tables that have a Country field.&lt;/p&gt;
&lt;p&gt;1 - Should you set it up as a related table with every other table that has an address in it or keep it as a separated reference source?&lt;/p&gt;
&lt;p&gt;2- In App Maker, attaching table relations seems to make it easier to access record data from related tables, but when using an input widget to select from a related table, the dropdown list only shows a single "page" of data. How do you get it to show all of the data or at least be able to use pagination scrolls as a way to allow the user to get to all of the possible values?&lt;/p&gt;
&lt;p&gt;3 - Is getting record data from non-related reference tables too complex for using a dropdown box? Is there a custom option of an input widget like the User Picker, but attaching it to any reference table? This would allow the user to start typing an entry and the widget would show all of the possible matches and bring back the entire selected record.&lt;/p&gt;
&lt;p&gt;In general, I am looking for a best practice scenario for non-programmers using App Maker to accomplish this task. (or at least have it not be too overly burdensome for me to do it for them all of the time.)&lt;/p&gt;
&lt;p&gt;Thanks Jeff&lt;/p&gt;
</t>
  </si>
  <si>
    <t xml:space="preserve">&lt;ol&gt;
&lt;li&gt;&lt;p&gt;remove pagination from the datasource you are using as your country list (change the "query page size" on the datasource on the datasources tab for that table to 0).&lt;/p&gt;&lt;/li&gt;
&lt;li&gt;&lt;p&gt;Hmm, in a normal database situation I'd say yes, normalize away. In Appmaker.... eh... if the inputs are ALWAYS constrained and not free-typed, I'd leave them as text values. Joining appmaker tables is not the fun and joyous dream you might hope for, and joined tables (aggregate) have certain surprising restrictions (like not having built in sortability).&lt;/p&gt;&lt;/li&gt;
&lt;/ol&gt;
</t>
  </si>
  <si>
    <t xml:space="preserve">&lt;p&gt;I am trying to fetch visitor's data like name and email from zobot inside my dialogflow fulfillment. Can someone provide with a sample code that how I can use the data inside fulfillment. I am actually building a appointment scheduler and wants to fetch the user details so that while booking an appointment in google calendar I have sufficient information. &lt;/p&gt;
</t>
  </si>
  <si>
    <t xml:space="preserve">&lt;p&gt;I am new to AppMaker but I have developer experience. &lt;/p&gt;
&lt;p&gt;The application is a Project Tracker Application&lt;/p&gt;
&lt;p&gt;&lt;strong&gt;What I expect to happen&lt;/strong&gt;: When creating a project the user uses a User Picker to select the users associated with that project. When the project is created I want to email the users associated with that project. &lt;/p&gt;
&lt;p&gt;&lt;strong&gt;The issue&lt;/strong&gt;: On clicking the Add button &lt;code&gt;addProject(addButton)&lt;/code&gt; client script function is called.
Inside this function &lt;code&gt;sendEmailToAssignees(project, assignees)&lt;/code&gt; is called which should reach out to the Server script and run the &lt;code&gt;notifyAboutProjectCreated(project, assignees)&lt;/code&gt; but that is not happening. &lt;/p&gt;
&lt;p&gt;&lt;strong&gt;Things to know&lt;/strong&gt;: With logging I never reach 'Trying to send email' so I seem to never reach my server script. Also, On client script when I comment out &lt;code&gt;sendEmailToAssignees&lt;/code&gt; function everything runs smooth. I have looked at this documentation as a resource so I feel my implementation is okay. &lt;a href="https://developers.google.com/appmaker/scripting/client#client_script_examples" rel="nofollow noreferrer"&gt;https://developers.google.com/appmaker/scripting/client#client_script_examples&lt;/a&gt;&lt;/p&gt;
&lt;p&gt;The final error message I get is: &lt;/p&gt;
&lt;blockquote&gt;
  &lt;p&gt;Failed due to illegal value in property: a at addProject
  (AddProject:110:24) at
  AddProject.Container.PanelAddProject.Form1.Spring.ButtonAdd.onClick:1:1&lt;/p&gt;
&lt;/blockquote&gt;
&lt;p&gt;Am I missing something here? Any help would be greatly appreciated. Thank you!&lt;/p&gt;
&lt;p&gt;Client Script&lt;/p&gt;
&lt;pre&gt;&lt;code&gt;function sendEmailToAssignees(project, assignees) {
  google.script.run
    .withSuccessHandler(function() {
    console.log('Sending Email Success');
  }).withFailureHandler(function(err) {
   console.log('Error Sending Email: ' + JSON.stringify(err));
  })
   .notifyAboutProjectCreated(project, assignees);
}
function addProject(addButton) {
  if (!addButton.root.validate()) {
    return;
  }
  addButton.datasource.createItem(function(record) {  
    var page = app.pages.AddProject;
    var pageWidgets = page.descendants;
    var trainees = pageWidgets.AssigneesGrid.datasource.items;
    var traineesEmails = trainees.map(function(trainee) {
    return trainee.PrimaryEmail;
    });
    record.Assignee = traineesEmails.toString();
    var assignees = traineesEmails.toString();
    var project = record; 
    updateAllProjects(record);
    console.log('update all projects done');    
    sendEmailToAssignees(project, assignees);
    console.log('Send Email done');
    if (app.currentPage !== app.pages.ViewProject) {
      return;
    }              
    gotoViewProjectPageByKey(record._key, true);
  });
  gotoViewProjectPageByParams();
}
&lt;/code&gt;&lt;/pre&gt;
&lt;p&gt;Server Script&lt;/p&gt;
&lt;pre&gt;&lt;code&gt;function notifyAboutProjectCreated(project, assignees) {
  console.log('Trying to send email');
  if (!project) {
    return;
  }
  var settings = getAppSettingsRecord_()[0];
  if (!settings.EnableEmailNotifications) {
    return;
  }
  var data = {
    appUrl: settings.AppUrl,
    assignee: project.Assignee,
    owner: project.Owner,
    startDate: project.StartDate,
    endDate: project.EndDate,
    jobType: project.Type,
    jobId: project.Id
  };
  // Email Subject
  var subjectTemplate = HtmlService.createTemplate(settings.NotificationEmailSubjectJob);
  subjectTemplate.data = data;
  var subject = subjectTemplate.evaluate().getContent();
  // Email Body
   var emailTemplate =
      HtmlService.createTemplate(settings.NotificationEmailBodyJob);
  emailTemplate.data = data;
  var htmlBody = emailTemplate.evaluate().getContent();
  console.log('About to send email to:', assignees);
  sendEmail_(null, assignees, subject, htmlBody);    
}
&lt;/code&gt;&lt;/pre&gt;
</t>
  </si>
  <si>
    <t xml:space="preserve">&lt;p&gt;The reason you are getting this error is because you are trying to pass the client "project record" to the server. If you need to access the project, then pass the record key to the server and then access the record on the server using the key. &lt;/p&gt;
&lt;p&gt;&lt;strong&gt;CLIENT:&lt;/strong&gt; &lt;/p&gt;
&lt;pre&gt;&lt;code&gt;function sendEmailToAssignees(project, assignees) {
  var projectKey = project._key;
  google.script.run
    .withSuccessHandler(function() {
    console.log('Sending Email Success');
  }).withFailureHandler(function(err) {
   console.log('Error Sending Email: ' + JSON.stringify(err));
  })
   .notifyAboutProjectCreated(projectKey , assignees);
}
&lt;/code&gt;&lt;/pre&gt;
&lt;p&gt;&lt;strong&gt;SERVER:&lt;/strong&gt;&lt;/p&gt;
&lt;pre&gt;&lt;code&gt;function notifyAboutProjectCreated(projectKey, assignees) {
  console.log('Trying to send email');
  var project = app.models.&amp;lt;PROJECTSMODEL&amp;gt;.getRecord(projectKey);
  if (!project) {
    return;
  }
 //Rest of the logic
}
&lt;/code&gt;&lt;/pre&gt;
&lt;p&gt;The project record object in the client is not the same as the project record object in the server; hence the ilegal property value error.&lt;/p&gt;
</t>
  </si>
  <si>
    <t xml:space="preserve">&lt;p&gt;Project is Powerapps with a SQL backend.&lt;/p&gt;
&lt;p&gt;I have a list of (you can think of them as stages).
The stages can be customized.You can add new stages and you can re-order them.
On other screens (tasks) you can set the stage of that task.&lt;/p&gt;
&lt;p&gt;I wanted to have a list where you could drag items up and down the list to change the order, be we can't figure that out. So instead, I came up with the idea to have an "order" column along with the name of the steps so you can add an item and via drop-down set where it sat in the order. Now we're not sure how to handle updating all the members of the list when we add or remove items.&lt;/p&gt;
&lt;p&gt;Is there an existing best practice or design pattern in PowerApps to handle this scenario?&lt;/p&gt;
</t>
  </si>
  <si>
    <t xml:space="preserve">&lt;p&gt;Is it possible to get this Office 365 or Microsoft 365 Location (Country) property for current user in PowerApp:&lt;/p&gt;
&lt;p&gt;&lt;a href="https://i.stack.imgur.com/8pqgM.png" rel="nofollow noreferrer"&gt;Location (Country) property in the user profile&lt;/a&gt;&lt;/p&gt;
</t>
  </si>
  <si>
    <t xml:space="preserve">&lt;p&gt;I'm trying to create a connection to an external OData API from PowerApps.&lt;/p&gt;
&lt;p&gt;I've created a custom connector via a Postman collection - the custom connector appears to work correctly in test mode but as soon as I try to consume it in the PowerApp I always get a 404 error popup in the expression editor.&lt;/p&gt;
&lt;p&gt;Checking the POST request made to &lt;a href="https://europe-001.azure-apim.net/invoke" rel="nofollow noreferrer"&gt;https://europe-001.azure-apim.net/invoke&lt;/a&gt; and re-playing it with all headers via Postman results in the same 404 error:&lt;/p&gt;
&lt;pre&gt;&lt;code&gt;{
    "statusCode": 404,
    "message": "Resource not found"
}
&lt;/code&gt;&lt;/pre&gt;
&lt;p&gt;Testing the API in the PowerApps Swagger editor comes back with the results, but instead of a POST to the above URL where headers are sent with the API endpoint address, a GET is made instead.&lt;/p&gt;
&lt;p&gt;If I replay this GET request with the same headers etc, I get the same 404. The only thing that changes per request is &lt;code&gt;x-ms-client-request-id&lt;/code&gt; so I assume this is to prevent XHR replays.&lt;/p&gt;
&lt;p&gt;Am I missing some publishing step for my custom connector?&lt;/p&gt;
&lt;p&gt;Has anyone got something like this working?&lt;/p&gt;
&lt;h2&gt;Edit:&lt;/h2&gt;
&lt;p&gt;Interestingly - I tried this with a basic API at &lt;code&gt;jsonplaceholder.typicode.com&lt;/code&gt; and this works. The API requires no auth and returns data to my Powerapp without an issue.&lt;/p&gt;
&lt;p&gt;I'm not sure why this is different from the other custom connector apart from the authentication mechanism.&lt;/p&gt;
&lt;h2&gt;Edit edit:&lt;/h2&gt;
&lt;p&gt;This may be a bug in PowerApps - MS support are looking into it for me and another user stated their connectors stopped working since the October release with the same error.&lt;/p&gt;
</t>
  </si>
  <si>
    <t xml:space="preserve">&lt;p&gt;This is my Apex class&lt;/p&gt;
&lt;pre&gt;&lt;code&gt;@AuraEnabled(cacheable=true)
    public static List&amp;lt;Employee__c&amp;gt; getState(String recordId){
          String AccId= [SELECT AccountId FROM Contact WHERE Id =: getContactIdentification()].AccountId;
              return [SELECT Driver_License_Attached__c FROM Employee__c WHERE Account__c =: AccId AND Id =: recordId];
    }
  @AuraEnabled(cacheable=true)
        public static Id getContactIdentification() {
            return [SELECT ContactId from User WHERE Id =: UserInfo.getUserID()].ContactId;
        }
&lt;/code&gt;&lt;/pre&gt;
&lt;p&gt;This is the method call from javascript lightning&lt;/p&gt;
&lt;pre&gt;&lt;code&gt;getState({ recordId: this.updaterecordId })  
    .then(driverstate =&amp;gt; {  
      console.log('driverstate'+ JSON.stringify(driverstate));
    })  
    .catch(error =&amp;gt; {  
      this.error = error;  
    });
&lt;/code&gt;&lt;/pre&gt;
&lt;p&gt;When I do &lt;code&gt;console.log(JSON.stringify(driverstate));&lt;/code&gt; &lt;/p&gt;
&lt;p&gt;The output of above statement is &lt;code&gt;driverstate[{"Driver_License_Attached__c":false,"Id":"a1JW0000003e661MAA"}]&lt;/code&gt;&lt;/p&gt;
&lt;p&gt;Not able to get the &lt;code&gt;Driver_License_Attached__c&lt;/code&gt; on client side javascript but can retrieve in html. The output of &lt;code&gt;console.log(driverstate.Driver_License_Attached__c)&lt;/code&gt; is undefined in javascript.&lt;/p&gt;
&lt;p&gt;Hope someone can help me with this issue.&lt;/p&gt;
</t>
  </si>
  <si>
    <t xml:space="preserve">&lt;p&gt;&lt;a href="https://i.stack.imgur.com/IKu0E.png" rel="nofollow noreferrer"&gt;&lt;img src="https://i.stack.imgur.com/IKu0E.png" alt="enter image description here"&gt;&lt;/a&gt;&lt;/p&gt;
&lt;p&gt;I am creating a table where I need to freeze some cell while keeping the other cell scrollable. The table must be responsive to screen size that is why I need to make some cell scrollable.&lt;/p&gt;
&lt;p&gt;Based on the picture above, I want to keep the blue area floating/or freeze while the red area scrollable.&lt;/p&gt;
&lt;p&gt;How is this possible in google app maker?&lt;/p&gt;
</t>
  </si>
  <si>
    <t xml:space="preserve">&lt;p&gt;First of all, this widget that you refer to as a table in your sample screen is actually a composite widget where it combines several basic widgets like the list, horizontal panel, and pager. &lt;/p&gt;
&lt;p&gt;There is another table widget under charts, called Table chart, that can be used to present your data in rows and columns. But if you are looking for a property that can achieve this UI effect, then I'm afraid AppMaker does not support this yet.&lt;/p&gt;
&lt;p&gt;If you are really keen to make this work, I would suggest that you combine two table widgets that inherit the same data source then wrap them SIDE-BY-SIDE in a horizontal panel. The left side will only contain columns that you want to freeze while the right size will have the rest of the column that can be scrollable. &lt;/p&gt;
&lt;p&gt;Make sure to set the height of both tables to auto-grow based on the content (Fit to content). This will give the effect that the two tables are merged when doing vertical scrolling.&lt;/p&gt;
&lt;p&gt;I have here a sample implementation as I described above. I gave a background to the main container to better understand the concept. I also added a small gap to show that I used two table widgets.&lt;/p&gt;
&lt;p&gt;&lt;a href="https://i.stack.imgur.com/Sr3kc.png" rel="nofollow noreferrer"&gt;Here is the set-up in editor view (screen-shot)&lt;/a&gt;&lt;/p&gt;
&lt;p&gt;&lt;a href="https://youtu.be/AaicOWbfQrw" rel="nofollow noreferrer"&gt;See it in action here (video)&lt;/a&gt; &lt;/p&gt;
</t>
  </si>
  <si>
    <t xml:space="preserve">&lt;p&gt;I'm familiar with PowerApps and working with Galleries to deplay Sharepoint content.  What I can't seem to figure out, is, how can I get a link to allow the user to launch a list view of the entire list, on Sharepoint?  &lt;/p&gt;
&lt;p&gt;The goal would be to let the user go to Sharepoint to edit data natively there, vs. having to build edit screens for the list natively within the app.  You can link to individual items with no issue, but I can't seem to figure out a way to get a URL for the list itself.&lt;/p&gt;
&lt;p&gt;The reason for not doing additional screens for item edits is because in Sharepoint, you can bulk edit data in a grid, whereas PowerApps has no such native mechanism.  I understand I could probably cobble something together, but I'm already concerned about app performance in the total number of controls, and this would probably push it too far.&lt;/p&gt;
&lt;p&gt;I looked through all the properties a Sharepoint list exposes in PowerApps, and they all seem to be table-based for the individual list items.&lt;/p&gt;
</t>
  </si>
  <si>
    <t xml:space="preserve">&lt;p&gt;Is there any way to put custom error message based on some field criteria before submitting for Approval .&lt;/p&gt;
&lt;p&gt;Let's say i have  5 fields and if one of those or multiple of those are blank or not meet the approval process matching criteria when i submit for approval an opportunity then i want custom error message to be displayed saying that you need to complete this field in order to be able to submit for approval! &lt;/p&gt;
&lt;p&gt;Thank you in advance&lt;/p&gt;
</t>
  </si>
  <si>
    <t xml:space="preserve">&lt;p&gt;When create file system in ms flow using power apps its getting error like &lt;/p&gt;
&lt;blockquote&gt;
  &lt;p&gt;Unable to process template language expressions in action 'Create_file' inputs at line '1' and column '2179': 'The template language expression 'json(decodeBase64(triggerOutputs().headers['X-MS-APIM-Tokens']))['$connections']['shared_filesystem']['connectionId']' 
  cannot be evaluated because property 'shared_filesystem' doesn't exist, available properties are ''. 
  Please see &lt;a href="https://aka.ms/logicexpressions" rel="nofollow noreferrer"&gt;https://aka.ms/logicexpressions&lt;/a&gt; for usage details.'.&lt;/p&gt;
&lt;/blockquote&gt;
</t>
  </si>
  <si>
    <t xml:space="preserve">&lt;p&gt;When app maker creates a table it can make the columns sortable, which is great, but after a user clicks on a column, how can you clear that sort setting to get the table back to either the default settings from when the page first loaded or a specific sort order as in the script below? I am presently using a Refresh button which merely reloads the datasource, but the column sorting remains. Suggestions?&lt;/p&gt;
&lt;p&gt;I have tried reloading or navigating back to the page itself, but that had no effect either.&lt;/p&gt;
&lt;p&gt;this is the augmented Refresh onClick script that includes the sort order:&lt;/p&gt;
&lt;pre&gt;&lt;code&gt;widget.datasource.query.sorting.App._ascending();
widget.datasource.query.sorting.Role._ascending();
widget.datasource.query.sorting.Name._ascending();
widget.datasource.load();
&lt;/code&gt;&lt;/pre&gt;
</t>
  </si>
  <si>
    <t xml:space="preserve">&lt;p&gt;Morfinismo gave me the code fragment I was missing, but here's the breakdown:&lt;/p&gt;
&lt;p&gt;This will reset any filters and clear out filter fields like dropdowns or suggest boxes:&lt;/p&gt;
&lt;pre&gt;&lt;code&gt;widget.datasource.query.clearFilters();
&lt;/code&gt;&lt;/pre&gt;
&lt;p&gt;This will clear any sorting, so if you want sorting, you will need to add it like so:&lt;/p&gt;
&lt;pre&gt;&lt;code&gt;widget.datasource.query.clearSorting();
widget.datasource.query.sorting.App._ascending();
widget.datasource.query.sorting.Role._ascending();
widget.datasource.query.sorting.Name._ascending();
&lt;/code&gt;&lt;/pre&gt;
&lt;p&gt;which will clear the sorting and reset it to your liking, but will not remove the little arrow graphic on the column heading. For that you will need to navigate back to the page you are already on to refresh it like this:&lt;/p&gt;
&lt;pre&gt;&lt;code&gt;app.showPage(app.pages.AppRoles);
&lt;/code&gt;&lt;/pre&gt;
&lt;p&gt;Here is the complete Refresh button onClick script:&lt;/p&gt;
&lt;pre&gt;&lt;code&gt;app.showPage(app.pages.AppRoles);
widget.datasource.query.clearFilters();
widget.datasource.query.clearSorting();
widget.datasource.query.sorting.App._ascending();
widget.datasource.query.sorting.Role._ascending();
widget.datasource.query.sorting.Name._ascending();
widget.datasource.load();
&lt;/code&gt;&lt;/pre&gt;
&lt;p&gt;This worked for me, but I'm sure there are other approaches and tricks of the trade. Feel free to post them here for future answer seekers.&lt;/p&gt;
</t>
  </si>
  <si>
    <t xml:space="preserve">&lt;p&gt;I have an app I am trying to automate an expiration email 9 days after a record is created. I have a button in Power Apps that submits a record to CDS and I'm trying to use Flow to delay the email for 9 days unless the task is completed. I keep running into timestamp errors with Flow. Anyone have any idea what I am doing wrong? &lt;/p&gt;
&lt;p&gt;On my button I have &lt;code&gt;'expirationemail-2'.Run()&lt;/code&gt;&lt;/p&gt;
&lt;p&gt;My current Flow as it stands&lt;/p&gt;
&lt;p&gt;&lt;a href="https://i.stack.imgur.com/MJEAx.png" rel="nofollow noreferrer"&gt;&lt;img src="https://i.stack.imgur.com/MJEAx.png" alt="My current Flow as it stands"&gt;&lt;/a&gt;&lt;/p&gt;
&lt;p&gt;The error I get when I trigger the Flow&lt;/p&gt;
&lt;p&gt;&lt;a href="https://i.stack.imgur.com/SrGhX.png" rel="nofollow noreferrer"&gt;&lt;img src="https://i.stack.imgur.com/SrGhX.png" alt="The error I get when I trigger the Flow"&gt;&lt;/a&gt;&lt;/p&gt;
</t>
  </si>
  <si>
    <t xml:space="preserve">&lt;p&gt;How to traslate lightning component into multiple languages like visualforce.I have a drop-down with list of all salesforce supported languages and when I select any language Ineed to render the complete lightning component lables/Buttons/Heading etc. in that specific language. &lt;/p&gt;
</t>
  </si>
  <si>
    <t xml:space="preserve">&lt;p&gt;I am using the Collect function to insert a new record into a Sharepoint list using PowerApps. There is a Gallery with a list of values from another Sharepoint List. I want to use the Selected value from the Gallery to set one of the fields in the Insert List.&lt;/p&gt;
&lt;p&gt;I thought it would be as easy as this:&lt;/p&gt;
&lt;pre&gt;&lt;code&gt;Collect('Concert Log List',{Attendee: BrowseGallery1.Selected});
&lt;/code&gt;&lt;/pre&gt;
&lt;p&gt;Essentially I want to add a new record to the Content Log List and reference the Attendee (which is the lookup list) every time the Attendee is referenced. Now the field just ends up being blank.&lt;/p&gt;
</t>
  </si>
  <si>
    <t xml:space="preserve">&lt;p&gt;Got it:&lt;/p&gt;
&lt;pre&gt;&lt;code&gt;Patch('Child List',
  Defaults('Child List'), 
  {
    Title:"test",
    ParentItem:
      {
        Id:Gallery1.Selected.ID,
        Value:Gallery1.Selected.Title
      }
  }
)
&lt;/code&gt;&lt;/pre&gt;
</t>
  </si>
  <si>
    <t xml:space="preserve">&lt;p&gt;I want to show additional columns from a Sharepoint Lookup list in a Display Form when looking at the detail record of a SharepointList.&lt;/p&gt;
&lt;p&gt;I added a 2nd Display Form to a Canvas. I set the Datasource to the Sharepoint List. I added the additional fields in the lookup table. I set the Item to the lookup field of the selected record.&lt;/p&gt;
&lt;p&gt;The Display Form remains empty.&lt;/p&gt;
</t>
  </si>
  <si>
    <t xml:space="preserve">&lt;p&gt;I'm working on the Lightning version. I need to post a dashboard snapshot to chatter. I selected the Enable Dashboard Component Snapshot in Setting and also enabled feed tracking for all 7 check boxes, but I still get the error and don't get the "Post snapshot to chatter feed [&lt;a href="https://i.stack.imgur.com/NDyPy.png]" rel="nofollow noreferrer"&gt;https://i.stack.imgur.com/NDyPy.png]&lt;/a&gt; [1]. Also, I tried to make a post in chatter without button the "Post snapshot to chatter feed", but in the result still POPs up an error.[&lt;a href="https://i.stack.imgur.com/AVfT8.png]" rel="nofollow noreferrer"&gt;https://i.stack.imgur.com/AVfT8.png]&lt;/a&gt; [2] All the steps leading up to this task I have done.&lt;/p&gt;
</t>
  </si>
  <si>
    <t xml:space="preserve">&lt;p&gt;I'm trying to implement a solution that filters a table using tabs. &lt;/p&gt;
&lt;p&gt;Firstly, I'm trying to have an "Important flag", for things that need a managers review. So if I select a tab, it loads a table with that data. &lt;/p&gt;
&lt;p&gt;Secondly, I'm trying to configure a "Today", "This week" and "This Month" tab section, which will show record entries from a database model. &lt;/p&gt;
&lt;p&gt;I'm having real issues with the filtering, I can get it to work using a text box. But not using tabs, or even "onAttatch" as an event, so the homepage would list the important parts. &lt;/p&gt;
&lt;p&gt;MY onAttatch code looks like so,&lt;/p&gt;
&lt;pre&gt;&lt;code&gt;var datasource = widget.datasource;
datasource.query.filters.TypeOfRecording._equal = 'Support';
datasource.load();
&lt;/code&gt;&lt;/pre&gt;
&lt;p&gt;While I've got someone God like enough to answer my newbie questions, I'd also like a table that displays things like "Number of records to approve". Do you make a field in the database to store the number of records which are "important", and add one each time you select the "important box" and negative one each time you sign one off? Is that how you'd implement that one? &lt;/p&gt;
&lt;p&gt;I'm sorry I haven't been able to figure out these questions on my own, been trying for days.&lt;/p&gt;
&lt;p&gt;Kind Regards,
Zach&lt;/p&gt;
</t>
  </si>
  <si>
    <t xml:space="preserve">&lt;p&gt;I want a function which changes the company of a customer to a "nocompany" company, whenever a company gets deleted. The code looks like this:&lt;/p&gt;
&lt;p&gt;&lt;div class="snippet" data-lang="js" data-hide="false" data-console="true" data-babel="false"&gt;
&lt;div class="snippet-code"&gt;
&lt;pre class="snippet-code-js lang-js prettyprint-override"&gt;&lt;code&gt;function afterCompanyDeletion(companyID)
{
   var noCompanyId= "1";
   var noCompany =app.models.Companies.getRecord(noCompanyID);
   var query = app.models.Customers.newQuery();
   query.filters.Company.Id._equals(companyID);
   var records= query.run();
    for (var i in records) {
      i.Company=nincsCeg;      
    }
}&lt;/code&gt;&lt;/pre&gt;
&lt;/div&gt;
&lt;/div&gt;
But I get an error message that says "TypeError: Cannot call property _equals in object [object Object]. It is not a function, it is "undefined". at afterCompanyDeletion (Server:6)" I am not sure what's wrong with my code, would really appreciate some help,  thank you!&lt;/p&gt;
&lt;p&gt;&lt;a href="https://i.stack.imgur.com/Uq7WI.png" rel="nofollow noreferrer"&gt;image about the error message&lt;/a&gt;&lt;/p&gt;
</t>
  </si>
  <si>
    <t xml:space="preserve">&lt;p&gt;I would like to create a replace function using &lt;em&gt;RegExp&lt;/em&gt;. so far I've done something like this. &lt;/p&gt;
&lt;pre&gt;&lt;code&gt;var re = new RegExp(FullName);
testBox2.value = testBox2.value.replace(/re.{13}/g," "); 
&lt;/code&gt;&lt;/pre&gt;
&lt;p&gt;so basically I wanted to pass the &lt;code&gt;FullName&lt;/code&gt; and then using that full name want to delete the &lt;code&gt;fullName&lt;/code&gt; and 13 characters after the &lt;code&gt;fullName&lt;/code&gt;. But this code didn't seem to work.&lt;/p&gt;
&lt;p&gt;previously I have done this, which worked perfectly. &lt;/p&gt;
&lt;pre&gt;&lt;code&gt;testBox.value =  testBox.value.replace(FullName," ");  
&lt;/code&gt;&lt;/pre&gt;
</t>
  </si>
  <si>
    <t xml:space="preserve">&lt;p&gt;Need: for multiple users to use the app at the same time, being tracked by their own request id.&lt;/p&gt;
&lt;p&gt;I've been using datasouce parameters to hold my "current place" variable, but I'm now uncertain whether that parameter is specific to this instance or if each user is going to overwrite it.&lt;/p&gt;
&lt;p&gt;It looks like the apps script script properties is definitely shared between users. And I thought User Properties were being deprecated for apps script anyway.&lt;/p&gt;
&lt;p&gt;How do you ensure concurrent use of your apps don't step on each others toes?&lt;/p&gt;
&lt;p&gt;By script properties I mean these kinds of things:&lt;/p&gt;
&lt;pre&gt;&lt;code&gt;function setProp(property, value) {
var scriptProperties = PropertiesService.getScriptProperties();
scriptProperties.setProperty(property, value);
}
function getProp(property) {
var scriptProperties = PropertiesService.getScriptProperties();
var value = scriptProperties.getProperty(property);
return value;
}
&lt;/code&gt;&lt;/pre&gt;
&lt;p&gt;whereas when I'm using datasource properties I mean:&lt;/p&gt;
&lt;pre&gt;&lt;code&gt; var runID = app.datasources.requests.properties.current;
&lt;/code&gt;&lt;/pre&gt;
</t>
  </si>
  <si>
    <t xml:space="preserve">&lt;p&gt;Can anyone tell me why this piece of code is loading the newest item (I do not want this) and the correct ID item (this is what I want to load) into my gallery. And maybe how do I get it to stop loading the newest item?&lt;/p&gt;
&lt;p&gt;This is only happening when I click on the deep link in the email produced by PowerApps. Not when I load the app and click on an item from my dashboard gallery to load.&lt;/p&gt;
&lt;p&gt;How I am understanding the code to read is: filter this gallery with lead_history information where the LeadID column equals the selected id from Gallery_Dashboard OR where the LeadID column equals the parameter passed in the URL called ID.&lt;/p&gt;
&lt;pre&gt;&lt;code&gt;SortByColumns(
    Filter(
        Lead_History,
        Or(
        LeadID = Gallery_Dashboard.Selected.ID,
        LeadID = Value(Param("ID")))
    ),
    "HistoryDate",
    SortOrder.Descending
)
&lt;/code&gt;&lt;/pre&gt;
&lt;p&gt;&lt;strong&gt;More details:&lt;/strong&gt;&lt;/p&gt;
&lt;p&gt;&lt;strong&gt;App onStart:&lt;/strong&gt;&lt;/p&gt;
&lt;pre&gt;&lt;code&gt;If(!IsBlank(Param("ID")), Set(varRecordToOpen,First(Filter(Lead_Data,ID=Value(Param("ID")))))); 
&lt;/code&gt;&lt;/pre&gt;
&lt;p&gt;&lt;strong&gt;Timer on the screen that first loads:&lt;/strong&gt;&lt;/p&gt;
&lt;p&gt;Duration: &lt;/p&gt;
&lt;pre&gt;&lt;code&gt;600
&lt;/code&gt;&lt;/pre&gt;
&lt;p&gt;OnTimerEnd:&lt;/p&gt;
&lt;pre&gt;&lt;code&gt;If(!IsBlank(Param("ID")),Navigate(Edit, Cover,{LoadLead:LookUp(Lead_Data, ID = Value(Param("ID"))), LoadHistory:LookUp(Lead_History, LeadID = Value(Param("ID")))}));
&lt;/code&gt;&lt;/pre&gt;
&lt;p&gt;&lt;strong&gt;Edit Screen&lt;/strong&gt;&lt;/p&gt;
&lt;p&gt;Edit Form - Item:&lt;/p&gt;
&lt;pre&gt;&lt;code&gt;varRecordToOpen
&lt;/code&gt;&lt;/pre&gt;
&lt;p&gt;Gallery - Items:&lt;/p&gt;
&lt;pre&gt;&lt;code&gt;
    Filter(
        Lead_History,
        Or(
        LeadID = Gallery_Dashboard.Selected.ID,
        LeadID = Value(Param("ID")))
    ),
    "HistoryDate",
    SortOrder.Descending
)
&lt;/code&gt;&lt;/pre&gt;
&lt;p&gt;I think this is all the code that I am using to make this deep link work. &lt;/p&gt;
</t>
  </si>
  <si>
    <t xml:space="preserve">&lt;p&gt;I have two tables (&lt;code&gt;ClientName&lt;/code&gt; and &lt;code&gt;PMLprojects&lt;/code&gt;), that are related.  &lt;/p&gt;
&lt;p&gt;I create a form &lt;code&gt;PMLprojects&lt;/code&gt; to input data (create), but in the &lt;code&gt;Client_Name&lt;/code&gt; field, the options list goes to the &lt;code&gt;ClientName&lt;/code&gt; table.&lt;/p&gt;
&lt;p&gt;My problem is, I can see options on &lt;code&gt;ClientName&lt;/code&gt; from &lt;code&gt;PMLprojects&lt;/code&gt; form, but I cannot save it to Datasource.&lt;/p&gt;
&lt;pre&gt;&lt;code&gt;Main Panel -&amp;gt; PMLprojects
Panel Form -&amp;gt; Inherited PMLprojects
Relation : PMLprojects (many) --- ClientName (one)
&lt;/code&gt;&lt;/pre&gt;
&lt;pre&gt;&lt;code&gt;Dropdown option : @datasources.ClientName.items
Dropdown value : @datasource.item.Client_Name. (with dot, I can not set only @datasource.item.Client_Name)
&lt;/code&gt;&lt;/pre&gt;
&lt;p&gt;Am I missing something ?&lt;/p&gt;
</t>
  </si>
  <si>
    <t xml:space="preserve">&lt;p&gt;I need to use a text box to display the information but it needs to be read only so that the user can't edit the information in the box.&lt;/p&gt;
&lt;p&gt;I have looked at other questions similar to this and tried their way but nothing has worked out.&lt;/p&gt;
</t>
  </si>
  <si>
    <t xml:space="preserve">&lt;p&gt;This is a simple question but it's kind of annoying me. I've researched google without a clue on how to turn this off.
When I type in the Salesforce Developer Console the next ASCII symbol is being overwritten by the one I just typed and I want to stop this from happening, it's very annoying.
Any clue on how to turn it off ? &lt;/p&gt;
</t>
  </si>
  <si>
    <t xml:space="preserve">&lt;p&gt;Does anyone know a good mechanism for measuring or reporting on page sizes?&lt;/p&gt;
&lt;p&gt;I have a low bandwidth (humanitarian client) use case and trying to evaluate my pages, hi-res imagery or other page size issues, across the org. As an example, even a standard Lightning page view seems to be coming in at around 700kb, which seems high.&lt;/p&gt;
&lt;p&gt;If there’s something on the AppEchange that would be great, but otherwise any direction in reporting, API tools or creating this through other mechanisms would be really helpful.&lt;/p&gt;
&lt;p&gt;I have searched the Salesforce AppExchange, and available metadata/other API and so far haven't found anything. Event Monitoring has logs that help general page load performance and I found an article around improving performance, but haven't found ways to identify SIZE as would be needed for low bandwidth scenarios.&lt;/p&gt;
&lt;p&gt;Don't know where to start yet, unfortunately. This could be a programmatic solution, in which case I'd love some direction, but it could also be tools available elsewhere I'm not aware of.&lt;/p&gt;
</t>
  </si>
  <si>
    <t xml:space="preserve">&lt;p&gt;In Chrome dev tools (F12), in the Network tab you can simulate a low bandwith and long latency connection in order to measure the download time of a web page or web application.&lt;/p&gt;
&lt;p&gt;You can also visualize the size and download time of every resources downloaded to identify the biggest images and the most time consumming requests.&lt;/p&gt;
&lt;p&gt;In Salesforce, there's an administrative tool call Lightning Usage that can be activated. It generates diffrente dashboard and performance stats by page. You can found some screenshots in that Salesforce description of the service:  &lt;a href="https://developer.salesforce.com/blogs/2018/10/understanding-experienced-page-time.html" rel="nofollow noreferrer"&gt;https://developer.salesforce.com/blogs/2018/10/understanding-experienced-page-time.html&lt;/a&gt;. The metric EPT could meet your needs.&lt;/p&gt;
</t>
  </si>
  <si>
    <t xml:space="preserve">&lt;p&gt;We are high school students building an app for our school business office.  We would like to have a form where the secretary types a name in the userpicker widget - selects from the list and in the field below their employeeID show up.  There is a lot more to it than that - but that would get us started.  &lt;/p&gt;
&lt;p&gt;We have tried binding the value to an item on the userpicker as well as using a suggest box. Though we have got the employee names to show up, it only will display the names starting with A or B through the suggestion box.&lt;/p&gt;
&lt;p&gt;We are pretty clueless... so if you have to... use crayons to describe how you might do the above. :-)&lt;/p&gt;
</t>
  </si>
  <si>
    <t xml:space="preserve">&lt;p&gt;In App Maker, what is the simplest way to achieve the same result with a dropdown box that you can with a suggest box, which can return the whole record when you make a selection giving you the ability to assign associated record values to other fields on the page?&lt;/p&gt;
&lt;p&gt;Consider a data model with three fields, (Code, Description, and Severity). Add a dropdown box to select the Code. Have the selection, (probably using onValueChange or onValueEdit), write the selected Code's Description to a label field beside the dropdown box. The Code's Severity will also be used to affect the style in some way like background color or something, but for this answer, merely assigning the value to a scripting variable will be good enough. It's the record value access and assignment mechanism I am after.&lt;/p&gt;
&lt;p&gt;Clarification: This data model will not be the page's datasource. It is a secondary reference table used for assigning a code to a ticket. You can also assume that a record value will be written to a field in the page's datasource as well.&lt;/p&gt;
&lt;p&gt;I would appreciate the simplest low code solution as we will have non-programmers attempting this. Thanks.&lt;/p&gt;
</t>
  </si>
  <si>
    <t xml:space="preserve">&lt;p&gt;As long as you leave your value binding on the dropdown blank the following should work:&lt;/p&gt;
&lt;p&gt;Set the options binding to:&lt;/p&gt;
&lt;pre&gt;&lt;code&gt;@datasources.YourDatasource.items
&lt;/code&gt;&lt;/pre&gt;
&lt;p&gt;You may want to consider changing the 'Names' binding to be the projection of a particular field in this datasource otherwise the values showing in your dropdown will only be the 'keys' from this datasource.&lt;/p&gt;
&lt;p&gt;Then in your onValueEdit event you will gain access to individual fields like this:&lt;/p&gt;
&lt;pre&gt;&lt;code&gt;var item = widget.datasource.item;
item.YourFieldToEdit1 = newValue.YourOtherDatasourceField1;
item.YourFieldToEdit2 = newValue.YourOtherDatasourceField2;
&lt;/code&gt;&lt;/pre&gt;
&lt;p&gt;That would probably be the simplest way.&lt;/p&gt;
</t>
  </si>
  <si>
    <t xml:space="preserve">&lt;p&gt;I am trying to create a lookup and onclick of that magnifying glass should open a other angular component.&lt;/p&gt;
&lt;p&gt;Currently using lighting library,
&lt;a href="http://ng-lightning.github.io/ng-lightning/#/components/lookups" rel="nofollow noreferrer"&gt;http://ng-lightning.github.io/ng-lightning/#/components/lookups&lt;/a&gt; 
According to the documentation author has opening the dropdown but I need to another angular component.&lt;/p&gt;
&lt;p&gt;Could anyone suggest me the best approach?&lt;/p&gt;
&lt;p&gt;Regards,
Venkata&lt;/p&gt;
</t>
  </si>
  <si>
    <t xml:space="preserve">&lt;p&gt;I have a form. User fill up the form. which saves the data and send email. The datasource is in manual save mode. I was trying to save timestamp when the user use the form &amp;amp; send email. Then sort the data using the Timestamp field. I have a number field called Timestamp.(Tried using date field too) I'm saving the data as &lt;/p&gt;
&lt;pre&gt;&lt;code&gt;OnBeforeSave :: record.Timestamp = Date.now();
&lt;/code&gt;&lt;/pre&gt;
&lt;p&gt;But It's not saving the time. I'm not getting any error, but when I try to see it in table of data. The field is empty.  what am I doing wrong??&lt;br&gt;
Let me know If you need anything else. &lt;/p&gt;
</t>
  </si>
  <si>
    <t xml:space="preserve">&lt;p&gt;I am trying to put together a mock up for a data collection app for a local nonprofit using GSuite's AppMaker.  So far I really like the tool.&lt;/p&gt;
&lt;p&gt;One thing I need to be able to do is streamline the data entry for the site representatives.  In my app, I display a list of students in a table, where one of the columns is a boolean value which represents attendance.  The desired result is for the teachers to be able to input the date field one time using the date input button at the bottom of the page.  Then they can quickly point and click down the &lt;code&gt;Present&lt;/code&gt; column to log attendance.&lt;/p&gt;
&lt;p&gt;My question is: how would I link the date selector dropdown so that the date field pre-populates with the selected date from the input field?  I don't want them to have to enter the field over an over again since its the same for each row and I don't want the user experience to feel clunky.&lt;/p&gt;
&lt;p&gt;Screenshot of the App for reference:
&lt;a href="https://i.stack.imgur.com/XMvAQ.png" rel="nofollow noreferrer"&gt;&lt;img src="https://i.stack.imgur.com/XMvAQ.png" alt="Screenshot of Attendance Input"&gt;&lt;/a&gt;&lt;/p&gt;
</t>
  </si>
  <si>
    <t xml:space="preserve">&lt;p&gt;Using client script, you can add the following to the &lt;strong&gt;onValueEdit&lt;/strong&gt; event handler of the date widget at the bottom. &lt;/p&gt;
&lt;pre&gt;&lt;code&gt;var items = widget.root.descendants.&amp;lt;YourTable&amp;gt;.datasource.items;
items.forEach(function(item){
    item.&amp;lt;DateField&amp;gt; = newValue;
});
&lt;/code&gt;&lt;/pre&gt;
&lt;p&gt;The only thing to take into account is that when using client scripting, you will only update the records loaded in the table at the moment; i.e, if your table has paging, it will only update the current page. If you are using paging, then you will need to add the following code to the &lt;strong&gt;onPreviousClick&lt;/strong&gt; and the &lt;strong&gt;onNextClick&lt;/strong&gt; event handlers of the pager widget:&lt;/p&gt;
&lt;pre&gt;&lt;code&gt;var selectedDate = widget.root.descendants.&amp;lt;YourDatePicker&amp;gt;.value;
var items = widget.root.descendants.&amp;lt;YourTable&amp;gt;.datasource.items;
items.forEach(function(item){
    item.&amp;lt;DateField&amp;gt; = selectedDate;
});
&lt;/code&gt;&lt;/pre&gt;
</t>
  </si>
  <si>
    <t xml:space="preserve">&lt;pre&gt;&lt;code&gt;&amp;lt;template&amp;gt;
    &amp;lt;div class="container-wrapper"&amp;gt;
            &amp;lt;div if:false={loggedIn} class="slds-m-around_medium"&amp;gt;
                    &amp;lt;span&amp;gt;Login to Salesforce App&amp;lt;/span&amp;gt;
                    &amp;lt;lightning-input name='username' label="Username"&amp;gt;&amp;lt;/lightning-input&amp;gt;
                   &amp;lt;lightning-input type="password" name='password' label="Password"&amp;gt;&amp;lt;/lightning-input&amp;gt;
                   &amp;lt;br/&amp;gt;
                   &amp;lt;lightning-button variant="brand" label="Login" title="Login" onclick={login}&amp;gt;&amp;lt;/lightning-button&amp;gt;
           &amp;lt;/div&amp;gt;
&amp;lt;/div&amp;gt;
&amp;lt;/template&amp;gt;
  login() {
        console.log('login attempt');
        console.log(this.template);
         var Username =this.template.querySelector('input[name="username"]').value;
        var Password =this.template.querySelector('input[name="password"]').value;
        console.log(Password);
        console.log(Username );
}  
&lt;/code&gt;&lt;/pre&gt;
&lt;p&gt;values are not getting fetch in username, password variables.
this.template.querySelector('input[name="username"]').value is not working.&lt;/p&gt;
&lt;p&gt;I have also tried onchange event approach on lightning-input elements , in that case event.target was undefined ? I am stuck not able to read user input. &lt;/p&gt;
&lt;p&gt;&lt;a href="https://i.stack.imgur.com/5hhPU.png" rel="nofollow noreferrer"&gt;app screenshot&lt;/a&gt;&lt;/p&gt;
</t>
  </si>
  <si>
    <t xml:space="preserve">&lt;p&gt;I am facing some issues with a lightning carousel that I am building in lwc like it is showing only 5 to 6 images inside the carousel and remaining are not showing up. If there is any limitation for the number of images could you please suggest the best approach or alternatives like HTML slideshow or any other way to build a carousel for 1000's of images inside the carousel.
Here I am loading the images from the parent component.&lt;/p&gt;
&lt;pre&gt;&lt;code&gt;import { LightningElement, api } from "lwc";
export default class fcxmCarousel extends LightningElement {
  @api selectdImage;
  @api value;
}
&amp;lt;template&amp;gt;
              &amp;lt;div class="slds-m-around_medium"&amp;gt;
                        &amp;lt;div class="container"&amp;gt;                    
                   &amp;lt;lightning-carousel&amp;gt; 
                      &amp;lt;template for:each={value}  for:item="rows"&amp;gt;
                              &amp;lt;lightning-carousel-image  width="100%" height="50%"  key={imageURL} src = {rows.imageURL}
                              header={rows.imageName}
                              description={rows.imageDescription}&amp;gt;
                             &amp;lt;/lightning-carousel-image&amp;gt;
                       &amp;lt;/template&amp;gt;
                    &amp;lt;/lightning-carousel&amp;gt;
                &amp;lt;/div&amp;gt;
               &amp;lt;/div&amp;gt;
        &amp;lt;!--   &amp;lt;/lightning-card&amp;gt; --&amp;gt;
&amp;lt;/template&amp;gt;
&lt;/code&gt;&lt;/pre&gt;
</t>
  </si>
  <si>
    <t xml:space="preserve">&lt;p&gt;In App Maker, I am displaying a table and want to replace table cell data with different text using a data lookup from another table. Assume two tables, &lt;code&gt;Departments&lt;/code&gt; and &lt;code&gt;Employees&lt;/code&gt;.&lt;/p&gt;
&lt;ul&gt;
&lt;li&gt;&lt;code&gt;Departments&lt;/code&gt; is two fields, DeptID and DeptDescription.  &lt;/li&gt;
&lt;li&gt;&lt;code&gt;Employees&lt;/code&gt; is multiple fields including DeptID.&lt;/li&gt;
&lt;/ul&gt;
&lt;p&gt;In the table listing for &lt;code&gt;Employees&lt;/code&gt;, I would like to replace the &lt;code&gt;DeptID&lt;/code&gt; with the &lt;code&gt;DeptDescription&lt;/code&gt;. (The page datasource is Employees. I do not want to set up a relationship between the data models.)&lt;/p&gt;
&lt;p&gt;I am guessing I want to do some scripting in the &lt;code&gt;onDataLoad&lt;/code&gt; event for the table cell label for DeptID. I have this much so far:&lt;/p&gt;
&lt;pre&gt;&lt;code&gt; app.datasources.Departments.query.filters.DeptID._equals = widget.datasource.item.DeptID;
 app.datasources.Departments.newQuery().run();
 widget.text = app.datasources.Departments.item.DeptDescription;
&lt;/code&gt;&lt;/pre&gt;
&lt;p&gt;I know this is not correct, but am I close?&lt;/p&gt;
</t>
  </si>
  <si>
    <t xml:space="preserve">&lt;p&gt;This answer is untested, but I wanted to present a possible solution that would not require a lot of DB calls, especially ones that make repeated calls to a server script which might consume a lot of processing time when you do line item calls.&lt;/p&gt;
&lt;ol&gt;
&lt;li&gt;Set up a separate datasource under the Department model. Change the default 'Query Builder' to 'Query Script' and add a parameter of type 'list(number)' or 'list(string)', this should match your Primary Key field type. Uncheck the 'auto load' option.&lt;/li&gt;
&lt;li&gt;&lt;p&gt;In your 'Query Script' portion enter the following code:&lt;/p&gt;
&lt;p&gt;query.filters.Id._in = query.parameters.YourParameter;&lt;/p&gt;
&lt;p&gt;return query.run();&lt;/p&gt;&lt;/li&gt;
&lt;li&gt;&lt;p&gt;Go to your Employees datasource that is supposed to generate your table and find your 'On Load' client script section. In this section enter the following code:&lt;/p&gt;
&lt;p&gt;var departmentsDs = app.datasources.YourDepartmentsDs;&lt;/p&gt;
&lt;p&gt;departmentsDs.properties.YourParameter = datasource.items.map(function(deptIds) {return deptIds.DeptID;});&lt;/p&gt;
&lt;p&gt;departmentDs.load();&lt;/p&gt;&lt;/li&gt;
&lt;li&gt;&lt;p&gt;Now go the page that contains your table. If you have not already create a label widget do so now. In this label widget for the text binding enter the following:&lt;/p&gt;
&lt;p&gt;@datasources.YourDepartmentsDs.loaded &amp;amp;&amp;amp; (@datasources.YourDepartmentsDs.items).map(function(Id){return Id.Id}).indexOf(@widget.datasource.item.DeptID) !== -1 ? @datasources.YourDepartmentDs.items[(@datasources.YourDepartmentsDs.items).map(function(Id){return Id.Id}).indexOf(@widget.datasource.item.DeptID)].DeptDescription : 'Unable to retrieve Dept Description'&lt;/p&gt;&lt;/li&gt;
&lt;/ol&gt;
&lt;p&gt;As stated this is untested and I wrote the code from memory without App Maker in front of me so it may require some additional tweaking. Going with the first option presented by J.G. would also be a very viable solution though. And I apologize but the code formatter does not seem to be working for me.&lt;/p&gt;
</t>
  </si>
  <si>
    <t xml:space="preserve">&lt;p&gt;I want to have an input widget that is similar to the built-in multiselect input widget but where instead of checks a number is given, say for example in the pizza order app example, one would be able to pick 3 for the first topping, 0 for the second topping and 1 for the third topping.&lt;/p&gt;
&lt;p&gt;Since input widgets are not modifiable and display widgets do not have the "value" field, I thought I could do it through the "submit" button event, but that uses &lt;code&gt;widget.datasource.createItem()&lt;/code&gt; which is quite opaque and I don't know how I would get the data from the display widget and integrate it to create an item.&lt;/p&gt;
</t>
  </si>
  <si>
    <t xml:space="preserve">&lt;p&gt;Based on your requirement, I created a simple implementation using a list widget and a client-side calculated model. I also used a multi-select widget to show the dynamic mapping of selections to the actual input widget.&lt;/p&gt;
&lt;p&gt;Editor View
&lt;a href="https://i.stack.imgur.com/zSWyA.png" rel="nofollow noreferrer"&gt;&lt;img src="https://i.stack.imgur.com/zSWyA.png" alt="enter image description here"&gt;&lt;/a&gt;&lt;/p&gt;
&lt;p&gt;From a selected list of toppings, the calculated model will be populated and render the sublist of toppings together with an input field for the user to enter the number of desired toppings. &lt;/p&gt;
&lt;p&gt;The multi-select widget is bound to a parameter in the datasource.
&lt;a href="https://i.stack.imgur.com/gV0GU.png" rel="nofollow noreferrer"&gt;&lt;img src="https://i.stack.imgur.com/gV0GU.png" alt="enter image description here"&gt;&lt;/a&gt;&lt;/p&gt;
&lt;p&gt;Here is the query function to populate the list onValueChange.&lt;/p&gt;
&lt;pre&gt;&lt;code&gt;function generateTopingList(query,recordFactory,callback) {
  var toppingList = [];
  if(query.parameters.topingList){
    query.parameters.topingList.forEach(function(e,i){
        var newRecord = recordFactory.create();
        newRecord.Name = e;
        newRecord.Amount = 0;
        toppingList.push(newRecord);
    });
  }
  callback.success(toppingList);
}
&lt;/code&gt;&lt;/pre&gt;
&lt;p&gt;The list widget will make use of this datasource and bind the name and amount field into a label and a text input.&lt;/p&gt;
&lt;p&gt;Preview&lt;/p&gt;
&lt;p&gt;&lt;a href="https://i.stack.imgur.com/cvpIZ.png" rel="nofollow noreferrer"&gt;&lt;img src="https://i.stack.imgur.com/cvpIZ.png" alt="enter image description here"&gt;&lt;/a&gt;&lt;/p&gt;
&lt;p&gt;I have a button to emulate a SAVE action To capture the entered values and display it in another label. 
&lt;a href="https://i.stack.imgur.com/orX9m.png" rel="nofollow noreferrer"&gt;&lt;img src="https://i.stack.imgur.com/orX9m.png" alt="enter image description here"&gt;&lt;/a&gt;&lt;/p&gt;
&lt;pre&gt;&lt;code&gt;function showResults(selectedItems,resultWidget){
  resultWidget.value = " \n";
  selectedItems.forEach(function(e,i){
     var toppingName =  e.Name;
     var enteredAmount = e.Amount;
     //for display only
     resultWidget.value += toppingName + " - " + enteredAmount + "\n";
  });
}
&lt;/code&gt;&lt;/pre&gt;
&lt;p&gt;&lt;a href="https://i.stack.imgur.com/lDBYz.png" rel="nofollow noreferrer"&gt;&lt;img src="https://i.stack.imgur.com/lDBYz.png" alt="enter image description here"&gt;&lt;/a&gt;&lt;/p&gt;
&lt;p&gt;See this &lt;a href="https://youtu.be/ngvJrDKHuPU" rel="nofollow noreferrer"&gt;simple video&lt;/a&gt; on how this works in action.  &lt;/p&gt;
&lt;p&gt;With regards to creating your own input widgets, app Maker gives you an option to create re-usable sections in your app through the concept of "Page Fragments". You can implement the logic separately, like in my case it's the list widget, then wrap it into a page fragment. You can then use this fragment in your pages. &lt;/p&gt;
</t>
  </si>
  <si>
    <t xml:space="preserve">&lt;p&gt;I am building a slide show of images in my component but the images are showing as list instead of slides. I want to load some 1000's of images in that slideshow like a carousel.
Any suggestions would be appreciated.But not lightning carousel because it has a limitation of 5 images.
Here I am loading the images from my parent component.&lt;/p&gt;
&lt;pre&gt;&lt;code&gt;import { LightningElement, api  } from 'lwc';
export default class Carousel extends LightningElement {
    @api selectdImage;
    @api value;
    renderedCallback() {
        // initialize component 
        var slideIndex = 0;
        showSlides();
        function showSlides() {
         var i;
          var slides = this.template.getElementsByClassName("mySlides");
           var dots = this.template.getElementsByClassName("dot");
          for (i = 0; i &amp;lt; slides.length; i++) {
            slides[i].style.display = "none";  
          }
          console.log("entered hereee");
         slideIndex++;
          if (slideIndex &amp;gt; slides.length) {slideIndex = 1}
          for (i = 0; i &amp;lt; dots.length; i++) {
            dots[i].className = dots[i].className.replace(" active", "");
          }
          slides[slideIndex-1].style.display = "block";  
         dots[slideIndex-1].className += " active";
          setTimeout(showSlides, 2000); 
        }
    } 
}
&amp;lt;template&amp;gt;
      &amp;lt;div class="slds-m-around_medium"&amp;gt;
             &amp;lt;div class="container"&amp;gt;                    
                   &amp;lt;div class="slideshow-container"&amp;gt;
                        &amp;lt;template for:each={value}  for:item="rows"&amp;gt;
                              &amp;lt;span key={imageName} &amp;gt;{rows.imageName} &amp;lt;/span&amp;gt; 
                               &amp;lt;div class="mySlides fade" key={imageName}&amp;gt;
                                     &amp;lt;img key={imageURL} src={rows.imageURL} style="width:100%"&amp;gt;
                               &amp;lt;/div&amp;gt;
                                     &amp;lt;div style="text-align:center" key={imageName}&amp;gt;
                                                            &amp;lt;span class="dot"&amp;gt;&amp;lt;/span&amp;gt; 
                                                      &amp;lt;/div&amp;gt;
                                          &amp;lt;/template&amp;gt;
                                          &amp;lt;/div&amp;gt;
&amp;lt;/div&amp;gt;
                &amp;lt;/div&amp;gt;
&amp;lt;/template&amp;gt;
&lt;/code&gt;&lt;/pre&gt;
</t>
  </si>
  <si>
    <t xml:space="preserve">&lt;p&gt;How can I bind a checkbox to filter a query in a table view? The datasource contains the field "active" and it is an inherited (relation) to the pages main datasource. I could create another datasource that filters on a parameter that is bound to the checkbox but this returns all results in the table do to losing the inherited (relation). Is there a better way to do this? I'd like to keep the inherited relation if possible.&lt;/p&gt;
</t>
  </si>
  <si>
    <t xml:space="preserve">&lt;p&gt;I have to check a string which should only contain hex values (using regex code &lt;code&gt;^[a-fA-F0-9]{1,14}$&lt;/code&gt; here) for a maximum allowed value.&lt;/p&gt;
&lt;p&gt;The allowed hex range for the string is between &lt;em&gt;0&lt;/em&gt; and &lt;em&gt;1fffffffffffff&lt;/em&gt;.&lt;/p&gt;
&lt;p&gt;Is there any way to check this with regex?&lt;/p&gt;
</t>
  </si>
  <si>
    <t xml:space="preserve">&lt;p&gt;Is that what you want:&lt;/p&gt;
&lt;pre&gt;&lt;code&gt;^(?:[01][a-f0-9]{13}|[a-f0-9]{1,13})$
&lt;/code&gt;&lt;/pre&gt;
&lt;p&gt;&lt;strong&gt;Code:&lt;/strong&gt;&lt;/p&gt;
&lt;pre&gt;&lt;code&gt;IsMatch(string, "^(?:[01][a-f0-9]{13}|[a-f0-9]{1,13})$", IgnoreCase)
&lt;/code&gt;&lt;/pre&gt;
</t>
  </si>
  <si>
    <t xml:space="preserve">&lt;p&gt;I am trying to practice using Selenium by doing a simple operation of creating a custom object in Salesforce Lightning. My code works fine in Classic, but once I switch over to Lightning, for some reason it only works up to a certain point. &lt;/p&gt;
&lt;p&gt;What works:&lt;/p&gt;
&lt;pre&gt;&lt;code&gt;driver.get("http://login.salesforce.com");
driver.manage().window().maximize();    
driver.findElement(By.xpath("//input[@id='username']")).sendKeys("&amp;lt;USERNAME&amp;gt;");      
driver.findElement(By.xpath("//input[@id='password']")).sendKeys("&amp;lt;PASSWORD&amp;gt;");
driver.findElement(By.xpath("//input[@class='button r4 wide primary']")).click();
driver.findElement(By.xpath("//*[@id=\"oneHeader\"]/div[3]/div/div[2]/div/div/ul[2]/li[3]/div")).click();
driver.findElement(By.xpath("//*[@id=\"oneHeader\"]/div[3]/div/div[2]/div/div/ul[2]/li[3]/div/div[2]")).click();
&lt;/code&gt;&lt;/pre&gt;
&lt;p&gt;So I am able to login and access the Object Create page just fine. The issue is with the next bit of code, which should be the easiest:&lt;/p&gt;
&lt;pre&gt;&lt;code&gt;driver.findElement(By.xpath("//input[@id='MasterLabel']")).sendKeys("Address");      
driver.findElement(By.xpath("//input[@id='MasterLabel']")).sendKeys("Addresses");
driver.findElement(By.xpath("//input[@value=' Save ']")).click();```
&lt;/code&gt;&lt;/pre&gt;
&lt;p&gt;I keep getting the error message:&lt;/p&gt;
&lt;pre&gt;&lt;code&gt;Exception in thread "main" org.openqa.selenium.NoSuchElementException: no such element: Unable to locate element: {"method":"xpath","selector":"//input[@id='MasterLabel']"}
&lt;/code&gt;&lt;/pre&gt;
&lt;p&gt;Things I have tried:&lt;/p&gt;
&lt;ol&gt;
&lt;li&gt;Searching for the input boxes via name and id instead of xpath. Same results&lt;/li&gt;
&lt;li&gt;Tried implementing an explicit wait. Doesn't seem to make a difference&lt;/li&gt;
&lt;li&gt;Tried doing a driver.switchTo().frame() method, but Webdriver can't seem to detect an iFrame on the 
page.&lt;/li&gt;
&lt;/ol&gt;
&lt;p&gt;Any help would be greatly appreciated! Thanks&lt;/p&gt;
</t>
  </si>
  <si>
    <t xml:space="preserve">&lt;p&gt;I am a very newbie to SF so pardon my ignorance. I am doing the trailheads and logged into developers org. There I quickly created a custom object with some fields. Now how do I get a CRUD page for the custom object. I have been looking through the documentation and trailheads but I finding everything except this simple step. Can someone please suggest how I can get a CRuD page automatically generated from custom object that I can use to add edit and delete records?&lt;/p&gt;
&lt;p&gt;Thanks&lt;/p&gt;
</t>
  </si>
  <si>
    <t xml:space="preserve">&lt;p&gt;I have posted the same question on salesforce.stackexchange.com below is the link&lt;/p&gt;
&lt;p&gt;&lt;a href="https://salesforce.stackexchange.com/questions/283596/how-to-fetch-input-field-value-in-js-in-lwc?noredirect=1#comment426016_283596"&gt;https://salesforce.stackexchange.com/questions/283596/how-to-fetch-input-field-value-in-js-in-lwc?noredirect=1#comment426016_283596&lt;/a&gt;&lt;/p&gt;
&lt;p&gt;But in the comments people suggested this is not much related to salesforce it is more of a Javascript thing so I am posting the same here, please take a look and suggest from html and js point of view.&lt;/p&gt;
&lt;p&gt;&lt;em&gt;HTML syntax seem different as it is lightning web component of salesoforce not angular, and also please help me to understand the same behavior in angular and I will do it in salesforce accordingly&lt;/em&gt;&lt;/p&gt;
&lt;p&gt;in the below html code I am iterating 2 lists linItemData(11 records) and studyData(20 records)&lt;/p&gt;
&lt;pre&gt;&lt;code&gt;&amp;lt;table class="slds-table slds-table_cell-buffer slds-table_bordered"&amp;gt;
          &amp;lt;thead&amp;gt;
            &amp;lt;tr class="slds-line-height_reset"&amp;gt;
              &amp;lt;template if:true={studyData}&amp;gt;
                &amp;lt;template for:each={studyData} for:item="sData"&amp;gt;
                  &amp;lt;th key={sData}&amp;gt;
                    &amp;lt;div class="tablename slds-p-bottom_medium"&amp;gt;&amp;lt;/div&amp;gt;{sData.Visit_Name__c}
                  &amp;lt;/th&amp;gt;
                &amp;lt;/template&amp;gt;
              &amp;lt;/template&amp;gt;
            &amp;lt;/tr&amp;gt;
          &amp;lt;/thead&amp;gt;
          &amp;lt;tbody&amp;gt;
            &amp;lt;template if:true={lineItemData}&amp;gt;
              &amp;lt;template for:each={lineItemData} for:item="sLineItem"&amp;gt;
                &amp;lt;tr key={sLineItem}&amp;gt;
                  &amp;lt;template for:each={studyData} for:item="sData"&amp;gt;
                    &amp;lt;td key={sData.Id}&amp;gt;
                      &amp;lt;lightning-input variant="label-hidden" class="fieldSize" type="number" step="0.01"
                        label="visitValue" data-key={sData.Id} onchange={visitValueChange} placeholder="00.00"&amp;gt;
                      &amp;lt;/lightning-input&amp;gt;
                    &amp;lt;/td&amp;gt;
                  &amp;lt;/template&amp;gt;
                &amp;lt;/tr&amp;gt;
              &amp;lt;/template&amp;gt;
            &amp;lt;/template&amp;gt;
          &amp;lt;/tbody&amp;gt;
        &amp;lt;/table&amp;gt;
&lt;/code&gt;&lt;/pre&gt;
&lt;p&gt;and I am getting an expected result with all the required input fields on the UI like below:&lt;/p&gt;
&lt;p&gt;&lt;a href="https://i.stack.imgur.com/gJBV8.png" rel="nofollow noreferrer"&gt;&lt;img src="https://i.stack.imgur.com/gJBV8.png" alt="enter image description here"&gt;&lt;/a&gt;&lt;/p&gt;
&lt;p&gt;now I need to fetch the input value for all v20s for example for v1 (first column name)should have array of 11 input records.&lt;/p&gt;
&lt;p&gt;JS is as below:&lt;/p&gt;
&lt;pre&gt;&lt;code&gt;visitValueChange(event) {
    this.studyData
        .find(item =&amp;gt; item.Id === event.currentTarget.dataset.key)
        .visitValue = event.target.value;
}
&lt;/code&gt;&lt;/pre&gt;
&lt;p&gt;I have tried everything I could but the visitValue can hold only the 1 recent value for example if I add 1 on first input field, two on 2nd, three on 3rd and so on after that I hit a button which is calling a JS function to see the studyData array but it has only the recent value which is 3 not all 1,2 and 3 values entered and the requirement is to have an array of all the input values added on all the 11  input fileds for all the columns. 
Please help me to suggest any workaround for the same.&lt;/p&gt;
</t>
  </si>
  <si>
    <t xml:space="preserve">&lt;p&gt;I have been following this tutorial: &lt;a href="https://docs.microsoft.com/en-us/dynamics365/ai/customer-service-virtual-agent/how-to-use-dispatcher" rel="nofollow noreferrer"&gt;https://docs.microsoft.com/en-us/dynamics365/ai/customer-service-virtual-agent/how-to-use-dispatcher&lt;/a&gt; 
But I'm facing some problems when I'm trying to retrieve messages from VA (Virtual Agent) with DirectLine.&lt;/p&gt;
&lt;ul&gt;
&lt;li&gt;When I´m sending a message, for e.g, "Hi", from the Bot Framework Emulator, a error text is returned from the GetActivitiesAsync method: &lt;em&gt;"Sorry, something went wrong. I am not able to help you at the moment, please check back later".&lt;/em&gt;&lt;/li&gt;
&lt;/ul&gt;
&lt;p&gt;&lt;a href="https://i.stack.imgur.com/140y0.png" rel="nofollow noreferrer"&gt;&lt;img src="https://i.stack.imgur.com/140y0.png" alt="enter image description here"&gt;&lt;/a&gt;&lt;/p&gt;
&lt;ul&gt;
&lt;li&gt;However, when I¨m sending the same message in the user interface in the VA, I´m getting a correct response back:&lt;/li&gt;
&lt;/ul&gt;
&lt;p&gt;&lt;a href="https://i.stack.imgur.com/j1xqA.png" rel="nofollow noreferrer"&gt;&lt;img src="https://i.stack.imgur.com/j1xqA.png" alt="enter image description here"&gt;&lt;/a&gt;&lt;/p&gt;
&lt;p&gt;&lt;strong&gt;What I have checked so far:&lt;/strong&gt;&lt;/p&gt;
&lt;p&gt;I have grabbed the 'aadTenatId', 'id', and 'name' according to the tutorial:&lt;/p&gt;
&lt;p&gt;&lt;a href="https://i.stack.imgur.com/WmTop.png" rel="nofollow noreferrer"&gt;&lt;img src="https://i.stack.imgur.com/WmTop.png" alt="enter image description here"&gt;&lt;/a&gt;&lt;/p&gt;
&lt;p&gt;I see that token is retrieved correctly in code. And lastly, I see that I get the same problem when doing a GET-request from postman:&lt;/p&gt;
&lt;p&gt;&lt;a href="https://i.stack.imgur.com/4NFgp.png" rel="nofollow noreferrer"&gt;&lt;img src="https://i.stack.imgur.com/4NFgp.png" alt="enter image description here"&gt;&lt;/a&gt;&lt;/p&gt;
&lt;p&gt;Anyone have an idea what might be the problem?&lt;/p&gt;
&lt;p&gt;Thanks!&lt;/p&gt;
</t>
  </si>
  <si>
    <t xml:space="preserve">&lt;p&gt;I'm currently using Zeit.co for my frontend hosting, Firebase database, Google Functions as the backend, and I want to integrate a 3rd party CRM called Zoho. &lt;/p&gt;
&lt;p&gt;As part of the initial process to get the access code from Zoho, the mandatory parameters from Zoho include &lt;code&gt;client_id&lt;/code&gt;, &lt;code&gt;grant_type&lt;/code&gt;, &lt;code&gt;client_secret&lt;/code&gt;, and &lt;code&gt;Authorized Redirect URI&lt;/code&gt;. I was able to generate all parameters from Zoho directly, except &lt;code&gt;Authorized Redirect URI&lt;/code&gt;. As far as I know, this URI is the endpoint that Zoho will redirect the web browser to with the authorization code after authorizing the client.&lt;/p&gt;
&lt;p&gt;The setup process is similar to the example specified in this &lt;a href="http://www.slightlynerd.com/journal/1556096686605/generate-leads-with-calendly--firebase-and-zoho--a-story-of-webhooks" rel="nofollow noreferrer"&gt;link&lt;/a&gt;, except I'm not using Calendly, for those who need a specific example. It essentially details how the CRM requires the aforementioned parameters and using the access token obtained, one sets up a Google Function endpoint. &lt;/p&gt;
&lt;p&gt;Zeit's documentation &lt;a href="https://zeit.co/docs/api/#endpoints/oauth2/exchanging-code-for-an-access-token" rel="nofollow noreferrer"&gt;here&lt;/a&gt; indicates that the URI should be &lt;a href="https://zeit.co/oauth/authorize" rel="nofollow noreferrer"&gt;https://zeit.co/oauth/authorize&lt;/a&gt;. However, when I sent the request through Postman, the response came back as:&lt;/p&gt;
&lt;pre&gt;&lt;code&gt;{
    "error": "invalid_redirect_uri"
}
&lt;/code&gt;&lt;/pre&gt;
&lt;p&gt;How do I obtain &lt;code&gt;Authorized Redirect URI&lt;/code&gt;? Is it from the frontend platform? Or is it something I can obtain from the other far end, which in this case is the CRM?&lt;/p&gt;
</t>
  </si>
  <si>
    <t xml:space="preserve">&lt;p&gt;From &lt;strong&gt;&lt;a href="https://www.zoho.com/writer/help/api/v1/oauth-step1.html" rel="nofollow noreferrer"&gt;Zoho's documentation&lt;/a&gt;:&lt;/strong&gt;&lt;/p&gt;
&lt;h2&gt;Authorized redirect URI&lt;/h2&gt;
&lt;blockquote&gt;
  &lt;p&gt;&lt;strong&gt;It is the callback URL that should be given while registering your app with Zoho. This determines where the API server has to redirect the user after completing the authorization flow. The value of this parameter must exactly match with one of the redirect_uri values that is listed for your project in the Zoho's Developer Console.
  Please note that the redirect_uri should be character perfect i.e., the HTTP or HTTPS, case, and trailing slash ('/') of the redirect URLs must all match.&lt;/strong&gt; &lt;/p&gt;
&lt;/blockquote&gt;
&lt;hr&gt;
&lt;h2&gt;Example&lt;/h2&gt;
&lt;blockquote&gt;
  &lt;p&gt;&lt;strong&gt;&lt;a href="http://www.example.com/oauth2callback" rel="nofollow noreferrer"&gt;http://www.example.com/oauth2callback&lt;/a&gt;&lt;/strong&gt;&lt;/p&gt;
&lt;/blockquote&gt;
&lt;p&gt;More info can be found &lt;strong&gt;&lt;a href="https://www.zoho.com/mail/help/api/using-oauth-2.html#alink3" rel="nofollow noreferrer"&gt;here&lt;/a&gt;&lt;/strong&gt;. Hope it helps!&lt;/p&gt;
</t>
  </si>
  <si>
    <t xml:space="preserve">&lt;p&gt;I wish to run an App Maker application as a specific user and have created an account specifically for deploying with "run as the developer".&lt;/p&gt;
&lt;p&gt;Using my normal account I have no issues deploying but when using the new account I do not get any options presented for Cloud SQL.  As this user is not able to choose either option then it is impossible to deploy the app.&lt;/p&gt;
&lt;p&gt;The following has been checked already&lt;/p&gt;
&lt;ol&gt;
&lt;li&gt;The new user has the same application rights as my normal user within the G-Suite admin console.&lt;/li&gt;
&lt;li&gt;The new user has editor rights to the App Maker project (is owner).&lt;/li&gt;
&lt;li&gt;The new user has owner rights to the GCP project that hosts the default Cloud SQL instance.&lt;/li&gt;
&lt;li&gt;The default Cloud SQL instance is the same for both users.&lt;/li&gt;
&lt;/ol&gt;
&lt;p&gt;Is there anything I am missing that could cause this behaviour?&lt;/p&gt;
</t>
  </si>
  <si>
    <t xml:space="preserve">&lt;p&gt;According to &lt;a href="https://powerapps.microsoft.com/en-us/blog/connecting-to-oracle-database-from-powerapps-flow-and-logic-apps/" rel="nofollow noreferrer"&gt;this article&lt;/a&gt;:&lt;/p&gt;
&lt;blockquote&gt;
  &lt;p&gt;You can now connect to your Oracle Database from PowerApps, Flow and Logic  Apps.  The Oracle Database connection allows you to list tables, and perform standard create, read, update and delete of rows in an Oracle databases.  In addition, it supports full delegation of PowerApps’ filtering, sorting and other functions.  It does not support triggers or store procedures yet.&lt;/p&gt;
&lt;/blockquote&gt;
&lt;p&gt;The article was written in March 2017.  Does the connector support triggers and stored procedures now?&lt;/p&gt;
</t>
  </si>
  <si>
    <t xml:space="preserve">&lt;p&gt;I see the &lt;a href="https://docs.microsoft.com/en-us/connectors/oracle/" rel="nofollow noreferrer"&gt;latest update&lt;/a&gt; mentioned about added support for Stored Procedures but with some limitations.&lt;/p&gt;
&lt;blockquote&gt;
  &lt;p&gt;&lt;strong&gt;January 2018&lt;/strong&gt;&lt;br&gt;
  Support Oracle view as read-only table&lt;br&gt;
  &lt;strong&gt;October 2018&lt;/strong&gt;&lt;br&gt;
  Support Oracle Stored Procedure  &lt;/p&gt;
  &lt;p&gt;&lt;strong&gt;Known issues and limitations&lt;/strong&gt;&lt;br&gt;
  The followings are some of the known limitations of using Oracle connector  &lt;/p&gt;
  &lt;ol&gt;
  &lt;li&gt;When invoking a Stored Procedure on an Oracle server, we have the following limitations:&lt;br&gt;
  a. OUT parameters are not supported currently.&lt;br&gt;
  b. Return value is not available since Oracle Stored Procedure does not return any result.  &lt;/li&gt;
  &lt;li&gt;Oracle Functions are not supported so they are not listed in the UI.  &lt;/li&gt;
  &lt;li&gt;The response size limit is 8MB.  &lt;/li&gt;
  &lt;li&gt;Oracle native query is not supported.  &lt;/li&gt;
  &lt;/ol&gt;
&lt;/blockquote&gt;
&lt;p&gt;Not sure about Trigger (I assume it is in backlog), you can submit the idea for community support votes to get prioritized by Microsoft &lt;a href="https://powerusers.microsoft.com/t5/forums/searchpage/tab/message?q=oracle%20connector" rel="nofollow noreferrer"&gt;here&lt;/a&gt;.&lt;/p&gt;
</t>
  </si>
  <si>
    <t xml:space="preserve">&lt;p&gt;thanks for reading. I have added the App Maker APIs to the Azure firewall as described &lt;a href="https://developers.google.com/apps-script/guides/jdbc" rel="nofollow noreferrer"&gt;here&lt;/a&gt; I have tried connecting from App Maker to the sqlserver database on azure several ways, and I have triple checked my username and password and used it to connect directly to the database in other applications. &lt;/p&gt;
&lt;p&gt;Here are some things I have tried:&lt;/p&gt;
&lt;pre&gt;&lt;code&gt;var dbUrl = 'jdbc:sqlserver://mydatabase.database.windows.net:1433/mydatabase';
var user = 'myusername';
var userPwd = 'mypassword';
function getJDBCConnection() {
  try {
    return Jdbc.getConnection(dbUrl, user, userPwd);
  } catch (err) {
    if (err.message.match(/Failed to establish a database connection/)) {
      throw new Error(err.message + ' Please refer to the ReadMe and edit ' +
                      'your database settings!');
    } else {
      throw err;
    }
  }
}
&lt;/code&gt;&lt;/pre&gt;
&lt;p&gt;and I have also tried creating the connection directly with two methods, first:&lt;/p&gt;
&lt;pre&gt;&lt;code&gt;    var conn = Jdbc.getConnection('jdbc:sqlserver://mydatabase.database.windows.net:1433/mydatabase','username', 'password');
&lt;/code&gt;&lt;/pre&gt;
&lt;p&gt;and also like this&lt;/p&gt;
&lt;pre&gt;&lt;code&gt;    var conn = Jdbc.getConnection('jdbc:sqlserver://mydatabase.database.windows.net:1433/mydatabase', {user: 'username', password: 'password'});
&lt;/code&gt;&lt;/pre&gt;
&lt;p&gt;any advice is greatly appreciated.&lt;/p&gt;
</t>
  </si>
  <si>
    <t xml:space="preserve">&lt;p&gt;According what I found, when Gooele APP using JDBC connect to Microsoft SQL server, the connection string has some difference.&lt;/p&gt;
&lt;p&gt;Here's the example of connection URL :&lt;/p&gt;
&lt;pre&gt;&lt;code&gt;String connectionUrl = "jdbc:sqlserver://&amp;lt;server&amp;gt;:&amp;lt;port&amp;gt;;" +  
   "databaseName=AdventureWorks;user=MyUserName;password=*****;"; 
&lt;/code&gt;&lt;/pre&gt;
&lt;p&gt;Reference: &lt;/p&gt;
&lt;ol&gt;
&lt;li&gt;&lt;a href="https://docs.microsoft.com/en-us/sql/connect/jdbc/using-the-jdbc-driver?view=sql-server-ver15#making-a-simple-connection-to-a-database" rel="nofollow noreferrer"&gt;JDBC: Making a simple connection to a database&lt;/a&gt;&lt;/li&gt;
&lt;li&gt;&lt;a href="https://docs.microsoft.com/en-us/sql/connect/jdbc/connection-url-sample?view=sql-server-ver15#example" rel="nofollow noreferrer"&gt;JDBC: Connection URL sample&lt;/a&gt;&lt;/li&gt;
&lt;/ol&gt;
&lt;p&gt;This blog has the same error when connect to Microsoft SQL server, and it solved by change the connection URL: &lt;a href="https://stackoverflow.com/questions/18978380/error-when-connecting-to-mssql-server-with-google-apps-script-via-jdbc/18992272#18992272"&gt;Error when connecting to MSSQL Server with Google Apps Script via JDBC&lt;/a&gt;&lt;/p&gt;
&lt;p&gt;Hope this helps.&lt;/p&gt;
</t>
  </si>
  <si>
    <t xml:space="preserve">&lt;p&gt;I have a PowerApps App which is linked to a SharePoint List. When the user makes some changes to the text field in the app; I want the flow to send the user an email regarding the update.&lt;/p&gt;
&lt;p&gt;I've been trying to track the SharePoint List entry and see if the entry is modified, then send an email. But so far I'm unable to do so.&lt;/p&gt;
&lt;p&gt;I've been able to send an email when a text field changes to a specific text; but I'm looking for something where a particular entry in the list is changed.&lt;/p&gt;
&lt;pre class="lang-none prettyprint-override"&gt;&lt;code&gt;When an item is created or modified &amp;gt; Condition (Column is equal to Yes) &amp;gt; Send email based on the condition
&lt;/code&gt;&lt;/pre&gt;
</t>
  </si>
  <si>
    <t xml:space="preserve">&lt;p&gt;Say I have a dropdown with values X, Y, z, and I have a script taht does something to another dropdown when it is modified (this all works by hand).&lt;/p&gt;
&lt;p&gt;But now, sometimes the dropdown value is known previously, so instead of having the user choose the number from the dropdown, it is set by the program.&lt;/p&gt;
&lt;p&gt;Now the onValueChange() script is NOT being called, so the logic on the rest of the form isn't happening. &lt;/p&gt;
&lt;p&gt;The script that runs and changes the values if the properties already exist is happening on the page onAttach().&lt;/p&gt;
&lt;p&gt;From reading the descriptions, onValueChange() SHOULD do something here, but it isnt' being triggered, I added a console line to be sure.&lt;/p&gt;
</t>
  </si>
  <si>
    <t xml:space="preserve">&lt;p&gt;Typically there is an execution order with onAttach events, so if you set a function in the page onAttach event that you would expect to cause an onValueChange event in another element within the page, that event may not get executed because at the time the page attaches and the function executes, the other widget may not yet exist in the DOM tree.&lt;/p&gt;
&lt;p&gt;Therefore it is typically better to attach such functions to the individual elements onAttach event vs the page onAttach event.&lt;/p&gt;
</t>
  </si>
  <si>
    <t xml:space="preserve">&lt;p&gt;am embedding powerapps form in sharepoint page. i have a dropdown box in powerapps. in sharepoint page based on dropdown value i want to display some code. from below code i want APAC text. am not included divchatbutton html code here. &lt;/p&gt;
&lt;p&gt;this is my HTML code which is generated in browser.&lt;/p&gt;
&lt;pre&gt;&lt;code&gt;div data-is-focusable="true" id="react-combobox-view-0" class="label_kohvda-o_O-label_2lsolt" tabindex="9" role="listbox" aria-expanded="false" aria-haspopup="true" aria-atomic="true" title="Region" aria-live="assertive"&amp;gt;
&amp;lt;div style="width: 100%; overflow: hidden; position: relative; display: flex; height: 100%; align-items: stretch;"&amp;gt;
&amp;lt;ul style="margin: 0px; padding: 5px; list-style: none; display: flex; overflow: hidden;"&amp;gt;
&amp;lt;li class="selectedItem_1og5q2j"&amp;gt;
&amp;lt;span class="topTagText_yz2uri-o_O-topTagText_t9v74o-o_O-topTagTextReadonly_ps5463"&amp;gt;APAC&amp;lt;/span&amp;gt;&amp;lt;/li&amp;gt;&amp;lt;/ul&amp;gt;&amp;lt;/div&amp;gt;
&amp;lt;div class="combobox-view-chevron arrowContainer_1kmq8gc-o_O-container_r2h174-o_O-containerColors_1803dea"&amp;gt;&amp;lt;/div&amp;gt;&amp;lt;/div&amp;gt;
&lt;/code&gt;&lt;/pre&gt;
&lt;blockquote&gt;
  &lt;p&gt;this is my javascript code&lt;/p&gt;
&lt;/blockquote&gt;
&lt;pre&gt;&lt;code&gt;&amp;lt;script&amp;gt;
function runAfterEverythingElse(){   
 var nav = document.getElementById("divChatButton");
       nav.style.display='none';
    GetRegion();
}
_spBodyOnLoadFunctionNames.push("GetRegion");`
function GetRegion(){
        // do whatever you like here
        var myDiv = document.getElementById('react-combobox-view-0');
    var x = myDiv.getElementsByTagName('div');
    var y = x[0].getElementsByTagName('ul');
    var z = y[0].children[0].innerText;
    if(z=="AMER")
    {
         var nav = document.getElementById("divChatButton");
       nav.style.display='block';
    }
    else
    {
         var nav = document.getElementById("divChatButton");
       nav.style.display='none';
    }
        setTimeout(yourFunction, 2000);
}
&amp;lt;/script&amp;gt;
&lt;/code&gt;&lt;/pre&gt;
</t>
  </si>
  <si>
    <t xml:space="preserve">&lt;blockquote&gt;
  &lt;p&gt;am embedding powerapps form in sharepoint page. i have a dropdown box in powerapps. in sharepoint page based on dropdown value i want to display some code. from below code i want APAC text. here this html code is dynamically generated in browser.&lt;/p&gt;
  &lt;p&gt;this is my HTML code which is generated in browser.&lt;/p&gt;
&lt;/blockquote&gt;
&lt;pre&gt;&lt;code&gt;&amp;lt;div data-is-focusable="true" id="react-combobox-view-0" class="label_kohvda-o_O-label_2lsolt" tabindex="9" role="listbox" aria-expanded="false" aria-haspopup="true" aria-atomic="true" title="Region" aria-live="assertive"&amp;gt;
&amp;lt;div style="width: 100%; overflow: hidden; position: relative; display: flex; height: 100%; align-items: stretch;"&amp;gt;
&amp;lt;ul style="margin: 0px; padding: 5px; list-style: none; display: flex; overflow: hidden;"&amp;gt;
&amp;lt;li class="selectedItem_1og5q2j"&amp;gt;
&amp;lt;span class="topTagText_yz2uri-o_O-topTagText_t9v74o-o_O-topTagTextReadonly_ps5463"&amp;gt;APAC&amp;lt;/span&amp;gt;&amp;lt;/li&amp;gt;&amp;lt;/ul&amp;gt;&amp;lt;/div&amp;gt;
&amp;lt;div class="combobox-view-chevron arrowContainer_1kmq8gc-o_O-container_r2h174-o_O-containerColors_1803dea"&amp;gt;&amp;lt;/div&amp;gt;&amp;lt;/div&amp;gt;
&lt;/code&gt;&lt;/pre&gt;
</t>
  </si>
  <si>
    <t xml:space="preserve">&lt;p&gt;I have a two SharePoint list: List1 and List2
List1 has a Lookup column, its associated with List2.&lt;/p&gt;
&lt;p&gt;Ex: List 2 Looks like below&lt;/p&gt;
&lt;p&gt;&lt;a href="https://i.stack.imgur.com/qU5jS.png" rel="nofollow noreferrer"&gt;&lt;img src="https://i.stack.imgur.com/qU5jS.png" alt="enter image description here"&gt;&lt;/a&gt;&lt;/p&gt;
&lt;p&gt;So in List1 Lookup field I need only Test1 In the Dropdown (Where IsAvailable is No only those values I need in the DD)
How to apply formula for this in Powerapps?&lt;/p&gt;
&lt;p&gt;I was trying formula like below: &lt;/p&gt;
&lt;pre&gt;&lt;code&gt;choices(Filter( [@'List1'].LookupField , IsAvailable="No"))
&lt;/code&gt;&lt;/pre&gt;
</t>
  </si>
  <si>
    <t xml:space="preserve">&lt;p&gt;I am trying write back to Oracle table from PowerApps. But I'm getting the following error: &lt;/p&gt;
&lt;blockquote&gt;
  &lt;p&gt;"The Data source is read-only, so the function Patch can't write to it"&lt;/p&gt;
&lt;/blockquote&gt;
&lt;p&gt;I have access to this Oracle table and table data is also visible in my PowerApp but I cannot insert in DB from my PowerApp. &lt;/p&gt;
&lt;p&gt;Primary key is perfectly fine, defined well with all constraints. I can insert by using SQL query in the same table but when I do same with PowerApps I get error. &lt;/p&gt;
&lt;p&gt;Here is my Patch function.&lt;/p&gt;
&lt;pre&gt;&lt;code&gt;Patch('[PLAN].[V_PLAN_L_TYP]',Defaults('[PLAN].[V_PLAN_L_TYP]') , {TYP_ID: TYP_ID_TextInput.Text, TYP_DESC: TYP_DESC_TextInput.Text,
KANAL_AKT: KANAL_AKT_TextInput.Text } );
&lt;/code&gt;&lt;/pre&gt;
&lt;p&gt;Is it possible to write back to Oracle table or not?&lt;/p&gt;
</t>
  </si>
  <si>
    <t xml:space="preserve">&lt;p&gt;I have an issue with Screen On visible parameter condition if user unauthorized else navigate, in case user is not authorized to view a specific in screen, then the user will be redirect to another screen. if there is any another option please provide me with a solution.&lt;/p&gt;
&lt;pre&gt;&lt;code&gt;If(
    IsBlank(
            Param("ID")
   ),
   0,
   If (
        LookUp(
                &amp;lt;&amp;lt;Table_Name&amp;gt;&amp;gt;, 
                &amp;lt;&amp;lt;Field_name&amp;gt;&amp;gt; = Param("ID"),
                &amp;lt;&amp;lt;Field_name&amp;gt;&amp;gt;
              ) = Office365Users.MyProfile().Mail,
        Param("ID"),
        Navigate(Auth_404)
      )
)
&lt;/code&gt;&lt;/pre&gt;
&lt;p&gt;Thanks in advance&lt;/p&gt;
</t>
  </si>
  <si>
    <t xml:space="preserve">&lt;p&gt;Rather than executing the code &lt;code&gt;OnVisible&lt;/code&gt; of your first screen, have you considered moving the code to &lt;code&gt;OnStart&lt;/code&gt; of the application?&lt;/p&gt;
</t>
  </si>
  <si>
    <t xml:space="preserve">&lt;p&gt;Zoho CRM has something called Widgets to extend it's functionality. Using the widgets feature, you can directly embed UI components in a CRM and use the data form a third-party application to perform actions as per requirement.&lt;/p&gt;
&lt;p&gt;A widget is basically an HTML file which is loaded in a popup once a custom button is fired. To store/retrieve data from Zoho CRM you need to load jQuery and their &lt;a href="https://help.zwidgets.com/help/latest/index.html" rel="nofollow noreferrer"&gt;JS SDK&lt;/a&gt; in the HTML file.&lt;/p&gt;
&lt;p&gt;The most basic HTML file looks like this:&lt;/p&gt;
&lt;pre&gt;&lt;code&gt;&amp;lt;!DOCTYPE html&amp;gt;
&amp;lt;html lang="en"&amp;gt;
  &amp;lt;head&amp;gt;
    &amp;lt;meta charset="UTF-8"&amp;gt;
    &amp;lt;meta name="viewport" content="width=device-width, initial-scale=1.0"&amp;gt;
    &amp;lt;meta http-equiv="X-UA-Compatible" content="ie=edge"&amp;gt;
    &amp;lt;script src="https://code.jquery.com/jquery-3.4.1.slim.min.js"&amp;gt;&amp;lt;/script&amp;gt;
    &amp;lt;script src="https://live.zwidgets.com/js-sdk/1.0.5/ZohoEmbededAppSDK.min.js"&amp;gt;&amp;lt;/script&amp;gt;
    &amp;lt;title&amp;gt;Document&amp;lt;/title&amp;gt;
  &amp;lt;/head&amp;gt;
  &amp;lt;body&amp;gt;
    &amp;lt;script&amp;gt;
      ZOHO.embeddedApp.on("PageLoad",function(data) {
        console.log(data);
        //Custom Business logic goes here
      });
      ZOHO.embeddedApp.init();
    &amp;lt;/script&amp;gt;
  &amp;lt;/body&amp;gt;
&amp;lt;/html&amp;gt;
&lt;/code&gt;&lt;/pre&gt;
&lt;p&gt;In this file &lt;code&gt;console.log(data)&lt;/code&gt; will log information about the page on which the widget is fired. On for instants a Lead page, it will log information about that lead, like the id.&lt;/p&gt;
&lt;p&gt;Functions to store/retrieve data need to be used where it says &lt;code&gt;//Custom Business logic goes here&lt;/code&gt;.&lt;/p&gt;
&lt;p&gt;The code for getting all Leads in this widget looks like:&lt;/p&gt;
&lt;pre&gt;&lt;code&gt;&amp;lt;!DOCTYPE html&amp;gt;
&amp;lt;html lang="en"&amp;gt;
  &amp;lt;head&amp;gt;
    &amp;lt;meta charset="UTF-8"&amp;gt;
    &amp;lt;meta name="viewport" content="width=device-width, initial-scale=1.0"&amp;gt;
    &amp;lt;meta http-equiv="X-UA-Compatible" content="ie=edge"&amp;gt;
    &amp;lt;script src="https://code.jquery.com/jquery-3.4.1.slim.min.js"&amp;gt;&amp;lt;/script&amp;gt;
    &amp;lt;script src="https://live.zwidgets.com/js-sdk/1.0.5/ZohoEmbededAppSDK.min.js"&amp;gt;&amp;lt;/script&amp;gt;
    &amp;lt;title&amp;gt;Document&amp;lt;/title&amp;gt;
  &amp;lt;/head&amp;gt;
  &amp;lt;body&amp;gt;
    &amp;lt;script&amp;gt;
      ZOHO.embeddedApp.on("PageLoad",function(data) {
        ZOHO.CRM.API.getAllRecords({Entity:"Leads"})
          .then(function(data){
            console.log(data)
          })
      });
      ZOHO.embeddedApp.init();
    &amp;lt;/script&amp;gt;
  &amp;lt;/body&amp;gt;
&amp;lt;/html&amp;gt;
&lt;/code&gt;&lt;/pre&gt;
&lt;p&gt;Because I need to create multiple Zoho Widgets and use the same Vue Components on every Widget I thought of using NuxtJS. I successfully create the Vue Components, but I have no clue how to incorporate Zoho's JS SDK.&lt;/p&gt;
&lt;p&gt;Is there anybody who can give me some suggestions how to make this work? Thanks! &lt;/p&gt;
</t>
  </si>
  <si>
    <t xml:space="preserve">&lt;p&gt;When I'm manipulating large data sets I don't want to have to page through them on the execution side, so I have the pageSize set to 0, but when i'm displaying it I want them to pages.&lt;/p&gt;
&lt;p&gt;On the "datasources" page of the appmaker resources it says &lt;/p&gt;
&lt;blockquote&gt;
  &lt;p&gt;"For example, you can let the user control how many records are shown
  by binding a slider widget's value property to the datasource pageSize
  property."&lt;/p&gt;
&lt;/blockquote&gt;
&lt;p&gt;How do I actually manipulate the pageSize property? this doesn't seem to work:&lt;/p&gt;
&lt;pre&gt;&lt;code&gt;app.datasources.filesToCopy.properties.pageSize = 0;
app.datasources.filesToCopy.properties.pageSize = 20;
&lt;/code&gt;&lt;/pre&gt;
&lt;p&gt;Anyone with any experience on this?&lt;/p&gt;
&lt;p&gt;and this gives undefined:&lt;/p&gt;
&lt;p&gt;Page length: undefined&lt;/p&gt;
&lt;pre&gt;&lt;code&gt;console.log("Page length: "+app.datasources.filesToCopy.properties.pageSize);
&lt;/code&gt;&lt;/pre&gt;
</t>
  </si>
  <si>
    <t xml:space="preserve">&lt;p&gt;I'm trying to query 2 datasources from the same text box, how do I update my server side query script?&lt;/p&gt;
&lt;p&gt;I've modified the existing Google's AppMaker template for Vendor Ratings and customizing it for our internal use.   &lt;/p&gt;
&lt;p&gt;Inside the app, I've added a new datasource - Category that has a Many to Many relationship with the Contact datasource. &lt;/p&gt;
&lt;p&gt;!&lt;a href="https://imgur.com/MWKN5Zd" rel="nofollow noreferrer"&gt;https://imgur.com/MWKN5Zd&lt;/a&gt;&lt;/p&gt;
&lt;p&gt;In the header of the Contacts page the search bar DOES works if I'm looking for something where the SearchText matches a field in the Contact datasource.&lt;/p&gt;
&lt;p&gt;I was successful in linking a Dropdown for Category to a new query parameter SearchCategory.   &lt;/p&gt;
&lt;p&gt;!&lt;a href="https://imgur.com/f7mGeiT" rel="nofollow noreferrer"&gt;https://imgur.com/f7mGeiT&lt;/a&gt;&lt;/p&gt;
&lt;p&gt;!&lt;a href="https://imgur.com/90dRgEp" rel="nofollow noreferrer"&gt;https://imgur.com/90dRgEp&lt;/a&gt;&lt;/p&gt;
&lt;p&gt;I can't figure out how to make SearchText also query the Category datasource to see if it matches an existing Category and if it does match, return those contacts too.&lt;/p&gt;
&lt;p&gt;I've included a copy of my modified getContacts_ function below.   &lt;/p&gt;
&lt;pre class="lang-js prettyprint-override"&gt;&lt;code&gt;function getContacts_(query) {
  if (query.parameters.SearchCategory === null) {
    query.where = '(FirstName contains? :SearchText or CellPhone contains? ' +
     ':SearchText or Email contains? :SearchText or CompanyName contains? :SearchText or Website contains? :SearchText or LastName contains? :SearchText or OfficePhone contains? :SearchText)';
    return query.run();    
  } else {
    var contacts = []; // blank array   
    var newQuery = app.models.Contact.newQuery({sorting: query.valueOf().sorting});
     newQuery.where = '(FirstName contains? :SearchText or CellPhone contains? ' +
      ':SearchText or Email contains? :SearchText or CompanyName contains? :SearchText or Website contains? :SearchText or LastName contains? :SearchText or OfficePhone contains? :SearchText)';
    newQuery.parameters.SearchText = query.parameters.SearchText;
    newQuery.parameters.View = query.parameters.View;
    contacts = newQuery.run();
     if (query.parameters.SearchCategory !== null) {  //Strictly enforced, returns TRUE - Category is not NULL
     var category = app.models.Category.getRecord(query.parameters.SearchCategory);
     var categoryContacts = category.Contact.map(function(c) { 
        return c._key; });
     contacts = contacts.filter(function(c) {
        return categoryContacts.indexOf(c._key) &amp;gt; -1;
      });
    }
    var contactsArray = [];
for (var k = 0; k &amp;lt; contacts.length; k++) {
        contactsArray.push(contacts[k]);
}
    var result = contactsArray;
    // Apply paging params
    return result.slice(query.offset, query.offset + query.limit);
  }
}
&lt;/code&gt;&lt;/pre&gt;
&lt;p&gt;I'd like to be able to use the search bar to return Contacts where the SearchText matches Category name.  IE. "Retail"&lt;/p&gt;
&lt;p&gt;Any advice is greatly appreciated!&lt;/p&gt;
</t>
  </si>
  <si>
    <t xml:space="preserve">&lt;p&gt;Currently I am implementing a custom list in a model driven app. I noticed that while filtering the data the init method as well as the &lt;code&gt;updateView&lt;/code&gt; method is called, furthermore the &lt;code&gt;updateView&lt;/code&gt; method is called 3 times. However, the new view is not rendered.&lt;/p&gt;
&lt;p&gt;My guess is that the async promises are not correctly ordered and processed by my components, so that the &lt;code&gt;init&lt;/code&gt; method at the end resets everything to or overwrites it with the original data.&lt;/p&gt;
&lt;p&gt;What would be the right way to do this?&lt;/p&gt;
&lt;ol&gt;
&lt;li&gt;Initially render the components (by this I mean the render code in the &lt;code&gt;init&lt;/code&gt; or &lt;code&gt;updateView&lt;/code&gt; method)?&lt;/li&gt;
&lt;li&gt;if the data is refreshed, how do the async calls have to be processed to render the view again?&lt;/li&gt;
&lt;/ol&gt;
&lt;p&gt;Currently the code looks like the following:&lt;/p&gt;
&lt;pre&gt;&lt;code&gt;     public init(context: ComponentFramework.Context&amp;lt;IInputs&amp;gt;, notifyOutputChanged: () =&amp;gt; void, state: ComponentFramework.Dictionary, container: HTMLDivElement) {
    this._context = context;
    //load the global context with the app properties.
    this._globalContext = Xrm.Utility.getGlobalContext();
    this._globalContext.getCurrentAppProperties().then((appProperties:any) =&amp;gt;{
      this._currentAppProperties = appProperties;
      this._projectList = React.createElement(ProjectDetailList,{context:this._context, appProperties: this._currentAppProperties, globalContext: this._globalContext});
      ReactDOM.render(React.createElement(Fabric, null, this._projectList), container);
    }, (error:any) =&amp;gt;{console.log(error)});
  }
  public updateView(context: ComponentFramework.Context&amp;lt;IInputs&amp;gt;): void {
    // storing the latest context from the control.
    this._context = context;
    this._globalContext = Xrm.Utility.getGlobalContext();
    this._globalContext.getCurrentAppProperties().then((appProperties:any) =&amp;gt;{
      this._currentAppProperties = appProperties;
      ReactDOM.render(React.createElement(Fabric, null, React.createElement(ProjectDetailList,{context:this._context, appProperties: this._currentAppProperties, globalContext: this._globalContext})), this._container);
    }, (error:any) =&amp;gt;{console.log(error)});
    console.log("NEW CONTEXT!!!! -&amp;gt;&amp;gt;&amp;gt;&amp;gt;&amp;gt;&amp;gt;&amp;gt;&amp;gt;&amp;gt;&amp;gt;&amp;gt;&amp;gt;&amp;gt;&amp;gt;&amp;gt;&amp;gt;&amp;gt;&amp;gt;&amp;gt;&amp;gt;&amp;gt;&amp;gt;&amp;gt;")
    console.log(this._currentAppProperties);
    console.log(context);
    console.log(this._context);
  }
&lt;/code&gt;&lt;/pre&gt;
</t>
  </si>
  <si>
    <t xml:space="preserve">&lt;p&gt;I am using Drive Picker widget in my app maker application. It was working fine before but suddenly it has stopped working/ working intermittently.&lt;/p&gt;
&lt;p&gt;On clicking the drive picker widget a blank screen opens up and I see below error in the browser console.&lt;/p&gt;
&lt;blockquote&gt;
  &lt;p&gt;Failed to execute 'postMessage' on 'DOMWindow': The target origin
  provided ('&lt;a href="https://docs.google.com" rel="nofollow noreferrer"&gt;https://docs.google.com&lt;/a&gt;') does not match the recipient
  window's origin
  ('&lt;a href="https://n-yx2zaueilofy7fq447wkpjrsjaoo5ymoirri23i-0lu-script.googleusercontent.com" rel="nofollow noreferrer"&gt;https://n-yx2zaueilofy7fq447wkpjrsjaoo5ymoirri23i-0lu-script.googleusercontent.com&lt;/a&gt;').&lt;/p&gt;
&lt;/blockquote&gt;
&lt;p&gt;To confirm that it is not specific to my application I tried the same in Drive Picker Sample application from appmaker samples and got the same error.&lt;/p&gt;
&lt;p&gt;Any ideas?&lt;/p&gt;
</t>
  </si>
  <si>
    <t xml:space="preserve">&lt;p&gt;I embedded a PowerApps application on a SharePoint page using the PowerApps (preview) webpart and also the Embed webpart (iframe).&lt;/p&gt;
&lt;p&gt;I tried to open the page in IE 11, but the app is not loaded properly, instead, I get the Sign in screen. After a few page refreshes, the app is loaded properly.&lt;/p&gt;
&lt;p&gt;This is happening on both webparts, IE compatibility view is switched off. Also, the embedded app is from the same tenant.&lt;/p&gt;
&lt;p&gt;This works fine in Chrome and Mozilla.&lt;/p&gt;
&lt;p&gt;Has anyone seen this behavior before or is this a known issue?&lt;/p&gt;
</t>
  </si>
  <si>
    <t xml:space="preserve">&lt;p&gt;I was trying to create a form using Google app maker. And I created a field textbox. I created a box using CSS. But the problem I'm facing is the Label of the box is floating. Like when I first enter in the form the label for the textbox "Enter your name" is inside the box. 
what I have right now is this
Before Focus 
&lt;a href="https://i.stack.imgur.com/Di9eg.png" rel="nofollow noreferrer"&gt;&lt;img src="https://i.stack.imgur.com/Di9eg.png" alt="enter image description here"&gt;&lt;/a&gt;&lt;/p&gt;
&lt;p&gt;after focus : 
&lt;a href="https://i.stack.imgur.com/JNsCZ.png" rel="nofollow noreferrer"&gt;&lt;img src="https://i.stack.imgur.com/JNsCZ.png" alt="enter image description here"&gt;&lt;/a&gt;&lt;/p&gt;
&lt;p&gt;But when user start to type it it goes up. But I want to have a fix position for it. Something Like this. 
&lt;a href="https://i.stack.imgur.com/RE0Jo.png" rel="nofollow noreferrer"&gt;&lt;img src="https://i.stack.imgur.com/RE0Jo.png" alt="enter image description here"&gt;&lt;/a&gt;
so far I only have this CSS styles: &lt;/p&gt;
&lt;pre&gt;&lt;code&gt;.app-Email-Name {
  border-style: solid;
  border-width: 0.75px 0.75px 0.75px 0.75px;
  border-color: gray;
  border-radius: 5px;
}
&lt;/code&gt;&lt;/pre&gt;
</t>
  </si>
  <si>
    <t xml:space="preserve">&lt;p&gt;After searching for more than 6 hours trying to understand what is zoho's mail problem to send emails! 
After i red lots lots of there answer with no helpful solution i found the issue was that you need to have the &lt;code&gt;sender&lt;/code&gt; option
in your NodeMailer option same like email with same sender name and sender email. like this : &lt;code&gt;from: '"senderNameSameLikeTheZohoOne&amp;lt;emailname@yourwebsite.com&amp;gt;',&lt;/code&gt;&lt;/p&gt;
&lt;p&gt;my config :&lt;/p&gt;
&lt;pre&gt;&lt;code&gt;const transporter = nodemailer.createTransport({
        service:'Zoho',
        host: 'smtp.zoho.com',
        port: 465,
        secure: true, // use SSL
        auth: {
          user: `${process.env.EMAIL_ADDRESS}`,
          pass: `${process.env.EMAIL_PASSWORD}`
        },
      });
      const mailOptions = {
        from: '"senderNameSameLikeTheZohoOne" &amp;lt;emailname@yourwebsite.com&amp;gt;',
        to: `${user.email}`,
        subject: '',
        text:''
         ,
      };
transporter.sendMail(mailOptions, (err, response) =&amp;gt; {
        if (err) {
          console.error('there was an error: ', err);
          res.status(401).json(err);
        } else {
          // console.log('here is the res: ', response);
          res.status(200).json('recovery email sent');
        }
      });
&lt;/code&gt;&lt;/pre&gt;
&lt;p&gt;hopefully it helps someone&lt;/p&gt;
</t>
  </si>
  <si>
    <t xml:space="preserve">&lt;p&gt;When i open a form called screen1,  i need the radio1  option to not select either radio button.&lt;/p&gt;
&lt;p&gt;I have 2 options on the radio1   "Override" and "ByPass".&lt;/p&gt;
&lt;p&gt;I have tried setting the default value( for form screen1) to  = radio1.default  = "No Value" but it does not work ?&lt;/p&gt;
</t>
  </si>
  <si>
    <t xml:space="preserve">&lt;p&gt;I tried to embed a PowerApps application from a different tenant on my SharePoint Online Page using the Embed webpart.&lt;/p&gt;
&lt;p&gt;I am passing the app Id and the tenantId in the iframe source.&lt;/p&gt;
&lt;p&gt;I also added the current logged-in user as a guest in the other tenant and also I shared the PowerApp with him.&lt;/p&gt;
&lt;p&gt;First time the App was loaded successfully, but then after a few refreshes, I got the message: "Sorry, we didn’t find that app."&lt;/p&gt;
&lt;p&gt;I am using Chrome. and the issue is sporadic.&lt;/p&gt;
&lt;p&gt;Does anyone experienced this issue before? Is this a known issue?&lt;/p&gt;
</t>
  </si>
  <si>
    <t xml:space="preserve">&lt;p&gt;When I am on the main page and want to go to the settings, I click the "Settings" button in the upper right corner, it opens in a new tab.
Is there any way to change the opening of the settings page directly in the same tab? Thank you&lt;/p&gt;
</t>
  </si>
  <si>
    <t xml:space="preserve">&lt;p&gt;Ok so im trying to customize my google domains google waffle. I want my own google sites to appear there and thought id use google appmaker to make a clickable link for every website.&lt;/p&gt;
&lt;p&gt;My question is then, can you create an app that opens a website then closes itself? im having trouble with the closing itself part.&lt;/p&gt;
</t>
  </si>
  <si>
    <t xml:space="preserve">&lt;p&gt;I'm creating an App using Google AppMaker, and would like the end user to be able to insert a clickable URL link into a 'Comments' column&lt;/p&gt;
</t>
  </si>
  <si>
    <t xml:space="preserve">&lt;p&gt;I want to call the Google Cloud AutoML API from AppMaker, but it's hard to figure out how to do that. How do I make a REST call to Google Cloud from AppMaker?&lt;/p&gt;
</t>
  </si>
  <si>
    <t xml:space="preserve">&lt;p&gt;I have a simple app that takes attendance for a list of students.  There are two datasources, a students table with first name, last name, id, and site, and an attendance table with first name, last name, date and present.  &lt;/p&gt;
&lt;p&gt;I want to be able to log attendance by getting a list of the students, entering a date, and check a box if they're in attendance or not (boolean column).&lt;/p&gt;
&lt;p&gt;What I would like to do is pivot the attendance   date for a new view so that instead of having a column with distinct dates, I'll have a columns for each date showing the value of the checkbox.&lt;/p&gt;
&lt;p&gt;Ex:&lt;/p&gt;
&lt;pre&gt;&lt;code&gt;Attendance 1:
First      Last      Date   Present
Bob        Smith     10/1   0
Bob        Smith     10/2   1
Bob        Smith     10/3   1
Kevin      Brown     10/1   1
Kevin      Brown     10/2   1
Kevin      Brown     10/3   1
New Pivoted View:
First      Last      10/1   10/2   10/3
Bob        Smith     0      1      1
Kevin      Brown     1      1      1
&lt;/code&gt;&lt;/pre&gt;
&lt;p&gt;Is there a simple way to get this result in App Maker?&lt;/p&gt;
&lt;p&gt;EDIT:  For clarification.  The primary purpose of the app is to capture attendance data in a classroom setting.  So there is a flow where a teacher pre-populates a list of students and then checks the boxes down the line to log where a student was present/absent.&lt;/p&gt;
&lt;p&gt;What I would like to be able to do is provide a page that presents the attendance data in a wide format so teachers can also look across the columns to see who was there on a given day.&lt;/p&gt;
</t>
  </si>
  <si>
    <t xml:space="preserve">&lt;p&gt;A short description of the issue:&lt;/p&gt;
&lt;p&gt;I can't make a new page, 2 data source relation function in my app (which has similar existing pages with relations that work). The new relation always produces the following error on the parent table:&lt;/p&gt;
&lt;p&gt;&lt;em&gt;E Fri Nov 08 08:10:55 GMT-700 2019
TypeError: Cannot read property "EkYkTNJF93VWDxnS7Gi1OIIBSsHXTZ7H" from null.
E Fri Nov 08 08:10:55 GMT-700 2019
Creating new record: (Error) : Cannot read property "EkYkTNJF93VWDxnS7Gi1OIIBSsHXTZ7H" from null.
at Apex_Office_Time.Table1Panel.Table1.Button1.onClick:1:19
E Fri Nov 08 08:10:55 GMT-700 2019
Creating new record failed.&lt;/em&gt;&lt;/p&gt;
&lt;p&gt;I I am always able to produce the error even when I start a new app from a blank template. The error will occur &amp;amp; not show the new record. Yet if I refresh, the record will be there. Existing apps with similar relations always work.&lt;/p&gt;
&lt;p&gt;&lt;a href="https://i.stack.imgur.com/mGrWS.jpg" rel="nofollow noreferrer"&gt;001 Here is the data source relation between the 2 data sources&lt;/a&gt;&lt;/p&gt;
&lt;p&gt;&lt;a href="https://i.stack.imgur.com/vnI7V.jpg" rel="nofollow noreferrer"&gt;Here is a newly set up Google cloud SQL data source "Apex_Office_Time"&lt;/a&gt;&lt;/p&gt;
&lt;p&gt;&lt;a href="https://i.stack.imgur.com/Q4cIi.jpg" rel="nofollow noreferrer"&gt;Here is the Second Data source "Apex_Office_Time_Details"&lt;/a&gt;&lt;/p&gt;
&lt;p&gt;&lt;a href="https://i.stack.imgur.com/xoedD.jpg" rel="nofollow noreferrer"&gt;Here Is the Page "Apex_Office_Time" which contains a table. The blue + button should create a new item on the table. It does when there is no relation between the data sources&lt;/a&gt;&lt;/p&gt;
&lt;p&gt;&lt;a href="https://i.stack.imgur.com/OOdn2.jpg" rel="nofollow noreferrer"&gt;Here is a shot that of the page that show the data source for the table is related to "Apex_Office_Time" &lt;/a&gt;&lt;/p&gt;
&lt;p&gt;&lt;a href="https://i.stack.imgur.com/APwrP.jpg" rel="nofollow noreferrer"&gt;Here is the generated preview before I hit the + button&lt;/a&gt;&lt;/p&gt;
&lt;p&gt;&lt;a href="https://i.stack.imgur.com/EPwaW.jpg" rel="nofollow noreferrer"&gt;Here is the generated preview after I hit the + button &amp;amp; complete with error code&lt;/a&gt;&lt;/p&gt;
&lt;p&gt;&lt;a href="https://i.stack.imgur.com/K6pNp.jpg" rel="nofollow noreferrer"&gt;Here is the generated preview after I hit the + button, and after I manually hit the refresh button on my browser. I get the same results in Chrome, Firefox, &amp;amp; MS Edge&lt;/a&gt;&lt;/p&gt;
&lt;p&gt;Further points of note:&lt;/p&gt;
&lt;ul&gt;
&lt;li&gt;&lt;p&gt;When I set up a table that generates items for the "many" side of the relationship "Apex_Office_Time_Details",  new items for this table are created without issue.&lt;/p&gt;&lt;/li&gt;
&lt;li&gt;&lt;p&gt;I just added a third data source to the mix "Apex_Office_Test". I then made "Apex_Office_Time_Details" to "Apex_Office_Test" a one to Many relation. I then tested to see if I could create items in "Apex_Office_Time_Details" without issue as before. I was successful. I then tested to see if I could create items in "Apex_Office_Test". I was successful. I then deleted the "Apex_Office_Time" data source and retested the other 2 tables and their data sources. I was successful. It seems very odd, but its working. I am going to continue testing based on this line.&lt;/p&gt;&lt;/li&gt;
&lt;li&gt;&lt;p&gt;Success! Evidently there is a minimum length for the names in data sources. The number fields "b" &amp;amp; "bh" in the data source "Apex_Office_Time_Details" was the issue. When I deleted them the table worked. Then I tried renaming the fields to "Billed" &amp;amp; "Billable_Hours" and everything seems to be working&lt;/p&gt;&lt;/li&gt;
&lt;/ul&gt;
</t>
  </si>
  <si>
    <t xml:space="preserve">&lt;p&gt;Success! Evidently there is a minimum length for the names in data sources. The number fields "b" &amp;amp; "bh" in the data source "Apex_Office_Time_Details" was the issue. When I deleted them the table worked. Then I tried renaming the fields to "Billed" &amp;amp; "Billable_Hours" and everything seems to be working&lt;/p&gt;
</t>
  </si>
  <si>
    <t xml:space="preserve">&lt;p&gt;I have a simple gsuite app with two data sources.  One is a students datasource which stores student name, id, and demographic info.  The other is a record of the attendance for the current day and contains name, date, and present (boolean column). Each student is unique and maps to one or more rows in the attendance datasource.&lt;/p&gt;
&lt;p&gt;The goal is to be able to pre load the table with a set of students from the students table, leaving the date and present blank.  THen the user can go down the table checking the boxes for who is in attendance on that day.&lt;/p&gt;
&lt;p&gt;Is there a simple way to pre-load a set of records in the Attendance table based on the students table?  Any good examples with explanation?&lt;/p&gt;
&lt;p&gt;EDIT:&lt;/p&gt;
&lt;p&gt;Here's what a data model might look like:&lt;/p&gt;
&lt;pre&gt;&lt;code&gt;Students: FirstName:string LastName:string Status:string SiteName:string
Attendance: FirstName:string LastName:string Date:date Present:bool
&lt;/code&gt;&lt;/pre&gt;
&lt;p&gt;The Students datasource would contain one record per FirstName, LastName.  The Attendance datasource would contain multiple records per student, corresponding to each day that attendance data was captured.&lt;/p&gt;
&lt;p&gt;Ideally, when displaying the Attendance table widget, I would pre-populate the table with a list of students for one Site.  I already have a date-picker widget that updates all the date column values.  &lt;/p&gt;
</t>
  </si>
  <si>
    <t xml:space="preserve">&lt;p&gt;I have a table with columns:
&lt;a href="https://i.stack.imgur.com/byoXZ.png" rel="nofollow noreferrer"&gt;&lt;img src="https://i.stack.imgur.com/byoXZ.png" alt="enter image description here"&gt;&lt;/a&gt;&lt;/p&gt;
&lt;p&gt;I'm trying to calculate accounts payable in days &lt;code&gt;= (Accounts Payable/YTD_Vendor_Expenses)*Number of days in Period&lt;/code&gt;.&lt;/p&gt;
&lt;p&gt;I'm trying the below query but doesn't seem to work(I'm running the query in ZOHO analytics):&lt;/p&gt;
&lt;pre&gt;&lt;code&gt;SELECT groupkey,
`Total Accounts Payable`,
Report_Month,
`Total Income`,
month(`Report_Month`) * 30 as `Number of Days in Period`,
YTD(sum(`Vendor Expenses`),`Report_Month`) as `YTD_Vendor Expenses`,
(sum(`Total Accounts Payable`) / YTD(sum("Vendor Expenses"),"Report_Month") * (month(`Report_Month`) * 30) 
FROM  apd_table  
GROUP BY `groupkey`,
`Report_Month`,
`Total Accounts Payable`,
`Total Income`
&lt;/code&gt;&lt;/pre&gt;
&lt;p&gt;I'm looking for output like below:
&lt;a href="https://i.stack.imgur.com/QXFUp.png" rel="nofollow noreferrer"&gt;&lt;img src="https://i.stack.imgur.com/QXFUp.png" alt="enter image description here"&gt;&lt;/a&gt;&lt;/p&gt;
&lt;p&gt;Please help me with this. Thank you.&lt;/p&gt;
</t>
  </si>
  <si>
    <t xml:space="preserve">&lt;p&gt;I am new to salesforce and trying to reproduce the button we have in the SF Classic in to Lightning. The button (Pass to Customer Service) assigns the cases to the Owner (Customer Services whose id is(eg: 00GU0000001eW6XYZA') on click of a button in the Classic. I have been reading about the quick action and take ownership button on Lightning but they makes the users Select/assign the owner to the record selected. But what I am trying to do is onclick of the button it should directly assign the record to the ownerID specified. How can I do it.&lt;/p&gt;
&lt;pre&gt;&lt;code&gt;var caseObj = new sforce.SObject("Case");
caseObj.Id = '{!Case.Id}';
caseObj.OwnerId = '00GU0000001eW6XYZA';
var result2 = sforce.connection.update([caseObj]);
if (result2[0].success=='true') {
location.reload(true);}
else{alert(result2[0].errors);}
&lt;/code&gt;&lt;/pre&gt;
&lt;p&gt;I tried implementing this as Lightning Component in Quick Action like below&lt;/p&gt;
&lt;p&gt;Component&lt;/p&gt;
&lt;pre&gt;&lt;code&gt;&amp;lt;aura:component implements="flexipage:availableForRecordHome,force:hasRecordId,force:lightningQuickAction" controller="ChangeOwnerClass" access="global" &amp;gt;
    &amp;lt;aura:handler name="init" value="{!this}" action="{!c.doInit}"/&amp;gt;
&amp;lt;/aura:component&amp;gt;
&lt;/code&gt;&lt;/pre&gt;
&lt;p&gt;Controller&lt;/p&gt;
&lt;pre&gt;&lt;code&gt;({
 doInit : function(component, event, helper) {
        var caseId = component.get("v.recordId");
        var action = component.get("c.changeOwnerMethod");
        action.setParams({
            caseId : caseId
        });
        action.setCallback(this, function(response) {
            if(response.getState() === "SUCCESS") {
                console.log("Case Owner Changed To Domestic Customer Service");
             }
        });
        $A.enqueueAction(action);
        $A.get('e.force:refreshView').fire();
 }
})
&lt;/code&gt;&lt;/pre&gt;
&lt;p&gt;And the class&lt;/p&gt;
&lt;pre&gt;&lt;code&gt;public class ChangeOwnerClass {
@AuraEnabled
    public static Case changeOwnerMethod(Id caseId) {
        if(caseId != null) {
           Case c = [SELECT OwnerId FROM Case WHERE Id = :caseId];
         c.OwnerId =  '00GU0000001eW6XYZA';
            update c;
            return c;
        }
        return null;
    }
}
&lt;/code&gt;&lt;/pre&gt;
&lt;p&gt;I added the component as a Quick Action added it in to the Layout. The issue is this doesnt appear as a button, instead it shows in the Feed&lt;/p&gt;
&lt;p&gt;&lt;a href="https://i.stack.imgur.com/BU6CQ.png" rel="nofollow noreferrer"&gt;&lt;img src="https://i.stack.imgur.com/BU6CQ.png" alt="enter image description here"&gt;&lt;/a&gt;&lt;/p&gt;
&lt;p&gt;Can anyone please guide me how to move forward, I tried something and I need some help.&lt;/p&gt;
</t>
  </si>
  <si>
    <t xml:space="preserve">&lt;p&gt;As far as I know, you can't forward SMS messages to an email address with just a TwiML Bin. Therefore, I would like to forward Twilio SMS messages to my Zoho email address using Zoho &lt;a href="https://www.zoho.com/creator/deluge.html" rel="nofollow noreferrer"&gt;Deluge&lt;/a&gt; (instead of the other alternatives I've seen: &lt;a href="https://stackoverflow.com/a/44790973"&gt;Google Apps Script&lt;/a&gt; or &lt;a href="https://stackoverflow.com/q/52481378"&gt;SendGrid&lt;/a&gt;).&lt;/p&gt;
&lt;p&gt;I intend to use the free Zoho Deluge plan. I have never used Deluge before. This question is intended to help me discover whether Deluge can be a replacement for Google Apps Script for simple functionality like this where a form is not needed.&lt;/p&gt;
&lt;p&gt;The basic way to send an email using Deluge is shown &lt;a href="https://stackoverflow.com/a/52512046"&gt;here&lt;/a&gt;.&lt;/p&gt;
&lt;p&gt;I hope Deluge can do the same thing Google Apps Script can do.&lt;/p&gt;
</t>
  </si>
  <si>
    <t xml:space="preserve">&lt;p&gt;Twilio developer evangelist here.&lt;/p&gt;
&lt;p&gt;To forward an SMS that is sent to your Twilio number you need to be able to receive an incoming HTTP request.&lt;/p&gt;
&lt;p&gt;Zoho Deluge appears to allow you to &lt;a href="https://www.zoho.com/creator/help/script/functions.html" rel="nofollow noreferrer"&gt;create functions that can be invoked&lt;/a&gt;. However, &lt;a href="https://www.zoho.com/creator/help/script/invoking-a-function.html" rel="nofollow noreferrer"&gt;the methods by which you can invoke a Deluge function&lt;/a&gt; do not include via an incoming HTTP request.&lt;/p&gt;
&lt;p&gt;I'm not familiar with Deluge, but after a bit of navigating around the documentation I don't believe you can set up a URL that will invoke a function, therefore you can't use Deluge to forward incoming SMS messages with Twilio. As Alan suggests in the comments, you could use Twilio Functions to achieve this without reaching out to another service.&lt;/p&gt;
</t>
  </si>
  <si>
    <t xml:space="preserve">&lt;p&gt;I have a SideMenu page fragment in my app. On each and every page, I have a copy of this page fragment.&lt;/p&gt;
&lt;p&gt;My intention was to create a SideMenu with openable SubMenus (only one sub menu could be open at a time), but I could not get it done to make the app "remember" the state of the SideMenu( like which SubMenu should be open, and which ones shouldn't), because on each site there is a different widget, so when in my code ( in my onClick events) I refer to the widget, I am not handling "a global SideMenu" but rather a specific copy of it, unique to that page. &lt;/p&gt;
&lt;p&gt;Sadly, this took several hours of debugging to realize, I am defeated. &lt;/p&gt;
&lt;p&gt;Is there anyway to place a page fragment on a page, so I can handle that widget on its own, not just it's copies?&lt;/p&gt;
&lt;p&gt;Thanks in advance, I can try to specify more the question if it's needed.&lt;/p&gt;
</t>
  </si>
  <si>
    <t xml:space="preserve">&lt;p&gt;I agree with @MarkusMalessa. You need to invoke the widget on every page and then apply whatever change on it. I am doing the samething on a project in which I intend to shrink and expand the sideMenu. To give you an idea, evertime I click a button on the side menu responsible for the logic, this is the code that's invoked:&lt;/p&gt;
&lt;pre&gt;&lt;code&gt;var pages = app.pages._values;
pages.forEach(function(page){
  var sideMenu = page.descendants.sideMenu1;
  if(sideMenu){
    if(widget.text === "chevron_right"){
      sideMenu.getElement().style.width = "300px";
    } else {
      sideMenu.getElement().style.width = "60px";
    }
  }
});
&lt;/code&gt;&lt;/pre&gt;
&lt;p&gt;That way every sideMenu widget inside each page that has it receive the same changes.&lt;/p&gt;
</t>
  </si>
  <si>
    <t xml:space="preserve">&lt;p&gt;I have added standard knowledge component to Case record page and when I click on Sort by button all options looks disabled. I am unable to sort knowledge articles by relevance and others.&lt;/p&gt;
</t>
  </si>
  <si>
    <t xml:space="preserve">&lt;p&gt;I have custom field on Knowledge object. And made that custom field as required on Knowledge page layout. When I deploy using ant from one sand box to another that custom field is not effected(means it still not mandatory filed) on knowledge page layout. In meta data I have added 'Required' tag manually but I could not deploy it.&lt;/p&gt;
</t>
  </si>
  <si>
    <t xml:space="preserve">&lt;p&gt;I'm fairly new to PowerApps, and am currently in the process of building a reporting and auditing app; The app includes a camera option as well as a Pen Input option, and essentially I want to offer the user the choice to sketch notes on top of the photo and then save this back to the image collection, before saving it over onto SharePoint.&lt;/p&gt;
&lt;p&gt;Currently, the original photo and the sketched notes register as two separate images - the original photo on one, and the sketched notes appearing by themselves on the other, and I'm just unsure as to how I'd actually go about merging these together to create a single image that has the photo and the notes layered over it? There's no native function as far as I'm aware, and I've seen a video on YouTube with Paul Culmsee wherein he mentions that he achieved this with Azure Functions but it doesn't really go into much detail regarding it, so I don't really know where to start nor am I sure of which cmdlets I'd need to use.&lt;/p&gt;
&lt;p&gt;Any pointers would be appreciated! 
Thank you!&lt;/p&gt;
</t>
  </si>
  <si>
    <t xml:space="preserve">&lt;p&gt;I am trying to test LWC components.js using jest. There is a setter method(Step) inside of the LWC components js file, but I am unable to test the setter method. I tried the solution using mock that the jest provided for the setter method.&lt;/p&gt;
&lt;p&gt;&lt;a href="https://i.stack.imgur.com/jwYJ8.png" rel="nofollow noreferrer"&gt;&lt;img src="https://i.stack.imgur.com/jwYJ8.png" alt="enter image description here"&gt;&lt;/a&gt;&lt;/p&gt;
&lt;p&gt;Another approach that I tried for testing getter using  jest.spyOn(ClassName, MethodName, MethodType).mockReturnValue(0);&lt;/p&gt;
&lt;p&gt;&lt;a href="https://i.stack.imgur.com/z3rmC.png" rel="nofollow noreferrer"&gt;&lt;img src="https://i.stack.imgur.com/z3rmC.png" alt="enter image description here"&gt;&lt;/a&gt;&lt;/p&gt;
&lt;p&gt;Any alternative approach of jest testing for the setter method..?&lt;/p&gt;
</t>
  </si>
  <si>
    <t xml:space="preserve">&lt;p&gt;Started making my own CRM with appmaker as we are a small business and don't want to pay a fortune on it. We sell cars, so I created a vehicle database which stores all my vehicles in stock and also created an opportunity database. I created a relation between the two so that on the customer page I would have the vehicle of interest. So, once on the customer page, I added an editable form with the vehicle of interests fields, and a button which opens a pop up table with all my inventory list. &lt;/p&gt;
&lt;p&gt;Now, this is my question. On the pop up, I have all my inventory listed, and when I click, I want this specific car to be added to the customer. Unfortunately, I'm in a learning curve, searched 2 hours on Google and found nothing. If you guys could help me that would be awesome!&lt;/p&gt;
&lt;p&gt;Thanks. &lt;/p&gt;
</t>
  </si>
  <si>
    <t xml:space="preserve">&lt;p&gt;I want to load data into a Salesforce sandbox from a Snowflake database (or from AWS S3) using Python.&lt;/p&gt;
&lt;p&gt;Could you please let me know of any way to connect to Salesforce sandbox from an AWS EC2 instance?&lt;/p&gt;
</t>
  </si>
  <si>
    <t xml:space="preserve">&lt;p&gt;I have a one-to-many relation, and I want to retrieve the "many" from a "one", however I am interested in only a single column of the "many" and although the records are unique the value of that column might not and I want to get the rows corresponding to the unique values of that column, possibly the first row in order of appearance (it doesn't really matter).&lt;/p&gt;
&lt;p&gt;I added a table widget and added some code in the &lt;code&gt;onDataLoad&lt;/code&gt;:&lt;/p&gt;
&lt;pre&gt;&lt;code&gt;var items = widget.datasource.items;
var uniqueItems = [];
var keys = new Set();
for (var i = 0; i &amp;lt; items.length; i++)
{
  if (!keys.has(items[i].Address))
  {
    uniqueItems.push(items[i]);
    keys.add(items[i].Address);
  }
}
widget.datasource.items = uniqueItems;
&lt;/code&gt;&lt;/pre&gt;
&lt;p&gt;Here the column of interest is Address. The point was to go through the records and keep track of unique Address values, and whenever a new Address is encountered, keep it, and finally set the datasource to the unique list of rows that was just built.&lt;/p&gt;
&lt;p&gt;It's not working. The keys are unique, but it is failing to set the datasource.&lt;/p&gt;
&lt;p&gt;I am missing possibly more than one thing. Possible things that are happening:&lt;/p&gt;
&lt;ol&gt;
&lt;li&gt;This code shouldn't be in &lt;code&gt;onDataLoad&lt;/code&gt;&lt;/li&gt;
&lt;li&gt;This code actually sets the datasource but it is not reflected in the table&lt;/li&gt;
&lt;li&gt;Wrong data type for &lt;code&gt;uniqueItems&lt;/code&gt;&lt;/li&gt;
&lt;li&gt;You can't just set a datasource&lt;/li&gt;
&lt;li&gt;Bug I haven't seen...&lt;/li&gt;
&lt;/ol&gt;
&lt;p&gt;How can I have my unique set appear in the table?&lt;/p&gt;
</t>
  </si>
  <si>
    <t xml:space="preserve">&lt;p&gt;My gallery shows all the records from my list in which filter statements are true, as follows:&lt;/p&gt;
&lt;pre&gt;&lt;code&gt;Filter(table_name,
             Filter_A = Column_A
             And Filter_B = Column_B)
&lt;/code&gt;&lt;/pre&gt;
&lt;p&gt;This works perfectly fine, but I'd need now to add another filter, as per the following logic:&lt;/p&gt;
&lt;blockquote&gt;
  &lt;p&gt;If Column_A And Column_B are non-unique, returning more than 1 row, then return only the latest Column_C (Date-Time field)&lt;/p&gt;
&lt;/blockquote&gt;
&lt;p&gt;My guess was:&lt;/p&gt;
&lt;pre&gt;&lt;code&gt;Filter(table_name,
             Filter_A = Column_A
             And Filter_B = Column_B
             And Max(Column_D)
             )
&lt;/code&gt;&lt;/pre&gt;
&lt;p&gt;When Filter_A = "yellow", and Filter_B = "X", my result right now looks like this:&lt;/p&gt;
&lt;pre&gt;&lt;code&gt; Column_A | Column_B | Column_C | Column_D
 yellow   |    X     |    1     | 04/05/19
 Yellow   |    X     |    2     | 01/02/19
 Yellow   |    X     |    3     | 01/03/19
 Yellow   |    X     |    1     | 01/02/19
&lt;/code&gt;&lt;/pre&gt;
&lt;p&gt;but I'd want this:&lt;/p&gt;
&lt;pre&gt;&lt;code&gt; Column_A | Column_B | Column_C | Column_D
 yellow   |    X     |    1     | 04/05/19
 Yellow   |    X     |    2     | 01/02/19
 Yellow   |    X     |    3     | 01/03/19
&lt;/code&gt;&lt;/pre&gt;
&lt;p&gt;PS
Although I want to show in the gallery only the most recent record in case of duplicates, I still need to keep those "duplicates" on the list.
PPS
A perfect example of what I'm trying to do, although for sql not PowerApps, &lt;a href="https://stackoverflow.com/questions/12496857/getting-most-recent-distinct-records"&gt;may be found here&lt;/a&gt;&lt;/p&gt;
&lt;p&gt;Thanks in advance for any help!&lt;/p&gt;
</t>
  </si>
  <si>
    <t xml:space="preserve">&lt;p&gt;To develop an application in power apps there is a team of two members. The application is not accessible by two people at the same time in two systems.  I wanted to know if there is any solution for this.&lt;/p&gt;
</t>
  </si>
  <si>
    <t xml:space="preserve">&lt;p&gt;I'm developing a new application which takes survey of the users. In my gallery i have 2 labels(it requires Question and Comments), 1 slider(Rating value). Now, to one label i need data from gallery's data source. To the other label and slider i need data present in another share point list. How can I get the data present in two different lists to single gallery of power app?&lt;/p&gt;
</t>
  </si>
  <si>
    <t xml:space="preserve">&lt;p&gt;I would like to set up the sender profle in marketing cloud to create a case in Service Cloud , how can i transfert all the customer answers to the same email address (no-reply@) and route this to Service cloud in order to create a case without sendind an email from SFMC.&lt;/p&gt;
&lt;p&gt;Thank you&lt;/p&gt;
</t>
  </si>
  <si>
    <t xml:space="preserve">&lt;p&gt;Is there any way of creating a page level variable, as in a variable that all widgets in a single page have access to?&lt;/p&gt;
&lt;p&gt;Custom style for a page is possible, any way to do that for variables?&lt;/p&gt;
</t>
  </si>
  <si>
    <t xml:space="preserve">&lt;p&gt;I am using AppMaker I would like to get the Chat ID of a user so I can open a chat window in a new tab to that user.  However, I don't see a way to get it.&lt;/p&gt;
&lt;p&gt;To be clear, I want the part at the end of a URL like this:&lt;/p&gt;
&lt;pre&gt;&lt;code&gt;https://chat.google.com/u/0/dm/pUR6NABBAAE
&lt;/code&gt;&lt;/pre&gt;
&lt;p&gt;For some reason this ID is different from the old Hangouts chat ID (which I get from the Person datasource).&lt;/p&gt;
&lt;p&gt;Is there a way to do this?  I have looked at the docs and searched StackOverflow but do not see anybody trying to do this.&lt;/p&gt;
</t>
  </si>
  <si>
    <t xml:space="preserve">&lt;p&gt;I am calling Salesforce classic email template through URL :
/_ui/core/email/author/EmailAuthor&lt;/p&gt;
&lt;p&gt;I have tried to create a lightning component for email where I created the email functionality But that doesn't fit my requirement.&lt;/p&gt;
&lt;p&gt;I need to use the default lightning email template and call it from  URL or VF page or any other method. URL hack is not working here so is there any way to do so.&lt;/p&gt;
</t>
  </si>
  <si>
    <t xml:space="preserve">&lt;p&gt;I was wondering if there was a way to get the ID of the button that was clicked on a recordEditForm within the onsuccess method.
I have tried 
console.log(event.getSource().getLocalId());
but that just returns the ID of the recordEditForm, not the button that was clicked.
The reason I need this is I want to display two buttons, one that simply updates the case and the other which updates the case and closes the workspace tab&lt;/p&gt;
&lt;p&gt;This is the component&lt;/p&gt;
&lt;pre&gt;&lt;code&gt;&amp;lt;aura:component implements="flexipage:availableForRecordHome,force:hasRecordId"&amp;gt;
&amp;lt;lightning:workspaceAPI aura:id="workspace"/&amp;gt;
&amp;lt;aura:attribute name="showSpinner" type="Boolean" default="true"/&amp;gt;
&amp;lt;aura:if isTrue="{!v.showSpinner}"&amp;gt;
    &amp;lt;lightning:spinner /&amp;gt;
&amp;lt;/aura:if&amp;gt;
&amp;lt;div class="slds-box slds-theme_default"&amp;gt;
    &amp;lt;div class="slds-text-title_bold"&amp;gt;Updates the status to closed and closes the primary tab&amp;lt;/div&amp;gt;
    &amp;lt;lightning:recordEditForm aura:id="recordEditor"
                              onload="{!c.handleLoad}"
                              onsubmit="{!c.handleSubmit}"
                              onsuccess="{!c.handleSuccess}"
                              recordId = "{!v.recordId}"
                              objectApiName="Case"&amp;gt;
        &amp;lt;lightning:messages /&amp;gt;
        &amp;lt;lightning:inputField fieldName="Fault_Category__c" disabled="true" /&amp;gt;
        &amp;lt;lightning:inputField fieldName="Fault_Type__c" /&amp;gt;
        &amp;lt;lightning:inputField fieldName="Solution__c" /&amp;gt;
        &amp;lt;lightning:inputField fieldName="Solution_Details__c" /&amp;gt;
        &amp;lt;div class="slds-m-top_medium"&amp;gt;
            &amp;lt;lightning:button aura:id="button1" value="value1" variant="brand" type="submit" name="save" label="Close Case and Tab" /&amp;gt;
            &amp;lt;lightning:button aura:id="button2" value="value2" variant="brand" type="submit" name="save2" label="Close Case" /&amp;gt;
        &amp;lt;/div&amp;gt;
    &amp;lt;/lightning:recordEditForm&amp;gt;
&amp;lt;/div&amp;gt; &amp;lt;/aura:component&amp;gt; 
&lt;/code&gt;&lt;/pre&gt;
&lt;p&gt;This is the controller&lt;/p&gt;
&lt;pre&gt;&lt;code&gt;({
handleLoad : function(component, event, helper) {
    console.log('handle handleLoad');
    component.set("v.showSpinner", false);
},
handleSubmit : function(component, event, helper) {
    event.preventDefault(); // Prevent default submit
    var fields = event.getParam("fields");
    fields["Status"] = 'Hold';        
    component.find('recordEditor').submit(fields); // Submit form
    console.log('handle handleSubmit');
},
handleSuccess : function(component, event, helper) {
    console.log('record updated successfully');
 *****&amp;lt;b&amp;gt;   //The below is returning the id of the Lighting:recordEditForm&amp;lt;/b&amp;gt;***** 
    console.log(event.getSource().getLocalId());
    component.set("v.showSpinner", false);
    // Success! Prepare a toast UI message
    var resultsToast = $A.get("e.force:showToast");
    resultsToast.setParams({
        "title": "Case Saved",
        "message": "The case has been closed"
    });
    resultsToast.fire();
    *****&amp;lt;b&amp;gt;//If statement required to check which button was pressed so the below only fires when lightning button with aura:id = 'button2' was pressed&amp;lt;/b&amp;gt;*****
    var workspaceAPI = component.find("workspace");
    console.log('closing tab');
    workspaceAPI.getFocusedTabInfo().then(function(response) {
        var focusedTabId = response.tabId;
        workspaceAPI.closeTab({tabId: focusedTabId});
    })
    .catch(function(error) {
        console.log(error);
    });
}})
&lt;/code&gt;&lt;/pre&gt;
&lt;p&gt;I have marked the commented code in bold and with asterisk in the controller where I need to reference the button that was clicked&lt;/p&gt;
&lt;p&gt;Any help would be much appreciated&lt;/p&gt;
</t>
  </si>
  <si>
    <t xml:space="preserve">&lt;p&gt;Working in &lt;a href="https://developer.salesforce.com/docs/component-library/tools/playground/S6hzg24v4/2/edit" rel="noreferrer"&gt;playground of lightning web components&lt;/a&gt;. I have following files and code: &lt;/p&gt;
&lt;p&gt;&lt;strong&gt;basic.html&lt;/strong&gt;&lt;/p&gt;
&lt;pre&gt;&lt;code&gt;&amp;lt;template&amp;gt;
&amp;lt;div style="height: 300px;"&amp;gt;
    &amp;lt;lightning-datatable
            key-field="id"
            data={data}
            columns={columns}&amp;gt;
    &amp;lt;/lightning-datatable&amp;gt;
&amp;lt;/div&amp;gt;    
&amp;lt;/template&amp;gt;
&lt;/code&gt;&lt;/pre&gt;
&lt;p&gt;&lt;strong&gt;basic.css&lt;/strong&gt;&lt;/p&gt;
&lt;pre&gt;&lt;code&gt; td{
    background: red;
 }
 :host td{
    background: red;
   }
&lt;/code&gt;&lt;/pre&gt;
&lt;p&gt;&lt;strong&gt;basic.js&lt;/strong&gt;&lt;/p&gt;
&lt;pre&gt;&lt;code&gt;import { LightningElement, track } from 'lwc';
import fetchDataHelper from './fetchDataHelper';
const columns = [
    { label: 'Label', fieldName: 'name' },
    { label: 'Website', fieldName: 'website', type: 'url' },
    { label: 'Phone', fieldName: 'phone', type: 'phone' },
    { label: 'Balance', fieldName: 'amount', type: 'currency' },
    { label: 'CloseAt', fieldName: 'closeAt', type: 'date' },
];
    export default class BasicDatatable extends LightningElement {
    @track data = [];
    @track columns = columns;
    async connectedCallback() {
        const data = await fetchDataHelper({ amountOfRecords: 100 });
        this.data = data;
    }
    }
&lt;/code&gt;&lt;/pre&gt;
&lt;p&gt;When I look into developer tools &gt; inspect it renders styles in a style tag and do not apply to the element: &lt;/p&gt;
&lt;pre&gt;&lt;code&gt;&amp;lt;style type="text/css"&amp;gt;
    td[c-basic_basic]{background: red;}
    [c-basic_basic-host] td[c-basic_basic]{background: red;}
 &amp;lt;/style&amp;gt;
&lt;/code&gt;&lt;/pre&gt;
&lt;p&gt;&lt;a href="https://developer.salesforce.com/docs/component-library/tools/playground/S6hzg24v4/2/edit" rel="noreferrer"&gt;Link to the play ground I am working on&lt;/a&gt;&lt;/p&gt;
</t>
  </si>
  <si>
    <t xml:space="preserve">&lt;p&gt;After I successfully created an item in the database, I want to use the ID of the newly created entry in the success handler. Is there any way to access this ID on the client side? My best guess so far was to do a query on the datasource, for the latest entry, but there has to be a simpler way to do this.&lt;/p&gt;
</t>
  </si>
  <si>
    <t xml:space="preserve">&lt;p&gt;I just wanted to give it a try, but before that, I thought of checking in stack overflow. Can we use the LWC (Lighting Web Component) component inside React JS? &lt;/p&gt;
</t>
  </si>
  <si>
    <t xml:space="preserve">&lt;p&gt;I try insert record in Calls module, its ok, but when i try insert record linked to Lead or Contacts i get such error -  &lt;em&gt;Caused by:'required field not found'&lt;/em&gt;&lt;/p&gt;
&lt;p&gt;I try add that lookup field such ways:&lt;/p&gt;
&lt;pre&gt;&lt;code&gt; $record-&amp;gt;setFieldValue("What_Id", '"id":"4270452000000312806"');
 $record-&amp;gt;setFieldValue("What_Id", '"entityId":"4270452000000312806"');
 $record-&amp;gt;setFieldValue("What_Id", '"name":"Markus List"');
 $record-&amp;gt;setFieldValue("What_Id", '"entityId":"4270452000000312806", "name":"Markus List"');
 $record-&amp;gt;setFieldValue("What_Id", '"id":"4270452000000312806" "name":"Markus List"');
&lt;/code&gt;&lt;/pre&gt;
</t>
  </si>
  <si>
    <t xml:space="preserve">&lt;p&gt;Need use field "se_module":&lt;/p&gt;
&lt;pre&gt;&lt;code&gt;$record-&amp;gt;setFieldValue("What_Id", "4270452000000312806");/*Contact or Lead ID*/
$record-&amp;gt;setFieldValue("Who_Id", "4270452000000242013");/*Company linked to contact*/
$record-&amp;gt;setFieldValue("se_module", "Leads");/*Leads or Contacts*/
&lt;/code&gt;&lt;/pre&gt;
&lt;p&gt;Thans to Dharani form Zoho CRM Support who share with me that info.&lt;/p&gt;
</t>
  </si>
  <si>
    <t xml:space="preserve">&lt;p&gt;So the console preview panel at the bottom of the page remembers how big you had it last time you previewed. Usually this is great! But somehow mine is currently maximized, so the only thing that shows up is the Page dropdown at the top of the page (and anything in the console, if I switch between pages and the pages have things that log on load). The rest is just white console. Any idea how to get back the default view where the console is 20% of the bottom of the page? There is no visible dragging bar frame thing anywhere.&lt;/p&gt;
&lt;p&gt;I can change my preview to console=0 to be able to use it, but I'd like a way to restore the default position of the panel. &lt;/p&gt;
</t>
  </si>
  <si>
    <t xml:space="preserve">&lt;p&gt;Normally you should be able to hover on the top border of the console panel and resize it as you wish. An icon will appear, similar as in the image below:&lt;/p&gt;
&lt;p&gt;&lt;a href="https://i.stack.imgur.com/rZPHS.png" rel="nofollow noreferrer"&gt;&lt;img src="https://i.stack.imgur.com/rZPHS.png" alt="enter image description here"&gt;&lt;/a&gt;&lt;/p&gt;
&lt;p&gt;Nonetheless, if you are doing your previews on a mobile device such as a tablet, then such thing is not possible to do. Therefore; a hacky way to do it would be to put the following code on the &lt;strong&gt;onAttach&lt;/strong&gt; event handler of the page that is loading:&lt;/p&gt;
&lt;pre&gt;&lt;code&gt;var splitPanel = widget.root.getElement().parentElement
  .parentElement.parentElement.parentElement
  .parentElement.parentElement.children[0].children[3];
splitPanel.style.height = "75px";
&lt;/code&gt;&lt;/pre&gt;
&lt;p&gt;&lt;strong&gt;&lt;em&gt;Nota bene&lt;/strong&gt;: this is intended to ONLY work in preview&lt;/em&gt;&lt;/p&gt;
</t>
  </si>
  <si>
    <t xml:space="preserve">&lt;p&gt;I want to integrate zoho desk support to my platform which is &lt;a href="https://botpenguin.com" rel="nofollow noreferrer"&gt;https://botpenguin.com&lt;/a&gt;. I have created an account on zohodesk. But when i am doing this with oauth, it gives me missing token error.&lt;/p&gt;
&lt;p&gt;My request code is : &lt;/p&gt;
&lt;pre&gt;&lt;code&gt;auth = OAuth2Session(app_id,
                         state=state,
                         scope=scopes,
                         redirect_uri='http://test.botpenguin.me/integration/route)
token = auth.fetch_token('https://accounts.zoho.com/oauth/v2/token,
                             client_secret=app_secret,
                             authorization_response='/integration/route?state=w0NjVHel2ZOoyEUBVJMfmlyaYMNyWc&amp;amp;code=1000.713449c3586399ae834fdeef35a41a97.01700bf3f1ca430fff89c2161559c6cb&amp;amp;location=in&amp;amp;accounts-server=https:%2F%2Faccounts.zoho.in')
&lt;/code&gt;&lt;/pre&gt;
&lt;p&gt;error code:&lt;/p&gt;
&lt;blockquote&gt;
  &lt;p&gt;ZohoDesk exception:  (missing_token) Missing access token parameter.&lt;/p&gt;
&lt;/blockquote&gt;
&lt;p&gt;Please help me to resolve my issue.&lt;/p&gt;
</t>
  </si>
  <si>
    <t xml:space="preserve">&lt;p&gt;I have a created list with values in it&lt;/p&gt;
&lt;p&gt;When I create an item and click on "Next" then it should save and redirect to "Edit form". But instead of showing the values I have entered, it shows the previously edited item.&lt;/p&gt;
&lt;p&gt;What am I doing wrong?&lt;/p&gt;
&lt;p&gt;&lt;img src="https://i.stack.imgur.com/gv5ZK.jpg" alt="Edit form"&gt;&lt;/p&gt;
</t>
  </si>
  <si>
    <t xml:space="preserve">&lt;p&gt;I'm looking for a way to change the selected value of a drop down list through the OnSelect of a button. I would imagine this expression for the OnSelect would have worked: &lt;/p&gt;
&lt;pre&gt;&lt;code&gt;dropDownList1.Selected.Value = "01"
&lt;/code&gt;&lt;/pre&gt;
&lt;p&gt;...but it doesn't. I get no error or warning message. It just doesn't seem to do anything. &lt;/p&gt;
&lt;p&gt;The drop down list has the following values: ["12","01","02","03","04","05","06","07","08","09","10","11"]&lt;/p&gt;
&lt;p&gt;Thanks!&lt;/p&gt;
</t>
  </si>
  <si>
    <t xml:space="preserve">&lt;p&gt;Try this:&lt;/p&gt;
&lt;ul&gt;
&lt;li&gt;dropDownList1
&lt;ul&gt;
&lt;li&gt;&lt;code&gt;OnChange&lt;/code&gt;: &lt;code&gt;Set(varDDValue, dropDownList1.Selected.Value)&lt;/code&gt;&lt;/li&gt;
&lt;/ul&gt;&lt;/li&gt;
&lt;li&gt;button
&lt;ul&gt;
&lt;li&gt;&lt;code&gt;OnSelect&lt;/code&gt;: &lt;code&gt;Set(varDDValue, "whatevertheheckyouwant")&lt;/code&gt; (must be a value that is present in the dropdown &lt;code&gt;Items&lt;/code&gt; property)&lt;/li&gt;
&lt;/ul&gt;&lt;/li&gt;
&lt;li&gt;dropDownList1
&lt;ul&gt;
&lt;li&gt;&lt;code&gt;Default&lt;/code&gt;: &lt;code&gt;varDDValue&lt;/code&gt;&lt;/li&gt;
&lt;/ul&gt;&lt;/li&gt;
&lt;/ul&gt;
</t>
  </si>
  <si>
    <t xml:space="preserve">&lt;p&gt;It's probably the simplest thing in the world but I can't seem to add/sum/calculate tables in App Maker. I have attached an image of the App preview. I will try to keep this simple. The page has 3 data sources as follows:&lt;/p&gt;
&lt;p&gt;&lt;strong&gt;&lt;em&gt;Apex_customer_po&lt;/em&gt;&lt;/strong&gt; - This is where our employee's input customer purchase orders including the PO number (string), the overall value of the PO (number), and the details (string)&lt;/p&gt;
&lt;p&gt;&lt;strong&gt;&lt;em&gt;Apex_customer_po_wo_details&lt;/em&gt;&lt;/strong&gt; - Purchase orders are often broken up by our customer in to multiple work orders (WO), a task break down each with it's own values including Date (date), WO number (string), WO amount (number), details (string) &lt;/p&gt;
&lt;p&gt;&lt;strong&gt;Apex_customer_po_wo_costing&lt;/strong&gt; - This is where we keep track of what work we've done and how much of each work order's money we've used. The fields include a reference number(string), parts price (number), Part details (string), Labour hrs (number), Labour rate (number), Total labour (number), and Invoice total (number), Overall total of all invoices for the work order (number)&lt;/p&gt;
&lt;p&gt;My data relations are as follows:&lt;/p&gt;
&lt;blockquote&gt;
  &lt;ul&gt;
  &lt;li&gt;Apex_customer_po  &lt;/li&gt;
  &lt;li&gt;Apex_customer_po_wo_details (One Apex_customer_po to Many Apex_customer_po_wo_details)&lt;/li&gt;
  &lt;li&gt;Apex_customer_po_wo_costing (One Apex_customer_po_wo_details to Many Apex_customer_po_wo_costing)&lt;/li&gt;
  &lt;/ul&gt;
&lt;/blockquote&gt;
&lt;p&gt;Shows the general configuration of the PO app preview mode. I includes 2 work orders each with their associated invoices
&lt;img src="https://i.stack.imgur.com/tk4vQ.jpg" alt="Shows the general configuration of the PO app preview mode. I includes 2 work orders each with their associated invoices"&gt;&lt;/p&gt;
&lt;p&gt;Shows the general configuration of the Layout view of the app page 
&lt;img src="https://i.stack.imgur.com/uEL02.jpg" alt="Shows the general configuration of the Layout view of the app page"&gt; &lt;/p&gt;
&lt;p&gt;I have figured out how to calculate the cost of my labour:&lt;/p&gt;
&lt;pre&gt;&lt;code&gt;@datasource.item.Labour_total = @datasource.item.Labour_time * @datasource.item.Labour_rate
&lt;/code&gt;&lt;/pre&gt;
&lt;p&gt;I have figured out how to calculate the total of each invoice: &lt;/p&gt;
&lt;pre&gt;&lt;code&gt;@datasource.item.Invoice_total = @datasource.item.Parts_amount + (@datasource.item.Labour_time * @datasource.item.Labour_rate)
&lt;/code&gt;&lt;/pre&gt;
&lt;p&gt;But I can't for the life of me figure out how to 'Add / Sum / Total / Calculate' the individual invoices from each Work Order to get a total value. &lt;/p&gt;
&lt;p&gt;I've tried unsuccessfully to use reduce and a bunch of other methods, but I can't ever seem to get the syntax correct even on basic 1+1 type calculations. I don't have much experience in app maker but I've been doing fine and loving it... until now. &lt;/p&gt;
&lt;p&gt;&lt;strong&gt;Update 001:&lt;/strong&gt;&lt;/p&gt;
&lt;p&gt;I have managed to get a reduce function to perform a simple table addition for me based off the following blog post. &lt;em&gt;blog.supportgroup.com/google-app-maker-cold-calculations&lt;/em&gt; - And the ball is rolling again. Now I need to rework how my data sources are set-up changing the numbers to strings –&lt;/p&gt;
&lt;p&gt;&lt;strong&gt;Update 002:&lt;/strong&gt;&lt;/p&gt;
&lt;p&gt;I managed to get the reduce function to work in my app. However it totals the values from the selected cells across the data source. For example I have a PO, lets call it PO#1 and there are 5 items that total $5. When I start a new PO#2, it carries over the total of PO#1. So it calculates the entire data source regardless of the fact that it's 2 different PO#'s and I don't know how to make it stop. The code I have used is as follows&lt;/p&gt;
&lt;pre&gt;&lt;code&gt;@datasource.item.Total = getFormatMoney((@datasources.Apex_customer_po_wo_costing.items).reduce((b,a) =&amp;gt; Number(a.Parts_amount) + (Number(a.Labour_rate) * Number(a.Labour_time))+ Number(b) , 0   ),2,",",".")
&lt;/code&gt;&lt;/pre&gt;
&lt;p&gt;The &lt;code&gt;getFormatMoney(),2,",",".")&lt;/code&gt; is a client side java script that formats the currency&lt;/p&gt;
&lt;p&gt;Thanks in advance for the assistance.&lt;/p&gt;
&lt;p&gt;&lt;strong&gt;UPDATE 003:&lt;/strong&gt;&lt;/p&gt;
&lt;p&gt;I am now trying to do this in a different way with a calculated Data source and I am following this tutorial:&lt;/p&gt;
&lt;p&gt;&lt;a href="https://www.youtube.com/watch?time_continue=283&amp;amp;v=xdGVGRV9nj0&amp;amp;feature=emb_logo" rel="nofollow noreferrer"&gt;YouTube 7.33min long - Totals in Drive Tables tutorial&lt;/a&gt;&lt;/p&gt;
&lt;p&gt;I have re-created the app step by step but I am getting the following error regarding my SQL query code: &lt;/p&gt;
&lt;blockquote&gt;
  &lt;p&gt;E Mon Nov 18 13:38:49 GMT-700 2019 Exception: Malformed SQL. More
  information: Error with SQL statement: You have an error in your SQL
  syntax; check the manual that corresponds to your MySQL server version
  for the right syntax to use near &lt;code&gt;var totals = (wholesale:0, retail:0, profit:0); var records = app.models.autos.&lt;/code&gt; at line 1.&lt;/p&gt;
  &lt;p&gt;E Mon Nov 18 13:38:49 GMT-700 2019 Executing query for datasource
  totals: (Error) : Malformed SQL. More information: Error with SQL
  statement: You have an error in your SQL syntax; check the manual that
  corresponds to your MySQL server version for the right syntax to use
  near &lt;code&gt;var totals = (wholesale:0, retail:0, profit:0); var records =
  app.models.autos.&lt;/code&gt; at line 1.&lt;/p&gt;
  &lt;p&gt;E Mon Nov 18 13:38:49 GMT-700 2019 Executing query for datasource
  totals failed.&lt;/p&gt;
&lt;/blockquote&gt;
&lt;p&gt;My code in my data source is as follows:&lt;/p&gt;
&lt;pre&gt;&lt;code&gt;var totals = {wholesale:0, retail:0, profit:0};
var records = app.models.autos.newQuery().run();
records.forEach(function( item ){
  totals.wholesale += item.wholesale;
  totals.retail += item.retail;
  totals.profit += (item.retail - item.wholesale);
});
var record = app.models.totals.newRecord();
record.wholesale = totals.wholesale;
record.retail = totals.retail;
record.profit = totals.profit;
return [record];
&lt;/code&gt;&lt;/pre&gt;
&lt;p&gt;Anyone have any thoughts on what the mistake is?&lt;/p&gt;
&lt;p&gt;&lt;strong&gt;Update 004&lt;/strong&gt;&lt;/p&gt;
&lt;p&gt;Success - The data source type needed to be a &lt;strong&gt;"Calculated"&lt;/strong&gt; type not a &lt;strong&gt;"Calculated SQL"&lt;/strong&gt;. Now I am going to see if I can apply this new type of calculation to my existing problem. &lt;/p&gt;
</t>
  </si>
  <si>
    <t xml:space="preserve">&lt;p&gt;It seems like the way to go on this is the calculated model route the tutorial I linked in Update 003 is a solid path to go down.&lt;/p&gt;
</t>
  </si>
  <si>
    <t xml:space="preserve">&lt;p&gt;I have three tables (simplified for this question): &lt;/p&gt;
&lt;ul&gt;
&lt;li&gt;Teams: [team_id, team_name]&lt;/li&gt;
&lt;li&gt;Users: [user_id, user_name] &lt;/li&gt;
&lt;li&gt;Teams_x_Users: [id, team_id_fk, user_id_fk]&lt;/li&gt;
&lt;/ul&gt;
&lt;p&gt;(Screenshot below) On an &lt;strong&gt;Update User Form&lt;/strong&gt;, I placed a table with the selected user's assigned teams for viewing/deleting. Below that, I have a "Teams" drop-down for assigning teams from the Teams table to the user. &lt;/p&gt;
&lt;p&gt;In its current state, the drop-down contains all available Teams (projected values). &lt;/p&gt;
&lt;p&gt;I want the drop-down to contain available Teams NOT currently assigned to the user.&lt;/p&gt;
&lt;p&gt;I took a shot in the dark and tried setting up a new &lt;strong&gt;Team_Unselected&lt;/strong&gt; Datasource with the query expression &lt;code&gt;Teams_x_Users.Users.user_id != :userid&lt;/code&gt;, but receive the following error:&lt;/p&gt;
&lt;p&gt;&lt;code&gt;Cannot complete binding from query.parameters.userid to @datasources.Teams_x_Users.item.Users.user_id. Unexpected error on binding initial sync write : (TypeError) : Cannot read property 'wb' of null in Teams_Unselected (Teams)&lt;/code&gt;&lt;/p&gt;
&lt;p&gt;&lt;a href="https://i.stack.imgur.com/y8ORz.png" rel="nofollow noreferrer"&gt;&lt;img src="https://i.stack.imgur.com/y8ORz.png" alt="enter image description here"&gt;&lt;/a&gt;&lt;/p&gt;
</t>
  </si>
  <si>
    <t xml:space="preserve">&lt;p&gt;I am making a system to input some paperwork into a digital database.
In said database there are preset Clients, but there are quite a few of them (100+).&lt;/p&gt;
&lt;p&gt;That said, when the user has to select a Client, I want to make it as swiftly as possible, and thought of having him start typing the client name, and have a sort of "dropdown" come out of the textbox with a _startsWith filter, and use directional arrows+enter to select. Similar to history on browsers?&lt;/p&gt;
&lt;p&gt;Is there anyway to implement such a thing on a Textbox?
Right now I have am filtering a Table with the textbox, and have the user click on the tableRow to select the Client. &lt;/p&gt;
&lt;p&gt;Any other ideas are welcome too.
Thank you for reading!&lt;/p&gt;
</t>
  </si>
  <si>
    <t xml:space="preserve">&lt;p&gt;I have created a Send Email global action in lightning. I want to open it from the lightning component. It should open in a popup window.
My code is as follow :&lt;/p&gt;
&lt;pre&gt;&lt;code&gt;&amp;lt;aura:component implements="lightning:actionOverride,force:appHostable, force:hasRecordId,flexipage:availableForAllPageTypes,flexipage:availableForRecordHome" access="global"&amp;gt;
    &amp;lt;lightning:quickActionAPI aura:id="quickActionAPI" /&amp;gt;
        &amp;lt;lightning:button label="Try open email action" onclick="{!c.fireGlobal}" /&amp;gt;
&amp;lt;/aura:component&amp;gt;
(
    {
    fireGlobal: function (cmp, event, helper) {
        var actionAPI = cmp.find("quickActionAPI");
        var fields = {recordId:cmp.get("v.recordId")};
        var args = { actionName: "VRNA__SendEmail",targetFields: fields};
        actionAPI.invokeAction(args);
        }
    }
)
&lt;/code&gt;&lt;/pre&gt;
&lt;p&gt;This opens the email in the Activity tab but I want it to open in a popup window.&lt;/p&gt;
</t>
  </si>
  <si>
    <t xml:space="preserve">&lt;p&gt;We have a powerapps SharePoint List form where there is a button in the New Item Form.&lt;/p&gt;
&lt;p&gt;On Click of said button, the item needs to be saved and should redirect to the Edit item form for the same item.&lt;/p&gt;
&lt;p&gt;We tried &lt;code&gt;IF(SubmitForm(NewForm),Navigate(EditForm))&lt;/code&gt; in the button click properties.&lt;/p&gt;
&lt;p&gt;On clicking the button the item got saved. But instead of opening the Edit form of the saved item, it is opening the Edit Form of whatever item got edited last in the list.&lt;/p&gt;
&lt;p&gt;Please help&lt;/p&gt;
</t>
  </si>
  <si>
    <t xml:space="preserve">&lt;p&gt;I am trying to connect with Zoho CRM using php. I followed this document &lt;a href="https://www.zoho.com/sign/api/#get-documents-list" rel="nofollow noreferrer"&gt;https://www.zoho.com/sign/api/#get-documents-list&lt;/a&gt; for fetching list of sign documents. &lt;/p&gt;
&lt;p&gt;It is taking long time on processing and sending response. I am trying to filter my request so that it will return only those documents which has request_status "completed".&lt;/p&gt;
&lt;p&gt;Also, is there any way to fetch Intern docs using same api?&lt;/p&gt;
&lt;p&gt;My website is in wordpress and i am using this code:&lt;/p&gt;
&lt;pre&gt;&lt;code&gt;function zoho_doc_call($page, $docs_array) {
  $token = get_zoho_token();
  $params = str_replace("}","%7D", str_replace("{","%7B","{%22page_context%22:{%22row_count%22:50,%22start_index%22:".$page."}}"));
  $url = "https://sign.zoho.com/api/v1/requests?data=".$params;
  $args = array(
    'headers' =&amp;gt; array( "Authorization" =&amp;gt; "Bearer ".$token),
  );
  $response = wp_remote_get( $url, $args );
  if ( is_array( $response ) ) {
    $response = json_decode(wp_remote_retrieve_body( $response ), true);
    //echo "&amp;lt;pre&amp;gt;"; print_r($response);die;
    $new_array = array_merge($docs_array, $response['requests']);  
  }  
  if ($response['page_context']['has_more_rows']) return zoho_doc_call($page+100, $new_array);
  return $new_array;
}
&lt;/code&gt;&lt;/pre&gt;
&lt;p&gt;I am new to this api. Can anyone please help me to fix long waiting time issue?&lt;/p&gt;
&lt;p&gt;Thanks!&lt;/p&gt;
</t>
  </si>
  <si>
    <t xml:space="preserve">&lt;p&gt;I am part of the development team of ZohoSign.
Yes you can fetch the documents that are in completed status using ZohoSign get documents list API (details below).
In addition to the page_context data, another parameter 'request_status' with value 'completed' also needs to be passed.&lt;/p&gt;
&lt;p&gt;API Details &lt;/p&gt;
&lt;p&gt;GET &lt;a href="https://sign.zoho.com/api/v1/requests" rel="nofollow noreferrer"&gt;https://sign.zoho.com/api/v1/requests&lt;/a&gt;&lt;/p&gt;
&lt;p&gt;Parameters : &lt;/p&gt;
&lt;pre&gt;&lt;code&gt;request_status=completed
data={"page_context":{"row_count":100,"start_index":1,"search_columns":{},"sort_order":"DESC"}}
&lt;/code&gt;&lt;/pre&gt;
&lt;p&gt;Example :&lt;/p&gt;
&lt;pre&gt;&lt;code&gt;curl -G https://sign.zoho.com/api/v1/requests     -H "Authorization: Zoho-oauthtoken &amp;lt;Oauth-token&amp;gt;"    -d 'request_status=completed'    --data-urlencode 'data={"page_context":{"row_count":100,"start_index":1,"search_columns":{},"sort_order":"DESC"}}'
&lt;/code&gt;&lt;/pre&gt;
&lt;p&gt;For further queries you can reach us at &lt;strong&gt;support@zohosign.com&lt;/strong&gt;&lt;/p&gt;
</t>
  </si>
  <si>
    <t xml:space="preserve">&lt;p&gt;I had this code (which worked fine) in a calculated database that joined two SQL datasources:&lt;/p&gt;
&lt;pre&gt;&lt;code&gt;select m.Email, m.SkuID,m.SkuName,l.Email,l.LastLogin,l.DocsAdded
from Licenses m
inner join ActivityReport l on l.Email = m.Email
&lt;/code&gt;&lt;/pre&gt;
&lt;p&gt;Due to a bug in the reports API that provides incorrect information on &lt;code&gt;LastLogin&lt;/code&gt; time information, I'm using the Users.get API and writing that information a new datasource (just the email of the user and their last login time). I want to join this with my other two data sources. Using the below code:&lt;/p&gt;
&lt;pre&gt;&lt;code&gt;select m.Email, m.SkuID,m.SkuName,l.Email,l.DocsAdded,x.Email,x.LastLogin as LastLogin
from Licenses m
inner join ActivityReport l on l.Email = m.Email
inner join LastLogin x on x.Email = l.Email
&lt;/code&gt;&lt;/pre&gt;
&lt;p&gt;I get the error:&lt;/p&gt;
&lt;pre&gt;&lt;code&gt;License save batch failed: JDBC backend failure. More information: Failed to execute connection with error: Deadlock found when trying to get lock; try restarting transaction
&lt;/code&gt;&lt;/pre&gt;
&lt;p&gt;I also get two errors that looks like this:
License save batch failed: Malformed SQL. More information: Error with SQL statement: Duplicate entry 'user@email.com' for key 'PRIMARY'.&lt;/p&gt;
&lt;p&gt;What am I doing wrong? &lt;/p&gt;
</t>
  </si>
  <si>
    <t xml:space="preserve">&lt;p&gt;I am developing a model driven Power App. I have an entity with a few person/group fields like "Updated By" and "Completed By". Is there a way for the App to recognize who is updating a record so that I can place that card into an MS Flow and send an email with the information of who updated the record? Or maybe fill out a field in the record itself of who last edited it?&lt;/p&gt;
</t>
  </si>
  <si>
    <t xml:space="preserve">&lt;p&gt;This has happened to me a couple times. Using something like an &lt;code&gt;&amp;lt;img&amp;gt;&lt;/code&gt; tag, or &lt;code&gt;&amp;lt;br&amp;gt;&lt;/code&gt;. Basically any HTML void element. Just today I attempted to use a &lt;code&gt;&amp;lt;br&amp;gt;&lt;/code&gt;, and when saving got this:&lt;/p&gt;
&lt;p&gt;&lt;a href="https://i.stack.imgur.com/e1350.png" rel="nofollow noreferrer"&gt;&lt;img src="https://i.stack.imgur.com/e1350.png" alt="error message screen shot"&gt;&lt;/a&gt;&lt;/p&gt;
&lt;p&gt;Am I missing something?&lt;/p&gt;
&lt;p&gt;Is there a reason for this?&lt;/p&gt;
&lt;p&gt;Are void elements not intended for use in visualforce pages or components?&lt;/p&gt;
&lt;p&gt;Or is this just flawed syntax checking?&lt;/p&gt;
&lt;p&gt;Can be very frustrating at times, I ended up adding a false  tag the other day because I realized it wouldn't be rendered and it was the only way to save my page...&lt;/p&gt;
&lt;p&gt;P.S. I'm sorry if this has an easily accessible answer. I think I looked a reasonable amount, but not as much as usual before posting a question. Just couldn't even find search terms to get me close to something relevant.&lt;/p&gt;
</t>
  </si>
  <si>
    <t xml:space="preserve">&lt;p&gt;Visualforce must be a valid &lt;strong&gt;XML&lt;/strong&gt; document. Not HTML (which permits &lt;code&gt;&amp;lt;img&amp;gt;&lt;/code&gt; without closing), not XHTML (because if you add any &lt;code&gt;&amp;lt;apex:...&lt;/code&gt; tags not defined by W3C officially it's not a html document anymore, at least until it gets compiled and output becomes pure html0.&lt;/p&gt;
&lt;p&gt;So you need &lt;code&gt;&amp;lt;img&amp;gt; ... &amp;lt;/img&amp;gt;&lt;/code&gt; or self-closing version, &lt;code&gt;&amp;lt;img /&amp;gt;&lt;/code&gt;.
In a way Lightning Web Components are even worse, self-closing doesn't work. Has to be explicit "end tag".&lt;/p&gt;
&lt;p&gt;As to why... probably for easier ability to parse it as a valid document? I suspect they did it also for easier PDF generation.&lt;/p&gt;
&lt;p&gt;This isn't exactly same topic but close enough I could find in reasonable time: &lt;a href="https://developer.salesforce.com/docs/atlas.en-us.pages.meta/pages/pages_styling_doctype.htm" rel="nofollow noreferrer"&gt;https://developer.salesforce.com/docs/atlas.en-us.pages.meta/pages/pages_styling_doctype.htm&lt;/a&gt;&lt;/p&gt;
</t>
  </si>
  <si>
    <t xml:space="preserve">&lt;p&gt;Hello can someone help on this, I have been at this for a while now.&lt;/p&gt;
&lt;p&gt;I have an Outlook Web add-in that is published to Azure. &lt;/p&gt;
&lt;p&gt;I am trying to connect to Salesforce using &lt;strong&gt;AgentFlow&lt;/strong&gt; or &lt;strong&gt;WebFlow&lt;/strong&gt;.&lt;/p&gt;
&lt;p&gt;My Salesforce is SSO/SAML enabled - what do I need to do on the server (in this case Azure) to SSO to Salesforce using one of the flows above.&lt;/p&gt;
&lt;p&gt;Problem is - both &lt;strong&gt;AgentFlow&lt;/strong&gt; or &lt;strong&gt;WebFlow&lt;/strong&gt; does not required user credentials - see URL for both flows below. &lt;/p&gt;
&lt;p&gt;I know I have to handshake with Salesforce using SAML, but don't know how to do this (like an example SAML URL to pass in my credentials will help)&lt;/p&gt;
&lt;p&gt;Or, is there a better and/or easier way to do this.&lt;/p&gt;
&lt;p&gt;Any help will be very appreciated.&lt;/p&gt;
&lt;p&gt;&lt;strong&gt;AgentFlow URL&lt;/strong&gt; - &lt;a href="https://company.my.salesforce.com/services/oauth2/authorize?response_type=token&amp;amp;client_id=value&amp;amp;redirect_uri=https://login.salesforce.com/services/oauth2/success" rel="nofollow noreferrer"&gt;https://company.my.salesforce.com/services/oauth2/authorize?response_type=token&amp;amp;client_id=value&amp;amp;redirect_uri=https://login.salesforce.com/services/oauth2/success&lt;/a&gt;&lt;/p&gt;
&lt;p&gt;&lt;strong&gt;WebFlow URL&lt;/strong&gt; - &lt;a href="https://company.my.salesforce.com/services/oauth2/authorize?response_type=code&amp;amp;client_id=value&amp;amp;redirect_uri=https://login.salesforce.com/services/oauth2/success" rel="nofollow noreferrer"&gt;https://company.my.salesforce.com/services/oauth2/authorize?response_type=code&amp;amp;client_id=value&amp;amp;redirect_uri=https://login.salesforce.com/services/oauth2/success&lt;/a&gt;&lt;/p&gt;
</t>
  </si>
  <si>
    <t xml:space="preserve">&lt;p&gt;I'm new to AppMaker and not very experienced in Javascript.&lt;/p&gt;
&lt;p&gt;I'm setting up a Template Gallery in AppMaker. In each Template page, users can access the template by clicking a link.&lt;/p&gt;
&lt;p&gt;Long story short, I'm trying to create a button which opens a Hyperlink on Click.
The HyperLink is custom to each Template page, and the TemplateURL is in the datasource of my AppMaker.&lt;/p&gt;
&lt;p&gt;I've been trying to write it as shown below. My database is named Product, and my field is called TemplateURL.&lt;/p&gt;
&lt;pre class="lang-css prettyprint-override"&gt;&lt;code&gt;window.open('Product.TemplateURL','_blank')
&lt;/code&gt;&lt;/pre&gt;
&lt;p&gt;This doesn't work at all. Does anyone has a clue on how to make it work?&lt;/p&gt;
</t>
  </si>
  <si>
    <t xml:space="preserve">&lt;p&gt;I did Saml based SSO for my java based service provider app from Salesforce portal. I created connected app, enabled Identity provider for my domain and all is working fine.&lt;br&gt;
My App can be used by multiple users/orgs in salesforce. How can I manage this scenario? Do I need to ask each one of them to create connected app? In that case how to fetch the metadata for different orgs and the certificate?&lt;br&gt;
Is there a way I can do it at salesforce end or do I need to store the org info with my SP app and fetch it based on some flag?&lt;br&gt;
Any suggestions are welcome.&lt;/p&gt;
</t>
  </si>
  <si>
    <t xml:space="preserve">&lt;pre&gt;&lt;code&gt;&amp;lt;aura:component implements="force:lightningQuickAction,force:appHostable,flexipage:availableForAllPageTypes,flexipage:availableForRecordHome,force:hasRecordId,forceCommunity:availableForAllPageTypes" access="global" &amp;gt;
       &amp;lt;H1&amp;gt; &amp;lt;ui:button label="Web to Lead Form"  press="{!c.openActionWindow}"/&amp;gt; &amp;lt;/H1&amp;gt;
&lt;/code&gt;&lt;/pre&gt;
&lt;p&gt;&lt;/p&gt;
&lt;p&gt;Css&lt;/p&gt;
&lt;pre&gt;&lt;code&gt;.THIS {
}
H1.THIS {
    font-family: 'calibri';
    font-size: 18px;
    background-color: White;
    border: 5px solid white;
    padding: 20px 110px;
    text-align: center;
}
&lt;/code&gt;&lt;/pre&gt;
&lt;p&gt;Here is the &lt;a href="https://i.stack.imgur.com/C9qoO.jpg" rel="nofollow noreferrer"&gt;snapshot&lt;/a&gt;, where i am not able to move the inside button to center&lt;/p&gt;
</t>
  </si>
  <si>
    <t xml:space="preserve">&lt;p&gt;I am new to App Maker. I am trying to find a way to total fields based on data relations. I have built a basic app based on this &lt;a href="https://youtu.be/xdGVGRV9nj0" rel="nofollow noreferrer"&gt;YouTube tutorial (7min long)&lt;/a&gt;. In the video it shows you how to total up series of numbers. In there example they use car inventory that takes input for "Model" the "wholesale value" &amp;amp; "Retail value". It calculate the profit or loss and then gives you the "Total profit loss" on your full inventory. Basic stuff.&lt;/p&gt;
&lt;p&gt;I am trying to take it a step further. I have set up a relational database for "Car companies" (one) to "Car inventory" (many). So say my companies are Saturn &amp;amp; Pontiac. I have different models that relate to each company and display the correct models for either Saturn or Pontiac when selected. But my issue is trying to get only the total value for each specific company to show and not the full value of all the vehicles&lt;/p&gt;
&lt;p&gt;So Say I have picked Saturn and out of the full inventory of cars it pull up only the Saturn models. I only want to see the value of those Saturn vehicles&lt;/p&gt;
&lt;p&gt;I don't want to use targeted "IF" statements because although it's only 2 companies now I want it to pull the totals based on the list regardless of how many companies I have in the future.&lt;/p&gt;
&lt;p&gt;For the record, No I don'town a used car dealership, I'm just trying to learn the program and it seemed an easy way to explain it.&lt;/p&gt;
&lt;p&gt;&lt;strong&gt;Update 001&lt;/strong&gt;&lt;/p&gt;
&lt;p&gt;I understand the following suggestion: &lt;/p&gt;
&lt;blockquote&gt;
  &lt;p&gt;Doing this for a calculated datasource you would set a key parameter
  and feed that key to the calculated DS and run a query where your
  inventory.carcompany.id._equals = key parameter and reload this DS and
  feeding it a new key in the company on item change client script.&lt;/p&gt;
&lt;/blockquote&gt;
&lt;p&gt;Unfortunately I don't understand the language enough to make the script do that without getting lost in weeks of trial and error. Here is the code I have in the calculated query:&lt;/p&gt;
&lt;pre&gt;&lt;code&gt;var totals = {wholesale:0, retail:0, profit:0};
var records = app.models.autos.newQuery().run();
records.forEach(function( item ){
  totals.wholesale += item.wholesale;
  totals.retail += item.retail;
  totals.profit += (item.retail - item.wholesale);
});
var record = app.models.totals.newRecord();
record.wholesale = totals.wholesale;
record.retail = totals.retail;
record.profit = totals.profit;
return [record];
&lt;/code&gt;&lt;/pre&gt;
&lt;p&gt;I understand that I need to make a new var for the company name. I understand that I would then need to get that name and reload the data source using that name to limit my calculation to only listings with that name. I just don't know how to say it correctly. &lt;/p&gt;
</t>
  </si>
  <si>
    <t xml:space="preserve">&lt;p&gt;Based on your other answer here &lt;a href="https://stackoverflow.com/questions/58867149/how-to-add-sum-total-calculate-dynamic-tables-in-google-app-maker"&gt;How to &amp;#39;Add / Sum / Total / Calculate&amp;#39; dynamic tables in google app maker&lt;/a&gt; you would just need to expand on your existing script and do some very minor modifications to your calculated datasource. For one you would introduce an additional field for your Company (type string) and then do the following:&lt;/p&gt;
&lt;pre&gt;&lt;code&gt;var query = app.models.company.newQuery(); // Should this not be models.company.newQuery as there is no datasource named "carcompanies" ?
query.prefetch.autos._add();
var results = query.run();
var calculatedRecords = []; //contained a capitalization error here
results.forEach(function(company) {
  var totals = {wholesale:0, retail:0, profit:0};
  var records = company.autos;
  records.forEach(function(item) {
    totals.wholesale += item.wholesale;
    totals.retail += item.retail;
    totals.profit += (item.retail - item.wholesale);
  });
  var record = app.models.totals.newRecord();
  record.Company = company.name;
  record.wholesale = totals.wholesale;
  record.retail = totals.retail;
  record.profit = totals.profit;
  calculatedRecords.push(record);
});
return calculatedRecords;
&lt;/code&gt;&lt;/pre&gt;
</t>
  </si>
  <si>
    <t xml:space="preserve">&lt;p&gt;For context, I'm someone with zero experience in Ruby - I just asked my Senior Dev to copy-paste me some of his Ruby code so I could try to work with some APIs that he ended up putting off because he was too busy.&lt;/p&gt;
&lt;p&gt;So I'm using an API wrapper called &lt;code&gt;zoho_hub&lt;/code&gt;, used as a wrapper for Zoho APIs (&lt;a href="https://github.com/rikas/zoho_hub/blob/master/README.md" rel="nofollow noreferrer"&gt;https://github.com/rikas/zoho_hub/blob/master/README.md&lt;/a&gt;).&lt;/p&gt;
&lt;p&gt;My IDE is VSCode. &lt;/p&gt;
&lt;p&gt;I execute the entire length of the code, and I'm faced with this: &lt;/p&gt;
&lt;p&gt;&lt;code&gt;[Done] exited with code=0 in 1.26 seconds&lt;/code&gt;&lt;/p&gt;
&lt;p&gt;The API is supposed to return a paginated list of records, but I don't see anything outputted in VSCode, despite the fact that no error is being reflected. The last 2 lines of my code are:&lt;/p&gt;
&lt;pre&gt;&lt;code&gt;ZohoHub.connection.get 'Leads'
p "testing"
&lt;/code&gt;&lt;/pre&gt;
&lt;p&gt;I use the dummy string "testing" to make sure that it's being executed up till the very end, and it does get printed.&lt;/p&gt;
&lt;p&gt;This has been baffling me for hours now - is my response actually being outputted somewhere, and I just can't see it??&lt;/p&gt;
</t>
  </si>
  <si>
    <t xml:space="preserve">&lt;p&gt;Ruby does not print anything unless you tell it to. For debugging there is a pretty printing method available called &lt;code&gt;pp&lt;/code&gt;, which is decent for trying to print structured data.&lt;/p&gt;
&lt;p&gt;In this case, if you want to output the records that your &lt;code&gt;get&lt;/code&gt; method returns, you would do:&lt;/p&gt;
&lt;pre&gt;&lt;code&gt;pp ZohoHub.connection.get 'Leads'
&lt;/code&gt;&lt;/pre&gt;
&lt;p&gt;To get the next page you can look at &lt;a href="https://github.com/rikas/zoho_hub/blob/master/lib/zoho_hub/connection.rb" rel="nofollow noreferrer"&gt;the source code&lt;/a&gt;, and you will see the &lt;code&gt;get&lt;/code&gt; request has an additional Hash parameter.&lt;/p&gt;
&lt;pre&gt;&lt;code&gt;def get(path, params = {})
&lt;/code&gt;&lt;/pre&gt;
&lt;p&gt;Then you have to read &lt;a href="https://www.zoho.com/crm/developer/docs/api/get-records.html" rel="nofollow noreferrer"&gt;the Zoho API documentation for get&lt;/a&gt;, and you will see that the page is requested using the &lt;code&gt;page&lt;/code&gt; param.&lt;/p&gt;
&lt;p&gt;Therefore we can finally piece it together:&lt;/p&gt;
&lt;pre&gt;&lt;code&gt;pp ZohoHub.connection.get('Leads', page: NNN)
&lt;/code&gt;&lt;/pre&gt;
&lt;p&gt;Where &lt;code&gt;NNN&lt;/code&gt; is the number of the page you want to request.&lt;/p&gt;
</t>
  </si>
  <si>
    <t xml:space="preserve">&lt;p&gt;here i am trying to extract zoho attendance and timesheet data in qlikview&lt;/p&gt;
&lt;p&gt;is there any API required? if there is no API then how i connect and export data from zoho in qlikview&lt;/p&gt;
</t>
  </si>
  <si>
    <t xml:space="preserve">&lt;p&gt;I'm trying to integrate a service with Zoho subscriptions, and I want to make sure that the call actually comes from Zoho. To do that, in the webhook, I tick "I want to secure this webhook" and follow the documentation on their &lt;a href="https://www.zoho.com/subscriptions/kb/webhooks/securing-webhooks.html" rel="nofollow noreferrer"&gt;linked page&lt;/a&gt; - but I struggle to generate matching hash values.
What are the tricks of correctly verifying the hash?&lt;/p&gt;
</t>
  </si>
  <si>
    <t xml:space="preserve">&lt;p&gt;Appmaker saying&lt;/p&gt;
&lt;blockquote&gt;
  &lt;p&gt;App Maker will soon deprecate the foreign key field. We recommend you
  use relations instead.&lt;/p&gt;
&lt;/blockquote&gt;
&lt;p&gt;What does it mean? Does it mean they are going to remove FK from Database tables or are they going to hide FK so developer/user cannot directly use it in app to enforce to use Relation. &lt;/p&gt;
</t>
  </si>
  <si>
    <t xml:space="preserve">&lt;p&gt;I have a simple form where users can enter some data. 
The form collects my email automatically under 'email' field. 
On the page with this form I would like to have a table that displays only records that I have entered, or where email field is matching my own.
How do I build a datasource query to match my email and bind it to the table? Ideally I would like this table refreshed every time a new records (under my email) is created.&lt;/p&gt;
</t>
  </si>
  <si>
    <t xml:space="preserve">&lt;p&gt;I have a table attached to Datasource that I would like to update every 30 seconds, or on widget onClick action. For some reason this isn't working.&lt;/p&gt;
&lt;p&gt;&lt;div class="snippet" data-lang="js" data-hide="false" data-console="true" data-babel="false"&gt;
&lt;div class="snippet-code"&gt;
&lt;pre class="snippet-code-html lang-html prettyprint-override"&gt;&lt;code&gt;onAttach:
window.reloadId = setTimeout(function() { widget.datasource.load(); }, 2 * 60 * 1000);
onDetach:
clearTimeout(window.reloadId);&lt;/code&gt;&lt;/pre&gt;
&lt;/div&gt;
&lt;/div&gt;
&lt;/p&gt;
</t>
  </si>
  <si>
    <t xml:space="preserve">&lt;p&gt;I'm trying to figure out what the best way to print from App Maker. I have a guess management app and I need a way to print out guest passes from app maker. I have some ideas, but I'm not sure what would work or be the acceptable best practice. These will print out on a 4x6 thermal printer. Any working examples would be greatly appreciated. I've only managed to get option two below to work without css formatting.&lt;/p&gt;
&lt;p&gt;1) Open the guest info in a page fragment and print it. This would need to print the page fragment as displayed, unsure if this is possible in app maker.&lt;/p&gt;
&lt;p&gt;2) Create an html page by passing the guests information, open the page in a new tab and use windows print.&lt;/p&gt;
&lt;p&gt;3) Use a mailmerge of sort on a document on google drive and print with cloud print. I'm worried that the lag time might make this slow. I'm also unsure if it's doable.&lt;/p&gt;
&lt;p&gt;Thank You&lt;/p&gt;
</t>
  </si>
  <si>
    <t xml:space="preserve">&lt;p&gt;I am trying to test my first lightning web component using visual studio code as my IDE. As instructed I installed Node.js, npm and jest dependency. But I am getting this error &lt;/p&gt;
&lt;p&gt;&lt;a href="https://i.stack.imgur.com/JlRaf.png" rel="nofollow noreferrer"&gt;Error Image&lt;/a&gt;&lt;/p&gt;
&lt;p&gt;when trying to run the below code&lt;/p&gt;
&lt;p&gt;driver_Registration.html&lt;/p&gt;
&lt;pre&gt;&lt;code&gt;&amp;lt;template&amp;gt;
&amp;lt;div class="slds-m-around_medium"&amp;gt;
    &amp;lt;p&amp;gt;Hello, {person}!&amp;lt;/p&amp;gt;
&amp;lt;/div&amp;gt;
&amp;lt;/template&amp;gt;
&lt;/code&gt;&lt;/pre&gt;
&lt;p&gt;driver_Registration.js&lt;/p&gt;
&lt;pre&gt;&lt;code&gt;import { LightningElement, api } from 'lwc';
export default class Driver_Registration extends LightningElement {
@api person = 'World';
}
&lt;/code&gt;&lt;/pre&gt;
&lt;p&gt;hello.test.js in &lt;strong&gt;tests&lt;/strong&gt; folder &lt;/p&gt;
&lt;pre&gt;&lt;code&gt;// hello.test.js
import { createElement } from 'lwc';
import Hello from 'c/driver_Registration';
describe('c-hello', () =&amp;gt; {
    afterEach(() =&amp;gt; {
        // The jsdom instance is shared across test cases in a single file so reset the DOM
        while (document.body.firstChild) {
            document.body.removeChild(document.body.firstChild);
        }
    });
    it('displays greeting', () =&amp;gt; {
        // Create element
        const element = createElement('c-hello', {
            is: Hello
        });
        document.body.appendChild(element);
        // Verify displayed greeting
        const pTag = element.shadowRoot.querySelector('p');
        expect(pTag.textContent).toEqual('Hello, World!');
    }); 
});
&lt;/code&gt;&lt;/pre&gt;
&lt;p&gt;Any input is appreciated&lt;/p&gt;
</t>
  </si>
  <si>
    <t xml:space="preserve">&lt;p&gt;I have followed all the steps in the &lt;a href="https://www.youtube.com/watch?v=qXSRKfYqYMM" rel="nofollow noreferrer"&gt;https://www.youtube.com/watch?v=qXSRKfYqYMM&lt;/a&gt; where the app is taking a picture of text and converting it to text using the computer vision flow.&lt;/p&gt;
&lt;p&gt;I have tried many times following the steps but I am constantly getting an error "Invalid number of arguments: received 1, expected 2" with my flow button any ideas what is wrong&lt;/p&gt;
&lt;p&gt;&lt;code&gt;Camera OnSelect:  ClearCollect(colPhoto, Camera2.Photo)&lt;/code&gt;&lt;/p&gt;
&lt;p&gt;&lt;code&gt;Image: Collect(colImageDesc, ComputerVisionAPI.DescribeImageContentV2(First(colPhoto).Url).description)&lt;/code&gt;&lt;/p&gt;
&lt;p&gt;&lt;code&gt;Gallery: First(colImageDesc).tags&lt;/code&gt;&lt;/p&gt;
</t>
  </si>
  <si>
    <t xml:space="preserve">&lt;p&gt;I want to know how to display data for a specific month in a table.&lt;/p&gt;
&lt;p&gt;There is a table with the column [EmployeeId,Date,StartTime,EndTime].
I want to filter by the month of Date, but I don't know how.&lt;/p&gt;
&lt;pre&gt;&lt;code&gt;  var AttendanceResult = [];
  // Select employee number and current month data
   var query = app.models.AttendanceMaster.newQuery(); 
   query.filters.EmployeeId._equals = userNumber;　// Match employee number
   query.filters.Date._contains = roadMonth;       // Including month
   var records = query.run();  
   for (var i = 0; i &amp;lt; records.length; i++) {
      AttendanceResult.push(records[i]);
   }   
return AttendanceResult;
&lt;/code&gt;&lt;/pre&gt;
&lt;p&gt;Since the "query.filters.Date._contains = roadMonth;" filter in the above code is not working,
I think there is an error here,
Please tell me.&lt;/p&gt;
&lt;p&gt;What are some examples of filters?&lt;/p&gt;
</t>
  </si>
  <si>
    <t xml:space="preserve">&lt;p&gt;You can certainly use appmaker's scripting to achieve this. Building from your example, I see you are using server scripting. The following snippet should help you understand how to achieve it and should also yield the result you desire:&lt;/p&gt;
&lt;pre&gt;&lt;code&gt;function filterByMonth(month){
  //get the selected month digit
  month = month.toLowerCase();
  var allMonths = {
    "january": 0,
    "february": 1,
    "march": 2,
    "april": 3,
    "may": 4,
    "june": 5,
    "july": 6,
    "august": 7,
    "september": 8,
    "october": 9,
    "november": 10,
    "december": 11
  };
  var monthDigit = allMonths[month];
  // Select employee number and current month data
  var selectedMonthStart = new Date();
  selectedMonthStart.setMonth(monthDigit);
  selectedMonthStart.setDate(1);
  selectedMonthStart.setHours(0,0,-1,0);
  var selectedMonthEnd = new Date();
  selectedMonthEnd.setMonth(monthDigit+ 1);
  selectedMonthEnd.setDate(1);
  selectedMonthEnd.setHours(0,0,0,0);
  var query = app.models.AttendanceMaster.newQuery(); 
  query.filters.EmployeeId._equals = userNumber;　// Match employee number
  query.filters.Date._greaterThan = selectedMonthStart; // Including month start time
  query.filters.Date._lessThan = selectedMonthEnd; // Including month end time
  var AttendanceResult = query.run();
  return AttendanceResult; 
}
&lt;/code&gt;&lt;/pre&gt;
</t>
  </si>
  <si>
    <t xml:space="preserve">&lt;p&gt;I have been trying out Power Apps of late and I ran into this issue creating a form that links to a SQL database: &lt;code&gt;Unexpected characters and Expected operators.&lt;/code&gt; And for the life of me I don't know what characters and operators they are complaining about. &lt;/p&gt;
&lt;pre&gt;&lt;code&gt;Text(DateDiff(
    TimeValue(Text(Dropdown1_2.Selected.Value) &amp;amp; ":" &amp;amp; Text(Dropdown1_3.Selected.Value)),
    TimeValue(Text(EndHrs_1.Selected.Value) &amp;amp; ":" &amp;amp; Text(EndMin_1.Selected.Value)),`Hours,"[$-en-US]00") &amp;amp; ":" &amp;amp;
Text(Mod(
    DateDiff(
    TimeValue(Text(Dropdown1_2.Selected.Value) &amp;amp; ":" &amp;amp; Text(Dropdown1_3.Selected.Value)),
    TimeValue(Text(EndHrs_1.Selected.Value) &amp;amp; ":" &amp;amp; Text(EndMin_1.Selected.Value)),Minutes
&lt;/code&gt;&lt;/pre&gt;
</t>
  </si>
  <si>
    <t xml:space="preserve">&lt;p&gt;SAML response from the identity provides(External) contains the Employee Id as a separate attribute which i need to display in Salesforce VisualForce Page. So help me in passing the attributes from saml response to a VF Page once authenticated via SSO . &lt;/p&gt;
&lt;p&gt;Thanks in advance&lt;/p&gt;
</t>
  </si>
  <si>
    <t xml:space="preserve">&lt;p&gt;I have a script set up to automatically load information into a table. I was able to successfully test this with using a specific record key. My question is, what do I change the key number to so that these automatic updates apply to a new item when it is created?&lt;/p&gt;
&lt;pre&gt;&lt;code&gt;**SERVER SCRIPT:**
function addDefaultUpdates(key){
  // create update entries
  var contacts = ["Blah Blah Blah"];
  var newUpdateRecords = [];
  contacts.forEach(function(contact){
    var update = app.models.Updates.newRecord();
    update.FunctionAndContact = contact;
    newUpdateRecords.push(update);
  });
  app.saveRecords(newUpdateRecords); // save update entries
  var data = app.models.Data.getRecord(key); // get data entry by key
  if(data.Updates == null){
   data.Updates = []; 
  }
  data.Updates = data.Updates.concat(newUpdateRecords);
  app.saveRecords([data]); // save data entry
}
**CLIENT SCRIPT onClick**
google.script.run.withFailureHandler(
  function(error){
    console.log('error', error.message);
  }
).addDefaultUpdates('3');
&lt;/code&gt;&lt;/pre&gt;
&lt;p&gt;&lt;strong&gt;What do I change this ('3') to????&lt;/strong&gt;&lt;/p&gt;
</t>
  </si>
  <si>
    <t xml:space="preserve">&lt;p&gt;I am trying to get an opportunity field values, perform some if-else statements and the result  to the email, the whole process thru JavaScript. I do not want to use VR, as there are many combinations which depend on the 3 inter-dependent-picklist values selected by the user.&lt;/p&gt;
</t>
  </si>
  <si>
    <t xml:space="preserve">&lt;p&gt;I have a script that takes a verrrry long time to process some files and appmaker just twiddles its fingers. How do you write a script that can run a different server script to get a count from a database on a semi-regular basis. &lt;/p&gt;
&lt;p&gt;assuming the script we want to call is update count, and as soon as the main script finishes we move to another page. What is the equivalent of utilities.sleep in this context?&lt;/p&gt;
&lt;p&gt;On Attach:&lt;/p&gt;
&lt;pre&gt;&lt;code&gt;while (x){
app.page.descendents.label1 = google.script.run.getCount(runID);
Utilities.sleep(5000);
}
&lt;/code&gt;&lt;/pre&gt;
</t>
  </si>
  <si>
    <t xml:space="preserve">&lt;p&gt;I want to fetch all the addresses from entity in sales force without providing address name.
For example, in Account I want to make a query which should return BillingAddress, ShippingAddress, etc. 
I am building a sales force lightning component which can be used in any entity, and I need to show all the addresses attached to that entity.
Query should be generic, I only have Id (can be AccountId, Can be any other Entity Id) and should not include specific name of Address type.&lt;/p&gt;
</t>
  </si>
  <si>
    <t xml:space="preserve">&lt;p&gt;I have a field in a form with label/display name: &lt;/p&gt;
&lt;p&gt;"I can confirm that this supply is not subject to restrictions under the Test Group, or be of a specialist nature, and as such require other checks that this method does not support."&lt;/p&gt;
&lt;p&gt;I am using a dropdown widget with options Yes and No to display it.&lt;/p&gt;
&lt;p&gt;&lt;a href="https://i.stack.imgur.com/NALgX.png" rel="nofollow noreferrer"&gt;&lt;img src="https://i.stack.imgur.com/NALgX.png" alt="enter image description here"&gt;&lt;/a&gt;&lt;/p&gt;
&lt;p&gt;I could wrap the label by trying below css. &lt;/p&gt;
&lt;pre&gt;&lt;code&gt;     .app-AddRequest-Field15-Label {
            white-space: normal;
       }
&lt;/code&gt;&lt;/pre&gt;
&lt;p&gt;But now the space between the input and label is very less. Even if I put a margin top to the input when in mobile view the label wraps even more and the space still remains very less/ both override. &lt;/p&gt;
&lt;p&gt;&lt;a href="https://i.stack.imgur.com/7Sa9c.png" rel="nofollow noreferrer"&gt;&lt;img src="https://i.stack.imgur.com/7Sa9c.png" alt="enter image description here"&gt;&lt;/a&gt;&lt;/p&gt;
&lt;p&gt;&lt;a href="https://i.stack.imgur.com/StLAL.png" rel="nofollow noreferrer"&gt;&lt;img src="https://i.stack.imgur.com/StLAL.png" alt="enter image description here"&gt;&lt;/a&gt;&lt;/p&gt;
&lt;p&gt;Images with borders&lt;/p&gt;
&lt;p&gt;Label border: black&lt;/p&gt;
&lt;p&gt;Input border: Orange&lt;/p&gt;
&lt;p&gt;&lt;a href="https://i.stack.imgur.com/gg8Uj.png" rel="nofollow noreferrer"&gt;&lt;img src="https://i.stack.imgur.com/gg8Uj.png" alt="enter image description here"&gt;&lt;/a&gt;&lt;/p&gt;
&lt;p&gt;&lt;a href="https://i.stack.imgur.com/RshVK.png" rel="nofollow noreferrer"&gt;&lt;img src="https://i.stack.imgur.com/RshVK.png" alt="enter image description here"&gt;&lt;/a&gt;&lt;/p&gt;
&lt;p&gt;I want to keep a constant space in all views. Please suggest.&lt;/p&gt;
</t>
  </si>
  <si>
    <t xml:space="preserve">&lt;p&gt;I am trying to work with a timer in Salesforce Lightning. When I add it to the page, it throws the error of "&lt;strong&gt;render threw an error in 'c:serviceConsoleCaseTimer' [Cannot assign to read only property 'disconnectedHandler' of object '[object Object]']&lt;/strong&gt;" I have no clue how to fix this error.
 Here is the code where I am getting this error:&lt;/p&gt;
&lt;pre&gt;&lt;code&gt;set tabclosed(value){
        this._tabclosed = value;
        this.tabisclosed = this._tabclosed;
        if(this.tabisclosed){
            this.disconnectedHandler();
        }
    }
    constructor(params){
        super(params)
        this.disconnectedHandler = this.disconnectedHandler.bind(this)
        this.pauseTimer = this.pauseTimer.bind(this)
     }
    connectedCallback() {
        if(this.autoStart){              
            this.start();
        }
        window.addEventListener("beforeunload", this.disconnectedHandler); 
    }       
    // Function for detecting window navigation/closing 
    disconnectedHandler(){
        if(this.stime !== '00:00:00'){       
        this.stop();        
        newSession({caseId: this.recordId, timeVal: this.stime}).then(() =&amp;gt; {
            })
            .catch(error =&amp;gt; {
            });
        }
    }
&lt;/code&gt;&lt;/pre&gt;
&lt;p&gt;I understand that the property is read only. I have tried to set the property writable : true as well.&lt;/p&gt;
&lt;p&gt;Here are the links that I have tried:
&lt;a href="https://developer.mozilla.org/en-US/docs/Web/JavaScript/Reference/Errors/Read-only" rel="nofollow noreferrer"&gt;https://developer.mozilla.org/en-US/docs/Web/JavaScript/Reference/Errors/Read-only&lt;/a&gt;
&lt;a href="https://developer.mozilla.org/en-US/docs/Web/JavaScript/Reference/Global_Objects/Object/freeze" rel="nofollow noreferrer"&gt;https://developer.mozilla.org/en-US/docs/Web/JavaScript/Reference/Global_Objects/Object/freeze&lt;/a&gt;
&lt;a href="https://developer.mozilla.org/en-US/docs/Web/JavaScript/Reference/Global_Objects/Object/defineProperty" rel="nofollow noreferrer"&gt;https://developer.mozilla.org/en-US/docs/Web/JavaScript/Reference/Global_Objects/Object/defineProperty&lt;/a&gt;&lt;/p&gt;
&lt;p&gt;&lt;a href="https://stackoverflow.com/questions/57591012/ngrx-cannot-assign-to-read-only-property-property-of-object-object"&gt;Ngrx : Cannot assign to read only property &amp;#39;Property&amp;#39; of object &amp;#39;[Object]&amp;#39;&lt;/a&gt;
&lt;a href="https://salesforce.stackexchange.com/questions/219610/workspace-api-not-returning-focused-tab-details"&gt;https://salesforce.stackexchange.com/questions/219610/workspace-api-not-returning-focused-tab-details&lt;/a&gt;&lt;/p&gt;
&lt;p&gt;Thank you for any help!&lt;/p&gt;
</t>
  </si>
  <si>
    <t xml:space="preserve">&lt;p&gt;On the Button Click I am Updating A &lt;code&gt;Div&lt;/code&gt; That Contains List of Records and I am Displaying those Records with the help of below &lt;code&gt;Lightning Controller&lt;/code&gt;&lt;/p&gt;
&lt;p&gt;Here &lt;code&gt;findOnButtonClick&lt;/code&gt; is the &lt;code&gt;Aura Function in Apex&lt;/code&gt; and &lt;code&gt;accountList&lt;/code&gt; contains the records on that Div.&lt;/p&gt;
&lt;p&gt;So here I want when i click on Button this &lt;code&gt;accountList&lt;/code&gt; Record will appear on that div but with some Transition Effect &lt;code&gt;Like Ease In or Out&lt;/code&gt; I am not sure how to do this in Lightning Controller&lt;/p&gt;
&lt;pre&gt;&lt;code&gt;handleClick : function (component, event, helper) {
        var getOnClickFromCMP = component.get("v.buttonClick");
        var getOnClickEvent = event.getSource();
        var getOnClickFromLabel = getOnClickEvent.get("v.label");
        var action = component.get("c.findOnButtonClick");
        if (getOnClickFromCMP.includes(getOnClickFromLabel)) {
            for(var i = getOnClickFromCMP.length - 1; i &amp;gt;= 0; i--) {
                if(getOnClickFromCMP[i] === getOnClickFromLabel) {
                   getOnClickFromCMP.splice(i, 1);
                    break;
                }
            }
        } 
        else{
            getOnClickFromCMP.push(getOnClickFromLabel);
        }
        if(getOnClickEvent.get("v.class") != 'active') {
            getOnClickEvent.set("v.class", "active");
        } 
        else{
            getOnClickEvent.set("v.class", "");
        }
        action.setParams({
                "buttonClick": getOnClickFromCMP
            });
        action.setCallback(this, function(a) {
            component.set("v.accountList", a.getReturnValue());
        });
        $A.enqueueAction(action);
    }
&lt;/code&gt;&lt;/pre&gt;
</t>
  </si>
  <si>
    <t xml:space="preserve">&lt;p&gt;I have an issue with the path not found for PDFTron for my Hybrid Android device.
The Hybrid app is built in Mendix.&lt;/p&gt;
&lt;p&gt;Below is my sample code.&lt;/p&gt;
&lt;pre&gt;&lt;code&gt;WebViewer({
path: 'PDFTron/lib',
documentType: 'pdf',
//initialDoc: 'https://pdftron.s3.amazonaws.com/downloads/pl/demo-annotated.pdf',
fullAPI: true,
enableFilePicker: true }, document.getElementById('viewer')).then(async function(instance) { /**** Some code here ***/ });});'
&lt;/code&gt;&lt;/pre&gt;
&lt;p&gt;The above path works perfectly fine for the web version. In Android I get this error.&lt;/p&gt;
&lt;p&gt;&lt;a href="https://i.stack.imgur.com/58U9g.jpg" rel="nofollow noreferrer"&gt;&lt;img src="https://i.stack.imgur.com/58U9g.jpg" alt="Android Path error"&gt;&lt;/a&gt;&lt;/p&gt;
&lt;p&gt;It seems like the Hybrid version does take paths with "file:///"&lt;/p&gt;
&lt;p&gt;Can anyone guide me as to how I give the proper path for Hybrid apps or if PDFTron has some other solution for this.&lt;/p&gt;
</t>
  </si>
  <si>
    <t xml:space="preserve">&lt;p&gt;I have been struggling this for a while.
I am creating an item with a form. After the item is created, I want to redirect the user to a page, where the datsource's current item is set to this new one. How would this be possible? I tried &lt;/p&gt;
&lt;pre&gt;&lt;code&gt;  var keyofCustomer = record._key;
  google.script.run.getCustomer(keyofCustomer);
  app.datasources.Customers.item=currentCustomer;
  app.showPage(app.pages.CustomerDetails); 
&lt;/code&gt;&lt;/pre&gt;
&lt;p&gt;the getCustomer server script:&lt;/p&gt;
&lt;pre&gt;&lt;code&gt;    function getCustomer(customerID)
   {
    var customer = app.models.Customers.getRecord(customerID);
    return customer;
   }
&lt;/code&gt;&lt;/pre&gt;
&lt;p&gt;Any kind of help would be much appreciated.&lt;/p&gt;
</t>
  </si>
  <si>
    <t xml:space="preserve">&lt;p&gt;I am creating a meteor app which has login through salesforce using oauth. The login happens through a community app. For the oauth credentials I created a connected app on salesforce(sandbox) with full access.
Initially the login was working fine but then after a few days I started getting the following error.&lt;/p&gt;
&lt;pre&gt;&lt;code&gt;
We can't authorize you because of an OAuth error.
1814 : An unexpected error has occured during authentication. Please try again
&lt;/code&gt;&lt;/pre&gt;
&lt;p&gt;But after this when I attempt the login again (i.e. going back to app screen from the salesforce error screen)from my app, I receive the access code from salesforce and I am able to fetch data through salesforce apis.&lt;/p&gt;
&lt;p&gt;I tried looking for this error but did not find anything useful. &lt;/p&gt;
&lt;p&gt;Any help would be appreciated. Thanks in advance.&lt;/p&gt;
</t>
  </si>
  <si>
    <t xml:space="preserve">&lt;p&gt;In Tutorial 2: Work with Data. 
&lt;a href="https://developers.google.com/appmaker/tutorials/work-with-data" rel="nofollow noreferrer"&gt;https://developers.google.com/appmaker/tutorials/work-with-data&lt;/a&gt;
I have a problem. Create a model. I can't choose Google Cloud SQL.&lt;/p&gt;
&lt;p&gt;What do I have to do to choose Google Cloud SQL?&lt;/p&gt;
&lt;p&gt;&lt;img src="https://i.stack.imgur.com/8Wu89.png" alt="Create model"&gt;&lt;/p&gt;
</t>
  </si>
  <si>
    <t xml:space="preserve">&lt;p&gt;I want to fetch the size of my table in Salesforce using a CData driver.&lt;/p&gt;
</t>
  </si>
  <si>
    <t xml:space="preserve">&lt;p&gt;I'm trying to learn the basics of Lightning Web Components and I'm having trouble getting the value of a lighting-input element.&lt;/p&gt;
&lt;p&gt;I understand that it's designed for one way data binding instead of two way (a decision that I find questionable), but I can't get an onchange method to work either. I'm running this sample on the &lt;a href="https://developer.salesforce.com/docs/component-library/tools/playground" rel="nofollow noreferrer"&gt;Lighting playground&lt;/a&gt;:&lt;/p&gt;
&lt;pre&gt;&lt;code&gt;//app.html
&amp;lt;lightning-input
    label="test"
    onchange={handleChange}&amp;gt;
&amp;lt;/lightning-input&amp;gt;
&lt;/code&gt;&lt;/pre&gt;
&lt;hr&gt;
&lt;pre&gt;&lt;code&gt;//app.js
import { LightningElement, track, api } from 'lwc';
export default class App extends LightningElement {
    handleChange(event) {
        console.log(event)
    }
}
&lt;/code&gt;&lt;/pre&gt;
&lt;p&gt;And making any change to the input in the template gives me the following error:&lt;/p&gt;
&lt;pre&gt;&lt;code&gt;Error: Disallowed method "appendChild" in ShadowRoot.
&lt;/code&gt;&lt;/pre&gt;
&lt;p&gt;Why does the onchange method not work as expected and should I go about making it work as intended?&lt;/p&gt;
</t>
  </si>
  <si>
    <t xml:space="preserve">&lt;p&gt;So, I have built a component where I use apex to send Case data to the front end for display in a Community. &lt;/p&gt;
&lt;p&gt;I am using a redirect function in the JS controller to take users to the Case detail page.&lt;/p&gt;
&lt;p&gt;I need someway to actually grab the specific case Id when a user clicks on a case on the component.&lt;/p&gt;
&lt;p&gt;The data is all currently displayed in regular tables tags.&lt;/p&gt;
&lt;p&gt;&lt;code&gt;&amp;lt;aura:iteration items="{!c.caseDisplayMethod}" &amp;gt;
        &amp;lt;td&amp;gt;&amp;lt;span onclick="redirectFunction"&amp;gt; {!case.caseNumber}&amp;lt;/span&amp;gt;&amp;lt;/td&amp;gt;
   &amp;lt;/aura:iteration&amp;gt;&lt;/code&gt;&lt;/p&gt;
</t>
  </si>
  <si>
    <t xml:space="preserve">&lt;p&gt;In usual cases for local apps, we deploy it to mendix public cloud but if we isolate the mendix runtime and deploy it with a docker container, what difference does it make. what are the benefits with docker?&lt;/p&gt;
</t>
  </si>
  <si>
    <t xml:space="preserve">&lt;p&gt;In my application, there is a gallery which has 6 categories. When I click on each category questions related to that category will be loaded in another gallery. After completion of one category the next category needs to be selected. So, when I click on next button can I select the 2nd category present in that category_gallery?&lt;/p&gt;
</t>
  </si>
  <si>
    <t xml:space="preserve">&lt;p&gt;i´m stuck on a maybe simple function.&lt;/p&gt;
&lt;p&gt;I have 3 widgets : One TextBox, One Label, and a Button.&lt;/p&gt;
&lt;p&gt;What I need is : &lt;/p&gt;
&lt;p&gt;OnClick the Button --&gt; Reads the value of the textbox (number) and adds this amount to the current value of the Label widget.&lt;/p&gt;
&lt;p&gt;For example :   current value of the Label = 500
                ,write in the text box 300 and click the button ,
the value of the label changes to 800.&lt;/p&gt;
&lt;p&gt;Here are screenshot,and my not working code.&lt;/p&gt;
&lt;p&gt;I appreciate every help.&lt;/p&gt;
&lt;p&gt;Greetings&lt;/p&gt;
&lt;pre&gt;&lt;code&gt;var einlesefeld =  app.currentPage.descendants.TextBox179;
var gesamtnummer = app.currentPage.descendants.Label161;
gesamtnummer.value = gesamtnummer.value + einlesefeld.value;
&lt;/code&gt;&lt;/pre&gt;
</t>
  </si>
  <si>
    <t xml:space="preserve">&lt;p&gt;This is the exact same problem I had when I first started with App Maker. To understand why this is not working, I went over the &lt;a href="https://developers-dot-devsite-v2-prod.appspot.com/appmaker/scripting/api/widgets" rel="nofollow noreferrer"&gt;Widgets API Documentation&lt;/a&gt;. Unlike the TextBox widget, the Label widget contains a &lt;strong&gt;text&lt;/strong&gt; property and not a &lt;strong&gt;value&lt;/strong&gt; property; Hence it is not working. Please change it to this:&lt;/p&gt;
&lt;pre&gt;&lt;code&gt;var einlesefeld =  app.currentPage.descendants.TextBox179;
var gesamtnummer = app.currentPage.descendants.Label161;
var updatedValue = Number(gesamtnummer.text) + Number(einlesefeld.value);
gesamtnummer.text = updatedValue.toString();
&lt;/code&gt;&lt;/pre&gt;
</t>
  </si>
  <si>
    <t xml:space="preserve">&lt;p&gt;I have a requirement to fetching data from Sales force. I need to get the data from two custom objects. I 
have written query in sql can anyone help me to convert it into SOQL&lt;/p&gt;
</t>
  </si>
  <si>
    <t xml:space="preserve">&lt;p&gt;As you probably know, Salesforce SOQL doesn't have explicit JOIN clauses. It does that for you implicitly based on related object fields. That means you'll have to query &lt;code&gt;Account_Enrollment__c&lt;/code&gt; and traverse the fields to get the related &lt;code&gt;Enrollment_Program__c&lt;/code&gt; Lookup relationship.&lt;/p&gt;
&lt;p&gt;Another problem is Salesforce only performs joins based on primary and foreign keys, so the &lt;code&gt;EP.Crop_Year__c = AE.Crop_Year__c&lt;/code&gt; in your query won't work.&lt;/p&gt;
&lt;p&gt;So, with that said, you can try this:&lt;/p&gt;
&lt;pre&gt;&lt;code&gt;SELECT Enrollment_Program__c, Enrollment_Program__e.Name,
 Enrollment_Program__r.Crop_Year__c, Enrollment_Program__r.Targeted_Enrollment_Segments__c,
 Enrollment_Program__r.Description__c, Enrollment_Program__r.Start_Date__c,
 Enrollment_Program__r.End_Date__c 
FROM Account_Entrollment_Program__c WHERE Account__c = 'zyz'
&lt;/code&gt;&lt;/pre&gt;
&lt;p&gt;If you know beforehand what the &lt;code&gt;Crop_Year__c&lt;/code&gt; value is, you can just add this to your query:&lt;/p&gt;
&lt;pre&gt;&lt;code&gt;AND Crop_Year__c=:year AND Enrollment_Program__c.Crop_Year__c=:year
&lt;/code&gt;&lt;/pre&gt;
&lt;p&gt;Some details on the queries:
The &lt;code&gt;__r&lt;/code&gt; suffix is how you get the lookup object addressed in the query. If you are interested only in the id, you can use &lt;code&gt;__c&lt;/code&gt;.
The &lt;code&gt;:year&lt;/code&gt; is how you pass the parameter &lt;code&gt;year&lt;/code&gt; to the query. If you want to append it as text you can just use &lt;code&gt;... Crop_Year='+ year + '&lt;/code&gt;.&lt;/p&gt;
</t>
  </si>
  <si>
    <t xml:space="preserve">&lt;p&gt;Can anyone show me how to combine the &lt;strong&gt;Sort and Filter&lt;/strong&gt; and &lt;strong&gt;Toggle&lt;/strong&gt; functions below. Each works fine with my Gallery separately but I do not know how to combine them.&lt;/p&gt;
&lt;p&gt;&lt;strong&gt;Sort and Filter:&lt;/strong&gt;&lt;/p&gt;
&lt;pre&gt;&lt;code&gt;SortByColumns(
    Filter(
        Project_Gantt_Chart,
        Project = Dropdown7.Selected.Result
    ),
    "Start_Date",
    If(
        SortDescending1,
        Descending,
        Ascending
    )
)
&lt;/code&gt;&lt;/pre&gt;
&lt;p&gt;&lt;strong&gt;Toggle:&lt;/strong&gt;&lt;/p&gt;
&lt;pre&gt;&lt;code&gt;If(
    ToggleComplete.Value = true,
    Filter(
        Project_Gantt_Chart,
        Percent_Complete2 &amp;lt; 100
    ),
    Project_Gantt_Chart
)
&lt;/code&gt;&lt;/pre&gt;
</t>
  </si>
  <si>
    <t xml:space="preserve">&lt;p&gt;I am trying to get data of attendance API from zoho people in postman application .. so for this i already get access token and now i am trying to access all data ..&lt;/p&gt;
&lt;p&gt;I tried this link and paste in get&lt;/p&gt;
&lt;p&gt;&lt;a href="https://www.zoho.com/people/help/api/attendance-api.html" rel="nofollow noreferrer"&gt;https://www.zoho.com/people/help/api/attendance-api.html&lt;/a&gt;&lt;/p&gt;
&lt;p&gt;&lt;a href="https://i.stack.imgur.com/6z7kV.png" rel="nofollow noreferrer"&gt;&lt;img src="https://i.stack.imgur.com/6z7kV.png" alt="image"&gt;&lt;/a&gt;&lt;/p&gt;
&lt;p&gt;but this shows me an error .. here is only empid .. and i want all data in bulk so how i get this any idea kindy check image&lt;/p&gt;
&lt;p&gt;image&lt;/p&gt;
</t>
  </si>
  <si>
    <t xml:space="preserve">&lt;p&gt;I am working on Zoho PHP SDK. I want to get record of invoice but it throws error, the field is not available for search. My code is as following&lt;/p&gt;
&lt;pre&gt;&lt;code&gt;$moduleIns = ZCRMRestClient::getInstance()-&amp;gt;getModuleInstance("invoices");
$criteria="Invoice_Name:equals:".$orderID."";
&lt;/code&gt;&lt;/pre&gt;
&lt;p&gt;This did not work. If I change above code to &lt;/p&gt;
&lt;pre&gt;&lt;code&gt;$moduleIns = ZCRMRestClient::getInstance()-&amp;gt;getModuleInstance("Sales_Orders");
&lt;/code&gt;&lt;/pre&gt;
&lt;p&gt;If use sales orders module, then API works and returns data only for order tracking Ids but data of invoice is not coming from API. Can someone help where need to make change to make it working.
Thanks&lt;/p&gt;
</t>
  </si>
  <si>
    <t xml:space="preserve">&lt;p&gt;My organization set up Cloud SQL as the default for Google App Maker about one month ago.  In the last week, we have been unable to preview or publish apps that use Cloud SQL data sources, including the sample applications which worked perfectly before.  The failure occurs during the authorization process.  When previewing or publishing an app, Google App Maker displays a dialog stating "Deploying this app requires authorization".  Next it prompts the user for their Google account and then requests approval for the necessary authorizations (e.g., "Manage the data in your Google SQL Service instances").  After approving the authorization, the prompts to authorize begin over with the dialog stating "Deploying this app requires authorization".&lt;/p&gt;
&lt;p&gt;Observations:&lt;/p&gt;
&lt;ul&gt;
&lt;li&gt;&lt;p&gt;We have repeated this problem on multiple different computers, networks, and four different user accounts. &lt;/p&gt;&lt;/li&gt;
&lt;li&gt;&lt;p&gt;In the SQL cloud console, our Cloud SQL instance shows new databases being created for each app along with new database-specific user accounts&lt;/p&gt;&lt;/li&gt;
&lt;li&gt;All of the databases appear as expected when I log directly into the Cloud SQL database using phpMyAdmin&lt;/li&gt;
&lt;li&gt;Other apps which don't use a Cloud SQL datasource work fine, including an app that uses a calculated data source which is hosted in the same Cloud SQL instance&lt;/li&gt;
&lt;li&gt;The only errors in the Stack driver logs for the Cloud SQL database showed "INFO" level communication errors with the database (aborted connection...Got an error reading communication packets)&lt;/li&gt;
&lt;li&gt;I'm unable to find Stack driver logs for the apps because I cannot preview or publish them (either option would provide a link to the Stack driver logs)&lt;/li&gt;
&lt;li&gt;There are now approximately 20 databases in our SQL instance (mostly associated with simple app tests) and we have only used 1 GB of 10 GB of space in our SQL instance&lt;/li&gt;
&lt;li&gt;I haven't seen any related problems on the Google Issue Tracker for Google App Maker&lt;/li&gt;
&lt;/ul&gt;
&lt;p&gt;I'd appreciate any help or suggestions on what to check in order to resolve this issue.&lt;/p&gt;
</t>
  </si>
  <si>
    <t xml:space="preserve">&lt;p&gt;I posted an issue to Google Issue Tracker and Google corrected the problem.  They also provided a workaround if this problem happens again.&lt;/p&gt;
&lt;p&gt;Here is the response from the Google development team posted on Google Issue Tracker: &lt;a href="https://issuetracker.google.com/issues/145345198" rel="nofollow noreferrer"&gt;https://issuetracker.google.com/issues/145345198&lt;/a&gt;&lt;/p&gt;
&lt;hr&gt;
&lt;blockquote&gt;
  &lt;p&gt;It's great to hear your up and working again!  We are aware of this issue and are working through a longer term fix.  The specific bug appears to be related to some changes made in the Google Cloud session policy control that may have rolled out to your domain recently interacting with AppMaker in a way that was not expected.  We've spent time diagnosing the underlying issue and we beleive we know the root cause.  I suspect your domain admin did a version of the workaround below.&lt;/p&gt;
  &lt;p&gt;Without getting too far into the details, the specific bug is that for a Deployer of an AppMaker application, if the Google Cloud Session policy is set with any expiration time, the returned token AppMaker sees is invalid, triggering a loop in AppMaker trying to generate a valid security token.  Historically, these session tokens never expired but recently there was  beta feature launch that allowed domain admins to set them to expire.  We strongly suspect your domain recently set this expiration policy explicitly and that's what is causing the bug.&lt;/p&gt;
  &lt;p&gt;The good news is that these policies are overridable per Organizational Unit and we have tested that OUs which have the original classic Never Expire setting do, in fact, allow AppMaker to work.&lt;/p&gt;
  &lt;p&gt;My suspicion is that your domain admin has reverted recent, local changes to your organizational policy under the admin.google.com console, specifically under Security &gt; Google Cloud session control (Beta).&lt;/p&gt;
  &lt;p&gt;If this happens again, here the workaround we would recommend.  Note you don't need to do this if you're currently up and working. You will need the help of someone with admin.gogole.com powers, specifically User and Organizational Unit powers at your organization. It is a slight increase in security risk but it restores some classic behavior that was standard until recently.&lt;/p&gt;
  &lt;p&gt;The summary of the workaround is to override the Google Cloud session control expiration setting such that individuals who need access to AppMaker deployments can have it.  To mitigate systemic security risk, this is best done by creating a limited purpose Organizational Unit with just that setting different than the parent OU settings.&lt;/p&gt;
  &lt;p&gt;The workaround is to:&lt;/p&gt;
  &lt;ol&gt;
  &lt;li&gt;Contact someone in your domain with Admin powers for your Google for Business license.&lt;/li&gt;
  &lt;li&gt;Have your admin proceed to &lt;a href="https://admin.google.com" rel="nofollow noreferrer"&gt;https://admin.google.com&lt;/a&gt;.  The actions below need to be performed by a domain admin.&lt;/li&gt;
  &lt;li&gt;Under the Users section, identify the specific user account that needs the ability to deploy AppMaker Apps.&lt;/li&gt;
  &lt;li&gt;Identify the Organizational Unit of that Appmaker dev user and make a note of it.&lt;/li&gt;
  &lt;li&gt;Under the Organization Units settings, locate the Organization Unit you identified above.&lt;/li&gt;
  &lt;li&gt;Create a new Organization Unit underneath that user's current Organizational Unit with some descriptive identifying it as special w.r.t AppMaker. So for Developers, make something like DevelopersWhoAreAlsoAppMakerDevs.&lt;/li&gt;
  &lt;li&gt;Back under the Users tab, locate the user from step 3.  Move this user into the new Organizational Unit you've just created. This change can take a while to propagate.&lt;/li&gt;
  &lt;/ol&gt;
  &lt;p&gt;-Interlude- At this point, you've made a new Organizational Unit for just that individual and added them to it.  You can certainly add multiple people to that OU, especially if they're already in the same parent OU.  Use your discretion as to what amount of Organizational rework you wish to pursue.  You may not be using OUs at all or you may decide to just turn off this control for the whole domain. It's up to you.&lt;/p&gt;
  &lt;ol start="8"&gt;
  &lt;li&gt;Under admin.google.com's Security settings, locate the Google Cloud session control (beta) settings.&lt;/li&gt;
  &lt;li&gt;Under this panel, from the dropdown menu on the left, locate the Organization Unit you just created.&lt;/li&gt;
  &lt;li&gt;Be sure to select ONLY the OU you intend to change.&lt;/li&gt;
  &lt;li&gt;Change the "Google Cloud Console and Google Cloud SDK session control" from expiring to "Session Never Expires".&lt;/li&gt;
  &lt;li&gt;Save your changes.&lt;/li&gt;
  &lt;/ol&gt;
  &lt;p&gt;The account you selected in step 3 should now be able to deploy AppMaker apps.&lt;/p&gt;
  &lt;p&gt;It appears this OU change is only necessary for the deployer of an AppMaker app, not an individual user.  Note also that if you have multiple AppMaker developers who all have different current OU settings, you may need to create multiple daughter OUs to avoid a sudden radical shift in OU settings for an individual account.&lt;/p&gt;
&lt;/blockquote&gt;
</t>
  </si>
  <si>
    <t xml:space="preserve">&lt;p&gt;I developed a PowerApps application, but each user would have to pay $10 a month making it not economically viable (I had hoped for some kind of run-time license at a much lower rate).  So I talked to a MS sales guy who said I should switch to PowerApps Portal.
However, it seems to be a completely different product.  I have drop-down boxes, radio buttons, command buttons all with PowerApps type code behind them.  Also datasources (Azure SQL database, Excel workbook). And 3 or 4 screens that the user is directed to (based on command buttons pressed).
Anyway, none of this functionality seems to be found in PowerApps Portal from what I can see.
Am I missing something?
If so, just posting me a link to point me in the right direction would be much appreciated.&lt;/p&gt;
</t>
  </si>
  <si>
    <t xml:space="preserve">&lt;p&gt;I'm trying to create a table with nested rows based on nested array data set with following structure:&lt;/p&gt;
&lt;p&gt;[ 
  'key1' : [
             'subKey1' : 'subValue1',
             'subKey2' : 'subValue2',
           ],
  'key2' : [
             'subKey1' : 'subValue1'
           ]
]&lt;/p&gt;
&lt;p&gt;I'd like the table to display with shared headings and first column height should span length if inner array for that row. For example:&lt;/p&gt;
&lt;p&gt;&lt;a href="https://i.stack.imgur.com/ky3dB.png" rel="nofollow noreferrer"&gt;&lt;img src="https://i.stack.imgur.com/ky3dB.png" alt="enter image description here"&gt;&lt;/a&gt;&lt;/p&gt;
&lt;p&gt;Instead, I get the following:
&lt;a href="https://i.stack.imgur.com/PMTPk.png" rel="nofollow noreferrer"&gt;&lt;img src="https://i.stack.imgur.com/PMTPk.png" alt="enter image description here"&gt;&lt;/a&gt;&lt;/p&gt;
&lt;p&gt;My code for this is below:&lt;/p&gt;
&lt;pre&gt;&lt;code&gt;            &amp;lt;table class="slds-table slds-table--bordered slds-table--cell-buffer"&amp;gt;
            &amp;lt;thead&amp;gt;
            &amp;lt;tr class="slds-text-title--caps slds-cell-wrap"&amp;gt;
                &amp;lt;th scope="col"&amp;gt;
                    &amp;lt;div class="slds-truncate slds-cell-wrap" title="A"&amp;gt;A&amp;lt;/div&amp;gt;
                &amp;lt;/th&amp;gt;
                &amp;lt;th scope="col"&amp;gt;
                    &amp;lt;div class="slds-truncate slds-cell-wrap" title="B"&amp;gt;B&amp;lt;/div&amp;gt;
                &amp;lt;/th&amp;gt;
                &amp;lt;th scope="col"&amp;gt;
                    &amp;lt;div class="slds-truncate slds-cell-wrap" title="C"&amp;gt;C&amp;lt;/div&amp;gt;
                &amp;lt;/th&amp;gt;
                &amp;lt;th scope="col"&amp;gt;
                    &amp;lt;div class="slds-truncate slds-cell-wrap" title="D"&amp;gt;D
                    &amp;lt;/div&amp;gt;
                &amp;lt;/th&amp;gt;
                &amp;lt;th scope="col"&amp;gt;
                    &amp;lt;div class="slds-truncate slds-cell-wrap" title="E"&amp;gt;E&amp;lt;/div&amp;gt;
                &amp;lt;/th&amp;gt;
                &amp;lt;th scope="col"&amp;gt;
                    &amp;lt;div class="slds-truncate slds-cell-wrap" title="F"&amp;gt;F&amp;lt;/div&amp;gt;
                &amp;lt;/th&amp;gt;
                &amp;lt;th scope="col"&amp;gt;
                    &amp;lt;div class="slds-truncate slds-cell-wrap" title="G"&amp;gt;G&amp;lt;/div&amp;gt;
                &amp;lt;/th&amp;gt;
                &amp;lt;th scope="col"&amp;gt;
                    &amp;lt;div class="slds-truncate slds-cell-wrap" title="H"&amp;gt;H&amp;lt;/div&amp;gt;
                &amp;lt;/th&amp;gt;
            &amp;lt;/tr&amp;gt;
            &amp;lt;/thead&amp;gt;
            &amp;lt;tbody&amp;gt;
            &amp;lt;aura:iteration items="{!v.data}" var="row" indexVar="key"&amp;gt;
                &amp;lt;tr&amp;gt;
                    &amp;lt;th scope="row" data-label="A" rowspan="{!row.value.length}"&amp;gt;
                        parent{!key+1}
                    &amp;lt;/th&amp;gt;
                    &amp;lt;aura:iteration items="{!row.value}" var="subRow" indexVar="num"&amp;gt;
                        &amp;lt;th&amp;gt;b{!num+1}&amp;lt;/th&amp;gt;
                        &amp;lt;th&amp;gt;c{!num+1}&amp;lt;/th&amp;gt;
                        &amp;lt;th&amp;gt;d{!num+1}&amp;lt;/th&amp;gt;
                        &amp;lt;th&amp;gt;e{!num+1}&amp;lt;/th&amp;gt;
                        &amp;lt;th&amp;gt;f{!num+1}&amp;lt;/th&amp;gt;
                        &amp;lt;th&amp;gt;g{!num+1}&amp;lt;/th&amp;gt;
                        &amp;lt;th&amp;gt;h{!num+1}&amp;lt;/th&amp;gt;
                    &amp;lt;/aura:iteration&amp;gt;
                &amp;lt;/tr&amp;gt;
            &amp;lt;/aura:iteration&amp;gt;
            &amp;lt;/tbody&amp;gt;
        &amp;lt;/table&amp;gt;
&lt;/code&gt;&lt;/pre&gt;
&lt;p&gt;I've tried putting another "tr" element inside the inner iteration but that just lumps everything under one heading. Any ideas?&lt;/p&gt;
</t>
  </si>
  <si>
    <t xml:space="preserve">&lt;p&gt;I am trying to get data of attendance API from zoho people in postman application .. so for this i already get access token and now i am trying to access all data ..&lt;/p&gt;
&lt;p&gt;I tried this link and paste in get&lt;/p&gt;
&lt;p&gt;&lt;a href="https://www.zoho.com/people/help/api/attendance-api.html" rel="nofollow noreferrer"&gt;https://www.zoho.com/people/help/api/attendance-api.html&lt;/a&gt;&lt;/p&gt;
&lt;p&gt;&lt;a href="https://i.stack.imgur.com/6z7kV.png" rel="nofollow noreferrer"&gt;&lt;img src="https://i.stack.imgur.com/6z7kV.png" alt="image"&gt;&lt;/a&gt;&lt;/p&gt;
</t>
  </si>
  <si>
    <t xml:space="preserve">&lt;h2&gt;Context&lt;/h2&gt;
&lt;p&gt;The Database Key for the &lt;em&gt;preview&lt;/em&gt; version of an App Maker app can be found in SETTINGS&gt;DATABASE as the Database Key. In GCP, App Maker uses a SQL instance, and within that instance many Databases are listed - including the Database Key/Name from the App Maker preview.&lt;/p&gt;
&lt;p&gt;By default, when &lt;strong&gt;publishing&lt;/strong&gt; an App Maker app, a new Database within the MySQL instance is created. &lt;/p&gt;
&lt;h2&gt;Question&lt;/h2&gt;
&lt;p&gt;How do I find the Database Key/Name that the &lt;em&gt;newly published&lt;/em&gt; app is using?&lt;/p&gt;
</t>
  </si>
  <si>
    <t xml:space="preserve">&lt;p&gt;You need to go to the deployments settings and click on the &lt;strong&gt;EDIT&lt;/strong&gt; option. Then you should be able to retrieve the database key. Here, for your reference:&lt;/p&gt;
&lt;p&gt;&lt;a href="https://i.stack.imgur.com/cpcFz.png" rel="nofollow noreferrer"&gt;&lt;img src="https://i.stack.imgur.com/cpcFz.png" alt="enter image description here"&gt;&lt;/a&gt;&lt;/p&gt;
&lt;p&gt;&lt;a href="https://i.stack.imgur.com/5KnUH.png" rel="nofollow noreferrer"&gt;&lt;img src="https://i.stack.imgur.com/5KnUH.png" alt="enter image description here"&gt;&lt;/a&gt;&lt;/p&gt;
&lt;p&gt;This is documented right here: &lt;a href="https://developers.google.com/appmaker/deployment/#databases" rel="nofollow noreferrer"&gt;https://developers.google.com/appmaker/deployment/#databases&lt;/a&gt;&lt;/p&gt;
</t>
  </si>
  <si>
    <t xml:space="preserve">&lt;p&gt;I am trying to fetch records from zoho people API .. For this i am using POSTMAn. I successfully create token in postman and when i try to apply this link in get field then this shows an error "permission denied" i tried from past few days but did not come up with solution &lt;/p&gt;
&lt;p&gt;token i successfully created in zoho people &lt;/p&gt;
&lt;p&gt;&lt;a href="https://i.stack.imgur.com/pqMTH.png" rel="nofollow noreferrer"&gt;&lt;img src="https://i.stack.imgur.com/pqMTH.png" alt="token created"&gt;&lt;/a&gt;&lt;/p&gt;
&lt;p&gt;Then i use that token in postman like this &lt;/p&gt;
&lt;p&gt;&lt;a href="https://i.stack.imgur.com/D3KTn.png" rel="nofollow noreferrer"&gt;&lt;img src="https://i.stack.imgur.com/D3KTn.png" alt="postman image"&gt;&lt;/a&gt;&lt;/p&gt;
&lt;p&gt;but this shows an error &lt;/p&gt;
&lt;pre&gt;&lt;code&gt;{
    "error": "Permission denied"
}
&lt;/code&gt;&lt;/pre&gt;
&lt;p&gt;what should i do ? any help please&lt;/p&gt;
</t>
  </si>
  <si>
    <t xml:space="preserve">&lt;p&gt;on clicking any pencil icons to update the record, the currency data fields that are in SKK change to USD (User's local currency). On saving the records the currency changes back to SKK. This should not be happen. Edit layout should also show the same currency as on detail layout.&lt;/p&gt;
</t>
  </si>
  <si>
    <t xml:space="preserve">&lt;p&gt;I want to combine 1 and 2, but I don't know how.&lt;/p&gt;
&lt;p&gt;I created a model like this.
①CalendarMaster【field→Index,Date,CalenderHoliday,CompanyHoliday】
②AttendanceMaster【field→Index,EmployeeId,Date,GoingTime,LeavingTime】&lt;/p&gt;
&lt;p&gt;I want to combine the date of the CalendarMaster and the date of the AttendanceMaster as a key.&lt;/p&gt;
&lt;p&gt;I want to know the type of model and where to write the SQL query script.
If you join the tables into one,
I want to display [Date,CalenderHoliday,CompanyHoliday,GoingTime,LeavingTime] in one table.&lt;/p&gt;
&lt;p&gt;I looked at various sites and tried relations, but it didn't work, so please help someone.
I have been worried for another week.
Waiting for advice.&lt;/p&gt;
</t>
  </si>
  <si>
    <t xml:space="preserve">&lt;p&gt;We are currently working on the architecture of our Salesforce DX project. We've got an extensive codebase of existing customizations and are planning to turn them into multiple Unlocked Packages to make everything more modular etc. Of cause, not everything is subject to be packaged, some features would stay unpackaged.&lt;/p&gt;
&lt;p&gt;And the question is: should this be a &lt;strong&gt;single project&lt;/strong&gt; (with multiple package directories inside and single Git repo) or &lt;strong&gt;a project per feature&lt;/strong&gt; is more preferrable (multiple Git repos)? How would you manage dependencies between packages and unpackaged stuff? &lt;/p&gt;
&lt;p&gt;Could you please advise?&lt;/p&gt;
</t>
  </si>
  <si>
    <t xml:space="preserve">&lt;p&gt;The Salesforce cli can run from anywhere. But certain commands are required to executed in the context of a Salesforce project directory. This includes all commands that execute packaging, deploying code to an org, all of which drives any CI/CD process you might use. &lt;/p&gt;
&lt;p&gt;As I imagine trying to arrange a CI process spread across multiple projects, each with their own project folders, it seems like it would be adding unnecessary complexity. &lt;/p&gt;
&lt;p&gt;Fundamentally, unlocked packages were designed to share a single Salesforce project. So unless you've found a reason otherwise, going that direction is the right move. &lt;/p&gt;
&lt;p&gt;The Salesforce developer evangelist team maintains a &lt;a href="https://github.com/trailheadapps/easy-spaces-lwc" rel="nofollow noreferrer"&gt;sample app&lt;/a&gt; that is built using the multiple package model called "Easy Spaces". I'd suggest looking in the &lt;code&gt;sfdx-package.json&lt;/code&gt; file there to understand how to arrange and identify package dependencies. &lt;/p&gt;
&lt;p&gt;You may be able to infer some ways to organise the code in your project accordingly. &lt;/p&gt;
&lt;p&gt;How to make all those decisions is way too much for a single answer. But this youtube &lt;a href="https://youtu.be/MY2_AfjtBp8" rel="nofollow noreferrer"&gt;video&lt;/a&gt; is a customer development team leader sharing how they rearchitected their codebase to use unlocked packages.&lt;/p&gt;
&lt;p&gt;If you have any problems as you get started, there are also a number of questions already asked on the Salesforce StackExchange &lt;a href="https://salesforce.stackexchange.com/questions/tagged/unlocked-package"&gt;site&lt;/a&gt;, too. &lt;/p&gt;
</t>
  </si>
  <si>
    <t xml:space="preserve">&lt;p&gt;I'm using Powerapps to send an email with text and a background image (a postcard basically). If I open my email on my browser, it works just fine, but if I open it in the Outlook app, I just get a color block with text on it. Can someone help me out?&lt;/p&gt;
&lt;pre&gt;&lt;code&gt;&amp;lt;!DOCTYPE html&amp;gt;
    &amp;lt;html xmlns="http://www.w3.org/1999/xhtml"&amp;gt;
     &amp;lt;head&amp;gt;
     &amp;lt;meta http-equiv="Content-Type" content="Text/html"; charset="iso-8859-1"&amp;gt;
     &amp;lt;title&amp;gt;Demystifying Email Design&amp;lt;/title&amp;gt;
     &amp;lt;meta name="viewport" content="width=device-width, initial-scale=1.0"&amp;gt;
     &amp;lt;/head&amp;gt;
     &amp;lt;body style="margin: 0; padding: 0;"&amp;gt;
    &amp;lt;!--[if gte mso 9]&amp;gt;
    &amp;lt;v:rect xmlns:v="urn:schemas-microsoft-com:vml" fill="true" stroke="false" style="width:500;height:600;"&amp;gt;
    &amp;lt;v:fill type="frame" src="https://image.shutterstock.com/image-photo/bright-spring-view-cameo-island-260nw-1048185397.jpg" color="#ff0033" /&amp;gt;
    &amp;lt;v:textbox inset="0,0,0,0"&amp;gt;
    &amp;lt;![endif]--&amp;gt;
     &amp;lt;table align="center" border="0" cellpadding="0" cellspacing="70" width="500"; style='background-image:url("https://image.shutterstock.com/image-photo/bright-spring-view-cameo-island-260nw-1048185397.jpg");'&amp;gt;
     &amp;lt;tr width='100px'&amp;gt;
     &amp;lt;td align='right'&amp;gt; &amp;lt;p style='color:white; font-size:11pt; font-family:'Open Sans', sans-serif;font-weight:normal; padding-top:52pt; padding-left:208pt; height:62px;width:18px;'&amp;gt; O Eurobic deseja-lhe um Feliz Natal e um Feliz Ano Novo pleno de sucessos. &amp;lt;/p&amp;gt; &amp;lt;/td&amp;gt; &amp;lt;/tr&amp;gt;
     &amp;lt;tr&amp;gt; &amp;lt;td&amp;gt; &amp;lt;p style='color:white; font-size:11pt; font-family:'Open Sans', sans-serif;font-weight:normal; padding-top:52pt; padding-left:208pt; height:62px;width:108px;'&amp;gt;Caro Cliente,&amp;lt;/p&amp;gt; 
     &amp;lt;p style='color:white; font-size:11pt; font-family:'Open Sans', sans-serif;font-weight:normal; padding-top:52pt; padding-left:208pt; height:62px;width:108px;'&amp;gt;Mensagem em inglês.&amp;lt;/p&amp;gt;
     &amp;lt;p style='color:white; font-size:11pt; font-family:'Open Sans', sans-serif;font-weight:normal; padding-top:52pt; padding-left:208pt; height:62px;width:108px;'&amp;gt;Com os melhores cumprimentos,&amp;lt;/p&amp;gt;
     &amp;lt;p style='color:white; font-size:11pt; font-family:'Open Sans', sans-serif;font-weight:normal; padding-top:52pt; padding-left:208pt; height:62px;width:108px;'&amp;gt;&amp;lt;/p&amp;gt;&amp;lt;/td&amp;gt; &amp;lt;/tr&amp;gt;
     &amp;lt;tr&amp;gt; &amp;lt;td Align="right"&amp;gt; &amp;lt;p style='color:white; font-size:11pt; font-family:'Open Sans', sans-serif;font-weight:normal; padding-top:52pt; padding-left:208pt; height:62px;width:108px;'&amp;gt;Porque estamos consigo todos os dias, não será diferente nos próximos 365. Queremos continuar a fazer parte do dia-a-dia dos que nos escolhem como parceiros.
    São 10 anos de história, da qual nos orgulhamos e estamos motivados para a continuar a escrever. Com a certeza de que crescermos juntos é a melhor parte desta história.&amp;lt;/p&amp;gt; &amp;lt;/td&amp;gt; &amp;lt;/tr&amp;gt;
    &amp;lt;/Table&amp;gt;
    &amp;lt;!--[if gte mso 9]&amp;gt;
    &amp;lt;/v:textbox&amp;gt;
    &amp;lt;/v:rect&amp;gt;
    &amp;lt;![endif]--&amp;gt;
    &amp;lt;/body&amp;gt;
    &amp;lt;/html&amp;gt;
&lt;/code&gt;&lt;/pre&gt;
</t>
  </si>
  <si>
    <t xml:space="preserve">&lt;p&gt;I have successfully connected my App Maker app to my Google Sql Instance and I can add tables as data sources. Everything seems to be going well and the relationships are updating every time I add a table.&lt;/p&gt;
&lt;p&gt;My problem is that I have a lot of tables in my database and it only lets me add one table at a time, which takes a long time and I'm worried this will make change management difficult.&lt;/p&gt;
&lt;p&gt;Is there a way to bulk-add tables to App Maker? Or even better, add a whole database to an app as a single data source?&lt;/p&gt;
</t>
  </si>
  <si>
    <t xml:space="preserve">&lt;p&gt;I am new to Azure Data Factory and have a requirement to pull data from Common Data Service (PowerApps) application to Azure SQL Database.
I can pull data directly from the entities using a linked service. The problem arises when I want to include headers such as &lt;/p&gt;
&lt;pre&gt;&lt;code&gt;OData-MaxVersion:4.0
OData-Version:4.0
Prefer:odata.include-annotations=*
&lt;/code&gt;&lt;/pre&gt;
&lt;p&gt;into my pipeline. The reason for adding these headers is that my entity uses values from different option sets and when I use the above headers in my web api calls, I get the response with formatted values as well.
Please advise how can I get around this problem using Common Data Service connectors available in Azure Data Factory.&lt;/p&gt;
</t>
  </si>
  <si>
    <t xml:space="preserve">&lt;p&gt;Those headers will expand the attributes like Picklist (optionset) for the formatted values in CRM web api. Are you getting the picklist integer column values in query results?&lt;/p&gt;
&lt;p&gt;Because there seems to be couple of issues &lt;a href="https://github.com/MicrosoftDocs/azure-docs/issues/28027" rel="nofollow noreferrer"&gt;opened in github &lt;/a&gt; stating the results are missing. You should try schema/mapping to bring those attributes. &lt;a href="https://community.dynamics.com/365/b/ajitpatra365crm/posts/azure-copy-data-from-d365-ce-to-azure-sql-database-using-azure-data-factory" rel="nofollow noreferrer"&gt;Read more &lt;/a&gt;.&lt;/p&gt;
&lt;p&gt;Or use the OData connector instead of Dynamics/CDS connectors.&lt;/p&gt;
</t>
  </si>
  <si>
    <t xml:space="preserve">&lt;p&gt;SAML SSO to community is failing for users with error. I am using the Standard provisioning(not the custom JIT handler)&lt;/p&gt;
&lt;pre&gt;&lt;code&gt;ErrorCode=5&amp;amp;ErrorDescription=Unable+to+create+user&amp;amp;ErrorDetails=PORTAL_USER_ALREADY_EXISTS_FOR_CONTACT+Api+Exception%3A+portal+user+already+exists+for+contact
&lt;/code&gt;&lt;/pre&gt;
&lt;p&gt;Note, it only fails for users that were provisioned manually(or through API) before SAML was enabled. It  works for users created through JIT.  &lt;/p&gt;
&lt;p&gt;Not sure, why I am getting user creation error for existing users( that was created through other means)&lt;/p&gt;
&lt;p&gt;SAML Assertion used:&lt;/p&gt;
&lt;pre&gt;&lt;code&gt;
    &amp;lt;saml2:AttributeStatement&amp;gt;
      &amp;lt;saml2:Attribute Name="User.Email"&amp;gt;
        &amp;lt;saml2:AttributeValue xmlns:xsi="http://www.w3.org/2001/XMLSchema-instance"
                              xsi:type="xsd:anyType"&amp;gt;somename@domain.com&amp;lt;/saml2:AttributeValue&amp;gt;
      &amp;lt;/saml2:Attribute&amp;gt;
      &amp;lt;saml2:Attribute Name="User.FirstName"&amp;gt;
        &amp;lt;saml2:AttributeValue xmlns:xsi="http://www.w3.org/2001/XMLSchema-instance"
                              xsi:type="xsd:anyType"&amp;gt;some&amp;lt;/saml2:AttributeValue&amp;gt;
      &amp;lt;/saml2:Attribute&amp;gt;
      &amp;lt;saml2:Attribute Name="Contact.LastName"&amp;gt;
        &amp;lt;saml2:AttributeValue xmlns:xsi="http://www.w3.org/2001/XMLSchema-instance"
                              xsi:type="xsd:anyType"&amp;gt;name&amp;lt;/saml2:AttributeValue&amp;gt;
      &amp;lt;/saml2:Attribute&amp;gt;
      &amp;lt;saml2:Attribute Name="User.ProfileId"&amp;gt;
        &amp;lt;saml2:AttributeValue xmlns:xsi="http://www.w3.org/2001/XMLSchema-instance"
                              xsi:type="xsd:anyType"&amp;gt;00e1V000001ZGMp&amp;lt;/saml2:AttributeValue&amp;gt;
      &amp;lt;/saml2:Attribute&amp;gt;
      &amp;lt;saml2:Attribute Name="User.LastName"&amp;gt;
        &amp;lt;saml2:AttributeValue xmlns:xsi="http://www.w3.org/2001/XMLSchema-instance"
                              xsi:type="xsd:anyType"&amp;gt;name&amp;lt;/saml2:AttributeValue&amp;gt;
      &amp;lt;/saml2:Attribute&amp;gt;
      &amp;lt;saml2:Attribute Name="Contact.Account"&amp;gt;
        &amp;lt;saml2:AttributeValue xmlns:xsi="http://www.w3.org/2001/XMLSchema-instance"
                              xsi:type="xsd:anyType"&amp;gt;001f400000TbIxp&amp;lt;/saml2:AttributeValue&amp;gt;
      &amp;lt;/saml2:Attribute&amp;gt;
      &amp;lt;saml2:Attribute Name="User.Username"&amp;gt;
        &amp;lt;saml2:AttributeValue xmlns:xsi="http://www.w3.org/2001/XMLSchema-instance"
                              xsi:type="xsd:anyType"&amp;gt;somename@domain.com&amp;lt;/saml2:AttributeValue&amp;gt;
      &amp;lt;/saml2:Attribute&amp;gt;
      &amp;lt;saml2:Attribute Name="Account.Name"&amp;gt;
        &amp;lt;saml2:AttributeValue xmlns:xsi="http://www.w3.org/2001/XMLSchema-instance"
                              xsi:type="xsd:anyType"&amp;gt;Community Members Account&amp;lt;/saml2:AttributeValue&amp;gt;
      &amp;lt;/saml2:Attribute&amp;gt;
      &amp;lt;saml2:Attribute Name="Account.Owner"&amp;gt;
        &amp;lt;saml2:AttributeValue xmlns:xsi="http://www.w3.org/2001/XMLSchema-instance"
                              xsi:type="xsd:anyType"&amp;gt;005f4000002kPDR&amp;lt;/saml2:AttributeValue&amp;gt;
      &amp;lt;/saml2:Attribute&amp;gt;
      &amp;lt;saml2:Attribute Name="Contact.Email"&amp;gt;
        &amp;lt;saml2:AttributeValue xmlns:xsi="http://www.w3.org/2001/XMLSchema-instance"
                              xsi:type="xsd:anyType"&amp;gt;somename@domain.com&amp;lt;/saml2:AttributeValue&amp;gt;
      &amp;lt;/saml2:Attribute&amp;gt;
    &amp;lt;/saml2:AttributeStatement&amp;gt;
&lt;/code&gt;&lt;/pre&gt;
</t>
  </si>
  <si>
    <t xml:space="preserve">&lt;p&gt;App Maker &gt; Page &gt; Table &gt; Events &gt; onAttach&lt;/p&gt;
&lt;p&gt;works:&lt;/p&gt;
&lt;pre&gt;&lt;code&gt;var datasource = widget.datasource;
datasource.query.filters.readByUsers._contains = 'Susanne';
datasource.load();
&lt;/code&gt;&lt;/pre&gt;
&lt;p&gt;doesn't work:&lt;/p&gt;
&lt;pre&gt;&lt;code&gt;var datasource = widget.datasource;
datasource.query.filters.readByUsers._notContains = 'Susanne';
datasource.load();
&lt;/code&gt;&lt;/pre&gt;
&lt;p&gt;Any filter with _equals works too.&lt;/p&gt;
&lt;p&gt;Can anyone say why?
Or maybe the even better question is:
How do you set filtered table views in app maker?&lt;/p&gt;
&lt;p&gt;Again: 
How do you exactly set filters for your tables?&lt;/p&gt;
</t>
  </si>
  <si>
    <t xml:space="preserve">&lt;p&gt;the correct answer was:&lt;/p&gt;
&lt;p&gt;because the field was "null"&lt;/p&gt;
&lt;p&gt;so you need to add the filter "_notEquals = null;" to get results&lt;/p&gt;
</t>
  </si>
  <si>
    <t xml:space="preserve">&lt;p&gt;I was trying to store and retrieve some values on Zoho CRM and ended up using V1 of the API. &lt;/p&gt;
&lt;p&gt;My Current Code is:&lt;/p&gt;
&lt;pre&gt;&lt;code&gt;&amp;lt;html&amp;gt;
&amp;lt;head&amp;gt;  
          &amp;lt;meta content="width=320px, initial-scale=1, user-scalable=yes" name="viewport" /&amp;gt;
    &amp;lt;script type="text/javascript" src="http://ajax.googleapis.com/ajax/libs/jquery/1.9.0/jquery.min.js"&amp;gt;&amp;lt;/script&amp;gt;
&amp;lt;/head&amp;gt;
&amp;lt;body&amp;gt;
&amp;lt;div id="logform"&amp;gt;
      &amp;lt;form method="POST" onClick="exec()"&amp;gt;
&amp;lt;b&amp;gt;Login To Continue:&amp;lt;/b&amp;gt;&amp;lt;br/&amp;gt;&amp;lt;br/&amp;gt;
 &amp;lt;b&amp;gt;Name:&amp;lt;/b&amp;gt;&amp;lt;input type="text" id="name" name='name' value=""&amp;gt;&amp;lt;br/&amp;gt;
 &amp;lt;b&amp;gt;Email:&amp;lt;/b&amp;gt;&amp;lt;input type="email" id="email" name='email' value="" &amp;gt;&amp;lt;br/&amp;gt;
 &amp;lt;input type="submit" name="submit"value="Submit" id="submit" &amp;gt;Submit&amp;lt;/button&amp;gt;
 &amp;lt;!--&amp;lt;font color="white"&amp;gt;&amp;lt;input type="button" &amp;gt;&amp;lt;/a&amp;gt;--&amp;gt;
&amp;lt;/form&amp;gt;&amp;lt;/div&amp;gt;
&amp;lt;script type="text/javascript"&amp;gt;
        &amp;lt;script type="text/javascript"&amp;gt;
        function exec() { 
            var mail=document.getElementById("email").innerHTML;
            var namen=document.getElementById("name");
            document.cookie = "name="+namen;
            var phpadd= &amp;lt;?php echo sendData();?&amp;gt; ;
        }
        &amp;lt;/script&amp;gt;
        &amp;lt;script type="text/javascript"&amp;gt;document.getElementById("submit").addEventListener("click", var hide = document.getElementById("logform").style.display="none";);
        &amp;lt;/script&amp;gt;
&amp;lt;/script&amp;gt;
      &amp;lt;?php 
function sendData()
{
        $email=$_POST["email"]; 
        $name=$_POST["name"]; 
        $cookie_name = "Event";
        $cookie_value = "Login";
setcookie($cookie_name, $cookie_value, time() + (86400 * 30), "/"); // 86400 = 1 day
        $fname="Usr";
        $lname="1";
        $auth="#AuthKey";
        $xml = 
        '&amp;lt;?xml version="1.0" encoding="UTF-8"?&amp;gt;
        &amp;lt;Contacts&amp;gt;
        &amp;lt;row no="1"&amp;gt;
        &amp;lt;FL val="First Name"&amp;gt;'.$name.'&amp;lt;/FL&amp;gt;
        &amp;lt;FL val="Last Name"&amp;gt;'.$name.'&amp;lt;/FL&amp;gt;
        &amp;lt;FL val="Email"&amp;gt;'.$email.'&amp;lt;/FL&amp;gt;
        &amp;lt;FL val="Department"&amp;gt;Medical&amp;lt;/FL&amp;gt;
        &amp;lt;FL val="Phone"&amp;gt;0000000000&amp;lt;/FL&amp;gt;
        &amp;lt;FL val="Fax"&amp;gt;0000&amp;lt;/FL&amp;gt;
        &amp;lt;FL val="Mobile"&amp;gt;0000000000&amp;lt;/FL&amp;gt;
        &amp;lt;FL val="Assistant"&amp;gt;none&amp;lt;/FL&amp;gt;
        &amp;lt;/row&amp;gt;
        &amp;lt;/Contacts&amp;gt;';
    $url ="https://crm.zoho.com/crm/private/xml/Contacts/insertRecords";
    $query="authtoken=".$auth."&amp;amp;scope=crmapi&amp;amp;newFormat=1&amp;amp;xmlData=".$xml;
    $ch = curl_init();
    /* set url to send post request */
    curl_setopt($ch, CURLOPT_URL, $url);
    /* allow redirects */
    curl_setopt($ch, CURLOPT_FOLLOWLOCATION, 1);
    /* return a response into a variable */
    curl_setopt($ch, CURLOPT_RETURNTRANSFER, 1);
    /* times out after 30s */
    curl_setopt($ch, CURLOPT_TIMEOUT, 30);
    /* set POST method */
    curl_setopt($ch, CURLOPT_POST, 1);
    /* add POST fields parameters */
    curl_setopt($ch, CURLOPT_POSTFIELDS, $query);// Set the request as a POST FIELD for curl.
    //Execute cUrl session
    $response = curl_exec($ch);
    curl_close($ch);
    echo $response;
}
?&amp;gt;
&amp;lt;/body&amp;gt;
&amp;lt;/html&amp;gt;
&lt;/code&gt;&lt;/pre&gt;
&lt;p&gt;Now I came to know that API v1 is getting deprecated. I need to migrate this piece of code to CRM API V2. I also need to read these data uploaded to CRM. Someone please help me! The online documentations are very confusing.&lt;/p&gt;
</t>
  </si>
  <si>
    <t xml:space="preserve">&lt;p&gt;You are right, V1 will be depreciated in 30 days.&lt;/p&gt;
&lt;p&gt;The easiest way to switch is probably using &lt;a href="https://www.zoho.com/crm/developer/docs/server-side-sdks/php.html" rel="nofollow noreferrer"&gt;Zoho PHP SDK&lt;/a&gt;. It might be installed as composer package.&lt;/p&gt;
&lt;p&gt;SDK has quite a complex, mostly not-well-documented API, but, following examples in &lt;a href="https://www.zoho.com/crm/developer/docs/api/get-records.html" rel="nofollow noreferrer"&gt;documentation&lt;/a&gt;, you should be able to figure out how you can use it.&lt;/p&gt;
&lt;p&gt;You most probably want to use "Records API".&lt;/p&gt;
&lt;p&gt;If you have never worked with oAuth2 yet, the basic idea of this authentication system is that instead of having something like "secret key" (which is essentially a password) you interchange tokens with service provider (Zoho).&lt;/p&gt;
&lt;p&gt;Tokens are like passwords that expire quite quickly but you can renew them anytime you want.&lt;/p&gt;
&lt;p&gt;Normally, you will want to completely automate &amp;amp; abstract out all token management so, it will run kind of separately from the main business your code does.&lt;/p&gt;
&lt;p&gt;Luckily, &lt;a href="https://www.zoho.com/crm/developer/docs/server-side-sdks/php.html" rel="nofollow noreferrer"&gt;Zoho PHP SDK&lt;/a&gt; already do it for you &amp;amp; manage tokens automatically.&lt;/p&gt;
</t>
  </si>
  <si>
    <t xml:space="preserve">&lt;p&gt;Is it possible to create closable lightning:tab? &lt;/p&gt;
&lt;p&gt;Following is the code snippet for lightning:tab but there is no out of box event/method to handle tab close operation.&lt;/p&gt;
&lt;pre&gt;&lt;code&gt;&amp;lt;aura:component&amp;gt;
    &amp;lt;lightning:tabset selectedTabId="two"&amp;gt;
        &amp;lt;lightning:tab label="Item One" id="one"&amp;gt;
            One Content !
        &amp;lt;/lightning:tab&amp;gt;
        &amp;lt;lightning:tab label="Item Two" id="two"&amp;gt;
            Two Content !
        &amp;lt;/lightning:tab&amp;gt;
        &amp;lt;lightning:tab label="Item Three" id="three"&amp;gt;
            Three Content !
        &amp;lt;/lightning:tab&amp;gt;
    &amp;lt;/lightning:tabset&amp;gt;
&amp;lt;/aura:component&amp;gt;
&lt;/code&gt;&lt;/pre&gt;
&lt;p&gt;Any help in making closable lightning tabs will be highly appreciated.&lt;/p&gt;
&lt;p&gt;Note: I don't want to implement custom slds tabs because handling onactive event for custom slds tabs is a mess.&lt;/p&gt;
</t>
  </si>
  <si>
    <t xml:space="preserve">&lt;p&gt;I am creating an app that is an online library. So whenever someone chooses a book I would like to send an email that will notify the librarian that a book is created, notify the user when the book has shipped, and to notify admin when a label is requested.
How would I go about doing this?&lt;/p&gt;
</t>
  </si>
  <si>
    <t xml:space="preserve">&lt;p&gt;I'm trying to use CSS to stylize the options within the MultiSelect widget, for example to make a border around each of the individual options.&lt;/p&gt;
&lt;p&gt;Is there any way to do this through Appmaker? Thank you&lt;/p&gt;
</t>
  </si>
  <si>
    <t xml:space="preserve">&lt;p&gt;app-MultiSelect-Item is what you are looking for to customize the options.&lt;/p&gt;
&lt;p&gt;For example:&lt;/p&gt;
&lt;pre&gt;&lt;code&gt;.app-MultiSelect-Item {                       
  font-size: 12px;
  line-height: 12px;
  padding-bottom: 8px;
  padding-top: 8px;
  border: 1px black solid ;
  border-top-right-radius: 20px;
  border-top-left-radius: 20px;
  border-bottom-left-radius: 20px;
  border-bottom-right-radius: 20px;
  background-color: #FF9800;
}
&lt;/code&gt;&lt;/pre&gt;
</t>
  </si>
  <si>
    <t xml:space="preserve">&lt;p&gt;We can't extract data from the incoming Salesforce Object in the Journey Builder to the Custom Activity we made. We have already followed the syntax that was instructed in your documentation -&gt; &lt;a href="https://developer.salesforce.com/docs/atlas.en-us.noversion.mc-apis.meta/mc-apis/how-data-binding-works.htm" rel="nofollow noreferrer"&gt;https://developer.salesforce.com/docs/atlas.en-us.noversion.mc-apis.meta/mc-apis/how-data-binding-works.htm&lt;/a&gt; (under Event Context section).&lt;/p&gt;
&lt;p&gt;We are primarily using Postmonger for our Custom Activity, and in our &lt;code&gt;config.json&lt;/code&gt; under the &lt;code&gt;inArguments&lt;/code&gt;, we input something like below to fetch the data from the Salesforce Object:&lt;/p&gt;
&lt;pre&gt;&lt;code&gt;"fieldKey": "{{Event." + [ eventDefinitionKey ] + ".Task:Field_Name__c}}"
&lt;/code&gt;&lt;/pre&gt;
&lt;p&gt;The &lt;code&gt;eventDefinitionKey&lt;/code&gt; we get from the data loaded by triggering the &lt;code&gt;requestedTriggerEventDefinition&lt;/code&gt; exposed by the Postmonger.&lt;/p&gt;
&lt;p&gt;The resulting inArguments from above would be something like this:&lt;/p&gt;
&lt;pre&gt;&lt;code&gt;"fieldKey": "{{Event.SalesforceObjacf28b016bf83c75b4926e0ec292eda5.Task:SMS_Content__c}}"
&lt;/code&gt;&lt;/pre&gt;
&lt;p&gt;And based from the documentation mentioned previously, that syntax should be enough, yet we cannot retrieve it on our Custom Activity.&lt;/p&gt;
&lt;p&gt;Another thing to note is that we can fetch information using the same syntax if the entry object is a Data Extension like below:&lt;/p&gt;
&lt;pre&gt;&lt;code&gt;"fieldKey": "Event.DEAudience-e56d43c3-e2cf-60f1-fecd-ecf4d358d7b4.Field_Name"
&lt;/code&gt;&lt;/pre&gt;
&lt;p&gt;The syntax above work which uses Data Extension is okay, but the one with the Salesforce Object does not.&lt;/p&gt;
&lt;p&gt;What are we doing incorrectly here or is not possible entirely?&lt;/p&gt;
&lt;p&gt;NOTE: the journey gets triggered by creating a task in Service Cloud&lt;/p&gt;
</t>
  </si>
  <si>
    <t xml:space="preserve">&lt;p&gt;During workflow creation when i am trying to add related list for the event ,i am not able to see open activity and activity history there&lt;/p&gt;
</t>
  </si>
  <si>
    <t xml:space="preserve">&lt;p&gt;I have a SharePoint list full of listings that users can edit/add new line items to within the app. Everything was working with my PowerApp until today and one of my users showed me the following error when trying to submit a new form:&lt;/p&gt;
&lt;p&gt;"There was a problem saving.  Your data source may be invalid"&lt;/p&gt;
&lt;p&gt;From here, I checked the actual PowerApp and saw a single error on the SubmitForm() function with no further explanation as to why.  I refreshed the data set (SharePoint List) associated with it, and then the errors popped up onto each dropdown item:&lt;/p&gt;
&lt;p&gt;"The Data source Supplied to the function is invalid"&lt;/p&gt;
&lt;p&gt;I've searched all around and have been unable to find a solution to this.  They said that this was fixed in a recent update, but I am still seeing this issue (and never saw it in the prior months).  Any suggestions?&lt;/p&gt;
</t>
  </si>
  <si>
    <t xml:space="preserve">&lt;p&gt;Is there any way of defining app level variables that are accessible by any client side script?&lt;/p&gt;
&lt;p&gt;Edit:
So this was suggested that it's a possible duplicate. What I am asking is not a page wide variable, those can be done in properties with different types and a dynamic type, what I am asking is a client side app level variables that can be accessed by any client side script or the functions that go into the predefined functions of the widgets.&lt;/p&gt;
&lt;p&gt;For example, if I want to count the number of clicks done by a user on all pages (say just only the buttons), how do I do it? If I create a database for the count, it will be across all opened sessions which is not what I want.&lt;/p&gt;
</t>
  </si>
  <si>
    <t xml:space="preserve">&lt;p&gt;I am learning to use &lt;a href="https://powerapps.microsoft.com/en-us/" rel="nofollow noreferrer"&gt;PowerApps&lt;/a&gt;. While learning, I'm trying to create a form that includes two data cards: a start date and an end date. When a user chooses a start date, I want the end date to automatically be set to one week in the future. However, I still want the user to be able to set the end date. My question is, how do I automatically set the end date when the user chooses the start date?&lt;/p&gt;
</t>
  </si>
  <si>
    <t xml:space="preserve">&lt;p&gt;I am using a salesforce developer 30 days trial version.in this account I created one custom app for testing purposes.I want to launch a test app for tests on mobile as well as in the web.&lt;/p&gt;
</t>
  </si>
  <si>
    <t xml:space="preserve">&lt;p&gt;Very random question here but I have an SDK that on a color variant change is not bound to the page. It works fine on page load but when I select a different color variant some of the page componenets are reloaded but not all. &lt;/p&gt;
&lt;p&gt;So we created a script to add within a Content Asset (SFCC/SFRA). When I run this script in the console - I get the expected results, but when I add it into a content asset thats reloaded on variant selection - the element is not bound. I know it runs because I put a log.console() in there.. &lt;/p&gt;
&lt;p&gt;Url: https//:Nixon.com/us/en/time-teller/A045-511-00.htm  on page load notice the "view in 360" button is clickable and is bound. &lt;/p&gt;
&lt;p&gt;The Seek SDK runs a command when the page finishes loading in order to bind the seek link in the appropriate manner for the platform. Since this automatically happens upon page load, you usually don't need to do anything special. In our case, the bound seek link is getting removed and re-created by our page's Javascript when the watch variant is selected.&lt;/p&gt;
&lt;p&gt;You can see this is happening by looking for seek-loaded="true" on the AR button HTML element. On page load, that attribute is present, but it disappears when the variant is selected.&lt;/p&gt;
&lt;p&gt;In the console if you add (without the script tags)&lt;/p&gt;
&lt;pre&gt;&lt;code&gt;&amp;lt;script&amp;gt;
        if (typeof(seek) !== 'undefined' &amp;amp;&amp;amp; seek)
        {seek.bindLinks([document.getElementsByClassName("ar-button")[1]]);
        console.log('hello');}&amp;gt;
&amp;lt;/script&amp;gt;
&lt;/code&gt;&lt;/pre&gt;
&lt;p&gt;I can see the "hello" in the console when added to the content asset so I know the script is running by why wouldnt it bind on production, and when I add it in the console it works?&lt;/p&gt;
&lt;p&gt;Any ideas would greatly be appreciated.&lt;/p&gt;
</t>
  </si>
  <si>
    <t xml:space="preserve">&lt;p&gt;I recently discovered Google Clasp for Google Apps Script (GAS) and I'm absolutely in love with it! Is there a way to similarly code my App Maker (AM) scripts locally in my favorite text editor and push them to AM? I know that AM scripts run in the GAS environment, but I don't have a ScriptID on AM to point Clasp to in my .clasp.json file.&lt;/p&gt;
&lt;p&gt;If not then is there another way to code locally and push to AM?&lt;/p&gt;
&lt;p&gt;Thanks much!&lt;/p&gt;
</t>
  </si>
  <si>
    <t xml:space="preserve">&lt;p&gt;I am working on a Sold Items table which has ProductIds, which gets the names from "Products" using the ProductIds. &lt;/p&gt;
&lt;p&gt;On my powerapp gallery; 
I use this statement to properly display data; &lt;/p&gt;
&lt;pre&gt;&lt;code&gt;LookUp('[Products]',Item_Id = ThisItem.Item_Id,Retail_Name) 
&lt;/code&gt;&lt;/pre&gt;
&lt;p&gt;which is displayed on Title1.Text&lt;/p&gt;
&lt;p&gt;on my gallery form, I use the filter&lt;/p&gt;
&lt;pre&gt;&lt;code&gt;Filter('[Sold_Items]',Week_Id=Value(TextInputWeekId.Text))
&lt;/code&gt;&lt;/pre&gt;
&lt;p&gt;I want to also add the search option, so that I can search;&lt;/p&gt;
&lt;pre&gt;&lt;code&gt;inputSearchBox.Text = Title1.Text or use the LookUp function over ( Retail_Name ) 
&lt;/code&gt;&lt;/pre&gt;
&lt;p&gt;No Matter what I have tried, I couldn't make this work. &lt;/p&gt;
</t>
  </si>
  <si>
    <t xml:space="preserve">&lt;p&gt;From what I understand, you have 2 tables, "Products" and "Sold_Items".
Your gallery receives the items from "Sold_Items", and you show the item name using:&lt;br&gt;
&lt;code&gt;LookUp('[Products]',Item_Id = ThisItem.Item_Id,Retail_Name)&lt;/code&gt; in the text property of a label that shows the product name.&lt;/p&gt;
&lt;p&gt;You filter the gallery to show only the "Sold_Items" of the current week with the following code:&lt;br&gt;
&lt;code&gt;Filter('[Sold_Items]',Week_Id=Value(TextInputWeekId.Text))&lt;/code&gt; in the items property of the gallery. &lt;/p&gt;
&lt;p&gt;Now you want to filter the items further more using a text input. Correct me if I'm wrong.&lt;/p&gt;
&lt;p&gt;To accomplish this you will need to modify the &lt;code&gt;Items&lt;/code&gt; property of your gallery. Your text-input label from where you want to filter the gallery has the name "inputSearchBox". &lt;/p&gt;
&lt;p&gt;So, the Items property of your gallery should be:&lt;br&gt;
&lt;code&gt;Filter('[Sold_Items]',Week_Id=Value(TextInputWeekId.Text) &amp;amp;&amp;amp; Title1.Text = inputSearchBox.Text)&lt;/code&gt;  &lt;/p&gt;
&lt;p&gt;Let me know if this is what you wanted and if it solved your problem.   &lt;/p&gt;
&lt;p&gt;Best Regards&lt;/p&gt;
</t>
  </si>
  <si>
    <t xml:space="preserve">&lt;p&gt;I am currently developing an application in App Maker, but I do not know how to display each month of my line chart. The default line chart, which App Maker provides, only displays just the January and July months. So, I am wondering if there is a way to display all the months. I attach here an snapshot of the chart.&lt;a href="https://i.stack.imgur.com/yGHiD.png" rel="nofollow noreferrer"&gt;&lt;img src="https://i.stack.imgur.com/yGHiD.png" alt="enter image description here"&gt;&lt;/a&gt;&lt;/p&gt;
&lt;p&gt;Thank you in advance!&lt;/p&gt;
</t>
  </si>
  <si>
    <t xml:space="preserve">&lt;p&gt;I'm pretty new to powerapps but learning as I go. Is there a way to write the following if statements as one statement? (that way it will only create one item on my sharepoint list, instead of seperate items for each if statement). I am struggling to do so as each If statement has a different default result.&lt;/p&gt;
&lt;pre&gt;&lt;code&gt;If(
    IsEmpty(MondayCombo.SelectedItems),
    Patch(
        ChangeOfService,
        Defaults(ChangeOfService),
        {Monday: DataCardValue82.Text}
    ),
    Patch(
        ChangeOfService,
        Defaults(ChangeOfService),
        {
            Monday: Concat(
                MondayCombo.SelectedItems,
                Value,
                ", "
            )
        }
    )
);
If(
    IsEmpty(TuesdayCombo.SelectedItems),
    Patch(
        ChangeOfService,
        Defaults(ChangeOfService),
        {Tuesday: DataCardValue83.Text}
    ),
    Patch(
        ChangeOfService,
        Defaults(ChangeOfService),
        {
            Tuesday: Concat(
                TuesdayCombo.SelectedItems,
                Value,
                ", "
            )
        }
    )
);
If(
    IsEmpty(WednesdayCombo.SelectedItems),
    Patch(
        ChangeOfService,
        Defaults(ChangeOfService),
        {Wednesday: DataCardValue84.Text}
    ),
    Patch(
        ChangeOfService,
        Defaults(ChangeOfService),
        {
            Wednesday: Concat(
                WednesdayCombo.SelectedItems,
                Value,
                ", "
            )
        }
    )
);
If(
    IsEmpty(ThursdayCombo.SelectedItems),
    Patch(
        ChangeOfService,
        Defaults(ChangeOfService),
        {Thursday: DataCardValue85.Text}
    ),
    Patch(
        ChangeOfService,
        Defaults(ChangeOfService),
        {
            Thursday: Concat(
                ThursdayCombo.SelectedItems,
                Value,
                ", "
            )
        }
    )
);
&lt;/code&gt;&lt;/pre&gt;
</t>
  </si>
  <si>
    <t xml:space="preserve">&lt;p&gt;Unfortunately PowerApps don't have the &lt;code&gt;return&lt;/code&gt; or &lt;code&gt;exit&lt;/code&gt; command yet to break the code execution.&lt;/p&gt;
&lt;p&gt;You have to come up with a workaround to verify the code execution &amp;amp; bypass all the other unwanted code execution. For example, we can have a bool variable to set &amp;amp; validate in next loop.&lt;/p&gt;
&lt;pre&gt;&lt;code&gt;UpdateContext({RecordCreated:false});
If(
    IsEmpty(MondayCombo.SelectedItems),
    UpdateContext({RecordCreated:true});
    Patch(
        ChangeOfService,
        Defaults(ChangeOfService),
        {Monday: DataCardValue82.Text}
    ),
    UpdateContext({RecordCreated:true});
    Patch(
        ChangeOfService,
        Defaults(ChangeOfService),
        {
            Monday: Concat(
                MondayCombo.SelectedItems,
                Value,
                ", "
            )
        }
    )
);
If(RecordCreated = false,
If(
    IsEmpty(TuesdayCombo.SelectedItems),
    Patch(
        ChangeOfService,
        Defaults(ChangeOfService),
        {Tuesday: DataCardValue83.Text}
    ),
    Patch(
        ChangeOfService,
        Defaults(ChangeOfService),
        {
            Tuesday: Concat(
                TuesdayCombo.SelectedItems,
                Value,
                ", "
            )
        }
    )
);)
&lt;/code&gt;&lt;/pre&gt;
&lt;p&gt;Please up-vote &lt;a href="https://powerusers.microsoft.com/t5/Power-Apps-Ideas/Exit-formula-on-condition/idi-p/110466" rel="nofollow noreferrer"&gt;this idea&lt;/a&gt;&lt;/p&gt;
</t>
  </si>
  <si>
    <t xml:space="preserve">&lt;p&gt;I am having a little difficulty uploading information into an &lt;em&gt;Excel&lt;/em&gt; from &lt;em&gt;PowerApps&lt;/em&gt;.&lt;/p&gt;
&lt;p&gt;I created an app with 3 different data sources, 2 of them are &lt;em&gt;SharePoint Lists&lt;/em&gt; where the information is uploading without any trouble. The 3rd one, an Excel table, is… not.&lt;/p&gt;
&lt;p&gt;I am using the Excel in order to obtain a random name from "Colum1", the logic I found for it is:&lt;/p&gt;
&lt;pre&gt;&lt;code&gt;Set(varRandom, Last( FirstN ( Filter(TableName, IsBlank(Column2)),1+RoundDown(Rand()*CountRows(TableName),0))).'Column1')
&lt;/code&gt;&lt;/pre&gt;
&lt;p&gt;This works, giving a random name although I haven't figured how to take the user itself out of the equation. (Meaning, if I am using the app, I don't want to get my own name randomly selected)&lt;/p&gt;
&lt;p&gt;From how it works, I want that when you touch a different button it submits the information that that random name has already been selected by someone, therefore, it can't be picked again. I tried &lt;code&gt;"SubmitForm(FormName)"&lt;/code&gt; at first, but I believe I am missing information to tell Excel what to take from the data I am feeding it with and where to send it.&lt;/p&gt;
&lt;p&gt;This means just uploading any data into Column3, which starts all blank so everyone can be randomly picked.&lt;/p&gt;
&lt;p&gt;I am not a coder, so there's 89% chances I am just writing the functions wrong, but everything else on the app works fine: random selection, navigation between several screens, and the information being submitted to the 2 SharePoint lists.&lt;/p&gt;
&lt;p&gt;In short: I need to&lt;/p&gt;
&lt;p&gt;Remove the user using the app from the random selection
    Uploading any data into the third column so that one name can't be picked twice.&lt;/p&gt;
&lt;p&gt;Can anyone assist?&lt;/p&gt;
</t>
  </si>
  <si>
    <t xml:space="preserve">&lt;p&gt;need to connect to zoho analytics using oath2, to access current inventory counts. &lt;/p&gt;
&lt;p&gt;i have Client Credentials as my Grant Type, which prompts for the following:&lt;/p&gt;
&lt;ul&gt;
&lt;li&gt;URL ⇀ &lt;a href="https://connect.squareup.com/v2/inventory/batch-retrieve-counts" rel="nofollow noreferrer"&gt;https://connect.squareup.com/v2/inventory/batch-retrieve-counts&lt;/a&gt;&lt;/li&gt;
&lt;li&gt;Client ID ⇀ my Square Application ID&lt;/li&gt;
&lt;li&gt;Client Secret ⇀ my Square Application Secret&lt;/li&gt;
&lt;li&gt;Access Token URL ⇀ &lt;a href="https://connect.squareup.com/oauth2/authorize" rel="nofollow noreferrer"&gt;https://connect.squareup.com/oauth2/authorize&lt;/a&gt;&lt;/li&gt;
&lt;li&gt;Scope ⇀ INVENTORY_READ&lt;/li&gt;
&lt;li&gt;Access Token Prefix / Param Name ⇀ &lt;/li&gt;
&lt;li&gt;Send client credentials in ⇀ Body (other option: Basic Authentication Header)&lt;/li&gt;
&lt;li&gt;Append token in ⇀ Header (other option: Parameter)&lt;/li&gt;
&lt;/ul&gt;
&lt;p&gt;unfortunately, i receive the following Alert Message:&lt;/p&gt;
&lt;blockquote&gt;
  &lt;p&gt;Unable to Authenticate you. Check your Authentication details and try again. Please contact our [Zoho's] support for further assistance.&lt;/p&gt;
&lt;/blockquote&gt;
</t>
  </si>
  <si>
    <t xml:space="preserve">&lt;p&gt;Does anyone know if there is a wildcard character in AppMaker that can be used for all possible values for a field in a query?&lt;/p&gt;
&lt;p&gt;I currently have a datasource that is being filtered based on the status using a multi-select widget. What I would like to accomplish is when all values have been de-selected I want to load all the records of that datasource without clearing the entire query in case other filters have been applied. I have it working in-a-sense that I have to explicitly construct my query as such:&lt;/p&gt;
&lt;pre&gt;&lt;code&gt;widget.datasource.query.filters.Status._in = ['Status Value 1','Status Value 2','Status Value 3']
&lt;/code&gt;&lt;/pre&gt;
&lt;p&gt;My current solution is loading the correct data when a value is selected and it correctly shows the union of the query as the values are modified. However, it selects all of the values in my multi-select; which I know is how it is supposed to work.&lt;/p&gt;
&lt;p&gt;I tried using &lt;code&gt;widget.datasource.query.filters.Status._contains = '';&lt;/code&gt; and changing the assignment value to no avail. I even tried the opposite approach using &lt;code&gt;_notContains&lt;/code&gt;&lt;/p&gt;
&lt;p&gt;The intended outcome is to have a filtering dashboard appear much like any website where when no filtering is selected all records are displayed. I was hoping to find a wildcard character that would load all of the records. Just trying to find a way to mimic other website filters with all records when none are selected.&lt;/p&gt;
&lt;p&gt;Thanks for the time!&lt;/p&gt;
</t>
  </si>
  <si>
    <t xml:space="preserve">&lt;p&gt;So the easiest solution here is to set up your Multiselect as follows:&lt;/p&gt;
&lt;p&gt;Options binding:&lt;/p&gt;
&lt;pre&gt;&lt;code&gt;@models.YourModel.fields.Status.possibleValues
&lt;/code&gt;&lt;/pre&gt;
&lt;p&gt;or if you don't have the possible Status values in your model then set your options binding to:&lt;/p&gt;
&lt;pre&gt;&lt;code&gt;['Status Value 1','Status Value 2','Status Value 3']
&lt;/code&gt;&lt;/pre&gt;
&lt;p&gt;Values binding:&lt;/p&gt;
&lt;pre&gt;&lt;code&gt;@datasource.query.filters.Status._in
&lt;/code&gt;&lt;/pre&gt;
&lt;p&gt;Now anytime you select any choices in the multiselect, the query will only include records that include the selected choices. And if you deselect all choices the query will ignore that filter or treat it as an empty array of values, therefore returning all records unless you applied other filters.&lt;/p&gt;
</t>
  </si>
  <si>
    <t xml:space="preserve">&lt;p&gt;I have a situation that I need to get some clarification on. I am working on a 3 column, 2 row grid that I need to rework to fit my customer's requirements. I have got it to a KIND of working grid, but one of the components needs to span two rows and I cannot get this to work. Here is the markup:&lt;/p&gt;
&lt;pre&gt;&lt;code&gt;&amp;lt;div class="ocp-container"&amp;gt;
    &amp;lt;div class="ocp-content-panel"&amp;gt;
        &amp;lt;div class="slds-grid slds-wrap slds-grid-pull-padded"&amp;gt;
            &amp;lt;div class="slds-size_2-of-3"&amp;gt;
                &amp;lt;div class="slds-m-right_large slds-color__background_gray-1"&amp;gt; 
                    {!v.Primary_Left}
                &amp;lt;/div&amp;gt;
            &amp;lt;/div&amp;gt;
            &amp;lt;div class="slds-size_1-of-3"&amp;gt;
                &amp;lt;div class="slds-color__background_gray-1"&amp;gt;
                    {!v.Primary_Right}
                &amp;lt;/div&amp;gt;
            &amp;lt;/div&amp;gt;
        &amp;lt;/div&amp;gt;
        &amp;lt;div class="slds-grid slds-wrap slds-grid-pull-padded slds-m-top_large"&amp;gt;
            &amp;lt;div class="slds-size_1-of-3"&amp;gt;
                &amp;lt;div class="slds-m-right_large slds-color__background_gray-1"&amp;gt;
                    {!v.Secondary_Left}
                &amp;lt;/div&amp;gt;
            &amp;lt;/div&amp;gt;
            &amp;lt;div class="slds-size_1-of-3"&amp;gt;
                &amp;lt;div class="slds-color__background_gray-1"&amp;gt;
                    {!v.Secondary_Right}
                &amp;lt;/div&amp;gt;
            &amp;lt;/div&amp;gt;
        &amp;lt;/div&amp;gt;
    &amp;lt;/div&amp;gt;
&amp;lt;/div&amp;gt;
&lt;/code&gt;&lt;/pre&gt;
&lt;p&gt;The component called Primary_Right needs to span across the two rows. The code above results in the following:&lt;/p&gt;
&lt;p&gt;&lt;a href="https://i.stack.imgur.com/kqyF7.png" rel="nofollow noreferrer"&gt;&lt;img src="https://i.stack.imgur.com/kqyF7.png" alt="Grid"&gt;&lt;/a&gt;&lt;/p&gt;
&lt;p&gt;The Contacts content in the Primary_Right component is what I am trying to get to cover both rows. &lt;/p&gt;
&lt;p&gt;Any thoughts would be greatly appreciated.&lt;/p&gt;
&lt;p&gt;Thank you!&lt;/p&gt;
</t>
  </si>
  <si>
    <t xml:space="preserve">&lt;p&gt;I am trying to get the Latitude and Longitude from Firebase into an &lt;code&gt;ArrayList&lt;/code&gt;.&lt;/p&gt;
&lt;p&gt;&lt;a href="https://i.stack.imgur.com/Usom7.jpg" rel="nofollow noreferrer"&gt;&lt;img src="https://i.stack.imgur.com/Usom7.jpg" alt="enter image description here"&gt;&lt;/a&gt;&lt;/p&gt;
&lt;p&gt;I need to get the data in child &lt;code&gt;trashLatittude&lt;/code&gt; and &lt;code&gt;trashLongitude&lt;/code&gt; to make a marker.&lt;/p&gt;
&lt;pre&gt;&lt;code&gt;makerList = new ArrayList&amp;lt;&amp;gt;();
    databaseReference = FirebaseDatabase.getInstance().getReference("Modules");
    databaseReference.addChildEventListener(new ChildEventListener() {
    @Override
    public void onChildAdded(@NonNull DataSnapshot dataSnapshot, @Nullable String s) {
         InfoTrash infoTrash = dataSnapshot.getValue(InfoTrash.class);
         double lat = Double.parseDouble(infoTrash.trashLatittude.toString());
         double lng = Double.parseDouble(infoTrash.trashLongitude.toString());
         LatLng location = new LatLng(lat, lng);
         makerList.add(location);
   }
   @Override
   public void onChildChanged(@NonNull DataSnapshot dataSnapshot, @Nullable String s) {
   }
   @Override
   public void onChildRemoved(@NonNull DataSnapshot dataSnapshot) {
   }
   @Override
   public void onChildMoved(@NonNull DataSnapshot dataSnapshot, @Nullable String s) {
   }
   @Override
   public void onCancelled(@NonNull DatabaseError databaseError) {
   }
});
&lt;/code&gt;&lt;/pre&gt;
&lt;p&gt;And this code for making markers.&lt;/p&gt;
&lt;pre&gt;&lt;code&gt;@Override
    public void onMapReady(GoogleMap googleMap) {
        mMap = googleMap;
        for (int i = 0; i &amp;lt; makerList.size(); i++) {
            mMap.addMarker(new MarkerOptions().position(makerList.get(i)).title("Maker"));
            mMap.animateCamera(CameraUpdateFactory.zoomTo(17.0f));
            mMap.moveCamera(CameraUpdateFactory.newLatLng(makerList.get(i)));
        }
    }
&lt;/code&gt;&lt;/pre&gt;
</t>
  </si>
  <si>
    <t xml:space="preserve">&lt;p&gt;Can someone help with sample of embedding the &lt;em&gt;lightning-icon&lt;/em&gt; inside a &lt;em&gt;lightning-input&lt;/em&gt; in &lt;em&gt;LWC&lt;/em&gt;&lt;/p&gt;
&lt;pre&gt;&lt;code&gt;&amp;lt;lightning-input type="search" name="To Address" label="To" 
                              class="slds-input-has-icon_right slds-m-bottom_small"&amp;gt;
    &amp;lt;lightning-icon icon-name=action:email&amp;gt;
&amp;lt;/lightning-icon&amp;gt;
&amp;lt;/lightning-input&amp;gt;
&lt;/code&gt;&lt;/pre&gt;
&lt;p&gt;I have also tried the below Approach which doesn't work&lt;/p&gt;
&lt;pre&gt;&lt;code&gt;&amp;lt;div class="slds-form-element"&amp;gt;
&amp;lt;label class="slds-form-element__label" for="text-input-id-1"&amp;gt;Input Label&amp;lt;/label&amp;gt;
&amp;lt;div class="slds-form-element__control slds-input-has-icon slds-input-has-icon_right"&amp;gt;
    &amp;lt;lightning-icon icon-name="utility:adduser" size="medium"&amp;gt;
    &amp;lt;/lightning-icon&amp;gt;
    &amp;lt;input type="text" id="text-input-id-1" class="slds-input" /&amp;gt;
&amp;lt;/div&amp;gt;
&lt;/code&gt;&lt;/pre&gt;
&lt;p&gt;&lt;/p&gt;
</t>
  </si>
  <si>
    <t xml:space="preserve">&lt;p&gt;Here is the solution!!&lt;/p&gt;
&lt;pre&gt;&lt;code&gt;&amp;lt;lightning-button-icon class="btnIconOverlay" icon-name="utility:adduser"&amp;gt;
&amp;lt;/lightning-button-icon&amp;gt;
&amp;lt;lightning-input type="search" name="To Address" value={toAddress}&amp;gt;              
&amp;lt;/lightning-input&amp;gt;
&lt;/code&gt;&lt;/pre&gt;
&lt;p&gt;Add the below CSS to the lightning-button-icon, which assist in overlaying the icon.&lt;/p&gt;
&lt;pre&gt;&lt;code&gt;.btnIconOverlay {
    position: absolute;
    z-index: 1;
    margin: 0.5% 0 0 92%;
}
&lt;/code&gt;&lt;/pre&gt;
</t>
  </si>
  <si>
    <t xml:space="preserve">&lt;p&gt;I have a Power BI report that is used to view some data from SQL Server. The user can make selections and the data is displayed on a table in the report. When the user makes a selection and clicks a button in Power BI, I want it to create data validation activities in CRM.&lt;/p&gt;
&lt;p&gt;Is there any way I can send the data and call a CRM process to create data validation activities?&lt;/p&gt;
</t>
  </si>
  <si>
    <t xml:space="preserve">&lt;p&gt;I have a from in PowerApps with labels and textboxes. By default textboxes are empty. There is a Button named "Copy last row" when use will click on this button some sample values should be displayed in textboxes. &lt;/p&gt;
&lt;p&gt;I checked on internet and the following solution was suggested by PowerApp support. &lt;/p&gt;
&lt;p&gt;You need to set the text box' text property to this:  &lt;/p&gt;
&lt;pre&gt;&lt;code&gt; If(HasBeenPressed, "Hello", "GoodBye")  
&lt;/code&gt;&lt;/pre&gt;
&lt;p&gt;You also need to set the button's onselect property to this:  &lt;/p&gt;
&lt;pre&gt;&lt;code&gt;UpdateContext({HasBeenPressed: true})
&lt;/code&gt;&lt;/pre&gt;
&lt;p&gt;or for more fun,     &lt;/p&gt;
&lt;pre&gt;&lt;code&gt;UpdateContext({HasBeenPressed: !HasBeenPressed})
&lt;/code&gt;&lt;/pre&gt;
&lt;p&gt;But when I go to the properties of my textbox there is no such property like 'TEXT'.  &lt;/p&gt;
</t>
  </si>
  <si>
    <t xml:space="preserve">&lt;p&gt;I am developing a Ticketing system and I have two dashboards for the submitted tickets, one for the admin and the other for the user. The admin should see all the submitted tickets by all users and the user should see only his submitted tickets. I don't know how to retrieve the records upon the user role. &lt;/p&gt;
</t>
  </si>
  <si>
    <t xml:space="preserve">&lt;p&gt;I have a table. I want to clone a record. I added a button and in the OnClick event I have tried &lt;/p&gt;
&lt;pre&gt;&lt;code&gt;var rowDataSource = widget.datasource;
// Instead of using the row  datasource for create, explicitly use the data source of your list.
var listDatasource = app.datasources.Change;
var createDataSource = listDatasource.modes.create; 
createDataSource.item.Systems.SystemName = rowDataSource.item.Systems.SystemName;
createDataSource.item.changeType = rowDataSource.item.changeType;
widget.datasource.createItem();
widget.datasource.saveChanges(); 
&lt;/code&gt;&lt;/pre&gt;
&lt;p&gt;But this gave me error 
&lt;code&gt;can't associate Data with Draft Records&lt;/code&gt; since I am using relational Database and my databases are in manual save mode. 
How to clone all field from one record and create a new record??&lt;a href="https://i.stack.imgur.com/q1426.png" rel="nofollow noreferrer"&gt;&lt;img src="https://i.stack.imgur.com/q1426.png" alt="enter image description here"&gt;&lt;/a&gt;&lt;/p&gt;
&lt;p&gt;Here Author name comes from the relational database and Timestamp is from the tables database.&lt;/p&gt;
</t>
  </si>
  <si>
    <t xml:space="preserve">&lt;p&gt;I have a workflow whenever the case was created via email. case creation notification will send to case contact email.i have another field in case the object is called Case cc email.in before trigger i add the value for Case cc email field.in workflow email alert I add both a contact email and case cc email field as a recipient but the mail sending only case contact email. help how to solve that.&lt;/p&gt;
&lt;p&gt;&lt;strong&gt;Note:&lt;/strong&gt;&lt;/p&gt;
&lt;ol&gt;
&lt;li&gt;&lt;p&gt;Workflow entry criteria: contact email != null&lt;/p&gt;&lt;/li&gt;
&lt;li&gt;&lt;p&gt;Case cc email field is not mandatory&lt;/p&gt;&lt;/li&gt;
&lt;li&gt;&lt;p&gt;when the case created via salesforce case object mail sending correctly to both contact email and case cc email&lt;/p&gt;&lt;/li&gt;
&lt;/ol&gt;
</t>
  </si>
  <si>
    <t xml:space="preserve">&lt;p&gt;I want the Admin's start page to be the Admin Console and for the user another page - "MyTickets". The default start page for the app is MyTickets but I don't want the Admin to see this as the start page nor be able to navigate to it. &lt;/p&gt;
&lt;p&gt;I found in the Appmaker's templates "Training hub" some code for the Appstart depending on the user role, as I want; However, when I implemented it, I get this error in the console&lt;/p&gt;
&lt;p&gt;&lt;a href="https://i.stack.imgur.com/u6sEU.png" rel="nofollow noreferrer"&gt;&lt;img src="https://i.stack.imgur.com/u6sEU.png" alt="enter image description here"&gt;&lt;/a&gt;&lt;/p&gt;
&lt;p&gt;The page keeps loading while in the template it works normally.
Here is the code I inserted in my app in client script:&lt;/p&gt;
&lt;pre&gt;&lt;code&gt;/**
 * Determines whether the user has specified role.
 * @param {string} roleName - name of the role to check.
 * @return {boolean} true if user has the role.
 */
function hasRole(roleName) {
  return (app.user.roles.indexOf(roleName) &amp;gt; -1);
}
/**
 * Determines whether the user is admin.
 * @return {boolean} true if user is an admin.
 */
function isAdmin() {
  return hasRole('Admins');
}
/**
 * Gets start page depends on current user's roles.
 * @return {Page} start page to be shown to user.
 */
function getUserStartPage() {
  var result = app.pages.MyTickets;
  var userRoles = app.user.roles;
  if (isAdmin()) {
    result = app.pages.Admin_console;
  }
  return result;
}
/**
 * Overrides start page if loading is not specified.
 * @param {string} currentPageName - name of current page to be loaded.
 * @return {Page} start page to be shown to user.
 */
function overrideStartPage(currentPageName) {
  if (currentPageName) {
    return;
  }
  var startPage = getUserStartPage();
  gotoPage(startPage);
}
/**
 * Handles Application Start event.
 * Loads Application Settings and then loads the app.
 * @param {AppLoader} loader - instance of application loader.
 */
function onAppStart(loader) {
  loader.suspendLoad();
  google.script.url.getLocation(function(location) {
    app.datasources.AppSettings.load({
      success: function() {
        overrideStartPage(location.hash);
        loader.resumeLoad();
      },
      failure: function() {
        overrideStartPage(location.hash);
        loader.resumeLoad();
      }
    });
  });
}
&lt;/code&gt;&lt;/pre&gt;
&lt;p&gt;And in the  app's settings, the startup script is:&lt;/p&gt;
&lt;pre&gt;&lt;code&gt; onAppStart(loader);
&lt;/code&gt;&lt;/pre&gt;
</t>
  </si>
  <si>
    <t xml:space="preserve">&lt;p&gt;I am trying to create a dynamic lightning component with the help of $A.createComponents.&lt;/p&gt;
&lt;pre&gt;&lt;code&gt; $A.createComponents([
         ["c:SubmitForApprovalBody",{oppId:recordId}],
         [ "c:SubmitForApprovalFooter", { okLabel : "Confirm"}]            
       ],
       function(components, status){
           console.log('status : '+status);
           if (status === "SUCCESS") {
               modalBody = components[0];
               modalFooter = components[1];                 
               component.find('modalLib').showCustomModal({
                   header: "Submit for Approval",
                   body: modalBody,
                   footer:modalFooter,
                   showCloseButton: false,
                   closeCallback: function() {
                      alert('you decided to close');
                   }
               })
           }
       }
    );
&lt;/code&gt;&lt;/pre&gt;
&lt;p&gt;The above is fine. And, I want to close the component when the user clicks on the ok button in 
SubmitForApprovalFooter. &lt;/p&gt;
&lt;p&gt;I have used the below one in SubmitForApprovalFooter.&lt;/p&gt;
&lt;pre&gt;&lt;code&gt; ({
     handleOK : function(cmp, event, helper) {
        $A.get("e.force:closeQuickAction").fire();
     }
  })
&lt;/code&gt;&lt;/pre&gt;
&lt;p&gt;But nothing happens and the component does not disappear.
Any help is much appreciated.&lt;/p&gt;
</t>
  </si>
  <si>
    <t xml:space="preserve">&lt;p&gt;So I've faced the same problem you have a few times. The trick is to save the modal promise as an &lt;code&gt;aura:attribute&lt;/code&gt; on your component.&lt;/p&gt;
&lt;ol&gt;
&lt;li&gt;In your component &lt;code&gt;c:SubmitForApprovalFooter&lt;/code&gt;, create a parameter on the component called &lt;code&gt;onClickAction&lt;/code&gt; of type &lt;code&gt;Aura.Action&lt;/code&gt;&lt;/li&gt;
&lt;li&gt;Set that attribute in your js as &lt;code&gt;component.get("c.handleModalClose")&lt;/code&gt;&lt;/li&gt;
&lt;li&gt;In the &lt;code&gt;handleModalClose&lt;/code&gt; function, get the modal promise parameter and close the modal from the promise. (see below)&lt;/li&gt;
&lt;/ol&gt;
&lt;pre&gt;&lt;code&gt;({
    yourAction : function(component, event, helper) {
        $A.createComponents([
            ["c:SubmitForApprovalBody",{oppId:recordId}],
            //Notice the `onclickAction` being set
            //If you experience issues with this then use component.getReference("c.handleModalClose")
            [ "c:SubmitForApprovalFooter", { okLabel : "Confirm",
                                            "onclickAction":component.get("c.handleModalClose")
                                        }]
          ],
          function(components, status){
              console.log('status : '+status);
              if (status === "SUCCESS") {
                  modalBody = components[0];
                  modalFooter = components[1];
                  //Set a variable containing the promise                 
                    var modalPromise = component.find('modalLib').showCustomModal({
                      header: "Submit for Approval",
                      body: modalBody,
                      footer:modalFooter,
                      showCloseButton: false,
                      closeCallback: function() {
                         alert('you decided to close');
                      }
                  })
                  //Set the modalPromise as an attribute on your component, type is `Object`
                  //So, `&amp;lt;aura:attribute name="modalPromise" type="Object"/&amp;gt;`
                  component.set("v.modalPromise",modalPromise);
              }
          }
       );
    },
    handleModalClose : function(component,event,helper){
        //I use this all the time now, otherwise aura may try to 
        //grab a modal promise that has been destroyed already
        event.stopPropagation();
        var modPromise = component.get("v.modalPromise");
        modPromise.then(function(m){
            m.close();
        });
    }
})
&lt;/code&gt;&lt;/pre&gt;
</t>
  </si>
  <si>
    <t xml:space="preserve">&lt;p&gt;I have an edit tickets page where I want to send an email when a user change the status of the ticket and submit this edit.&lt;/p&gt;
&lt;p&gt;I made on click on the submit button to send the email but I don't know how to restrict it if only the status has changed as the way I implemented send the email even if i open the edit ticket page and didn't change anything.&lt;/p&gt;
&lt;p&gt;I want to know how to make it when submitting the button of edit ticket on value change of status.&lt;/p&gt;
&lt;pre&gt;&lt;code&gt;var recordKey=widget.datasource.item._key;
var newValue = widget.datasource.item.Status;
google.script.run.withSuccessHandler().sendStatusChange(recordKey,newValue);
&lt;/code&gt;&lt;/pre&gt;
</t>
  </si>
  <si>
    <t xml:space="preserve">&lt;p&gt;We are migrating from desk.com to service cloud, We want to migrate our Support Center Website to Communities in service cloud (Using Visual Force Pages). We have used many liquid variables in our support page on desk.com, How can i used liquid variables in VisualForce pages? or is there any alternative to liquid variables in visual force pages? 
Thanks&lt;/p&gt;
</t>
  </si>
  <si>
    <t xml:space="preserve">&lt;p&gt;I have below case in my app, am filtering data based on the user logged in with many condition but its take long time to retrieve the data since i have "And / or " in my filter &lt;/p&gt;
&lt;p&gt;should i use lookup/search ? &lt;/p&gt;
&lt;pre&gt;&lt;code&gt;UpdateContext({LoadText:"Loading Data... Please Wait..."});
//Refresh('[dbo].[table2]');
ClearCollect(table1,Filter(ShowColumns('[dbo].[table2]',"ID","Description","Room_Type","ActionBy","Action_user","Area","Room_no","Building","Floor","Topic","SubTopic","Snag_Item","userid","Attachment","Actual_Status","Desc_Const","Desc_QC","Desc_Client","Client_status","Contractor_status","Recheck_Const","Recheck_QC"), Action_user = TextInput1.Text ,
Actual_Status = "" Or Actual_Status ="Yes" &amp;amp;&amp;amp; Contractor_status = "No" Or Actual_Status ="Yes" &amp;amp;&amp;amp; Contractor_status = "No" &amp;amp;&amp;amp; Recheck_Const = "Yes" ));
UpdateContext({LoadText:"Loading Data... Please Wait..."});
&lt;/code&gt;&lt;/pre&gt;
</t>
  </si>
  <si>
    <t xml:space="preserve">&lt;p&gt;I have an issue with the limits of record I can run in Zoho Creator in my script, so I have been using Ranges - (ie. run from record 1 to let's say 100, 101 to 200, 201 to 300, 301...); but now I have very many records(40000). Is there a way I can write two or more functions that can run through the records without I defining the ranges time after time?&lt;/p&gt;
</t>
  </si>
  <si>
    <t xml:space="preserve">&lt;p&gt;The LWC synthetic shadow dom doesn't seem to handle slots like the native shadow dom implementation e.g.&lt;/p&gt;
&lt;p&gt;Let's say you start with a element:&lt;/p&gt;
&lt;pre&gt;&lt;code&gt;&amp;lt;hello-there&amp;gt;&amp;lt;h1&amp;gt;Hi there&amp;lt;/h1&amp;gt;&amp;lt;/hello-there&amp;gt;
&lt;/code&gt;&lt;/pre&gt;
&lt;p&gt;Then you attach the shadow dom and add a slot, the h1 will be slotted:&lt;/p&gt;
&lt;p&gt;&lt;a href="https://i.stack.imgur.com/mVlft.png" rel="nofollow noreferrer"&gt;&lt;img src="https://i.stack.imgur.com/mVlft.png" alt="Normal shadow dom"&gt;&lt;/a&gt;&lt;/p&gt;
&lt;p&gt;Now if you do the same while running "@lwc/synthetic-shadow": "^1.1.1"&lt;/p&gt;
&lt;p&gt;You get:&lt;/p&gt;
&lt;p&gt;&lt;a href="https://i.stack.imgur.com/FBNfZ.png" rel="nofollow noreferrer"&gt;&lt;img src="https://i.stack.imgur.com/FBNfZ.png" alt="synthetic shadow dom"&gt;&lt;/a&gt;&lt;/p&gt;
&lt;p&gt;Interestingly it also looks like it moved the light dom into the synthetic shadow root.
Is there a function I should call to get the slots to behave correctly? or some sort of ordering?&lt;/p&gt;
</t>
  </si>
  <si>
    <t xml:space="preserve">&lt;p&gt;The app I'm currently building in PowerApps utilizes a camera and pen input function, where in essentially you take a picture and you're then given the option to draw on said picture using the Pen Input function so as to add notes, annotations, etc. At the moment I have it so that when the picture is taken and the notes are added, both are added to Azure Storage as two separate images, and what I'm trying to do is merge them using a Flow, which receives all the information about the images, and then uses HTTP call to a free API called 'Convert API' to join them together, as per this &lt;a href="https://powerusers.microsoft.com/t5/Community-App-Samples/App-for-taking-photos-and-adding-notes/td-p/289368" rel="nofollow noreferrer"&gt;guide&lt;/a&gt;.&lt;/p&gt;
&lt;p&gt;Below is my Flow as it currently is:&lt;/p&gt;
&lt;p&gt;&lt;a href="https://i.stack.imgur.com/r71hq.png" rel="nofollow noreferrer"&gt;&lt;img src="https://i.stack.imgur.com/r71hq.png" alt="enter image description here"&gt;&lt;/a&gt;
&lt;a href="https://i.stack.imgur.com/wBofw.png" rel="nofollow noreferrer"&gt;&lt;img src="https://i.stack.imgur.com/wBofw.png" alt="enter image description here"&gt;&lt;/a&gt;
&lt;a href="https://i.stack.imgur.com/SZvuU.png" rel="nofollow noreferrer"&gt;&lt;img src="https://i.stack.imgur.com/SZvuU.png" alt="enter image description here"&gt;&lt;/a&gt;
&lt;a href="https://i.stack.imgur.com/IXo83.png" rel="nofollow noreferrer"&gt;&lt;img src="https://i.stack.imgur.com/IXo83.png" alt="enter image description here"&gt;&lt;/a&gt;
&lt;a href="https://i.stack.imgur.com/8maGt.png" rel="nofollow noreferrer"&gt;&lt;img src="https://i.stack.imgur.com/8maGt.png" alt="enter image description here"&gt;&lt;/a&gt;
&lt;a href="https://i.stack.imgur.com/X2UXb.png" rel="nofollow noreferrer"&gt;&lt;img src="https://i.stack.imgur.com/X2UXb.png" alt="enter image description here"&gt;&lt;/a&gt;&lt;/p&gt;
&lt;p&gt;For the most part it runs smoothly, however when it reaches the HTTP step, it fails with the below error:&lt;/p&gt;
&lt;p&gt;"{"Code":4002,"Message":"Bad JSon format. The input is not a valid Base-64 string as it contains a non-base 64 character, more than two padding characters, or an illegal character among the padding characters. "}"&lt;/p&gt;
&lt;p&gt;&lt;a href="https://i.stack.imgur.com/1Lz7B.png" rel="nofollow noreferrer"&gt;&lt;img src="https://i.stack.imgur.com/1Lz7B.png" alt="enter image description here"&gt;&lt;/a&gt;&lt;/p&gt;
&lt;p&gt;I'm thinking that the error is coming from the HTML input that gets passed along, specifically the &lt;strong&gt;"data&amp;colon;image/png;base64,&lt;/strong&gt;" header, but I'm not 100% sure, and if it is that how would I go about removing it?&lt;/p&gt;
&lt;p&gt;&lt;a href="https://i.stack.imgur.com/n9igm.png" rel="nofollow noreferrer"&gt;&lt;img src="https://i.stack.imgur.com/n9igm.png" alt="enter image description here"&gt;&lt;/a&gt;&lt;/p&gt;
&lt;p&gt;Any guidance with this would be appreciated, I feel like I've been banging my head against a wall trying to correct it! Thanks!&lt;/p&gt;
</t>
  </si>
  <si>
    <t xml:space="preserve">&lt;p&gt;I want an accept button like we get in queue for my custom object record in my community portal Salesforce so that when user click on that record its ownership gets updated to current loged in user.&lt;/p&gt;
&lt;p&gt;Please suggest how to achieve this in communities.&lt;/p&gt;
&lt;p&gt;Thanks&lt;/p&gt;
</t>
  </si>
  <si>
    <t xml:space="preserve">&lt;p&gt;My code essentially does what I want until the part where I want to write back the response Id to Salesforce.&lt;/p&gt;
&lt;pre&gt;&lt;code&gt;public class ExpensifyCallout {
    //@future(callout=true)
    public static void createReport(Id SFReportID, String projectName, Date projectStartDate, Date projectEndDate, String projectReportLocation, String policyID, String employeeEmail){
        Http http = new Http();
        HttpRequest request = new HttpRequest();
        request.setEndpoint('callout:Expensify_API');    
        request.setHeader('ContentType', 'application/json');    
        request.setBody('requestJobDescription={"type": "create","credentials": {"partnerUserID": "{!$Credential.Username}" ,"partnerUserSecret": "{!$Credential.Password}"},"inputSettings": {"type": "report","policyID": "'+policyID+'","report": {"title": "'+projectName+'/ '+projectStartDate.format()+' - '+projectEndDate.format()+'/ '+projectReportLocation+'"},  "employeeEmail": "'+employeeEmail+'", "expenses":[]}}');
        request.setMethod('POST');
        HttpResponse response = http.send(request);
        // If the request is successful, parse the JSON response.
        if (response.getStatusCode() == 200) {
           System.debug(response.getBody());
           Map &amp;lt;String, Object&amp;gt; responseJSON = (Map &amp;lt;String, Object&amp;gt;) JSON.deserializeUntyped(response.getBody());
           String reportID = string.valueof(responseJSON.get('reportID'));
           System.debug('Hello World! ');
           System.debug('Hello World! '+ reportID);
           /*ExpensifyReport__c[] eRecords = [SELECT Name
                                   FROM ExpensifyReport__c
                                   WHERE Id = :SFReportID];
           ExpensifyReport__c e = eRecords[0];
           e.expensifyReportID__c = reportID;*/
        }
        // else handle problem
    }
&lt;/code&gt;&lt;/pre&gt;
&lt;p&gt;My response code from the api is the following:
&lt;code&gt;{"reportID":"54995495","reportName":"My TEST report","responseCode":200}&lt;/code&gt;
and I want to retrieve the reportID and write it back to the record I created that triggered the callout.&lt;/p&gt;
&lt;p&gt;Only the two statements with Hello World in it are not printed. The rest works as expected. Does anyone have an idea why this could be? Many thanks.&lt;/p&gt;
&lt;p&gt;I noticed an error message which does not help me much:
&lt;code&gt;Invalid api version:0.0&lt;/code&gt; 
When I check in the Settings none of the listed apis has version 0.0 ...&lt;/p&gt;
</t>
  </si>
  <si>
    <t xml:space="preserve">&lt;p&gt;I have a table: &lt;/p&gt;
&lt;blockquote&gt;
  &lt;p&gt;&lt;strong&gt;Table: Client Name&lt;/strong&gt;&lt;br&gt;
  - id(number) Primary&lt;br&gt;
  - Client_Name(string)&lt;br&gt;
  - Client_Code(string)&lt;br&gt;
  - POC(string)&lt;/p&gt;
&lt;/blockquote&gt;
&lt;p&gt;I want to create many POC with the same &lt;code&gt;Client_Name&lt;/code&gt; and &lt;code&gt;Client_Code&lt;/code&gt;. It should working&lt;/p&gt;
&lt;p&gt;&lt;a href="https://i.stack.imgur.com/qL6Zy.jpg" rel="nofollow noreferrer"&gt;&lt;img src="https://i.stack.imgur.com/qL6Zy.jpg" alt="enter image description here"&gt;&lt;/a&gt;&lt;/p&gt;
&lt;p&gt;Its Datasource is &lt;code&gt;POCQuery&lt;/code&gt; (create).&lt;/p&gt;
&lt;ol&gt;
&lt;li&gt;OnClick, I chose "&lt;em&gt;create New Item"&lt;/em&gt;, it failed to create new POC. ---&gt; failed&lt;/li&gt;
&lt;li&gt;OnClick: &lt;code&gt;var record = app.models.Person.newRecord();
app.saveRecords([record]);&lt;/code&gt; ---&gt; Failed&lt;/li&gt;
&lt;/ol&gt;
&lt;p&gt;Actualy what I want is, everytime + button clicked. It will create new POC record bellow @POC.&lt;/p&gt;
&lt;p&gt;Are there any suggestion to fix this problem?&lt;/p&gt;
</t>
  </si>
  <si>
    <t xml:space="preserve">&lt;p&gt;I am new in LWC and would like to know that why my code is not working. My requirement is to call this LWC from VF page. Using the LWC I have to create a new record in my Object PRODUCT2__C.
I have attached the javascript and html files of my LWC. Please let me know what I am doing wrong as I am getting error :
&lt;em&gt;"Error creating record
An error occurred while trying to update the record. Please try again."&lt;/em&gt;&lt;/p&gt;
&lt;p&gt;//tUButton.html&lt;/p&gt;
&lt;pre&gt;&lt;code&gt;&amp;lt;!--
  @File Name          : tUButton.html
  @Description        : 
  @Author             : ChangeMeIn@UserSettingsUnder.SFDoc
  @Group              : 
  @Last Modified By   : ChangeMeIn@UserSettingsUnder.SFDoc
  @Last Modified On   : 12/10/2019, 12:49:09 PM
  @Modification Log   : 
  Ver       Date            Author              Modification
  1.0    12/9/2019   ChangeMeIn@UserSettingsUnder.SFDoc     Initial Version
--&amp;gt;
&amp;lt;template&amp;gt;
  &amp;lt;lightning-card title="Add Number of Layers And Palletes" icon-name="standard:record"&amp;gt;
    &amp;lt;div class="slds-m-around_medium"&amp;gt;
        &amp;lt;lightning-input label="Id" disabled value={Product2}&amp;gt;&amp;lt;/lightning-input&amp;gt;
        &amp;lt;lightning-input label="TU per Layer" onchange={handleChangeLayer} class="slds-m-bottom_x-small"&amp;gt;&amp;lt;/lightning-input&amp;gt;
        &amp;lt;lightning-input label="Layer per Pallete" onchange={handleChangePallete} class="slds-m-bottom_x-small"&amp;gt;&amp;lt;/lightning-input&amp;gt;
        &amp;lt;lightning-button label="Submit" variant="brand" onclick={submitProduct}&amp;gt;&amp;lt;/lightning-button&amp;gt;
    &amp;lt;/div&amp;gt;
 &amp;lt;/lightning-card&amp;gt;
&amp;lt;/template&amp;gt;
&lt;/code&gt;&lt;/pre&gt;
&lt;p&gt;// tUButton.js&lt;/p&gt;
&lt;pre&gt;&lt;code&gt;//
 import { LightningElement, track, api } from 'lwc';
    import { createRecord } from 'lightning/uiRecordApi';
    import { ShowToastEvent } from 'lightning/platformShowToastEvent';
    import Product2_OBJECT from '@salesforce/schema/Product2';
    import NAME_FIELD from '@salesforce/schema/Product2.Name';
    //import SKULayers_FIELD from '@salesforce/schema/Product2.SKU_External_Id__c'
    export default class LdsCreateRecord extends LightningElement {
      //  @track productId;
         @track name = '';
         @api recordId;
         handleChangeLayer(event) {
            this.productId = undefined;
            this.name = event.target.value;
        }
        handleChangePallete(event) {
            this.productId = undefined;
            this.name = event.target.value;
        }
        submitProduct() {
            const fields = {};
            fields[NAME_FIELD.fieldApiName] = this.name;
            const recordInput = { apiName: Product2_OBJECT.objectApiName, fields };
            createRecord(recordInput)
                .then(product =&amp;gt; {
                 this.productId = product.id;
                    this.dispatchEvent(
                        new ShowToastEvent({
                            title: 'Success',
                            message: 'Product created',
                            variant: 'success',
                        }),
                    );
                })
                .catch(error =&amp;gt; {
                    this.dispatchEvent(
                        new ShowToastEvent({
                            title: 'Error creating record',
                            message: error.body.message,
                            variant: 'error',
                        }),
                    );
                });
        }
    }
&lt;/code&gt;&lt;/pre&gt;
&lt;p&gt;Thanks in Advance if anyone can help in identifying the issue.&lt;/p&gt;
</t>
  </si>
  <si>
    <t xml:space="preserve">&lt;p&gt;i am getting this response from zoho API. but i am unable to parse to POJO for Retrofit.&lt;/p&gt;
&lt;p&gt;i am trying this converter. &lt;a href="http://www.jsonschema2pojo.org/" rel="nofollow noreferrer"&gt;http://www.jsonschema2pojo.org/&lt;/a&gt;&lt;/p&gt;
&lt;p&gt;Below is response i am getting from zoho API.&lt;/p&gt;
&lt;pre&gt;&lt;code&gt;{
 "formname": ["Checkpoint_Database", {
 "operation": ["add", {
    "values": {
        "How_many_scan": "44",
        "Checkpoint_description": "test Desc",
        "Address": "test Address",
        "Checkpoint_Name": "test Name postman",
        "mobile_input": "786576",
        "Checkpoint_ID": "3354762000041174214",
        "Bureau": "test Bureu"
    },
    "status": "Failure, Duplicate values found for 'Checkpoint ID'"
}]
}]
}
&lt;/code&gt;&lt;/pre&gt;
&lt;p&gt;&lt;a href="https://i.stack.imgur.com/Lt1nA.png" rel="nofollow noreferrer"&gt;&lt;img src="https://i.stack.imgur.com/Lt1nA.png" alt="this is response after conversion using http://www.jsonschema2pojo.org/"&gt;&lt;/a&gt;&lt;/p&gt;
</t>
  </si>
  <si>
    <t xml:space="preserve">&lt;p&gt;I'm trying to link my web pages and the navigation isn't working. I've set the destination as my Rosters Page. Outsystems seems to even tell me what data type I need but when I put that into the expression editor it gives me the below message. I think I may have set the structure up wrong. I just can't understand why I can't input the TeamID attribute in to retrieve my Rosters page on the next screen. I mean, TeamID is even an attribute on the Rosters table itself. So why does it not seem to link?&lt;/p&gt;
&lt;p&gt;&lt;a href="https://i.stack.imgur.com/8QorV.png" rel="nofollow noreferrer"&gt;&lt;img src="https://i.stack.imgur.com/8QorV.png" alt="enter image description here"&gt;&lt;/a&gt;&lt;/p&gt;
</t>
  </si>
  <si>
    <t xml:space="preserve">&lt;p&gt;From the print screen I can see that the TeamRosters page input is probably a structure. You should change it to be a LongInteger, as far as I can understand from the screen.&lt;/p&gt;
</t>
  </si>
  <si>
    <t xml:space="preserve">&lt;p&gt;I tried with the below body(payload) to create an upsert bulk job for Account push to Salesforce.&lt;/p&gt;
&lt;pre&gt;&lt;code&gt;{
    "object" : "Account",
    "externalIdFieldName":"Website",
    "contentType" : "CSV",
    "operation" : "upsert",
    "lineEnding" : "LF"
}
&lt;/code&gt;&lt;/pre&gt;
&lt;p&gt;However, I receive an error as below, unable to find a way out. Could you please help with the correct 'externalIdFieldName' ??&lt;/p&gt;
&lt;pre&gt;&lt;code&gt; [
    {
        "errorCode": "INVALIDJOB",
        "message": "InvalidJob : Field name provided, website does not match an External ID, Salesforce Id, or indexed field for Account"
    }
]
&lt;/code&gt;&lt;/pre&gt;
</t>
  </si>
  <si>
    <t xml:space="preserve">&lt;p&gt;I am getting this error when running a Salesforce scratch org application;&lt;/p&gt;
&lt;pre&gt;&lt;code&gt;aura_proddebug.js:274 Uncaught (in promise) TypeError: Cannot read property 'Symbol(ViewModel)' of undefined
at getInternalField (aura_proddebug.js:274)
at Object.update (aura_proddebug.js:1793)
at updateCustomElmDefaultHook (aura_proddebug.js:5627)
at Object.update (aura_proddebug.js:5779)
at patchVnode (aura_proddebug.js:5021)
at updateStaticChildren (aura_proddebug.js:5000)
at aura_proddebug.js:5542
at runWithBoundaryProtection (aura_proddebug.js:8255)
at updateChildrenHook (aura_proddebug.js:5541)
at Object.update (aura_proddebug.js:5751)
&lt;/code&gt;&lt;/pre&gt;
&lt;p&gt;Has anyone experienced this before?&lt;/p&gt;
</t>
  </si>
  <si>
    <t xml:space="preserve">&lt;p&gt;I was actually able to spot the issue. &lt;/p&gt;
&lt;p&gt;This error has been thrown before in my org when I either didn't have the .html file or I had it with an improper spelling somehow; include case sensitivity on the names.&lt;/p&gt;
&lt;p&gt;See related &lt;a href="https://salesforce.stackexchange.com/questions/262389/uncaught-in-promise-typeerror-cannot-read-property-symbolviewmodel-of-und"&gt;here&lt;/a&gt;:&lt;/p&gt;
</t>
  </si>
  <si>
    <t xml:space="preserve">&lt;p&gt;I made a script in appmaker that takes the date inserted in Google sheet and displayed in appmaker. The date is prior by one day.If I insert in Google sheet 10-08-2018 it gets in appmaker 2018-10-07
 I don't know why?!&lt;/p&gt;
&lt;p&gt;Here is the code in appmaker:&lt;/p&gt;
&lt;pre&gt;&lt;code&gt;function getCellValue(spreadsheetId, sheetName, cellRange) {
  var range = getRange_(spreadsheetId, sheetName, cellRange);
  return JSON.stringify(range.getValue());
}
function createAutoTickets(widget) {
var jsonResultDATE = getCellValue(sheet.sheet_id, getSheets(sheet.sheet_id), 'B' + ii.toString());
var newRecord = app.models.AymanTickets.newRecord();
            console.info(jsonResultDATE.substr(1, 10));
            newRecord.ticket_date = new Date(jsonResultDATE.substr(1, 10));
 app.saveRecords([newRecord]); 
}
&lt;/code&gt;&lt;/pre&gt;
&lt;p&gt;And the whole script code &lt;a href="https://docs.google.com/document/d/1jMTHIzK7nIVR2kgBpmwFdYVitnV-8p8Njm9RT6TGHyE/edit?usp=sharing" rel="nofollow noreferrer"&gt;https://docs.google.com/document/d/1jMTHIzK7nIVR2kgBpmwFdYVitnV-8p8Njm9RT6TGHyE/edit?usp=sharing&lt;/a&gt;&lt;/p&gt;
</t>
  </si>
  <si>
    <t xml:space="preserve">&lt;p&gt;I have inherited a PowerApp from my colleague which includes a gallery that uses a sharepoint list as its datasource. The purpose of the gallery is to allow Admin users to search for all the submitted forms in their department (IT, Finance etc...), however not all the data is showing in the gallery. The data collected should be dated from December 2018 to the current date (December 2019), but the data stops at October 2019 instead.&lt;/p&gt;
&lt;p&gt;I think this is due to the radio button that has been added to the screen. The radio button should enable the admins to filter the gallery data depending on form status. See below formula: &lt;/p&gt;
&lt;pre&gt;&lt;code&gt;SortByColumns(
    If(
    Radio1_1.SelectedText.Value = "All",
    'IT Forms',
    Radio1_1.SelectedText.Value = "Approved",
    Search(
        'IT Forms',
        "Approved",
        "Status"
    ),
    Radio1_1.SelectedText.Value = "Rejected",
    Search(
        'IT Forms',
        "Rejected",
        "Status"
    ),
    Radio1_1.SelectedText.Value = "Form Number",
    Filter(
        'IT Forms',
        ID = IDInputText_1.Text
    ),
    Radio1_1.SelectedText.Value = "Awaiting Approval",
    Search(
        'IT Forms',
        "Awaiting",
        "Status"
    ),
    Radio1_1.SelectedText.Value = "Form Type",
    Filter(
        'IT Forms',
        Title = ITFormType.Selected.Result
    )
), "Created", Descending)
&lt;/code&gt;&lt;/pre&gt;
&lt;p&gt;But as stated above, not all the data is being collected. Although I have found that up-to-date data is collected when I bypass the radio button and use the below formula: &lt;/p&gt;
&lt;p&gt;&lt;code&gt;SortByColumns('IT Forms',"Created",Descending)&lt;/code&gt;&lt;/p&gt;
&lt;p&gt;I can use this as a work around for now, but I will need to add the radio button back onto the screen as soon as possible. I have increased the Data Row Limit in Settings from 500 to 2000, but it hasn't made a difference - so now I have ran out of ideas to resolve this. &lt;/p&gt;
&lt;p&gt;Any help or suggestions will be greatly appreciated.&lt;/p&gt;
&lt;p&gt;&lt;a href="https://i.stack.imgur.com/Cqrjm.jpg" rel="nofollow noreferrer"&gt;Gallery results with filter&lt;/a&gt; and &lt;a href="https://i.stack.imgur.com/eodf9.jpg" rel="nofollow noreferrer"&gt;Gallery results without filter&lt;/a&gt;&lt;/p&gt;
</t>
  </si>
  <si>
    <t xml:space="preserve">&lt;p&gt;I am trying to bind the fieldname from iteration into lightning:input component. Can someone help how to bind the fieldname with the attribute.
emphasized text
&lt;pre&gt;&lt;code&gt;layoutType="FULL"
 mode="EDIT"
 targetRecord="{!v.newRFA}"
 targetFields="{!v.simpleNewRFA}"
 targetError="{!v.newRFAError}" /&amp;gt; 
&lt;/code&gt;&lt;/pre&gt;
&lt;p&gt;
                                        &lt;br&gt;
                        &lt;/p&gt;
</t>
  </si>
  <si>
    <t xml:space="preserve">&lt;p&gt;This is likely embarrassingly easy but I'm new and I've been beating my head against the wall on this for a while now. What I am attempting to do is basically a modified version of the "Hello App Maker!" If else test. &lt;/p&gt;
&lt;p&gt;The necessary info I have the following widgets attached to the appropriate data sources:&lt;/p&gt;
&lt;blockquote&gt;
  &lt;ul&gt;
  &lt;li&gt;Dropdown widget called &lt;code&gt;source_name&lt;/code&gt; (string - list)  &lt;/li&gt;
  &lt;li&gt;Label widget I've called &lt;code&gt;name&lt;/code&gt; (string)  &lt;/li&gt;
  &lt;li&gt;Text Box widget called &lt;code&gt;qty_duration&lt;/code&gt; (number)  &lt;/li&gt;
  &lt;li&gt;Label widget I've called &lt;code&gt;hours&lt;/code&gt; (number)&lt;/li&gt;
  &lt;/ul&gt;
&lt;/blockquote&gt;
&lt;p&gt;I have a dropdown widget called &lt;code&gt;source_name&lt;/code&gt; with 5 options. On selection I have the value appear in a label widget I've called &lt;code&gt;name&lt;/code&gt;. If the option selected from the drop down widget is ever &lt;code&gt;LABOUR&lt;/code&gt; I am trying to then have the value of a Text Box widget called &lt;code&gt;qty_duration&lt;/code&gt; appear in a label widget I've called &lt;code&gt;hours&lt;/code&gt;&lt;/p&gt;
&lt;p&gt;On the &lt;code&gt;source_name&lt;/code&gt; dropdown event - &lt;code&gt;onValueChange&lt;/code&gt; I have the following code:&lt;/p&gt;
&lt;pre&gt;&lt;code&gt;// Define variables for the input and output widgets
var nameWidget = app.pages.Apex_job_details.descendants.name;
var outputWidget = app.pages.Apex_job_details.descendants.hours;
var techhours = app.pages.Apex_job_details.descendants.qty_duration;
var nothing = 0;
// If a name is LABOUR, add the qty to the output widget Else output 0.
if (nameWidget == 'LABOUR') {
  outputWidget.text = techhours;
} else {
  outputWidget = nothing;
}
&lt;/code&gt;&lt;/pre&gt;
&lt;p&gt;It's not giving me any errors, but it's also not outputting to the &lt;code&gt;hours&lt;/code&gt; label. If I edit the code as follows just to muck with it:&lt;/p&gt;
&lt;pre&gt;&lt;code&gt;// Define variables for the input and output widgets
var nameWidget = app.pages.Apex_job_details.descendants.name;
var outputWidget = app.pages.Apex_job_details.descendants.hours;
var techhours = app.pages.Apex_job_details.descendants.qty_duration;
var nothing = 0;
// If a name is LABOUR, add the qty to the output widget Else output 0.
if (nameWidget == 'LABOUR') {
  outputWidget.text = techhours;
} else {
  outputWidget.text = nothing;
}
&lt;/code&gt;&lt;/pre&gt;
&lt;p&gt;I'm not sure what I'm doing wrong.&lt;/p&gt;
</t>
  </si>
  <si>
    <t xml:space="preserve">&lt;p&gt;Assuming all labels and input widgets are inside a table row you will want to adjust your code as follows:&lt;/p&gt;
&lt;pre&gt;&lt;code&gt;var tablerow = widget.parent;
var nameWidget = tablerow.descendants.name.text;
var outputWidget = tablerow.descendants.hours;
var techhours = tablerow.descendants.qty_duration.value;
if(nameWidget === 'LABOUR') {
  outputWidget.text = techhours;
} else {
  outputWidget.text = null;
}
&lt;/code&gt;&lt;/pre&gt;
&lt;p&gt;By using widget.parent in the onValueChange event of the dropdown you will automatically reference the table row and then by using descendants you are referencing only the descendants of that table row. This will bridge the error by using an absolute reference when using table rows. If it still doesn't work let me know.&lt;/p&gt;
</t>
  </si>
  <si>
    <t xml:space="preserve">&lt;p&gt;In my application I have used a slider with maximum value of 100.&lt;/p&gt;
&lt;p&gt;When I made the application to fit in whole screen it is getting stretched and  slider is also getting stretched. &lt;/p&gt;
&lt;p&gt;Slider image: &lt;/p&gt;
&lt;p&gt;&lt;img src="https://i.stack.imgur.com/MbN5i.jpg" alt="Slider image"&gt;&lt;/p&gt;
&lt;p&gt;How can I remove the extra line which is circled in the image.&lt;/p&gt;
</t>
  </si>
  <si>
    <t xml:space="preserve">&lt;p&gt;Can I scroll custom popups in Google App-Maker when the popup height is larger than the screen size.&lt;/p&gt;
</t>
  </si>
  <si>
    <t xml:space="preserve">&lt;p&gt;Try giving static hight of around 500 and overflow: auto to the popup.&lt;/p&gt;
</t>
  </si>
  <si>
    <t xml:space="preserve">&lt;p&gt;I have a requirement where I need to maintain records of data in database table via SharePoint, provide powerapp or other solution based interface so that I could do the following+&lt;/p&gt;
&lt;ol&gt;
&lt;li&gt;Add, Update or Edit the Package records.&lt;/li&gt;
&lt;li&gt;Pick desired records and create Parent to group them. &lt;/li&gt;
&lt;/ol&gt;
&lt;p&gt;I heard that above mentioned grouping desired records ( building parent child ) relation is not supported in SharePoint either OOTB or Custom approach? &lt;/p&gt;
&lt;p&gt;Request suggestion or direction that could be taken, if anyone has done something similiar. &lt;/p&gt;
</t>
  </si>
  <si>
    <t xml:space="preserve">&lt;p&gt;I want to create a visibility binding on an image. This image should show when a comma separated string from a calculated model contains a certain value.&lt;/p&gt;
&lt;p&gt;The values to be checked could be: "Apple, Pear, Banana". Now I wanna set the visibility of the image to true if the string contains "Pear".&lt;/p&gt;
&lt;p&gt;What I can do is:&lt;/p&gt;
&lt;p&gt;&lt;code&gt;@datasource.item.Fruits === "Pear" ? true : false;&lt;/code&gt;&lt;/p&gt;
&lt;p&gt;The problem is that this will only trigger if the value is exactly "Pear" but not if there are multiple values.&lt;/p&gt;
&lt;p&gt;I could try to include every possible combination in the binding but that seems to be a little bit overkill.&lt;/p&gt;
&lt;p&gt;Anyone an idea to solve this?&lt;/p&gt;
&lt;p&gt;Thanks &lt;/p&gt;
</t>
  </si>
  <si>
    <t xml:space="preserve">&lt;p&gt;First you will want to convert your comma separated string to an array by using the JavaScript split function, then you will want to use the JS indexOf function to look for your value inside this array. The result will be a binding that looks like this:&lt;/p&gt;
&lt;pre&gt;&lt;code&gt;(@datasource.item.Fruits).split(‘,’).indexOf(‘Pear’) &amp;gt; -1
&lt;/code&gt;&lt;/pre&gt;
&lt;p&gt;Make sure you include the () around the datasource item binding otherwise you can’t use the JS functions on it.&lt;/p&gt;
</t>
  </si>
  <si>
    <t xml:space="preserve">&lt;p&gt;I need to implement GraphQL access for a third party (Zoho subscription) that has a certain webhook implementation I can not change.
The call-authentication mechanism consists of arranging parts of a request (query string and body) into a certain string, calculate a hash value using a certain algorithm, and verifying that against the value provided in a call header.
When implementing it in GQL&lt;/p&gt;
&lt;ul&gt;
&lt;li&gt;I know how to access header values.&lt;/li&gt;
&lt;li&gt;I don't know how to access request properties like URL query string or body in a string form. Web search didn't come up with anything useful.&lt;/li&gt;
&lt;/ul&gt;
&lt;p&gt;Anyone know whether accessing the request object properties in GQL is possible? Any links?&lt;/p&gt;
</t>
  </si>
  <si>
    <t xml:space="preserve">&lt;p&gt;I would like to create an app in MS Poer apps.
I already have a web application. I want that web application to be created in power apps.
Do I have to create the same functionality from scratch or I can re-use the my already created web application by importing the functionality and UI to power bi.&lt;/p&gt;
&lt;p&gt;And suggestions here?&lt;/p&gt;
&lt;p&gt;Thx&lt;/p&gt;
</t>
  </si>
  <si>
    <t xml:space="preserve">&lt;p&gt;I want to have a password input as simple as the HTML regular type="password" input (i.e., 
&lt;code&gt;&amp;lt;input type="password" id="password_field"&amp;gt;&lt;/code&gt;). Are there any built in styles (maybe like 'required') that does that? If not how can I have an obfuscated text field?&lt;/p&gt;
&lt;p&gt;I was thinking perhaps I could use the HTML widget and add it there but I am not sure how to access the input's value within the HTML widget. I can imagine it can be done with jQuery, but I do not want to use it.&lt;/p&gt;
</t>
  </si>
  <si>
    <t xml:space="preserve">&lt;p&gt;Code inside the &lt;strong&gt;onAttach&lt;/strong&gt; event handler of your TextBox widget:&lt;/p&gt;
&lt;pre&gt;&lt;code&gt;widget.getElement().children[1].setAttribute("type", "password");
widget.getElement().children[1].setAttribute("id", "password_field");
&lt;/code&gt;&lt;/pre&gt;
</t>
  </si>
  <si>
    <t xml:space="preserve">&lt;p&gt;Short version: &lt;strong&gt;How can I load all the available options for a Managed Metadata field in PowerApps?&lt;/strong&gt;&lt;/p&gt;
&lt;p&gt;Long version:&lt;/p&gt;
&lt;p&gt;I have a PowerApps app that is working properly, but the users want to be able to add data while offline and for it to sync back when online again. There are some pages in the official PowerApps site about how to do that with collections and functions like &lt;code&gt;SaveData()&lt;/code&gt; and &lt;code&gt;LoadData()&lt;/code&gt; (I have included some links below for reference, in case someone needs), but I am facing some issues with some "special" fields.&lt;/p&gt;
&lt;p&gt;For the Lookup columns, I am trying to load a collection with all the values when online to use as cache when offline, then &lt;code&gt;Patch()&lt;/code&gt; the values in the item, it seems to work OK based on just a few tests (if you ignore the fact that users might delete the item in the referenced list while offline).&lt;/p&gt;
&lt;p&gt;I was trying to do the same for the &lt;strong&gt;Managed Metadata columns&lt;/strong&gt;, to load all the values and deal with a complex &lt;code&gt;Patch()&lt;/code&gt; later, but &lt;strong&gt;it seems that the functions are limited at working with just the 20 first items&lt;/strong&gt;. So something like &lt;code&gt;ClearCollect(MyCollection, Choices(ListName.ColumnName))&lt;/code&gt; doesn't work as &lt;code&gt;Choices()&lt;/code&gt; are not getting all the values. Even the &lt;code&gt;Filter()&lt;/code&gt; function is executing the filter considering only the first 20 items.&lt;/p&gt;
&lt;p&gt;&lt;strong&gt;Is there any way around the imposed limitations or any way to overcome/change the limits? Am I missing another way to do this in PowerApps?&lt;/strong&gt;&lt;/p&gt;
&lt;hr&gt;
&lt;p&gt;Links for reference about how to make an app work while offline:&lt;/p&gt;
&lt;ul&gt;
&lt;li&gt;&lt;a href="https://powerapps.microsoft.com/de-de/blog/build-offline-apps-with-new-powerapps-capabilities/" rel="nofollow noreferrer"&gt;https://powerapps.microsoft.com/de-de/blog/build-offline-apps-with-new-powerapps-capabilities/&lt;/a&gt;&lt;/li&gt;
&lt;li&gt;&lt;a href="https://powerapps.microsoft.com/en-us/blog/implementing-offline-capability-in-your-app/" rel="nofollow noreferrer"&gt;https://powerapps.microsoft.com/en-us/blog/implementing-offline-capability-in-your-app/&lt;/a&gt;&lt;/li&gt;
&lt;/ul&gt;
</t>
  </si>
  <si>
    <t xml:space="preserve">&lt;p&gt;I am creating a library app and i am using the grid widget to display the books. At the bottom there is a singular grid cell. Is there a way to make it an even amount of cells in a row?&lt;a href="https://i.stack.imgur.com/k4rHA.png" rel="nofollow noreferrer"&gt;&lt;img src="https://i.stack.imgur.com/k4rHA.png" alt="enter image description here"&gt;&lt;/a&gt;&lt;/p&gt;
</t>
  </si>
  <si>
    <t xml:space="preserve">&lt;p&gt;I'm trying to add a chat widget to a WordPress site and have Cloudflare installed.
To add this chat widget I downloaded the Zoho SalesIQ plugin, and it says "Just paste the SalesIQ code snippet here." A javascript code. but when I try to do that I get blocked from the site by Cloudflare.&lt;/p&gt;
&lt;p&gt;Is there a way to add this js code snippet to the chat plugin without being blocked?   &lt;/p&gt;
&lt;p&gt;&lt;a href="https://i.stack.imgur.com/00yKO.png" rel="nofollow noreferrer"&gt;enter image description here&lt;/a&gt;&lt;/p&gt;
&lt;p&gt;&lt;a href="https://i.stack.imgur.com/58D2j.png" rel="nofollow noreferrer"&gt;enter image description here&lt;/a&gt;&lt;/p&gt;
</t>
  </si>
  <si>
    <t xml:space="preserve">&lt;p&gt;When building a custom connector from powerapps/powerautomate to the Project Server API where can I find out what the OAuth settings should be? Settings include:&lt;/p&gt;
&lt;ul&gt;
&lt;li&gt;Identity Provider &lt;/li&gt;
&lt;li&gt;Client id &lt;/li&gt;
&lt;li&gt;Client secret &lt;/li&gt;
&lt;li&gt;Login URL &lt;/li&gt;
&lt;li&gt;Tenant ID&lt;/li&gt;
&lt;li&gt;Resource URL &lt;/li&gt;
&lt;li&gt;Scope &lt;/li&gt;
&lt;li&gt;Redirect URL&lt;/li&gt;
&lt;/ul&gt;
&lt;p&gt;I have full admin rights to SharePoint, project online, and Azure-AD; I just don't know what those mean or where to find them and an hour of googling has me no closer to the answer. Can someone point me in the right direction?&lt;/p&gt;
</t>
  </si>
  <si>
    <t xml:space="preserve">&lt;p&gt;We have a small team of developpers and designers working on a same project. Our designers are willing to feed us pure HTML5 files and we, Salesforce developpers, need to convert that to the new Lightning Web Components : &lt;a href="https://lwc.dev/" rel="nofollow noreferrer"&gt;see&lt;/a&gt;. So we are looking for an effective and fast way to do that.&lt;/p&gt;
&lt;p&gt;Is there any solution ? Knowing that the HTML files are quite complex and generated from Adobe InDesign projects. The best solution would be an automatic way to do that.&lt;/p&gt;
&lt;p&gt;Thank you,&lt;/p&gt;
</t>
  </si>
  <si>
    <t xml:space="preserve">&lt;p&gt;I want to ask a user for confirmation upon clicking submit on a form. I am not sure what tools to use to implement the logic.&lt;/p&gt;
&lt;p&gt;I thought this would be possible with showDialog's callback even though I wasn't sure how to communicate the "ok" and "cancel" signals, in any case it turns out that the success callback is called as soon as the dialog displays (maybe on attach or otherwise). So I am not sure how to have some clean logic that does the confirmation.&lt;/p&gt;
&lt;p&gt;In more details, the goal is to upon submission prepare lots of data for the item/record creation, then present a summary to the user and ask for confirmation. What I hoped to achieve was to have after data preparation a call to a dialog that will halt the execution at that call and return with confirmation or denial at which point the record will be created or not.&lt;/p&gt;
&lt;p&gt;One way I see how the confirmation can be done is to send all the data to the dialog page which in turn will create the record upon confirmation. But this seems unnecessary, non-reusable and honestly tedious, so is there a better way of making a confirmation dialog?&lt;/p&gt;
</t>
  </si>
  <si>
    <t xml:space="preserve">&lt;p&gt;Your form and the confirmation dialog should both have the same datasource, i.e. the create datasource should be same for both. Once you have this set up, you bind the values to labels/textboxes inside the dialog. Then, all you have to do is to create the item on the dialog's OK button or just close the dialog on the dialog's CANCEL button.&lt;/p&gt;
</t>
  </si>
  <si>
    <t xml:space="preserve">&lt;p&gt;I am using sf2hadoop.jar library for exporting data from salesforce to hadoop.&lt;/p&gt;
&lt;p&gt;I am using the below command for the same.&lt;/p&gt;
&lt;pre&gt;&lt;code&gt;sudo java -jar /root/Downloads/sf2hadoop/sf2hadoop.jar init -u myUserName -p myPassword -b hdfs://hdfsIP:8080/user/admin/salesforce -w /root/Downloads/enterprise.wsdl -s hdfs://hdfsIP:8080/user/admin/salesforce/statefile opportunity
&lt;/code&gt;&lt;/pre&gt;
&lt;p&gt;We are getting the below error:&lt;/p&gt;
&lt;blockquote&gt;
  &lt;blockquote&gt;
    &lt;p&gt;Exception in thread "main" [LoginFault [ApiFault  exceptionCode='INVALID_LOGIN'
     exceptionMessage='Invalid username, user not active' ]]&lt;/p&gt;
  &lt;/blockquote&gt;
&lt;/blockquote&gt;
&lt;p&gt;Need help in above issue.&lt;/p&gt;
&lt;p&gt;Here is link for the same &lt;a href="https://github.com/datadudes/salesforce2hadoop" rel="nofollow noreferrer"&gt;https://github.com/datadudes/salesforce2hadoop&lt;/a&gt;&lt;/p&gt;
&lt;p&gt;When i access the salesforce URL with same credentials through browser..it allows me..anything i am missing here ?&lt;/p&gt;
</t>
  </si>
  <si>
    <t xml:space="preserve">&lt;p&gt;We have multiple cases which have type set as question in our salesforce service cloud community, but when we go to topic detail page in out community, Questions with respective topics are not listed.&lt;/p&gt;
&lt;p&gt;Not listing questions:&lt;/p&gt;
&lt;p&gt;&lt;img src="https://i.stack.imgur.com/JetYg.png" alt="Not listing questions"&gt;&lt;/p&gt;
&lt;p&gt;Can anyone please help me figure out the issue?
Thanks&lt;/p&gt;
</t>
  </si>
  <si>
    <t xml:space="preserve">&lt;p&gt;Is there a way to attach every person image from Sharepoint list connected with Ms Flow. The flow I trigger will need send a "Welcome on board message" including with the person image and send it to Kaizala, Email &amp;amp; Ms Team.&lt;/p&gt;
</t>
  </si>
  <si>
    <t xml:space="preserve">&lt;p&gt;&lt;strong&gt;Power &lt;code&gt;Exist()&lt;/code&gt; Function issue&lt;/strong&gt;
Need close tab on button click but. &lt;/p&gt;
&lt;p&gt;It's working but the behaviour of the &lt;code&gt;exist()&lt;/code&gt; function does not work as expected. &lt;code&gt;exist()&lt;/code&gt; launches another Dynamic 365 Tab, but I need to close the App Tab.&lt;/p&gt;
</t>
  </si>
  <si>
    <t xml:space="preserve">&lt;p&gt;I want to retrieve zoho mail inbox mails. 
I used  the Api &lt;/p&gt;
&lt;pre&gt;&lt;code&gt;https:// accounts.zoho.in/oauth/v2/auth ? scope=scope&amp;amp;client_id=client_id&amp;amp;response_type=code&amp;amp;access_type=offline or online&amp;amp;redirect_uri=redirect_uri
&lt;/code&gt;&lt;/pre&gt;
&lt;ul&gt;
&lt;li&gt;it gives a CODE.&lt;/li&gt;
&lt;/ul&gt;
&lt;p&gt;Now using the CODE in Api&lt;/p&gt;
&lt;pre&gt;&lt;code&gt;https://accounts.zoho.in/oauth/v2/token
 ? code=1000.*****f160
&amp;amp;grant_type=authorization_code
&amp;amp;client_id=1000.R2Z0W*****Q5EN
&amp;amp;client_secret=39c****921b
&amp;amp;redirect_uri=https://zylkerapps.com/oauth2callback
&amp;amp;scope=ZohoMail.folders.READ
&lt;/code&gt;&lt;/pre&gt;
&lt;p&gt;,
 I got access token.&lt;/p&gt;
&lt;p&gt;Now, using the Api&lt;/p&gt;
&lt;pre&gt;&lt;code&gt;GET
HOST: https://accounts.zoho.in/
Header:
Authorization= Zoho-oauthtoken  access token
&lt;/code&gt;&lt;/pre&gt;
&lt;p&gt;,
got fuid. &lt;/p&gt;
&lt;p&gt;In the documentation it is written that using the api
&lt;a href="http://mail.zoho.in/api/accounts" rel="nofollow noreferrer"&gt;http://mail.zoho.in/api/accounts&lt;/a&gt; gives account_id.&lt;/p&gt;
&lt;p&gt;I have used the Access_Token in the API
&lt;a href="http://mail.zoho.in/api/accounts" rel="nofollow noreferrer"&gt;http://mail.zoho.in/api/accounts&lt;/a&gt;
as header and as parameter also.But it is giving invalid input error.&lt;/p&gt;
&lt;p&gt;So can anyone help me with this error and how to retrieve the account_id and ZOHO inbox mail?&lt;/p&gt;
</t>
  </si>
  <si>
    <t xml:space="preserve">&lt;p&gt;I am a beginner with Google App maker. I want a custom calendar event similar to 'outOfOffice'/AppointmentSlots'. I used the tasks add on there is a new event type called 'Task' appearing when I try to create an event. &lt;a href="https://i.stack.imgur.com/xjVPh.png" rel="nofollow noreferrer"&gt;&lt;img src="https://i.stack.imgur.com/xjVPh.png" alt="enter image description here"&gt;&lt;/a&gt;&lt;/p&gt;
&lt;p&gt;Also, There are new interactions with a task event type&lt;/p&gt;
&lt;p&gt;&lt;a href="https://i.stack.imgur.com/RE8yb.png" rel="nofollow noreferrer"&gt;&lt;img src="https://i.stack.imgur.com/RE8yb.png" alt="enter image description here"&gt;&lt;/a&gt;&lt;/p&gt;
&lt;p&gt;I would like to create a new event type similar to tasks and new interactions when the event is clicked on. I am hoping that AppMaker would help me achive this. I did not find any api support in Google calendar for creating a new event type. Please advise&lt;/p&gt;
</t>
  </si>
  <si>
    <t xml:space="preserve">&lt;p&gt;I'm writing a lightning web component in which I have to assign a &lt;code&gt;&amp;lt;datalist&amp;gt;&lt;/code&gt; element to one of my &lt;code&gt;&amp;lt;input&amp;gt;&lt;/code&gt; elements' &lt;code&gt;list&lt;/code&gt; property, in order to bind them.&lt;/p&gt;
&lt;p&gt;For some reason, this JS line:&lt;/p&gt;
&lt;pre&gt;&lt;code&gt;const streetsListId = this.template.querySelector('streetdatalist').id;
&lt;/code&gt;&lt;/pre&gt;
&lt;p&gt;Throws this JS error message:&lt;/p&gt;
&lt;blockquote&gt;
  &lt;p&gt;Cannot read property 'id' of null&lt;/p&gt;
&lt;/blockquote&gt;
&lt;p&gt;&lt;strong&gt;Web component HTML:&lt;/strong&gt;&lt;/p&gt;
&lt;pre&gt;&lt;code&gt;&amp;lt;template&amp;gt;
    &amp;lt;div class="container"&amp;gt;
        &amp;lt;input  id="inputstreet"
                name="inputstreet"
                type="text"
                list="streetdatalist"
                label="Search"
                onkeydown={onStreetChange}
                onblur={onStreetChange} /&amp;gt;
        &amp;lt;datalist id="streetdatalist"&amp;gt;
             &amp;lt;template for:each={streets} for:item='street'&amp;gt;
                 &amp;lt;option key={city.cityCode}&amp;gt;{city.cityName}&amp;lt;/option&amp;gt;
             &amp;lt;/template&amp;gt;
        &amp;lt;/datalist&amp;gt;
    &amp;lt;/div&amp;gt;
&amp;lt;/template&amp;gt;
&lt;/code&gt;&lt;/pre&gt;
&lt;p&gt;&lt;strong&gt;Web component JS:&lt;/strong&gt;&lt;/p&gt;
&lt;pre&gt;&lt;code&gt;renderedCallback() {
    if (this.initialized) {
        return;
    }
    this.initialized = true;
    const streetsListId = this.template.querySelector('streetdatalist').id;
    this.template.querySelector('inputstreet').setAttribute('list', streetsListId);
}
&lt;/code&gt;&lt;/pre&gt;
</t>
  </si>
  <si>
    <t xml:space="preserve">&lt;p&gt;Going to ask two questions at once if I may:&lt;/p&gt;
&lt;ol&gt;
&lt;li&gt;&lt;p&gt;How can I preload a page before it's attached? For example, having page 1 as homepage, and another page 2, each of them with their own Datasource. How can I make it so all the Datasources / widgets are loaded on page 2, without actually going into it? (I want to do this because some pages are not commonly used on my app, but when you go to them for the first time you get an awkward wait to load the Datasources). &lt;/p&gt;&lt;/li&gt;
&lt;li&gt;&lt;p&gt;About styling with CSS a checkbox. App Maker hands us the 'Slider' CheckboxStyle. How can I style the slider inside that checkbox? I tried looking at various CSS reference and couldn't change slider color from blue to white when it's corresponding data is true.&lt;/p&gt;&lt;/li&gt;
&lt;/ol&gt;
</t>
  </si>
  <si>
    <t xml:space="preserve">&lt;p&gt;To answer your first question, you may preload a page datasource by using the app startup script. Basically the loader needs to be paused, then the datasources loaded and finally resume the loader. To achieve that, in your app go to &lt;strong&gt;Settings -&gt; App Settings -&gt; App startup script&lt;/strong&gt;, and add the following:&lt;/p&gt;
&lt;pre&gt;&lt;code&gt;loader.suspendLoad();
app.datasources.MYDATASOURCEONE.load();
app.datasources.MYDATASOURCETWO.load(function(){
    loader.resumeLoad();
});
&lt;/code&gt;&lt;/pre&gt;
&lt;p&gt;To answer your second question, you may want to use the following CSS or something similar to achieve what you need:&lt;/p&gt;
&lt;pre&gt;&lt;code&gt;/* Changes the slider color when the value is false*/
.customCheckbox&amp;gt;input:not(checked){
  background-color: red; //apply color here
}
/* Changes the slider color when the value is true */
.customCheckbox&amp;gt;input:checked{
  background-color: blue
}
/* Changes the slider round button color when the value is false */
.customCheckbox&amp;gt;label:after{
  background-color: orange;
}
/* Changes the slider round button color when the value is true */
.customCheckbox&amp;gt;input:checked+label:after{
  background-color: green;
}
&lt;/code&gt;&lt;/pre&gt;
&lt;p&gt;Then all you have to do is apply the &lt;strong&gt;customCheckbox&lt;/strong&gt; style to the widget list of styles in the Property Editor.&lt;/p&gt;
&lt;p&gt;References:&lt;br&gt;
 - &lt;a href="https://developers.google.com/appmaker/settings#app_start" rel="nofollow noreferrer"&gt;https://developers.google.com/appmaker/settings#app_start&lt;/a&gt;&lt;br&gt;
 - &lt;a href="https://developers.google.com/appmaker/ui/styles#extra_styles_with_the_styles_property" rel="nofollow noreferrer"&gt;https://developers.google.com/appmaker/ui/styles#extra_styles_with_the_styles_property&lt;/a&gt;&lt;/p&gt;
</t>
  </si>
  <si>
    <t xml:space="preserve">&lt;p&gt;I'm evaluating PowerApps for our company and am attempting to create a sample Portal application. I've uploaded a couple of images (created a web file and added the image as a note attachment per the documentation) and updated the theme.css file. &lt;/p&gt;
&lt;p&gt;Occasionally in the editor the images/style will load correctly but I cannot get them to load when the portal site is viewed in a browser. I've tried Chrome, Firefox, and Edge, all with the same result. The default images that are created with the portal work.&lt;/p&gt;
&lt;p&gt;I get a 404 for each of the images and a 500 for the theme.css.&lt;/p&gt;
&lt;p&gt;I have uploaded other images and they work, I've tried both PNG and JPG. &lt;/p&gt;
&lt;p&gt;I'm looking for some suggestions on what else to look at to troubleshoot this problem. Thanks in advance. &lt;/p&gt;
</t>
  </si>
  <si>
    <t xml:space="preserve">&lt;p&gt;I'm trying to get a Cloud SQL database connected to Google App Maker. I've followed the step by step instructions found here: &lt;a href="https://developers.google.com/appmaker/models/cloudsql" rel="nofollow noreferrer"&gt;https://developers.google.com/appmaker/models/cloudsql&lt;/a&gt;, apparently successfully (no error messages in setup.)&lt;/p&gt;
&lt;p&gt;But, still getting the error message that it isn't set up properly, and the instance name is incorrect. :/&lt;/p&gt;
&lt;p&gt;What. in the world.&lt;/p&gt;
&lt;p&gt;Also, when I go back into App Maker and click on settings, I do not get a "database" option to select.&lt;/p&gt;
&lt;p&gt;How do I proceed??&lt;/p&gt;
</t>
  </si>
  <si>
    <t xml:space="preserve">&lt;p&gt;Is there any way to make Incremental/Partial Deployment using SalesforceDX. So that only the components that are changed are deployed, instead of a full build?&lt;/p&gt;
</t>
  </si>
  <si>
    <t xml:space="preserve">&lt;p&gt;Is there any way where you can the list views in custom component with SHARING SETTING enforced using apex ?&lt;/p&gt;
</t>
  </si>
  <si>
    <t xml:space="preserve">&lt;p&gt;I have a data form where I want one button to be able to add multiple rows of data to a SharPoint List. The list looks like this:&lt;/p&gt;
&lt;pre&gt;&lt;code&gt;Batch | Part | Date | Time | Test | Result 
&lt;/code&gt;&lt;/pre&gt;
&lt;p&gt;The issue is that there 5 tests per Batch and Part combination. I want one input field for the Batch, Part, Date, and Time. Then I want 5 fields for the Test Number and 5 fields for the results. Once clicking the Submit button, the data would like like this:&lt;/p&gt;
&lt;pre&gt;&lt;code&gt;Batch | Part | Date   | Time | Test | Result
1       1      1/1/19   30      1      10
1       1      1/1/19   30      2      11
1       1      1/1/19   30      3      10
1       1      1/1/19   30      4      15
1       1      1/1/19   30      5      19
&lt;/code&gt;&lt;/pre&gt;
&lt;p&gt;I know I can have the user put in the Test and Result, Submit, and then only reset those fields. I would like to be able to Submit all data at once instead of needing to press Submit 5 times. &lt;/p&gt;
</t>
  </si>
  <si>
    <t xml:space="preserve">&lt;p&gt;I have web application on the domain like &lt;code&gt;apps.mycompanydomanin.com&lt;/code&gt;.&lt;/p&gt;
&lt;p&gt;Now I want this app to use in Dynamics CRM 365 .
I want following steps.&lt;/p&gt;
&lt;p&gt;1) The way to publish my web app as an app in APPSource&lt;/p&gt;
&lt;p&gt;2) Anyone can install this app from app source to Dynamics CRM 365&lt;/p&gt;
&lt;p&gt;3) Now this installed app will show under dashboards as an Iframe component. source of iframe will be url of my web application that is &lt;code&gt;apps.mycompanydomanin.com&lt;/code&gt;&lt;/p&gt;
&lt;p&gt;Any one can help here?&lt;/p&gt;
</t>
  </si>
  <si>
    <t xml:space="preserve">&lt;p&gt;I've been training Lightning Components by myself and I'm creating a modal that shows the user a video. The user has the option to tick a checkbox which prevents the modal to show up again. My question is: how can I change the value from an object (from false to trye) when the user clicks this checkbox?&lt;/p&gt;
&lt;p&gt;&lt;div class="snippet" data-lang="js" data-hide="false" data-console="true" data-babel="false"&gt;
&lt;div class="snippet-code"&gt;
&lt;pre class="snippet-code-js lang-js prettyprint-override"&gt;&lt;code&gt;Controller
({
    openModal: function (component, event, helper) {
        helper.getUser(component);
    },
    closeButton: function (component) {
        component.set("v.modal", false);
    },
    saveCheckboxChoice: function (component, event) {
        var isChecked = component.find("checkbox");
        var result = isChecked.get("v.value");
        if (result == true) {
            var userId = $A.get("$SObjectType.CurrentUser.Id");
            //component.set(userId.user.Modal__c, true);
            alert('User ID is: ' + userId);
        }
    },    
})&lt;/code&gt;&lt;/pre&gt;
&lt;pre class="snippet-code-css lang-css prettyprint-override"&gt;&lt;code&gt;Helper
({
    getUser: function (component) {
        component.set("v.modal", true);
        var act = component.get("c.apexController");
        act.setCallback(this, function (a) {
            component.set("v.userList", a.getReturnValue());
        });
    $A.enqueueAction(act);
    }
})
Apex Controller
public with sharing class apexController {
    @AuraEnabled
    public static List&amp;lt;User&amp;gt; apexController() {
        List&amp;lt;User&amp;gt; result = [SELECT Name, Modal__c FROM User WHERE ID=:userInfo.getUserId()];
        return result;
    }
}&lt;/code&gt;&lt;/pre&gt;
&lt;pre class="snippet-code-html lang-html prettyprint-override"&gt;&lt;code&gt;Component
&amp;lt;aura:component implements="flexipage:availableForAllPageTypes" access="global" controller="apexController"&amp;gt;
    &amp;lt;aura:handler name="init" action="{!c.openModal}" value="{!this}" /&amp;gt;
    &amp;lt;aura:attribute name="modal" type="boolean" default="true" /&amp;gt;
    &amp;lt;aura:attribute name="value" type="boolean" default="false" /&amp;gt;
    &amp;lt;aura:attribute name="userList" type="list" /&amp;gt;
    &amp;lt;!-- Defines if the modal will be shown --&amp;gt;
    &amp;lt;aura:if isTrue="{!v.modal}"&amp;gt;
        &amp;lt;!-- Start --&amp;gt;
        &amp;lt;section role="dialog" class="slds-modal slds-fade-in-open"&amp;gt;
            &amp;lt;div class="slds-modal__container"&amp;gt;
                &amp;lt;!-- Modal Header --&amp;gt;
                &amp;lt;header class="slds-modal__header"&amp;gt;
                    &amp;lt;h2 class="slds-text-heading_medium slds-hyphenate"&amp;gt; {!$Label.c.welcomeLabel} &amp;lt;/h2&amp;gt;
                    &amp;lt;br /&amp;gt;
                    &amp;lt;p&amp;gt; {!$Label.c.customLabel} &amp;lt;/p&amp;gt;
                &amp;lt;/header&amp;gt;
                &amp;lt;!-- Modal Body --&amp;gt;
                &amp;lt;div class="slds-modal__content slds-p-around_medium"&amp;gt;
                    &amp;lt;section class="slds-align_absolute-center" style="height:auto"&amp;gt;
                        &amp;lt;!-- &amp;lt;img src="ltm.jpg"&amp;gt; --&amp;gt;
                        &amp;lt;iframe width="560" height="315" src="https://www.youtube.com/embed/qxJU4PYuNP0"
                            allowfullscreen="true"&amp;gt;&amp;lt;/iframe&amp;gt;
                    &amp;lt;/section&amp;gt;
                &amp;lt;/div&amp;gt;
                &amp;lt;table class="slds-table slds-table_bordered slds-table_cell-buffer"&amp;gt;
                    &amp;lt;tr&amp;gt;
                        &amp;lt;th&amp;gt;Name of the User &amp;lt;/th&amp;gt;
                        &amp;lt;th&amp;gt;Modal Permission &amp;lt;/th&amp;gt;
                    &amp;lt;/tr&amp;gt;
                    &amp;lt;aura:iteration items="{!v.userList}" var="prd"&amp;gt;
                        &amp;lt;tr&amp;gt;
                            &amp;lt;td&amp;gt;
                                {!prd.Name}
                            &amp;lt;/td&amp;gt;
                            &amp;lt;td&amp;gt;{!prd.Modal__c} &amp;lt;/td&amp;gt;
                        &amp;lt;/tr&amp;gt;
                    &amp;lt;/aura:iteration&amp;gt;
                &amp;lt;/table&amp;gt;
                &amp;lt;!-- Modal Footer --&amp;gt;
                &amp;lt;footer class="slds-modal__footer"&amp;gt;
                    &amp;lt;lightning:button variant="brand" label="Fechar" onclick="{!c.closeButton}" /&amp;gt;
                    &amp;lt;div class="slds-form-element"&amp;gt;
                        &amp;lt;div class="slds-form-element__control"&amp;gt;
                            &amp;lt;div&amp;gt;
                                &amp;lt;ui:inputCheckbox class="myCheckbox" aura:id="checkbox" change="{!c.saveCheckboxChoice}"
                                    label="Não desejo ver esse vídeo novamente" /&amp;gt;
                            &amp;lt;/div&amp;gt;
                        &amp;lt;/div&amp;gt;
                    &amp;lt;/div&amp;gt;
                &amp;lt;/footer&amp;gt;
            &amp;lt;/div&amp;gt;
        &amp;lt;/section&amp;gt;
        &amp;lt;div class="slds-backdrop slds-backdrop_open"&amp;gt;&amp;lt;/div&amp;gt;
    &amp;lt;/aura:if&amp;gt;
&amp;lt;/aura:component&amp;gt;&lt;/code&gt;&lt;/pre&gt;
&lt;/div&gt;
&lt;/div&gt;
&lt;/p&gt;
</t>
  </si>
  <si>
    <t xml:space="preserve">&lt;p&gt;This is turning out to be harder than I expected. If I want a radio group that just has static options (Yes, No), how do I set that up through the App Maker UI?&lt;/p&gt;
</t>
  </si>
  <si>
    <t xml:space="preserve">&lt;p&gt;Presumably this should work for you. In the options binding do the following:&lt;/p&gt;
&lt;pre&gt;&lt;code&gt;['Yes','No']
&lt;/code&gt;&lt;/pre&gt;
&lt;p&gt;Then also make sure that you deselect the 'Allow null' setting so that your only options are yes or no. Alternatively if your options widget is linked to a datasource field and you only want yes or no as options, then in your model field settings expand the 'advanced' option and find your possible values section and enter Yes and then No and then set the options binding to:&lt;/p&gt;
&lt;pre&gt;&lt;code&gt;@models.YourModel.fields.YourField.PossibleValues
&lt;/code&gt;&lt;/pre&gt;
</t>
  </si>
  <si>
    <t xml:space="preserve">&lt;p&gt;Issue is reading information schema from MySql ... too slow:&lt;/p&gt;
&lt;p&gt;Steps:&lt;/p&gt;
&lt;pre&gt;&lt;code&gt;1. MySql dump created manually by scripting all objects from existing
   MySql db which is on AWS. (MySql Version 5.7)
2. Restored dump file on to Azure MySql (Version 5.7)
3. Re-pointed Application (Appian) which sits on AWS to newly created MySql db on Azure.
4. When tried to validate Application (Appian) Objects (Data Stores), which reads `Information_Schema` takes too long or gets timed out.
5. But reading data from the tables are faster.
&lt;/code&gt;&lt;/pre&gt;
&lt;p&gt;As per suggestions checked &lt;strong&gt;innodb_stats_on_metadata&lt;/strong&gt;, this is set to OFF.&lt;/p&gt;
&lt;p&gt;Still no luck! Any suggestions?&lt;/p&gt;
&lt;p&gt;After bit of investigation found that the following query is the one which is slow.&lt;/p&gt;
&lt;pre&gt;&lt;code&gt;SHOW FULL TABLES FROM `database` LIKE 'xyz'
&lt;/code&gt;&lt;/pre&gt;
&lt;p&gt;Most of the time its doing is '&lt;code&gt;checking permissions&lt;/code&gt;'&lt;/p&gt;
</t>
  </si>
  <si>
    <t xml:space="preserve">&lt;p&gt;Response from Microsoft:&lt;/p&gt;
&lt;p&gt;Command  &lt;code&gt;show full tables&lt;/code&gt; on Azure MySQL 5.7 is slower than expected after confirmed with product engineering. Per test, it will take 800ms to complete when only 1 connection thread with 1500 tables, response time will be increased accordingly when more tables stored and parallel connections come. &lt;/p&gt;
&lt;p&gt;Regarding to this issue, there are 2 possible ways we could try right now:&lt;/p&gt;
&lt;ol&gt;
&lt;li&gt;&lt;p&gt;Keep using MySQL 5.7, next release (The end of Jan,2020)will mitigate this issue by reducing response time to 50ms with 1500 tables, 1 thread.&lt;/p&gt;&lt;/li&gt;
&lt;li&gt;&lt;p&gt;Switch to MySQL 8.0 version as 8.0 doesn’t have operation like “list all of directories” when running &lt;code&gt;show full tables&lt;/code&gt;. Currently 8.0 is in publish preview, the tentative GA is the end of Jan, 2020 as well.&lt;/p&gt;&lt;/li&gt;
&lt;/ol&gt;
</t>
  </si>
  <si>
    <t xml:space="preserve">&lt;p&gt;Please see the attached image of the app. I have a data table that views the data when the user selects something on a power BI report. I want to get the data from the contact id column and the data from the text fields(subject,description) into a collection when the button is clicked. I have the following code in the button but it does not work. The contact id is not getting added to the collection.&lt;/p&gt;
&lt;p&gt;&lt;a href="https://i.stack.imgur.com/3M9gb.jpg" rel="nofollow noreferrer"&gt;&lt;img src="https://i.stack.imgur.com/3M9gb.jpg" alt="enter image description here"&gt;&lt;/a&gt;&lt;/p&gt;
&lt;pre&gt;&lt;code&gt;Collect(
DVdetails,
 {
 Subject: I_Subject.Text,
 Description: I_Description.Text,
 MyContactID: ContactID_Column3.Text
 }
 )
&lt;/code&gt;&lt;/pre&gt;
&lt;p&gt;I want the collection as:&lt;/p&gt;
&lt;pre&gt;&lt;code&gt; ContactID  Subject Description
 FF388...   ddd dd
 FF413...   ddd dd
&lt;/code&gt;&lt;/pre&gt;
</t>
  </si>
  <si>
    <t xml:space="preserve">&lt;p&gt;I am busy creating my first power app and have hit a snag when trying to filter a gallery (SharePoint Linked) based on multiple values. I have three formulas for now as follows:&lt;/p&gt;
&lt;pre&gt;&lt;code&gt;Filter([@'Demo Stock']; StartsWith('Part Number'; txt_ItemSearch.Text)
Filter('Demo Stock';Warehouse.Value=WarehouseFilter.SelectedText.Value)
Filter('Demo Stock';'Item Status'.Value="Available")
&lt;/code&gt;&lt;/pre&gt;
&lt;p&gt;Each of these work independently. What would the syntax be to use all of these filters together?&lt;/p&gt;
&lt;p&gt;This does not work:&lt;/p&gt;
&lt;pre&gt;&lt;code&gt;SortByColumns(Filter([@'Demo Stock']; StartsWith('Part Number'; txt_ItemSearch.Text);'Demo Stock';Warehouse.Value=WarehouseFilter.SelectedText.Value;'Demo Stock';'Item Status'.Value="Available");"Part Number";Ascending)
&lt;/code&gt;&lt;/pre&gt;
&lt;p&gt;Thanks,
Steven&lt;/p&gt;
</t>
  </si>
  <si>
    <t xml:space="preserve">&lt;p&gt;I am firing a custom Notification from process builder. I need that when user clicks on that notification he is taken to a specific record detail page.&lt;/p&gt;
&lt;p&gt;Right now i only get an option to have user redirected to custom notification record page which is not what is needed. Can we configure Notification in such a way that it gets redirected to a record other than the chatter notification record created for firing custom notification?&lt;/p&gt;
</t>
  </si>
  <si>
    <t xml:space="preserve">&lt;p&gt;I have a field called Role under fields in "Account Contact Relationship". I wanted to integrate this field in contacts Object fieldset. Since am new to salesforce, I don't have any idea how to do this.&lt;/p&gt;
</t>
  </si>
  <si>
    <t xml:space="preserve">&lt;p&gt;We are converting a VF Page from Classic to Lightning and this VF page called from the button in Classic  is like &lt;/p&gt;
&lt;p&gt;&lt;a href="https://i.stack.imgur.com/WucMI.jpg" rel="nofollow noreferrer"&gt;&lt;img src="https://i.stack.imgur.com/WucMI.jpg" alt="enter image description here"&gt;&lt;/a&gt;&lt;/p&gt;
&lt;p&gt;So when the button is clicked in Classic it opens the VF page in a new pop up window. I tried converting the VF page to lightning compatible but the issue is the VF Page opens in the same page &lt;/p&gt;
&lt;pre&gt;&lt;code&gt;    &amp;lt;apex:page standardController="Opportunity" extensions="Op_Pg_Ext" id="page" showHeader="false" sidebar="false" lightningStylesheets="true" &amp;gt;
     &amp;lt;apex:form id="form"&amp;gt;
     .......
   &amp;lt;/apex&amp;gt;
&lt;/code&gt;&lt;/pre&gt;
&lt;p&gt;How can I approach to resolve the issue, I am new to lightning and any suggestion helps.&lt;/p&gt;
</t>
  </si>
  <si>
    <t xml:space="preserve">&lt;p&gt;I'm trying to save data in server side script with google app maker, by using a call to mysql stored procedure.
Can it be done? if yes so how?&lt;/p&gt;
&lt;p&gt;Thx&lt;/p&gt;
</t>
  </si>
  <si>
    <t xml:space="preserve">&lt;p&gt;I am trying to use an UpdateIf function in Powerapps to update a record in Sharepoint based on two conditions. However, the second condition seems to be ignored. The function is as below:&lt;/p&gt;
&lt;pre&gt;&lt;code&gt;UpdateIf('Demo Stock';(PartNumber = ThisItem.Code &amp;amp;&amp;amp; Serial = ThisItem.Serial);{ItemStatus: "Available"})
&lt;/code&gt;&lt;/pre&gt;
&lt;p&gt;The update happens but there are multiple instances where ParNumber value is the same in the SharePoint List and all instances are being updated insted of only the one where bothe PartNumber and SerialNumber match.&lt;/p&gt;
&lt;p&gt;Any ideas why?&lt;/p&gt;
&lt;p&gt;Thanks,
Steven&lt;/p&gt;
</t>
  </si>
  <si>
    <t xml:space="preserve">&lt;p&gt;In google app-maker I have a database with a scores field of each entry. I want to use a list widget on a page and show the top 10 only. How do I do this please? Can I script the OnDataLoad event or do I create a datasource or something else?&lt;/p&gt;
</t>
  </si>
  <si>
    <t xml:space="preserve">&lt;p&gt;In Zoho crm &lt;strong&gt;getRecords&lt;/strong&gt; v1 api, to select all fields we have &lt;strong&gt;selectColumns=All&lt;/strong&gt; option. What is its equivalent in zoho v2 apis ?&lt;/p&gt;
</t>
  </si>
  <si>
    <t xml:space="preserve">&lt;p&gt;I have made a Google App Maker app based off of their PDF EMail starter and some code snippets found on this site. It works flawlessly for me in preview mode, and in its Published form.&lt;/p&gt;
&lt;p&gt;However, when my user tries to access it (published), it does not fully load. I see the red/green circle for ~1 second and then nothing further happens. I cant figure out how to see the error in Chrome.&lt;/p&gt;
&lt;p&gt;I have selected not to restrict access to the app, and entered my users email address as a User in Deployment options anyway. I have the Model set to be accessible to anyone.&lt;/p&gt;
&lt;p&gt;Any ideas? Thanks in advance.&lt;/p&gt;
</t>
  </si>
  <si>
    <t xml:space="preserve">&lt;p&gt;Does anyone experiment in creating salesforce Package.xml automatically for continuous integration? If there any script or some idea please share.&lt;/p&gt;
&lt;p&gt;You know incremental package.xml helps to deploy only the modified files rather than using complete package.xml that redeploy unmodified files as well which takes a lot of time.&lt;/p&gt;
&lt;p&gt;Thanks in advance!&lt;/p&gt;
</t>
  </si>
  <si>
    <t xml:space="preserve">&lt;p&gt;I have setup my salesforce community using customer service theme, i have also added some knowledge articles in my community. The issue i am facing is that only logged in users are able to view complete knowledge articles while guest users can only view title and summary of the article.&lt;/p&gt;
&lt;p&gt;I have tried and followed many instructions available online to show article body to guest users but can't make it work. Can anyone please help me out.&lt;/p&gt;
</t>
  </si>
  <si>
    <t xml:space="preserve">&lt;p&gt;I want to program all my text/input fields (which there are a lot of them) on a form so that only certain users can edit them. I can do this manually but this process has to be dynamic as I can change those users frequently. So is there somehow I can loop through it descendants and set the 'enabled' property to be true of false?&lt;/p&gt;
</t>
  </si>
  <si>
    <t xml:space="preserve">&lt;p&gt;I have a Aura component bundle and its Apex controller. I deploy the same to some other environment. It gives this component error 'Uncaught Error in $A.getCallback() [Cannot read property '&lt;strong&gt;&lt;em&gt;' of undefined]
Callback failed: apex://Controller/ACTION$&lt;/em&gt;&lt;/strong&gt;'&lt;/p&gt;
&lt;p&gt;Then it starts working on its own after some time. What could be the reason for the same.&lt;/p&gt;
</t>
  </si>
  <si>
    <t xml:space="preserve">&lt;p&gt;It is very difficult to answer your question without some source code posted. However, I can make some guesses at where you could look, based on the error text. Since the error is stated as being in an ACTION and a callback, this suggests that you are using a callback somewhere in your component's controller. This is commonly used to communicate with the Apex Controller class. So I would start by looking there.&lt;/p&gt;
&lt;p&gt;Cannot read property '' of undefined is your next clue. The "undefined" is probably a JavaScript variable that is not being properly set in your callback. This could be because of scoping issues, or it could be a problem with a custom namespace if you have a different namespace on the environment from the one you developed on.&lt;/p&gt;
</t>
  </si>
  <si>
    <t xml:space="preserve">&lt;p&gt;I'm going way out on the crazy ask limb on this one I'm sure. Has any one made this signature app work in Google App Maker? &lt;/p&gt;
&lt;p&gt;&lt;a href="https://github.com/github.com/szimek/signature_pad" rel="nofollow noreferrer"&gt;https://github.com/github.com/szimek/signature_pad&lt;/a&gt;&lt;/p&gt;
&lt;p&gt;I've made a paid version of the one from the folks at "App Maker University" work. But it's got some buggy issues when it comes to data source relations in one to many relations. I've done some work around's with  the "AMU" version. In the end it's still glitchier than I'd like (signatures not updating or saving, and some overwriting of older signatures). After hours of experimenting I'm at a loss on how to get it to play nice.&lt;/p&gt;
&lt;p&gt;Just wondering if this github version would be any cleaner and if someone has a working version in app maker I'd love to play with it.&lt;/p&gt;
</t>
  </si>
  <si>
    <t xml:space="preserve">&lt;p&gt;I got one issue in &lt;strong&gt;Salesforce Report&lt;/strong&gt;. After Click on Bar chart , report is getting one additional filter and that is showing wrong data.In my specific case some checkbox values are shown as &lt;strong&gt;Null&lt;/strong&gt; but they contains value as &lt;strong&gt;true&lt;/strong&gt;. I am facing this issue in lightning environment.&lt;/p&gt;
&lt;p&gt;Please mention any Links to SF docs and Blogs , Just in case anyone find it related to this problem.
Thanks in advance.&lt;/p&gt;
</t>
  </si>
  <si>
    <t xml:space="preserve">&lt;p&gt;I am trying to run a hellow world app in &lt;strong&gt;LWC open source&lt;/strong&gt; and after "npx create-lwc-app my-app" when I cd in the dir and run "npm run watch" I get the below error.&lt;/p&gt;
&lt;pre&gt;&lt;code&gt;E:\Development\LWC\workspace\dev&amp;gt;npm run watch
&amp;gt; dev@0.0.0 watch E:\Development\LWC\workspace\dev
&amp;gt; lwc-services watch
'lwc-services' is not recognized as an internal or external command,
operable program or batch file.
npm ERR! code ELIFECYCLE
npm ERR! errno 1
npm ERR! dev@0.0.0 watch: `lwc-services watch`
npm ERR! Exit status 1
npm ERR!
npm ERR! Failed at the dev@0.0.0 watch script.
npm ERR! This is probably not a problem with npm. There is likely additional logging output above.
npm ERR! A complete log of this run can be found in:
npm ERR!     C:\Users\ABC\AppData\Roaming\npm-cache\_logs\2019-12-24T16_31_47_970Z-debug.log
&lt;/code&gt;&lt;/pre&gt;
&lt;p&gt;Have tried to install "npm install --global --production windows-build-tools" again, trierd to manually install npm i lwc-services -g but it has an error 'rollup-plugin2.02 is dprecated update your dependency' but I donot know if that is the issue here , reistalled the nmp but still not working.&lt;/p&gt;
</t>
  </si>
  <si>
    <t xml:space="preserve">&lt;p&gt;Hi I am playing with LWC open source and want to host it on HTTPS, default it is on HTTP.
I ran the below to run app on http
1. npx create-lwc-app my-app
2. cd my-app
3. npm run watch&lt;/p&gt;
&lt;p&gt;App runs on &lt;a href="http://localhost:3001/" rel="nofollow noreferrer"&gt;http://localhost:3001/&lt;/a&gt;&lt;/p&gt;
&lt;p&gt;I tried to modify the "script/express-dev.js" like below but it donot work.&lt;/p&gt;
&lt;pre&gt;&lt;code&gt;const path = require('path');
const express = require('express');
var fs = require('fs');
var https = require('https');
const customServer = require(path.resolve('./src/server/'));
const app = express();
customServer(app);
https.createServer({
  key: fs.readFileSync('./src/server/key.pem', 'utf8'),
  cert: fs.readFileSync('./src/server/cert.pem', 'utf8')
}, app).listen(3005, () =&amp;gt; {
    // eslint-disable-next-line no-console
    console.log('Yay, local server started');
});
&lt;/code&gt;&lt;/pre&gt;
&lt;p&gt;Also tried to make changes in lwc-services.config but not sure if they are correct.&lt;/p&gt;
&lt;pre&gt;&lt;code&gt;module.exports = {
resources: [{ from: 'src/client/resources', to: 'dist/resources' }],
sourceDir: './src/client',
moduleDir: './src/client/modules',
server: {
    port: 3006,
    customConfig: './src/server/server.js'
},
devServer: {
    port: 3001,
    proxy: { '/': 'http://localhost:3001' },
    https: true
}
};
&lt;/code&gt;&lt;/pre&gt;
&lt;p&gt;Need suggestion/solution&lt;/p&gt;
</t>
  </si>
  <si>
    <t xml:space="preserve">&lt;p&gt;Google appMaker beginner: It appears that Google appMaker doesn't have a native Widget that supports use of the device camera. I would like to explore the possibility that someone has solved this problem.&lt;/p&gt;
</t>
  </si>
  <si>
    <t xml:space="preserve">&lt;h3&gt;Short Version&lt;/h3&gt;
&lt;p&gt;Is there a way to update a single field in a collection/data source for all rows that meet a certain categorical criteria? &lt;/p&gt;
&lt;h3&gt;Background and Goal&lt;/h3&gt;
&lt;p&gt;I'm currently using PowerApps (SharePoint source) to maintain an inventory list for employees to locate items stored in bins. App is working great, but the next step is to give the users the ability to move all the items from one bin into another bin, ideally in a single scan. My theory being that you should be able to scan both bins, storing the details in separate text inputs or variables, and then patch all the items filtered to bin 1 with a new bin number, bin 2. &lt;/p&gt;
&lt;h3&gt;What I've Tried&lt;/h3&gt;
&lt;p&gt;I was able to patch a single item in a collection with this code: 
(don't mind the column name, I used D&amp;amp;D terms for my Sandbox testing grounds)  &lt;/p&gt;
&lt;pre&gt;&lt;code&gt;Patch(SandBoxList,First(Filter(SandBoxList,'Character Name' = "Juan Carlos")),{Class: Search_TextInput.Text})
&lt;/code&gt;&lt;/pre&gt;
&lt;p&gt;I also tried to do the following, but ForAll() doesn't seem to play well with Patch() as Patch() wants to interact with a single record at a time:&lt;/p&gt;
&lt;p&gt;&lt;code&gt;ForAll(TestCollection,If(Class = "Monk",Patch(TestCollection,{Subclass:"None"},{Subclass: "Potato"})&lt;/code&gt;&lt;/p&gt;
</t>
  </si>
  <si>
    <t xml:space="preserve">&lt;p&gt;In case anyone else comes across this, I found a YouTube video detailing exactly what I was trying to do: &lt;/p&gt;
&lt;p&gt;&lt;a href="https://www.youtube.com/watch?v=0xZ4fMJbLvk" rel="nofollow noreferrer"&gt;https://www.youtube.com/watch?v=0xZ4fMJbLvk&lt;/a&gt;&lt;/p&gt;
&lt;p&gt;It's a long one, but it'll walk you through the creation of the variables as well as how to iterate through based on a filter.&lt;/p&gt;
</t>
  </si>
  <si>
    <t xml:space="preserve">&lt;p&gt;I have a dataset and I want to show reports based only projected data for a given user of the app. For example let's say I have a set of records of animals and their owner and some other details, and I have an app that animal owners use and that shows some statistics of the animals however I want to show the report based on the animals owned by the app user only, I don't want an aggregate report just on the projection.&lt;/p&gt;
&lt;p&gt;I am new to data studio, so I am not sure where to look. Filter controls are not quite what I want since I don't want owners to be able to snoop around other owner's data. I need to somehow communicate the information of who is the current user to the report, I have no ideas.&lt;/p&gt;
</t>
  </si>
  <si>
    <t xml:space="preserve">&lt;p&gt;I am trying to upload a file into Salesforce using the Lightning input component:&lt;/p&gt;
&lt;p&gt;&lt;strong&gt;Component&lt;/strong&gt;&lt;/p&gt;
&lt;pre&gt;&lt;code&gt;&amp;lt;aura:component controller="FileUploadController"&amp;gt;
&amp;lt;lightning:input 
    aura:id="fileId" 
    onchange="{!c.readFile}" 
    type="file" 
    name="file" 
    multiple="false"/&amp;gt;
&amp;lt;/aura:component&amp;gt;
&lt;/code&gt;&lt;/pre&gt;
&lt;p&gt;&lt;strong&gt;Controller&lt;/strong&gt;&lt;/p&gt;
&lt;pre&gt;&lt;code&gt;({
    readFile : function(component) {
        var file = component.find("fileId").get("v.files")[0];
        var reader  = new FileReader();
        reader.onload = function(e) {
            var fileContent = e.target.result;
            var base64 = 'base64,';
            var dataStart = fileContent.indexOf(base64) + base64.length;
            fileContent = fileContent.substring(dataStart);
            uploadFile(file, fileContent, component);
        }
        reader.readAsDataURL(file); 
    },
    uploadFile : function(file, fileContent, component) {
        var action = component.get("c.createFile"); 
        action.setParams({
            fileName: file.name,
            base64Data: encodeURIComponent(fileContent)
        });
        $A.enqueueAction(action);
    }
})
&lt;/code&gt;&lt;/pre&gt;
&lt;p&gt;The issue I am having is I am unable to get uploadFile() to be called from readFile(). Any suggestions would be great. Thank you.&lt;/p&gt;
</t>
  </si>
  <si>
    <t xml:space="preserve">&lt;p&gt;How to use a default outlook e-mail to send emails in power apps application without requesting user's outlook access permission to send emails through Office365Outlook.SendEmail() function.&lt;/p&gt;
</t>
  </si>
  <si>
    <t xml:space="preserve">&lt;p&gt;I am new to Salesforce Lightning and trying to convert a classic button that opens a VF page in a new pop up window (Detail page button) into a Lightning component doing the same. Below is what I tried, created a New Action in Lightning and linked it to tho the below lightning component&lt;/p&gt;
&lt;p&gt;selectCampignContainer.cmp (iframe to open the VF page in a new window)&lt;/p&gt;
&lt;pre&gt;&lt;code&gt;&amp;lt;aura:component implements="force:lightningQuickAction" access="global"&amp;gt;
    &amp;lt;aura:attribute name='vfpName' type='String'/&amp;gt;
&amp;lt;iframe src="https://abc.lightning.force.com/apex/ +v.vfpName" width="100%" height="500px;" frameBorder="0"/&amp;gt;
&amp;lt;/aura:component&amp;gt;
&lt;/code&gt;&lt;/pre&gt;
&lt;p&gt;selectCampignContainerController.cmp&lt;/p&gt;
&lt;pre&gt;&lt;code&gt;({
    handleClick : function (cmp, event, helper) {
        var evt = $A.get("e.force:navigateToComponent");
        evt.setParams({
           componentDef : "c:selectCampignContainer",
           componentAttributes: {
              vfpName : 'Campaign_Selection_Page'
           }
        });
        evt.fire();
    }
});
&lt;/code&gt;&lt;/pre&gt;
&lt;p&gt;And the VF page is like&lt;/p&gt;
&lt;pre&gt;&lt;code&gt;&amp;lt;apex:page standardController="Opportunity" extensions="Campaign_Selection_Page_Ext" id="page" showHeader="false" sidebar="false" lightningStylesheets="true" &amp;gt;
    &amp;lt;apex:form id="form"&amp;gt;
        &amp;lt;apex:pageBlock title="Campaign Attribution" id="pageBlock"&amp;gt;
            &amp;lt;apex:pageblockSection &amp;gt;
               &amp;lt;apex:outputField value="{!currentRecord.CampaignId}" label="Primary Campaign"/&amp;gt;
            &amp;lt;/apex:pageblockSection&amp;gt;
            &amp;lt;apex:pageBlockSection title="Search Criteria" collapsible="false"&amp;gt;
                &amp;lt;apex:inputText value="{!campaignRecord.Name}"/&amp;gt;               
                &amp;lt;apex:inputField value="{!campaignRecord.StartDate}"/&amp;gt;
                &amp;lt;!--&amp;lt;apex:inputField value="{!campaignRecord.Type}"/&amp;gt;--&amp;gt;
                &amp;lt;apex:selectList value="{!campaignRecord.Type}" multiselect="false" size="1"&amp;gt;
                    &amp;lt;apex:selectOptions value="{!campaignType}" &amp;gt;&amp;lt;/apex:selectOptions&amp;gt;
                &amp;lt;/apex:selectList&amp;gt;
                &amp;lt;apex:inputField value="{!campaignRecord.EndDate}"/&amp;gt;
            &amp;lt;/apex:pageBlockSection&amp;gt;
            &amp;lt;apex:pageBlockSection columns="1"&amp;gt;
                &amp;lt;apex:outputPanel style="float:right;"&amp;gt;
                &amp;lt;apex:commandButton value="Search" action="{!search}"  rerender="form"/&amp;gt; &amp;amp;nbsp;&amp;lt;apex:commandButton value="Assign Campaign" action="{!assign}" rerender="form"/&amp;gt;
                &amp;lt;/apex:outputPanel&amp;gt;
            &amp;lt;/apex:pageBlockSection&amp;gt;
            &amp;lt;apex:pageBlockSection title="Search Results"&amp;gt;&amp;lt;/apex:pageBlockSection&amp;gt;
            &amp;lt;apex:pagemessages &amp;gt;&amp;lt;/apex:pagemessages&amp;gt;
            &amp;lt;apex:pageBlockTable value="{!campaignRecords}" var="rec" id="pbTable"&amp;gt;
                &amp;lt;apex:column id="pbColumn" &amp;gt;
                    &amp;lt;apex:inputCheckbox value="{!rec.bol}"&amp;gt;
                        &amp;lt;apex:actionSupport event="onchange" action="{!selectUnselect}" reRender="pbTable"&amp;gt;
                            &amp;lt;apex:param value="{!rec.Campaig.Id}" assignTo="{!selectedCampaign}" name="recId"/&amp;gt;
                        &amp;lt;/apex:actionSupport&amp;gt;
                    &amp;lt;/apex:inputCheckbox&amp;gt;
                &amp;lt;/apex:column&amp;gt;
                &amp;lt;apex:column value="{!rec.Campaig.Name}"/&amp;gt;
                &amp;lt;apex:column value="{!rec.Campaig.Campaign_Short_Name__c }"/&amp;gt;
                &amp;lt;apex:column value="{!rec.Campaig.Type}"/&amp;gt;
                &amp;lt;apex:column value="{!rec.Campaig.StartDate}"/&amp;gt;
                &amp;lt;apex:column value="{!rec.Campaig.EndDate}"/&amp;gt;
            &amp;lt;/apex:pageBlockTable&amp;gt;
        &amp;lt;/apex:pageBlock&amp;gt;
    &amp;lt;/apex:form&amp;gt;
&amp;lt;/apex:page&amp;gt;
&lt;/code&gt;&lt;/pre&gt;
&lt;p&gt;But when I clicked the button in lightning I get error like 
&lt;a href="https://i.stack.imgur.com/DaQFH.png" rel="nofollow noreferrer"&gt;&lt;img src="https://i.stack.imgur.com/DaQFH.png" alt="enter image description here"&gt;&lt;/a&gt;&lt;/p&gt;
&lt;p&gt;This VF page works perfectly in the Classic and I have just included lightningStylesheets="true". Can anyone please let me know what am I missing here&lt;/p&gt;
</t>
  </si>
  <si>
    <t xml:space="preserve">&lt;p&gt;Hi,&lt;/p&gt;
&lt;p&gt;I'm trying to create a lightning component to add records to the campaign object and I keepo getting an error message that I can't seem to find sufficient information on.&lt;/p&gt;
&lt;p&gt;I'm using the lightning:recordEditForm component and because it automatically generates the picklist or input field based on the field data type and doesn't need a controller.
&lt;a href="https://i.stack.imgur.com/XgcDT.png" rel="nofollow noreferrer"&gt;Here is the code I have written.&lt;/a&gt;&lt;/p&gt;
&lt;p&gt;When I try to add the component to the appropriate page I get the &lt;a href="https://i.stack.imgur.com/tmNUc.jpg" rel="nofollow noreferrer"&gt;error message&lt;/a&gt; shown in red.&lt;/p&gt;
&lt;p&gt;Has anyone else solved a similar problem?&lt;br&gt;
I'm inclined to believe it's a permissions issue but I'm not sure. If there's any more information I can give let me know.&lt;/p&gt;
&lt;p&gt;I would really appreciate some assistance.
Thank you&lt;/p&gt;
</t>
  </si>
  <si>
    <t xml:space="preserve">&lt;p&gt;i have zoho crm api calls in version1 , i want to upgrade it to v2&lt;/p&gt;
&lt;p&gt;my previous code is&lt;/p&gt;
&lt;pre&gt;&lt;code&gt;$ch = curl_init('https://crm.zoho.com/crm/private/xml/Contacts/updateRecords?');
  curl_setopt($ch, CURLOPT_VERBOSE, 1);
  curl_setopt($ch, CURLOPT_SSL_VERIFYPEER, FALSE);
  curl_setopt($ch, CURLOPT_SSL_VERIFYHOST, FALSE); 
  curl_setopt($ch, CURLOPT_RETURNTRANSFER, 1);
  curl_setopt($ch, CURLOPT_POST, 1);  
  $authtoken = "30838c5f2b54b2f6b5a1a5b0d040b7ae";
  $query = "newFormat=1&amp;amp;authtoken={$authtoken}&amp;amp;scope=crmapi&amp;amp;id={$zohoID}&amp;amp;xmlData={$data}"; 
  curl_setopt($ch, CURLOPT_POSTFIELDS, $query);
  $response = curl_exec($ch); 
  curl_close($ch);
&lt;/code&gt;&lt;/pre&gt;
&lt;p&gt;from zoho documentation i got  in v2&lt;/p&gt;
&lt;pre&gt;&lt;code&gt;URL: https://www.zohoapis.com/crm/v2/Leads
Method: GET
Header: Authorization=Zoho-oauthtoken {oauth_token}
&lt;/code&gt;&lt;/pre&gt;
&lt;p&gt;coding is something like this
but where i add header and method with this url?
anybody knows, please help&lt;/p&gt;
</t>
  </si>
  <si>
    <t xml:space="preserve">&lt;p&gt;Has anyone got the Mobiscroll calendar e.g. &lt;a href="https://demo.mobiscroll.com/javascript/range/date#" rel="nofollow noreferrer"&gt;https://demo.mobiscroll.com/javascript/range/date#&lt;/a&gt; working inside a Salesforce Lightning Web Component (&lt;a href="https://developer.salesforce.com/docs/component-library/documentation/lwc" rel="nofollow noreferrer"&gt;LWC&lt;/a&gt;)?&lt;/p&gt;
</t>
  </si>
  <si>
    <t xml:space="preserve">&lt;p&gt;I have a drop-down menu that i want to populate from one specific Datasource.
the issue is i want to add one option that isn't an item in the db.&lt;/p&gt;
&lt;p&gt;The table I have is &lt;code&gt;Brand&lt;/code&gt;.&lt;/p&gt;
&lt;p&gt;The value of options for that dropdown currently is &lt;code&gt;@datasources.Brand.items&lt;/code&gt;, which shows all the items in the db.&lt;/p&gt;
&lt;ul&gt;
&lt;li&gt;Brand item 1&lt;/li&gt;
&lt;li&gt;Brand item 2&lt;/li&gt;
&lt;li&gt;Brand item 3&lt;/li&gt;
&lt;/ul&gt;
&lt;p&gt;All the items in Brand will be in the dropdown , but i want to add one option "All Brands".&lt;/p&gt;
&lt;p&gt;I tried to set options of the dropdown to ["All Brands",&lt;code&gt;@datasources.Brand.items&lt;/code&gt;]&lt;/p&gt;
&lt;p&gt;I don't get the result i want i get "All Brands as option 1 and the 2nd one is one line:&lt;/p&gt;
&lt;pre&gt;&lt;code&gt;SimplePropertyList{itemType=Brand Record,items[com.google.apps.appmaker.client.model.ActiveRecord.
&lt;/code&gt;&lt;/pre&gt;
&lt;p&gt;What I'm looking for is:&lt;/p&gt;
&lt;ul&gt;
&lt;li&gt;All Brands&lt;/li&gt;
&lt;li&gt;Brand item 1&lt;/li&gt;
&lt;li&gt;Brand item 2&lt;/li&gt;
&lt;li&gt;....&lt;/li&gt;
&lt;/ul&gt;
</t>
  </si>
  <si>
    <t xml:space="preserve">&lt;p&gt;Even though the senders and receivers domains are same, the header " &lt;strong&gt;Caution: This email originated from an outside address&lt;/strong&gt; " appears. I added email relay for this problem but it ain't helping out.Is there any other ways i can remove it?&lt;/p&gt;
</t>
  </si>
  <si>
    <t xml:space="preserve">&lt;p&gt;I have a field in SharePoint defined as a hyperlink (a link to somewhere else in the site).  When I create a customized form for the list using Powerapps, I only have the ability to include a field to store the URL address.  How do I allow the user the ability to enter the display text?  Each Hyperlink has an address and display text component. I used the SharePoint PowerApps Customize forms option. &lt;/p&gt;
</t>
  </si>
  <si>
    <t xml:space="preserve">&lt;p&gt;I have a dropdown menu that is populated with files from a SP document library "Documents" and it excludes folder names using this code on the Items property:&lt;/p&gt;
&lt;pre&gt;&lt;code&gt;Filter(Documents, !IsFolder)
&lt;/code&gt;&lt;/pre&gt;
&lt;p&gt;This works great but now I need to designate a specific folder "Gold" in the SP document library to list all files from excluding any folder names. How would I modify the Items property code to only list files (not folders) in the "Gold" folder of the SP document library "Documents"?&lt;/p&gt;
</t>
  </si>
  <si>
    <t xml:space="preserve">&lt;p&gt;I have been able to use the device camera in JavaScript as many have illustrated. I have not been able to access the device camera from Google App Maker. If it is possible, could someone share the App Maker script that actually works.&lt;/p&gt;
&lt;p&gt;This script does result in the question about using the camera but the video doesn't show up in the PiCeMTakePhotos image widget.&lt;/p&gt;
&lt;pre&gt;&lt;code&gt;var video = app.pages.PiCeMTakePhotos.descendants.videoWindow;
const constraints = {
  audio: false,
  video: true
};
function handleSuccess(stream) {
  window.stream = stream; // make stream available to browser console 
  video.srcObject = stream;
}
function handleError(error) {
  console.log('navigator.MediaDevices.getUserMedia error: ', 
  error.message, error.name);
}
navigator.mediaDevices.getUserMedia(constraints).then(handleSuccess).catch(handleError);
&lt;/code&gt;&lt;/pre&gt;
</t>
  </si>
  <si>
    <t xml:space="preserve">&lt;p&gt;I have an Azure Maps &lt;a href="https://docs.microsoft.com/en-us/powerapps/developer/component-framework/create-custom-controls-using-pcf" rel="nofollow noreferrer"&gt;PCF Component&lt;/a&gt; imported as a solution into a PowerApp.&lt;/p&gt;
&lt;ul&gt;
&lt;li&gt;If a pin is dropped in the upper-left corner, it falls directly under the cursor (like it should). &lt;/li&gt;
&lt;li&gt;As I drop pins down and to the right, the pins fall increasingly further from the cursor (problem)&lt;/li&gt;
&lt;li&gt;This also happens when drawing vertices of polygons and origins of circles/squares&lt;/li&gt;
&lt;/ul&gt;
&lt;p&gt;&lt;strong&gt;Example:&lt;/strong&gt;
&lt;a href="https://i.stack.imgur.com/8LNGv.gif" rel="nofollow noreferrer"&gt;&lt;img src="https://i.stack.imgur.com/8LNGv.gif" alt="enter image description here"&gt;&lt;/a&gt;&lt;/p&gt;
&lt;p&gt;&lt;strong&gt;Additional findings:&lt;/strong&gt;&lt;/p&gt;
&lt;ol&gt;
&lt;li&gt;&lt;p&gt;Offset distance and direction changes depending on browser window size
&lt;a href="https://i.stack.imgur.com/Z12pH.gif" rel="nofollow noreferrer"&gt;&lt;img src="https://i.stack.imgur.com/Z12pH.gif" alt="enter image description here"&gt;&lt;/a&gt;&lt;/p&gt;&lt;/li&gt;
&lt;li&gt;&lt;p&gt;Inspect &lt;code&gt;div&lt;/code&gt;'s
&lt;a href="https://i.stack.imgur.com/jHa2b.png" rel="nofollow noreferrer"&gt;&lt;img src="https://i.stack.imgur.com/jHa2b.png" alt="enter image description here"&gt;&lt;/a&gt;&lt;/p&gt;&lt;/li&gt;
&lt;/ol&gt;
&lt;p&gt;&lt;strong&gt;Where would I look in the source code to find the fix for this issue?&lt;/strong&gt;&lt;/p&gt;
</t>
  </si>
  <si>
    <t xml:space="preserve">&lt;p&gt;we have a schoolversion of Office365-Cloud. I want to write a PowerApp so that teachers can reset the password of their students.
But I'm not finding a Connector to update/reset passwords of users.
Is there a Connector for this? Is there another way to achive this?
Thank you
Thomas&lt;/p&gt;
</t>
  </si>
  <si>
    <t xml:space="preserve">&lt;p&gt;Ideally you could use the &lt;a href="https://docs.microsoft.com/en-us/connectors/azuread/" rel="nofollow noreferrer"&gt;Azure Active Directory connector&lt;/a&gt;. Unfortunately it doesn't have a password reset action. The exception being it allows creating a &lt;a href="https://docs.microsoft.com/en-us/connectors/azuread/#create-user" rel="nofollow noreferrer"&gt;temporary password for a new user&lt;/a&gt;. If that is sufficient for you check out this &lt;a href="https://blogs.technet.microsoft.com/cbernier/2018/01/16/microsoft-flow-and-azure-ad-lets-automate/" rel="nofollow noreferrer"&gt;Microsoft blog.&lt;/a&gt;&lt;/p&gt;
&lt;p&gt;The functionality to reset a password does exist in the &lt;a href="https://docs.microsoft.com/en-us/previous-versions/azure/ad/graph/api/users-operations#reset-a-users-password--" rel="nofollow noreferrer"&gt;Azure AD graph API&lt;/a&gt;. You can likely use the &lt;a href="https://docs.microsoft.com/en-us/connectors/webcontents/" rel="nofollow noreferrer"&gt;HTTP with Azure AD connector&lt;/a&gt;, as it should help with some of the authentication hassle (&lt;a href="https://docs.microsoft.com/en-us/azure/active-directory/develop/v1-protocols-oauth-code#register-your-application-with-your-ad-tenant" rel="nofollow noreferrer"&gt;Otherwise see this doc for the whole authentication flow&lt;/a&gt;). Here is a &lt;a href="https://powerusers.microsoft.com/t5/General-Power-Automate/HTTP-with-Azure-AD-some-help-please/td-p/87182" rel="nofollow noreferrer"&gt;discussion with helpful tips on how to use&lt;/a&gt;.&lt;/p&gt;
</t>
  </si>
  <si>
    <t xml:space="preserve">&lt;p&gt;I have PowerApps installed as a desktop app (from the Windows Store). &lt;/p&gt;
&lt;p&gt;How can I launch a specific PowerApp from a shortcut or command line and have it open the local PowerApps app?&lt;/p&gt;
</t>
  </si>
  <si>
    <t xml:space="preserve">&lt;p&gt;I tried to create event series in Salesforce with Rest API but got error:&lt;/p&gt;
&lt;blockquote&gt;
  &lt;p&gt;[{'errorCode': 'INVALID_FIELD_FOR_INSERT_UPDATE', 'fields':
  ['Recurrence2PatternStartDate', 'Recurrence2PatternTimeZone',
  'Recurrence2PatternVersion', 'Recurrence2PatternText',
  'IsRecurrence2'], 'message': 'Unable to create/update fields:
  Recurrence2PatternStartDate, Recurrence2PatternTimeZone,
  Recurrence2PatternVersion, Recurrence2PatternText, IsRecurrence2.
  Please check the security settings of this field and verify that it is
  read/write for your profile or permission set.'}]&lt;/p&gt;
&lt;/blockquote&gt;
&lt;p&gt;Can anyone help me?&lt;/p&gt;
</t>
  </si>
  <si>
    <t xml:space="preserve">&lt;p&gt;I have created Dynamic Dom element button using renderer in my lightning component.&lt;/p&gt;
&lt;p&gt;Now I am trying to pass the reference of a function to the onclick attribute of the button.&lt;/p&gt;
&lt;p&gt;when the button is clicked its function is not called.&lt;/p&gt;
&lt;p&gt;I tried the following code.&lt;/p&gt;
&lt;p&gt;&lt;strong&gt;component&lt;/strong&gt;&lt;/p&gt;
&lt;pre&gt;&lt;code&gt;&amp;lt;aura:component implements="force:appHostable,flexipage:availableForAllPageTypes,flexipage:availableForRecordHome,force:hasRecordId,forceCommunity:availableForAllPageTypes" access="global" &amp;gt;
&amp;lt;aura:handler name="init" value="{!this}" action="{!c.handleInit}"/&amp;gt;
&amp;lt;!-- Print the button--&amp;gt;
&amp;lt;div aura:id="root"&amp;gt;
&amp;lt;/div&amp;gt;
&lt;/code&gt;&lt;/pre&gt;
&lt;p&gt;&lt;/p&gt;
&lt;p&gt;&lt;strong&gt;contoller&lt;/strong&gt;&lt;/p&gt;
&lt;pre&gt;&lt;code&gt;({
  check : function(component,event,helper)
  {
     alert("called"); 
  } 
})
&lt;/code&gt;&lt;/pre&gt;
&lt;p&gt;&lt;strong&gt;renderer&lt;/strong&gt;&lt;/p&gt;
&lt;pre&gt;&lt;code&gt;({afterRender : function(component, event, helper) {
    var x = document.createElement("BUTTON");
    x.setAttribute("onclick",component.getReference('c.check'));
    component.find('root').getElement().appendChild( x );
    }
,})
&lt;/code&gt;&lt;/pre&gt;
&lt;p&gt;Thanks in advance.&lt;/p&gt;
</t>
  </si>
  <si>
    <t xml:space="preserve">&lt;p&gt;I am currently using &lt;code&gt;Microsoft Flow&lt;/code&gt; and I am new here. My question is do I need to avail the subscription so that i can use the approval connector? There's an error on Assigned To email.
&lt;a href="https://i.stack.imgur.com/YQi66.png" rel="nofollow noreferrer"&gt;&lt;img src="https://i.stack.imgur.com/YQi66.png" alt="enter image description here"&gt;&lt;/a&gt;&lt;/p&gt;
</t>
  </si>
  <si>
    <t xml:space="preserve">&lt;p&gt;My form is manually created for edit and create new data in Powerapps it means that they go into one screen. However whenever I try to create new lists the previously selected gallery variables keep on showing up. I have tried to input &lt;/p&gt;
&lt;pre&gt;&lt;code&gt;UpdateContext({Circle1:BodyDashboard.Selected});UpdateContext({Circle1: {}});Navigate(CreateManPower,ScreenTransition.Fade);
&lt;/code&gt;&lt;/pre&gt;
&lt;p&gt;for the button on new data but still don't work. Anyone has idea on powerapps? &lt;/p&gt;
</t>
  </si>
  <si>
    <t xml:space="preserve">&lt;p&gt;I already have a Schedule apex, that works on 3 objects to do a basic Query and update. I wanted to make this class batch. But unable to add multiple objects in Batch apex and loop around them . &lt;/p&gt;
&lt;p&gt;Here is how my Schedule apex looks like &lt;/p&gt;
&lt;pre&gt;&lt;code&gt;`global class scheduleWorkday implements Schedulable {
 global void execute(SchedulableContext ctx) {
  //Get Accounts
        List&amp;lt;Account&amp;gt; getbdayaccount = [Select ID, Name, Address from Account where State= CT];
        if(!getbdayaccount .isEmpty()) {
                for(Account a : getbdayaccount ) {
                a.name = 'Test';
                a.State= 'NJ';
            }
            update getbdayaccount ;
        }
//get Leads 
   List&amp;lt;Lead&amp;gt; getPreApprovalFollow = [Select ID, Name, State, LeadSource from Lead where State = 'CT' ];
        if(!getPreApprovalFollow .isEmpty()) {
               for(Lead l: getPreApprovalFollow ) {
                l.LeadSource = 'Referral';
                l.State = 'NJ';
            }
            update getPreApprovalFollow ;
        }
//get Opportunities 
List&amp;lt;Opportunity&amp;gt; getopps = [Select Id, CloseDate, State from Lead where State = 'CT'];
   if(!getopps.isEmpty()){
     for(Opportunity o : getopps){
     o.CloseDate = Date.Today();
      o.State = 'CT';
}
update get opps;
}
}
}`
&lt;/code&gt;&lt;/pre&gt;
&lt;p&gt;I  tried making batch apex something like this - &lt;/p&gt;
&lt;pre&gt;&lt;code&gt;global class LeadProcessor implements Database.Batchable &amp;lt;SObject&amp;gt; {
//START METHOD
    global Database.QueryLocator start(Database.BatchableContext bc){
        String Query='Select id,LeadSource, State from Lead where state = 'CT';
        return Database.getQueryLocator(Query);
            }
//EXECUTE METHOD
    global void execute(Database.BatchableContext bc, List&amp;lt;Lead&amp;gt; scope){
        for(Lead l: scope){
            l.LeadSource='Referral';
            l.State = 'NJ';
        }
        update scope;
    }
//FINISH METHOD
    global void finish(Database.BatchableContext bc){
    }
}
&lt;/code&gt;&lt;/pre&gt;
&lt;p&gt;How can I change this batch apex to return multiple queries, add a loop  and update them . &lt;/p&gt;
</t>
  </si>
  <si>
    <t xml:space="preserve">&lt;p&gt;I am trying to call Salesforce Intent API from JavaScript, getting 400 Bad Request.&lt;/p&gt;
&lt;pre&gt;&lt;code&gt;var dataset = {
    data: "E:/weather.csv",
    type: "text-intent"
}
fetch('https://api.einstein.ai/v2/language/datasets/upload', {
    data: formData,
    // cache: 'no-cache',
    // credentials: 'same-origin',
    headers: {
        'content-type': 'multipart/form-data',
        'Authorization': 'Bearer G5MDOQSBJNETONZUJVEFIRCZJNAVERSUJBFFCT2OI42EQWSFKJNEMVSQLBJVGRSFKVNESNKCGM2E6RBTKRGUWSCKG5KVGRSJLJAVATCLI5KEYUSTKREEGWCNKFDVSVKNINCUGQ2ZJJEU2TS2KNFECQSWINDEKTSVLFLFC7COIE',
    },
    method: 'POST',
})
    .then(response =&amp;gt; response.json()).then(response =&amp;gt; {
        console.log("111", response)
    })
&lt;/code&gt;&lt;/pre&gt;
</t>
  </si>
  <si>
    <t xml:space="preserve">&lt;p&gt;I'm trying to group rows of a collection then concatenate a string column. Kindly see sample below. Maybe someone can point me to the right direction to tackle my predicament. Thank you.&lt;/p&gt;
&lt;p&gt;Original Collection:&lt;/p&gt;
&lt;pre&gt;&lt;code&gt;    ID Name
    1 John
    1 Tim
    2 Nikki
    3 George
    3 Rick
&lt;/code&gt;&lt;/pre&gt;
&lt;p&gt;Target:&lt;/p&gt;
&lt;pre&gt;&lt;code&gt;    ID Name
    1 John, Tim
    2 Nikki
    3 George, Rick
&lt;/code&gt;&lt;/pre&gt;
</t>
  </si>
  <si>
    <t xml:space="preserve">&lt;p&gt;I am trying to create a data entry "app" to collect daily readings across our site. Here are the three biggest constraints:&lt;/p&gt;
&lt;ul&gt;
&lt;li&gt;Software - ideally, we would use some software within the Microsoft 365 Suite, mainly because those are the only approved apps on site. It may be possible to use open source software, but that might raise some flags in terms of security. So my thoughts are to use either Excel or Access.&lt;/li&gt;
&lt;li&gt;Cost - ideally, we &lt;strong&gt;do not&lt;/strong&gt; want purchase any additional software licenses. I would try and create something with Power Apps, but we do not have the licensing for an Azure or SQL server to store the data. I could be missing something here though.&lt;/li&gt;
&lt;li&gt;Mobile-Friendly - finally, it needs to work on an Android tablet. Currently, we collect readings using pen and paper. The whole idea of this is to move towards using a tablet.&lt;/li&gt;
&lt;/ul&gt;
&lt;p&gt;The easiest approach would be to create an Excel spreadsheet, save it on OneDrive, and edit the spreadsheet. I don't love this option because we are collecting 100's of data points each day. This would end up with a very wide spreadsheet that will be cumbersome to navigate. &lt;/p&gt;
&lt;p&gt;The other option I looked into was creating an Access database and accompanying form and storing it on SharePoint. However, it seems Microsoft has stopped supporting Access databases on SharePoint.&lt;/p&gt;
&lt;p&gt;I have created data entry forms using VBA, similar to &lt;a href="https://www.techrepublic.com/article/pro-tip-add-a-userform-to-aid-data-entry-in-excel/" rel="nofollow noreferrer"&gt;this&lt;/a&gt;, but these do not work on mobile.&lt;/p&gt;
&lt;p&gt;Is it possible to create a data entry form in Excel that also works on the Android version of Excel? Are there other alternatives I am not thinking of?&lt;/p&gt;
</t>
  </si>
  <si>
    <t xml:space="preserve">&lt;p&gt;I have a test environment at &lt;a href="http://localhost:3000/" rel="nofollow noreferrer"&gt;http://localhost:3000/&lt;/a&gt; and I want to check the GET requests coming from this localhost URL. &lt;/p&gt;
&lt;p&gt;I get the following error. Installing the service in an Asure/ AWS environment can be a solution. But I want to know whether there is an option in PowerApps that we can use to test localhost requests.&lt;/p&gt;
&lt;p&gt;&lt;a href="https://i.stack.imgur.com/ZBxQ1.png" rel="nofollow noreferrer"&gt;&lt;img src="https://i.stack.imgur.com/ZBxQ1.png" alt="enter image description here"&gt;&lt;/a&gt;&lt;/p&gt;
&lt;p&gt;&lt;a href="https://i.stack.imgur.com/Qs2EC.png" rel="nofollow noreferrer"&gt;&lt;img src="https://i.stack.imgur.com/Qs2EC.png" alt="enter image description here"&gt;&lt;/a&gt;&lt;/p&gt;
</t>
  </si>
  <si>
    <t xml:space="preserve">&lt;p&gt;I am trying to implement devops for Powerapps by referring below link. In manual deployment, usually we will export the app and import on another app by updating it. And then we publish it. &lt;/p&gt;
&lt;p&gt;&lt;a href="https://docs.microsoft.com/en-us/powerapps/developer/common-data-service/build-tools-overview" rel="nofollow noreferrer"&gt;https://docs.microsoft.com/en-us/powerapps/developer/common-data-service/build-tools-overview&lt;/a&gt; &lt;/p&gt;
&lt;p&gt;But when I add task for import and export, I am getting the error as &lt;/p&gt;
&lt;blockquote&gt;
  &lt;p&gt;"##[error]Cannot bind argument to parameter 'String' because it is an
  empty string."&lt;/p&gt;
&lt;/blockquote&gt;
&lt;p&gt;Anyone please help me to solve this issue.&lt;/p&gt;
&lt;p&gt;Thanks.&lt;/p&gt;
</t>
  </si>
  <si>
    <t xml:space="preserve">&lt;blockquote&gt;
  &lt;p&gt;"##[error]Cannot bind argument to parameter 'String' because it is an
  empty string."&lt;/p&gt;
&lt;/blockquote&gt;
&lt;p&gt;I saw you shared a debug log in our official community.&lt;/p&gt;
&lt;p&gt;After analyze it and decompile the dlls that this task used, I found the issue you faced caused by the compile process has a process &lt;code&gt;Get-Organizations&lt;/code&gt; to detect your &lt;strong&gt;powerapp organization name&lt;/strong&gt;. But, the url you specified in the service connection is &lt;code&gt;https://xxxx.powerapps.com/&lt;/code&gt; which does not contain the organization name. &lt;/p&gt;
&lt;p&gt;The correct format should be &lt;code&gt;https://{org name}.crm.dynamics.com&lt;/code&gt;. You can check this doc to &lt;a href="https://docs.microsoft.com/en-us/powerapps/developer/common-data-service/webapi/discover-url-organization-web-api" rel="nofollow noreferrer"&gt;discover the URL for your organization&lt;/a&gt;.&lt;/p&gt;
</t>
  </si>
  <si>
    <t xml:space="preserve">&lt;p&gt;I am testing the data gateway and dataflow in poweraps against my own laptop and its localdb database that i use for development normally.&lt;/p&gt;
&lt;p&gt;I installed the gateway.&lt;/p&gt;
&lt;p&gt;I tried to set up a dataflow, but it wont accept the credentials.&lt;/p&gt;
&lt;pre&gt;&lt;code&gt;CREATE LOGIN pksorensen WITH PASSWORD = 'test1234';
CREATE USER pksorensen FOR LOGIN pksorensen;
EXEC sp_addrolemember 'db_owner', 'pksorensen'
&lt;/code&gt;&lt;/pre&gt;
&lt;p&gt;I created the credentials like above and tested them with SQL management studio. But when I use those from the wizard in powerapps admin, it just replied credentials invalid.
&lt;a href="https://i.stack.imgur.com/Wcq9W.png" rel="nofollow noreferrer"&gt;&lt;img src="https://i.stack.imgur.com/Wcq9W.png" alt="enter image description here"&gt;&lt;/a&gt;&lt;/p&gt;
&lt;p&gt;Should this be working? should i be doing more since its a localdb?&lt;/p&gt;
</t>
  </si>
  <si>
    <t xml:space="preserve">&lt;p&gt;I'm looking for a way to combine Search() and Filter() in my PowerApps gallery. There are a handful of columns that we would like to Search any text contained within, however, there are 2 columns that are lookup columns (one being a people field that I want to search DisplayName). Is there a way to add both of these functions in the gallery so I can use a single searchbox to either search keywords contained in some columns, or filter other lookup columns?&lt;/p&gt;
</t>
  </si>
  <si>
    <t xml:space="preserve">&lt;p&gt;I am trying to create a form that adds records to the Campaign object. I am quite new to salesforce and have been struggling with figuring out how to make this work and where my gaps in understanding are.&lt;/p&gt;
&lt;p&gt;Here is my code for the component:&lt;/p&gt;
&lt;p&gt;&lt;/p&gt;
&lt;pre&gt;&lt;code&gt;&amp;lt;aura:attribute name="newCampaign" type="Object"/&amp;gt;
&amp;lt;aura:attribute name="simpleNewCampaign" type="Object"/&amp;gt;
&amp;lt;aura:attribute name="newCampaignError" type="String"/&amp;gt;
&amp;lt;aura:attribute name="recordId" type="String"/&amp;gt;
&amp;lt;aura:handler name="init" value="{!this}" action="{!c.doInit}"/&amp;gt;
&amp;lt;force:recordData aura:id="campaignRecordCreator"
                  recordId = "{!v.recordId}"
                  targetRecord="{!v.newCampaign}"
                  targetFields ="{!v.simpleNewCampaign}"
                  targetError="{!v.newCampaignError}"
                  mode="EDIT"
                  layoutType="FULL" /&amp;gt;
&amp;lt;!-- Display the new contact form --&amp;gt;
&amp;lt;div&amp;gt;
    &amp;lt;lightning:card iconName="action:new_campaign" title="Create Campaign"&amp;gt;
        &amp;lt;div class="slds-p-horizontal--small"&amp;gt;
              &amp;lt;lightning:input type="string" name="name" label="Name" value=""/&amp;gt;
              &amp;lt;lightning:input type="date" name="StartDate" label="Start Date" value=""/&amp;gt;
              &amp;lt;lightning:input type="date" name="EndDate" label="End Date" value=""/&amp;gt;
              &amp;lt;lightning:select name="Venue_State__c" label="State" required=""&amp;gt;
                  &amp;lt;option value=""&amp;gt;choose one...&amp;lt;/option&amp;gt;
                  &amp;lt;option value="1"&amp;gt;AL&amp;lt;/option&amp;gt;
                  &amp;lt;option value="2"&amp;gt;AK&amp;lt;/option&amp;gt;
                  &amp;lt;option value="3"&amp;gt;AZ&amp;lt;/option&amp;gt;
                  &amp;lt;option value="4"&amp;gt;AR&amp;lt;/option&amp;gt;
                  &amp;lt;option value="5"&amp;gt;CA&amp;lt;/option&amp;gt;
                  &amp;lt;option value="6"&amp;gt;CO&amp;lt;/option&amp;gt;
                  &amp;lt;option value="7"&amp;gt;CT&amp;lt;/option&amp;gt;
                  &amp;lt;option value="8"&amp;gt;DE&amp;lt;/option&amp;gt;
                  &amp;lt;option value="9"&amp;gt;FL&amp;lt;/option&amp;gt;
                  &amp;lt;option value="10"&amp;gt;GA&amp;lt;/option&amp;gt;
                  &amp;lt;option value="11"&amp;gt;HI&amp;lt;/option&amp;gt;
                  &amp;lt;option value="12"&amp;gt;ID&amp;lt;/option&amp;gt;
                  &amp;lt;option value="13"&amp;gt;IL&amp;lt;/option&amp;gt;
                  &amp;lt;option value="14"&amp;gt;IN&amp;lt;/option&amp;gt;
                  &amp;lt;option value="15"&amp;gt;IA&amp;lt;/option&amp;gt;
                  &amp;lt;option value="16"&amp;gt;KS&amp;lt;/option&amp;gt;
                  &amp;lt;option value="17"&amp;gt;KY&amp;lt;/option&amp;gt;
                  &amp;lt;option value="18"&amp;gt;LA&amp;lt;/option&amp;gt;
                  &amp;lt;option value="19"&amp;gt;ME&amp;lt;/option&amp;gt;
                  &amp;lt;option value="20"&amp;gt;MD&amp;lt;/option&amp;gt;
                  &amp;lt;option value="21"&amp;gt;MA&amp;lt;/option&amp;gt;
                  &amp;lt;option value="22"&amp;gt;MI&amp;lt;/option&amp;gt;
                  &amp;lt;option value="23"&amp;gt;MN&amp;lt;/option&amp;gt;
                  &amp;lt;option value="24"&amp;gt;MS&amp;lt;/option&amp;gt;
                  &amp;lt;option value="25"&amp;gt;MO&amp;lt;/option&amp;gt;
                  &amp;lt;option value="26"&amp;gt;MT&amp;lt;/option&amp;gt;
                  &amp;lt;option value="27"&amp;gt;NE&amp;lt;/option&amp;gt;
                  &amp;lt;option value="28"&amp;gt;NV&amp;lt;/option&amp;gt;
                  &amp;lt;option value="29"&amp;gt;NH&amp;lt;/option&amp;gt;
                  &amp;lt;option value="30"&amp;gt;NJ&amp;lt;/option&amp;gt;
                  &amp;lt;option value="31"&amp;gt;NM&amp;lt;/option&amp;gt;
                  &amp;lt;option value="32"&amp;gt;NY&amp;lt;/option&amp;gt;
                  &amp;lt;option value="33"&amp;gt;NC&amp;lt;/option&amp;gt;
                  &amp;lt;option value="34"&amp;gt;ND&amp;lt;/option&amp;gt;
                  &amp;lt;option value="35"&amp;gt;OH&amp;lt;/option&amp;gt;
                  &amp;lt;option value="36"&amp;gt;OK&amp;lt;/option&amp;gt;
                  &amp;lt;option value="37"&amp;gt;OR&amp;lt;/option&amp;gt;
                  &amp;lt;option value="38"&amp;gt;PA&amp;lt;/option&amp;gt;
                  &amp;lt;option value="39"&amp;gt;RI&amp;lt;/option&amp;gt;
                  &amp;lt;option value="40"&amp;gt;SC&amp;lt;/option&amp;gt;
                  &amp;lt;option value="41"&amp;gt;SD&amp;lt;/option&amp;gt;
                  &amp;lt;option value="42"&amp;gt;TN&amp;lt;/option&amp;gt;
                  &amp;lt;option value="43"&amp;gt;TX&amp;lt;/option&amp;gt;
                  &amp;lt;option value="44"&amp;gt;UT&amp;lt;/option&amp;gt;
                  &amp;lt;option value="45"&amp;gt;VT&amp;lt;/option&amp;gt;
                  &amp;lt;option value="46"&amp;gt;VA&amp;lt;/option&amp;gt;
                  &amp;lt;option value="47"&amp;gt;WA&amp;lt;/option&amp;gt;
                  &amp;lt;option value="48"&amp;gt;WV&amp;lt;/option&amp;gt;
                  &amp;lt;option value="49"&amp;gt;WI&amp;lt;/option&amp;gt;
                  &amp;lt;option value="50"&amp;gt;WY&amp;lt;/option&amp;gt;
              &amp;lt;/lightning:select&amp;gt;
              &amp;lt;lightning:input type="string" name="Description" label="Description" value=""/&amp;gt;
              &amp;lt;lightning:select name="Type" label="Category"&amp;gt;
                  &amp;lt;option value=""&amp;gt;choose one...&amp;lt;/option&amp;gt;
                  &amp;lt;option value="1"&amp;gt;ACCE Conference&amp;lt;/option&amp;gt;
                  &amp;lt;option value="2"&amp;gt;ALEC Conference&amp;lt;/option&amp;gt;
                  &amp;lt;option value="3"&amp;gt;Annual Meeting&amp;lt;/option&amp;gt;
                  &amp;lt;option value="4"&amp;gt;Auction&amp;lt;/option&amp;gt;
                  &amp;lt;option value="5"&amp;gt;Coalition Event&amp;lt;/option&amp;gt;
                  &amp;lt;option value="6"&amp;gt;Conference&amp;lt;/option&amp;gt;
                  &amp;lt;option value="7"&amp;gt;Dinner&amp;lt;/option&amp;gt;
                  &amp;lt;option value="8"&amp;gt;Donor Appeal&amp;lt;/option&amp;gt;
                  &amp;lt;option value="9"&amp;gt;Lisa Travel&amp;lt;/option&amp;gt;
                  &amp;lt;option value="10"&amp;gt;Marketing&amp;lt;/option&amp;gt;
                  &amp;lt;option value="11"&amp;gt;Membership Appeal&amp;lt;/option&amp;gt;
                  &amp;lt;option value="12"&amp;gt;Newsletter&amp;lt;/option&amp;gt;
                  &amp;lt;option value="13"&amp;gt;Staff State Travel&amp;lt;/option&amp;gt;
                  &amp;lt;option value="14"&amp;gt;Subscription&amp;lt;/option&amp;gt;
                  &amp;lt;option value="15"&amp;gt;Task Force/Center Event&amp;lt;/option&amp;gt;
                  &amp;lt;option value="16"&amp;gt;Task Force Update&amp;lt;/option&amp;gt;
                  &amp;lt;option value="17"&amp;gt;Dinner&amp;lt;/option&amp;gt;
                  &amp;lt;option value="18"&amp;gt;Donor Appeal&amp;lt;/option&amp;gt;
                  &amp;lt;option value="19"&amp;gt;Lisa Travel&amp;lt;/option&amp;gt;
                  &amp;lt;option value="20"&amp;gt;General Meeting&amp;lt;/option&amp;gt;
              &amp;lt;/lightning:select&amp;gt;
              &amp;lt;lightning:select name="Status" label="Status" value=""&amp;gt;
                  &amp;lt;option value=""&amp;gt;choose one...&amp;lt;/option&amp;gt;
                  &amp;lt;option value="1"&amp;gt;Tentative&amp;lt;/option&amp;gt;
                  &amp;lt;option value="2"&amp;gt;Planned&amp;lt;/option&amp;gt;
                  &amp;lt;option value="3"&amp;gt;In Progress&amp;lt;/option&amp;gt;
                  &amp;lt;option value="4"&amp;gt;Completed&amp;lt;/option&amp;gt;
                  &amp;lt;option value="5"&amp;gt;Aborted&amp;lt;/option&amp;gt;
                  &amp;lt;option value="2"&amp;gt;Idea&amp;lt;/option&amp;gt;
              &amp;lt;/lightning:select&amp;gt;
              &amp;lt;lightning:input type="checkbox" label="Add to Public Caldendar" name="Show_on_Public_Calendar__c" checked="true"/&amp;gt;
              &amp;lt;br/&amp;gt;
              &amp;lt;lightning:button label="Submit" variant="brand" onclick="{!c.handleSaveCampaign}"/&amp;gt;
        &amp;lt;/div&amp;gt;
    &amp;lt;/lightning:card&amp;gt;
&amp;lt;/div&amp;gt;
&amp;lt;!-- Display Lightning Data Service errors --&amp;gt;
&amp;lt;aura:if isTrue="{!not(empty(v.newCampaignError))}"&amp;gt;
    &amp;lt;div class="recordError"&amp;gt;
        {!v.newCampaignError}&amp;lt;/div&amp;gt;
&amp;lt;/aura:if&amp;gt;
&lt;/code&gt;&lt;/pre&gt;
&lt;p&gt;&lt;/p&gt;
&lt;p&gt;and the controller:&lt;/p&gt;
&lt;pre&gt;&lt;code&gt;handleSaveCampaign: function(component, event, helper) {
    if(helper.validateCampaignForm(component)) {
        component.set("v.simpleNewCampaign.recordId", component.get("v.recordId"));
        component.find("campaignRecordCreator").saveRecord(function(saveResult) {
            if (saveResult.state === "SUCCESS" || saveResult.state === "DRAFT") {
                // record is saved successfully
                var resultsToast = $A.get("e.force:showToast");
                resultsToast.setParams({
                    "title": "Saved",
                    "message": "The record was saved."
                });
                resultsToast.fire();
            } else if (saveResult.state === "INCOMPLETE") {
                // handle the incomplete state
                console.log("User is offline, device doesn't support drafts.");
            } else if (saveResult.state === "ERROR") {
                // handle the error state
                console.log('Problem saving campaign, error: ' + JSON.stringify(saveResult.error));
            } else {
                console.log('Unknown problem, state: ' + saveResult.state + ', error: ' + JSON.stringify(saveResult.error));
            }
        });
    }
}
&lt;/code&gt;&lt;/pre&gt;
&lt;p&gt;})&lt;/p&gt;
&lt;p&gt;The helper function is set to always return true.
When I look at this form on the home page "Record is not Createable" appears below the form, and when I click the submit button I get the error message:
"Uncaught Action failed: c:RecordFormCampaign$controller$handleSaveCampaign [Cannot read property 'recordId' of null]"&lt;/p&gt;
&lt;p&gt;Shouldn't the added record be assigned a unique id when created? I'm not sure where to look for the specific information I need. The examples in the documentation have not helped me get past this.&lt;/p&gt;
&lt;p&gt;Any help would be much appreciated. Thank you.&lt;/p&gt;
</t>
  </si>
  <si>
    <t xml:space="preserve">&lt;p&gt;I want to create multi level dropdown list. First, we can select client name. After that we can select POC of client name. POC will be different on every project.&lt;/p&gt;
&lt;p&gt;To Select Client Name I use @datasources.ClientName.items..Client_Name&lt;/p&gt;
&lt;p&gt;It will list all client name. And it's no problem.&lt;/p&gt;
&lt;p&gt;But when I choose POC (@datasources.POC.items..POC_name), it will list everyone on POC, not based on Client Name. My Question is, how to set grouping POC based on Client Name ? Do I need to create new datasource ?, how to set it's query builder or script ?&lt;/p&gt;
</t>
  </si>
  <si>
    <t xml:space="preserve">&lt;p&gt;I am running this query and I get correct result&lt;/p&gt;
&lt;pre&gt;&lt;code&gt;SELECT
         CONCAT("year", ' - ', TRIM('20' FROM "year") + 1) as 'Years',
         SUM("svalue") as 'Value',
         'Sale' as 'Type',
         "year" as 'Year',
         "code" as 'FACode',
FROM  "FCJOIN" 
WHERE    "code"  IN
    (
    SELECT "fccode"
    FROM  "fcdetails" 
    )
 AND    "month"  between '04'  and  '12'
 AND    "year"  IN ( '2016'  , '2017'  , '2018'  , '2019'  )
GROUP BY "code", "year" 
&lt;/code&gt;&lt;/pre&gt;
&lt;p&gt;what i need is , if I add a new column &lt;strong&gt;&lt;em&gt;formonth&lt;/em&gt;&lt;/strong&gt; it will gives an error Improper usage of GROUP BY clause ? Please ensure that all non-aggregate columns used in the SELECT clause are also used in GROUP BY clause.&lt;/p&gt;
&lt;p&gt;that's my modified query is like this&lt;/p&gt;
&lt;pre&gt;&lt;code&gt;SELECT
         CONCAT("year", ' - ', TRIM('20' FROM "year") + 1) as 'Years',
         SUM("svalue") as 'Value',
         'Sale' as 'Type',
         "year" as 'Year',
         "code" as 'FACode',
         **"formonth" as 'Period'**
FROM  "FCJOIN" 
WHERE    "code"  IN
    (
    SELECT "fccode"
    FROM  "fcdetails" 
    )
 AND    "month"  between '04'  and  '12'
 AND    "year"  IN ( '2016'  , '2017'  , '2018'  , '2019'  )
GROUP BY "code", "year"
&lt;/code&gt;&lt;/pre&gt;
&lt;p&gt;is there any way to make this correct group by or or there any way to rewrite ? I dont want the newly added column in group by clause. i am trying this in zoho reports. Any help ? &lt;/p&gt;
</t>
  </si>
  <si>
    <t xml:space="preserve">&lt;p&gt;I am struggling to use the OR function in my Powerapp&lt;/p&gt;
&lt;p&gt;I have &lt;/p&gt;
&lt;pre&gt;&lt;code&gt;SortByColumns(Filter(Scopes, StartsWith(Title, TextSearchBox1.Text)), "Title", If(SortDescending1, Descending, Ascending))
&lt;/code&gt;&lt;/pre&gt;
&lt;p&gt;and also&lt;/p&gt;
&lt;pre&gt;&lt;code&gt;SortByColumns(Filter(Scopes, StartsWith(Title, BarcodeScanner1.Value)), "Title", If(SortDescending1, Descending, Ascending))
&lt;/code&gt;&lt;/pre&gt;
&lt;p&gt;But I want to combine it so it shows the value of the Barcodescanner 1 or the text box search&lt;/p&gt;
&lt;p&gt;I tried&lt;/p&gt;
&lt;pre&gt;&lt;code&gt;SortByColumns(Filter(Scopes, StartsWith(Title, OR(TextSearchBox1.Text,BarcodeScanner1.Value))), "Title", If(SortDescending1, Descending, Ascending))
&lt;/code&gt;&lt;/pre&gt;
&lt;p&gt;but this doesn't work...&lt;/p&gt;
&lt;p&gt;Any tips?&lt;/p&gt;
</t>
  </si>
  <si>
    <t xml:space="preserve">&lt;p&gt;I need to set up email notifications when the current date is 90, 60, and 30 days from an expiration date.&lt;/p&gt;
&lt;p&gt;I've solved the problem (know basically what process is necessary) but am struggling to write the code.  :/&lt;/p&gt;
&lt;p&gt;Here's what I've pieced together from research. I think it's probably close, but I'm sure it's not correct.&lt;/p&gt;
&lt;p&gt;Suggestions? Solutions?&lt;/p&gt;
&lt;pre&gt;&lt;code&gt;    function sendAlerts() {
  var query = app.models.Customers.newQuery();
  var today = new Date();
  var expiresOn = new Date();
  // query only for non-notified customers with upcoming due date
  query.filters.NotificationAttempts._lessThan = ATTEMPTS_THRESHOLD;
  query.filters.Notified._equals = false;
  query.filters.DueDate._lessThan = expiresOn;
  var customers = query.run();
  customers.forEach(function(customer) {
    var success = sendNotification(customer);
    if (success) {
      customer.Notified = true;
    } else {
      customer.NotificationAttempts++;
    }
    // performance trade off in favor of consistency
    app.saveRecords([customer]);
  });
function sendNotification_(to, subject, body)
      {
        MailApp.sendEmail({
          to: 'beth@egaassociates.com',
          subject: 'Expiration approaching',
          body: 'You have a license, certification, or immunization expiring soon!',
          noReply: true
        });
       }
}
/**
 * Creates a time-driven trigger.
 */
function createTimeDrivenTriggers() {
  // Trigger on set schedule.
  ScriptApp.newTrigger('sendAlerts')
      .timeBased()
      .everyMinutes(2)
      .create();
}
google.scripts.run.createTimeDrivenTriggers();
&lt;/code&gt;&lt;/pre&gt;
</t>
  </si>
  <si>
    <t xml:space="preserve">&lt;p&gt;This code works fine if I use an HTML image in place of AppMaker widget ‘snapshot’.
Does all but put the image in the AppMaker image widget when is use the AppMaker widget.&lt;/p&gt;
&lt;pre&gt;&lt;code&gt;//HTML at startup
&amp;lt;video id="stream"top="0" left="0"width="400" height="532"&amp;lt;/video&amp;gt;
&amp;lt;canvas id="capture" width="200" height="266" &amp;gt;&amp;lt;/canvas&amp;gt;
//Starts the video stream on-click the AppMaker image widget ‘snapshot’
var capture = document.getElementById( "capture" );
var stream =document.getElementById('stream');
var cameraStream = null;
function startStreaming() {
 var mediaSupport = 'mediaDevices' in navigator;
 if( mediaSupport &amp;amp;&amp;amp; null == cameraStream ) {
       navigator.mediaDevices.getUserMedia( { video: true } )
       .then( function( mediaStream ) {
           stream.srcObject = mediaStream;
           stream.play();
       })
       .catch( function( err ) {
           console.log( "Unable to access camera: " + err );
       });
   }
   else {
       alert( 'Your browser does not support media devices.' );
       return;
   }
}
startStreaming(); // displays the camera output in the video window
&lt;/code&gt;&lt;/pre&gt;
&lt;p&gt;captures a photo of the video stream
'snapshot' is an App Maker image widget&lt;/p&gt;
&lt;pre&gt;&lt;code&gt;//shutter button on-click script
var capture =document.getElementById('capture');
var stream=document.getElementById("stream");
function captureSnapshot() {  
   var ctx = capture.getContext('2d');
   ctx.drawImage( stream, 0, 0, capture.width, capture.height );
   document.getElementById('snapshot').src=capture.toDataURL("image/png" );
{
captureSnapshot;
&lt;/code&gt;&lt;/pre&gt;
</t>
  </si>
  <si>
    <t xml:space="preserve">&lt;p&gt;There is a requirement to show a modal pop-up forcing our user to choose a reason from a dropdown when loading a Case that meets specific requirements. &lt;/p&gt;
&lt;p&gt;The following line of code redirects to a specific Case's record page&lt;/p&gt;
&lt;pre&gt;&lt;code&gt;PageReference casePageRef = new ApexPages.StandardController(currentCase).view();
casePageRef.getParameters().put('callType', lookup.CallType__c);
&lt;/code&gt;&lt;/pre&gt;
&lt;p&gt;where a Lightning component exists that takes care of the rest of the work. The last piece that we are stuck on is how to retrieve callType from that Lightning component. &lt;/p&gt;
</t>
  </si>
  <si>
    <t xml:space="preserve">&lt;p&gt;Trying to figure out what is missing? Every-time a user submit a new order the price should show up. But is showing the value has "0"&lt;/p&gt;
&lt;p&gt;&lt;strong&gt;Price&lt;/strong&gt; Columns Type is &lt;strong&gt;Currency&lt;/strong&gt;&lt;/p&gt;
&lt;blockquote&gt;
  &lt;p&gt;&lt;a href="https://i.stack.imgur.com/HTh2a.png" rel="nofollow noreferrer"&gt;&lt;img src="https://i.stack.imgur.com/HTh2a.png" alt="enter image description here"&gt;&lt;/a&gt;&lt;/p&gt;
&lt;/blockquote&gt;
&lt;p&gt;&lt;a href="https://i.stack.imgur.com/SCfET.png" rel="nofollow noreferrer"&gt;&lt;img src="https://i.stack.imgur.com/SCfET.png" alt="enter image description here"&gt;&lt;/a&gt;&lt;/p&gt;
&lt;p&gt;This is the code to create a new collection&lt;/p&gt;
&lt;pre&gt;&lt;code&gt;    NewForm(Form1);ClearCollect(PinteyBowesCollection, {Category: "", SubCategory: "", ProductName: "", Quantity: "", Price: 0});Navigate(Order_Screen);ScreenTransition.Cover;Clear(PinteyBowesCollection)
&lt;/code&gt;&lt;/pre&gt;
&lt;p&gt;This is the code to PATCH&lt;/p&gt;
&lt;pre&gt;&lt;code&gt;Patch(PinteyBowesCollection,Defaults(PinteyBowesCollection),{Category:drpCategory.SelectedText.Result,SubCategory:drpSubCategory.SelectedText.Result,ProductName:drpProductName.SelectedText.Result,Price:Value(txtPrice.Text)})
&lt;/code&gt;&lt;/pre&gt;
</t>
  </si>
  <si>
    <t xml:space="preserve">&lt;p&gt;I was able to figure it out&lt;/p&gt;
&lt;pre&gt;&lt;code&gt;NewForm(Form2);ClearCollect(PitneyBowesCollection, {Category: "", SubCategory: "", ProductName: "", Quantity: "", Price: 0});Navigate('Order Screen');Clear(PitneyBowesCollection)
&lt;/code&gt;&lt;/pre&gt;
&lt;p&gt;&lt;strong&gt;SharePoint list: Price Column = Type: Currency&lt;/strong&gt;&lt;/p&gt;
</t>
  </si>
  <si>
    <t xml:space="preserve">&lt;p&gt;Anyone here has any idea about what is the rate limit setup by SFCC/Demandware for OCAPIs. I am using &lt;strong&gt;OCAPIs&lt;/strong&gt;(v19.10) with &lt;strong&gt;Oauth&lt;/strong&gt; client having &lt;em&gt;grant_types&lt;/em&gt; as &lt;em&gt;Business Manager&lt;/em&gt;.&lt;/p&gt;
&lt;blockquote&gt;
  &lt;p&gt;(&lt;em&gt;urn:demandware:params:oauth:grant-type:client-id:dwsid:dwsecuretoken&lt;/em&gt;)&lt;/p&gt;
&lt;/blockquote&gt;
&lt;p&gt;. After that trying to search the orders and get a specific order. Its headers don't have that information as well. Thank you all in advance!!!&lt;/p&gt;
</t>
  </si>
  <si>
    <t xml:space="preserve">&lt;p&gt;I have a page that is generated dynamically and all the tabindex's are preset.  What I am attempting to do is to have the focus set to a specific tabindex when another input loses focus.  For example if I have &lt;code&gt;&amp;lt;input tabindex=119&amp;gt;&lt;/code&gt; and another with &lt;code&gt;&amp;lt;input tabindex=16&amp;gt;&lt;/code&gt; how can I get to tabindex=16 when 119 loses focus?  I have tried&lt;/p&gt;
&lt;pre&gt;&lt;code&gt;$(zip).keydown(function(event) {
            if (event.which == 9) {
                event.preventDefault();
                //$('#DublinTheme_wt213_block_wtMainContent_WebPatterns_wt50_block_wtPanelContent_WebPatterns_wt191_block_wtColumn1_wtVendors_EmailAddress').focus();
                $('input').find("[tabindex=16]").focus();
            }
        });
&lt;/code&gt;&lt;/pre&gt;
&lt;p&gt;where zip is the input field id of tabindex = 119.  This did nothing at all for me.  I have also tried just setting the focus to the id of the input I want:
&lt;code&gt;$('#DublinTheme_wt213_block_wtMainContent_WebPatterns_wt50_block_wtPanelContent_WebPatterns_wt191_block_wtColumn1_wtVendors_EmailAddress').focus();&lt;/code&gt; 
put in the place of &lt;code&gt;$('input').find("[tabindex=16]").focus();&lt;/code&gt; 
again, this did not place the focus on the correct input.&lt;/p&gt;
&lt;p&gt;Any help here would be greatly appreciated.&lt;/p&gt;
</t>
  </si>
  <si>
    <t xml:space="preserve">&lt;p&gt;You shouldn't put Outsystems generated id's hardcoded in your script. Create a new expression like in the example below. The blur event will be executed when an element loses focus.&lt;/p&gt;
&lt;p&gt;Obviously replace the &lt;code&gt;yourOutsystemsTabIndex199Element&lt;/code&gt; and &lt;code&gt;yourOutsystemsTabIndex16Element&lt;/code&gt; with the name of your inputs.&lt;/p&gt;
&lt;p&gt;Also set the expression so it doesn't escape content.&lt;/p&gt;
&lt;pre&gt;&lt;code&gt;"&amp;lt;script&amp;gt;
$(document).ready(function(){
  $('#" + yourOutsystemsTabIndex199Element.id + "').on('blur', function(){
    $('#" + yourOutsystemsTabIndex16Element.id + "').focus();
  });
});
&amp;lt;/script&amp;gt;"
&lt;/code&gt;&lt;/pre&gt;
&lt;p&gt;&lt;a href="https://i.stack.imgur.com/D54QF.png" rel="nofollow noreferrer"&gt;&lt;img src="https://i.stack.imgur.com/D54QF.png" alt="enter image description here"&gt;&lt;/a&gt;&lt;/p&gt;
</t>
  </si>
  <si>
    <t xml:space="preserve">&lt;p&gt;How can I default text into a text box on PowerApps? I've tried setting the default like this:
&lt;a href="https://i.stack.imgur.com/Z7Gz6.png" rel="nofollow noreferrer"&gt;&lt;img src="https://i.stack.imgur.com/Z7Gz6.png" alt="Default Example"&gt;&lt;/a&gt;&lt;/p&gt;
&lt;p&gt;However, the text box is returning "false".&lt;/p&gt;
&lt;p&gt;&lt;a href="https://i.stack.imgur.com/iIm1b.png" rel="nofollow noreferrer"&gt;&lt;img src="https://i.stack.imgur.com/iIm1b.png" alt="Text box Example"&gt;&lt;/a&gt;&lt;/p&gt;
&lt;p&gt;I need the text box to have something in it in order for my connected flow to work correctly, however, I don't really want to keep it as a required field for the users so I figured having a space in there would address the issue most easily.&lt;/p&gt;
</t>
  </si>
  <si>
    <t xml:space="preserve">&lt;p&gt;Simply keep the space within double quotes as Default text.&lt;/p&gt;
&lt;blockquote&gt;
  &lt;p&gt;&lt;a href="https://i.stack.imgur.com/CwTWl.png" rel="nofollow noreferrer"&gt;&lt;img src="https://i.stack.imgur.com/CwTWl.png" alt="enter image description here"&gt;&lt;/a&gt;&lt;/p&gt;
&lt;/blockquote&gt;
&lt;p&gt;Btw, I'm getting this error with your snippet. Somehow the resultant boolean is set as value for you.&lt;/p&gt;
&lt;p&gt;&lt;a href="https://i.stack.imgur.com/C41vB.png" rel="nofollow noreferrer"&gt;&lt;img src="https://i.stack.imgur.com/C41vB.png" alt="enter image description here"&gt;&lt;/a&gt;&lt;/p&gt;
</t>
  </si>
  <si>
    <t xml:space="preserve">&lt;p&gt;I am new to SalesForce and Heroku platform. I am trying to explore and learn as much as possible.&lt;/p&gt;
&lt;p&gt;I have developed React app and deployed to Heroku. Its working as expected, but I am at a stage where I am suppose to make Rest API call to Salesforce and get data from SalesForce Object.&lt;/p&gt;
&lt;p&gt;I tried jsforce, nforce plugins to connect to Salesforce and fetch data. But unable to.&lt;/p&gt;
&lt;p&gt;I used Postman to connect to SalesForce, I am able to connect. But I am getting error when I am trying to connect to Salesforce through code stating (400 bad request).&lt;/p&gt;
&lt;p&gt;I have enable CORS on my environment (sandbox). Please let me know if I am missing some configuration settings, it will be really helpful.&lt;/p&gt;
&lt;pre&gt;&lt;code&gt;var org = nforce.createConnection({
  clientId:
    "3MVG9sLbBxQYwWqvgNjn4MAlHFib10UPpW1IV7IDsN55vY7xaljuzUxvnsVrk",
  clientSecret:
    "F762DF566D8B29455F54EC8176CBC19C54CBE953517AC",
  redirectUri: "https://www.google.com/",
  environment: "sandbox",
  mode: "single",
  autoRefresh: true
});
let creds = {
  username: username,
  password: password + securityToken
};
org.authenticate(creds, function(err, resp) {
  if (!err) {
    console.log("Access Token: " + resp.access_token);
    oauth = resp;
  } else {
    console.log(err);
  }
});
&lt;/code&gt;&lt;/pre&gt;
&lt;p&gt;And below is the error which I am getting:&lt;/p&gt;
&lt;p&gt;&lt;a href="https://i.stack.imgur.com/jH8zu.png" rel="nofollow noreferrer"&gt;&lt;img src="https://i.stack.imgur.com/jH8zu.png" alt="enter image description here"&gt;&lt;/a&gt;&lt;/p&gt;
</t>
  </si>
  <si>
    <t xml:space="preserve">&lt;p&gt;My problem steps:&lt;/p&gt;
&lt;ol&gt;
&lt;li&gt;Login to Salesforce&lt;/li&gt;
&lt;li&gt;Navigate to Reports and create a report on any objects&lt;/li&gt;
&lt;li&gt;There is a one feature called 'Unique Count' value in Column dropdown options.  &lt;a href="https://i.stack.imgur.com/gj7Vj.png" rel="nofollow noreferrer"&gt;Unique Count Feature in Column Dropdown&lt;/a&gt;&lt;/li&gt;
&lt;/ol&gt;
&lt;p&gt;Are there any alternative solutions for &lt;strong&gt;'Unique Count'&lt;/strong&gt; value in salesforce reports, such as any formula or triggers we can implement to achieve same result?&lt;/p&gt;
&lt;p&gt;Please provide possible answers.&lt;/p&gt;
</t>
  </si>
  <si>
    <t xml:space="preserve">&lt;p&gt;We are sharing the calendar events with community user by using below mechanism.&lt;/p&gt;
&lt;ol&gt;
&lt;li&gt;Created a generic account with name “Interview Availability Account” with record type as “Educational Institution”.&lt;/li&gt;
&lt;li&gt;Shared the account record with community users by creating the sharing rules with “Read/Write” access for account.&lt;/li&gt;
&lt;li&gt;Changes the OWD for Activity as “Controlled by Parent” for both internal and External access.&lt;/li&gt;
&lt;li&gt;While creating the calendar event the owner should select the account as “Related To”.&lt;/li&gt;
&lt;/ol&gt;
&lt;p&gt;Then the shared calendar events we are showing to community user in a lightning component. Then community user is selecting the event from lightning component and updating the same successfully.
At the same time we are trying to add the community user as attendee to the event, means we are creating an entry into "EventRelation object" but receiving the “Insert failed. First exception on row 0; first error: INSUFFICIENT_ACCESS_OR_READONLY, null: [] ” error.
We have implemented this logic in apex controller.&lt;/p&gt;
&lt;p&gt;In short, the community user is trying to add himself as an attendee into the event by inserting record into “Event Relation” object and he is getting an insufficient access error on “Event Relation” object.
But at the same time he is able to create, edit and read the Event records.&lt;/p&gt;
&lt;p&gt;Apex Code:&lt;/p&gt;
&lt;pre&gt;&lt;code&gt;Public static boolean bookInterview(Id eventId){
        try{
            /*Add user as a attendee in EventRelation object*/
            EventRelation eveRelation= new EventRelation();
            eveRelation.EventId=eventId;
            eveRelation.RelationId=Userinfo.getUserId();
            Insert eveRelation; 
            /*Add application related info &amp;amp; contact id on Event object */
            User userDetails=[Select ContactId,Email from User where Id =:Userinfo.getUserId()];
            Id applicationId=[Select Id from Application__c where IsActive__c=true and applicant__c=:userDetails.ContactId order by createddate ASC Limit 1].id;
            Event updateEve=[Select WhoId from Event where id=:eventId];
            updateEve.WhoId=userDetails.ContactId;
            updateEve.WhatId=applicationId;
            updateEve.ApplicantEmailId__c=userDetails.Email;
            updateEve.Application__c=applicationId;
            Update updateEve;
            return true; 
        }
        catch(Exception e){
            throw new AuraHandledException(e.getMessage()); 
        }
    }
&lt;/code&gt;&lt;/pre&gt;
</t>
  </si>
  <si>
    <t xml:space="preserve">&lt;p&gt;I'm trying out Powerapps and would like to try out this low code approach.&lt;/p&gt;
&lt;p&gt;The idea is as follows: &lt;/p&gt;
&lt;ol&gt;
&lt;li&gt;Display an Adaptive Card (&lt;a href="https://adaptivecards.io/designer/index.html?card=/payloads/Action.Submit.json" rel="nofollow noreferrer"&gt;going to use the sample one&lt;/a&gt;) to the user using Microsoft Flow/Power Automate application within Teams. &lt;/li&gt;
&lt;li&gt;The user would then input some information on the card and submit it&lt;/li&gt;
&lt;li&gt;Use that input that was submitted to populate another Adaptive Card.&lt;/li&gt;
&lt;/ol&gt;
&lt;p&gt;To illustrate the above, in Power Automate:
&lt;a href="https://i.stack.imgur.com/glfZc.png" rel="nofollow noreferrer"&gt;&lt;img src="https://i.stack.imgur.com/glfZc.png" alt="Shows the three steps as explained above"&gt;&lt;/a&gt;&lt;/p&gt;
&lt;p&gt;Here is how the output is displayed when used in the &lt;a href="https://adaptivecards.io/explorer/Action.Submit.html" rel="nofollow noreferrer"&gt;Schema Explorer for Action.Submit&lt;/a&gt;:
&lt;a href="https://i.stack.imgur.com/XqG9n.png" rel="nofollow noreferrer"&gt;&lt;img src="https://i.stack.imgur.com/XqG9n.png" alt="I would like to get the output like it&amp;#39;s displayed in the popup, for input on another Adaptive Card in Teams to be posted by the Flow bot"&gt;&lt;/a&gt; &lt;/p&gt;
&lt;p&gt;In Microsoft Teams, the Flow bot will display the ticket to the user to be filled in:
&lt;a href="https://i.stack.imgur.com/8UjE7.png" rel="nofollow noreferrer"&gt;&lt;img src="https://i.stack.imgur.com/8UjE7.png" alt="enter image description here"&gt;&lt;/a&gt;&lt;/p&gt;
&lt;p&gt;How can I get the values from the inputs and reuse them in Power Automate. Does anyone know how to get those values and reuse in the next step (see first image) ?&lt;/p&gt;
&lt;p&gt;Thank you in advance for your assistance. Would appreciate any help.&lt;/p&gt;
</t>
  </si>
  <si>
    <t xml:space="preserve">&lt;p&gt;Basically, the problem is that the "submit" action of the Adaptive Card returns the response to the original source, in this case the "Flow Bot". However, Flow Bot is a general bot, and doesn't have a way to route the response back to your individual Flow, and specifically to the instance of the Flow. Thankfully, this is changing - see &lt;a href="https://poszytek.eu/en/microsoft-en/office-365-en/powerautomate-en/register-response-from-custom-adaptive-cards-sent-from-power-automate-to-teams/" rel="nofollow noreferrer"&gt;here&lt;/a&gt; for information. It's not clear from the post whether it will handle the "Bot-to-user" scenario in version 1 though, which I see you use in your solution, and also, as stated in the blog, it's only expected in Feb. So, it would seem there are two options:&lt;/p&gt;
&lt;ol&gt;
&lt;li&gt;Wait till Feb for the new feature&lt;/li&gt;
&lt;li&gt;Create your own Bot to send the cards from, and handle the responses - there are a few small tricky parts here as you need to send the initial message on a schedule, so you'd be using something called "pro-active messaging", but it's not too complex and something there's good guidance on here in Stack Overflow (I've myself answered a few questions recently on it so can help more if you go this route)&lt;/li&gt;
&lt;/ol&gt;
&lt;p&gt;Not an &lt;em&gt;ideal&lt;/em&gt; answer I'm sure you were looking for, but hopefully it helped&lt;/p&gt;
</t>
  </si>
  <si>
    <t xml:space="preserve">&lt;p&gt;This may not be the right place to ask but did Google update their style? Everything is whacky! And Regular and Dark styled checkboxes are not showing properly even though they do seem to assume values.&lt;/p&gt;
&lt;p&gt;I don't see the changes in the templates, so maybe I did something wrong somewhere, but I don't recall messing with global styles or anything like that.&lt;/p&gt;
&lt;p&gt;Can someone help me understand what is going on? Thanks&lt;/p&gt;
&lt;p&gt;&lt;a href="https://i.stack.imgur.com/keMMD.png" rel="nofollow noreferrer"&gt;&lt;img src="https://i.stack.imgur.com/keMMD.png" alt="enter image description here"&gt;&lt;/a&gt;&lt;/p&gt;
&lt;p&gt;EDIT: Answer I found &lt;a href="https://stackoverflow.com/questions/574944/how-to-load-up-css-files-using-javascript"&gt;here&lt;/a&gt; takes care of adding the css to the particular page through javascript, so adding the code into the onAttach function of the page takes care of my issue.&lt;/p&gt;
</t>
  </si>
  <si>
    <t xml:space="preserve">&lt;p&gt;I want to make a complete automated process where users just need to login with Zoho account and it will automatically creates webhook and workflow.&lt;/p&gt;
&lt;p&gt;is it possible with Zoho?&lt;/p&gt;
</t>
  </si>
  <si>
    <t xml:space="preserve">&lt;p&gt;I try to create my fist apps using Microsoft PowerApp, it's minimum to none code involve to my apps. But I faced a weird problem with my apps, that text input in my form apps, covered by phone virtual keyboard, it makes user can't see the input text in the form. My phone is Samsung galaxy S9.&lt;/p&gt;
&lt;blockquote&gt;
  &lt;p&gt;&lt;a href="https://i.stack.imgur.com/06dkYm.jpg" rel="nofollow noreferrer"&gt;&lt;img src="https://i.stack.imgur.com/06dkYm.jpg" alt="enter image description here"&gt;&lt;/a&gt;&lt;/p&gt;
&lt;/blockquote&gt;
&lt;p&gt;How to setting a phone layout for Powerapps to avoid this problem?&lt;/p&gt;
</t>
  </si>
  <si>
    <t xml:space="preserve">&lt;p&gt;I have a SharePoint Calendar that I'm using to track employee vacation time. One of the columns that I have is a calculated column which counts the number of workdays between the start &amp;amp; end date. &lt;/p&gt;
&lt;p&gt;The formula I'm using is:&lt;/p&gt;
&lt;pre&gt;&lt;code&gt;=(DATEDIF([Start Date],[End Time],"D"))-INT(DATEDIF([Start Date],[End Time],"D")/7)*2-IF((WEEKDAY([End Time])-WEEKDAY([Start Date]))&amp;lt;0,2,0)
&lt;/code&gt;&lt;/pre&gt;
&lt;p&gt;When I add a new event using the calendar form the formula works fine and correctly calculates the number of days off. However, when I add time to the calendar using my PowerApp the time is always short by 1 day.&lt;/p&gt;
&lt;p&gt;I thought this might have to do with the site timezone or workweek settings but everything appears to be fine. The workweek is set to Monday - Friday and the region is EST.&lt;/p&gt;
&lt;p&gt;Has anyone ever ran into a similar issue? Any thoughts on how this might be corrected?&lt;/p&gt;
</t>
  </si>
  <si>
    <t xml:space="preserve">&lt;p&gt;I would like to set the &lt;strong&gt;DefaultSelectedItems&lt;/strong&gt; value with multiple person selection from a previous Gallery.&lt;/p&gt;
&lt;p&gt;Since I'm managing multiple people, I need to create a table with the selection but since I don't know the number of records selected by the user, I cannot create it.&lt;/p&gt;
&lt;p&gt;For example, this is the code if the user selects 2 people:&lt;/p&gt;
&lt;p&gt;*&lt;/p&gt;
&lt;pre&gt;&lt;code&gt;Table(
    {
        '@odata.type': "#Microsoft.Azure.Connectors.SharePoint.SPListExpandedUser",
        Claims: First(Gallery1.Selected.'Crew').Claims,
        Value: First(Gallery1.Selected.'Crew').DisplayName
    },
    {
        '@odata.type': "#Microsoft.Azure.Connectors.SharePoint.SPListExpandedUser",
        Claims: Last(Gallery1.Selected.'Crew').Claims,
        Value: Last(Gallery1.Selected.'Crew').DisplayName
    }
)
&lt;/code&gt;&lt;/pre&gt;
&lt;p&gt;*&lt;/p&gt;
&lt;p&gt;How can I generalize it?&lt;/p&gt;
&lt;p&gt;Thanks!&lt;/p&gt;
</t>
  </si>
  <si>
    <t xml:space="preserve">&lt;p&gt;Kindly try the formula below&lt;/p&gt;
&lt;pre&gt;&lt;code&gt;ForAll(Gallery1.AllItems, Crew)
&lt;/code&gt;&lt;/pre&gt;
&lt;p&gt;Let me know if it works or not&lt;/p&gt;
</t>
  </si>
  <si>
    <t xml:space="preserve">&lt;p&gt;I have question related to relation on Google App Maker:&lt;/p&gt;
&lt;blockquote&gt;
  &lt;p&gt;&lt;strong&gt;Table 1: POC&lt;/strong&gt;&lt;br&gt;
  - id&lt;br&gt;
  - POC_name&lt;br&gt;
  - ClientName1_fk&lt;/p&gt;
  &lt;p&gt;&lt;strong&gt;Table 2: ClientName&lt;/strong&gt;&lt;br&gt;
  - id&lt;br&gt;
  - Client_Name&lt;br&gt;
  - Client_Code
  - POCrelated_fk&lt;/p&gt;
&lt;/blockquote&gt;
&lt;p&gt;It's many (&lt;code&gt;POC&lt;/code&gt;) to one (&lt;code&gt;ClientName&lt;/code&gt;) relation.&lt;/p&gt;
&lt;p&gt;On one form
      Panel = POC(Create)
      Panel: Form1 = POC(create)&lt;/p&gt;
&lt;p&gt;Panel:Form1Body &gt; Label: Label 1 = @datasources.POCName.item.Client_Name
Panel:Form1 &gt; Panel: Spring &gt; Textbox: TextBox1 = @datasource.item.POC_name&lt;/p&gt;
&lt;p&gt;Create button contain = &lt;code&gt;widget.datasource.saveChanges()&lt;/code&gt;;&lt;/p&gt;
&lt;p&gt;What I see on database:&lt;/p&gt;
&lt;p&gt;&lt;code&gt;mysql&amp;gt; select * from POC order by Id desc limit 1&lt;/code&gt;;&lt;/p&gt;
&lt;pre&gt;&lt;code&gt;+----+---------------+----------------+
| Id | POC_name      | ClientName1_fk |
+----+---------------+----------------+
| 88 | Johny Sar     | NULL           |
+----+---------------+----------------+
&lt;/code&gt;&lt;/pre&gt;
&lt;p&gt;1 row in set (0.19 sec)&lt;/p&gt;
&lt;p&gt;On &lt;code&gt;ClientName1_fk&lt;/code&gt; contain NULL. Those two table should related. How to create correct relation, so &lt;code&gt;ClientName1_fk&lt;/code&gt; not contain NULL, but it contains ID of &lt;code&gt;clientName&lt;/code&gt;?&lt;/p&gt;
</t>
  </si>
  <si>
    <t xml:space="preserve">&lt;p&gt;I made an Apex Class in the Sandbox to call a List. 
Now I need to implement it in the production. To do so, I need to implement a Test with at least 75% Success.&lt;/p&gt;
&lt;p&gt;The Apex Classe produces a List of “dfind_Research_Projekt__c” from wich “dfind_Potenzieller_Kandidat__c “ is the actual record, I use this list to make an iteration and show all the “dfind_Research_Projekt__c” on the page from “dfind_Potenzieller_Kandidat__c “.&lt;/p&gt;
&lt;p&gt;This is my Apex Class:&lt;/p&gt;
&lt;pre&gt;&lt;code&gt;public with sharing class dfind_Pot_Job_Application_List {
    @AuraEnabled
    //Get Pot Job Application List
    public static  List&amp;lt;dfind_Research_Projekt__c&amp;gt; getJobApp(Id recordId) {
        List&amp;lt;dfind_Research_Projekt__c&amp;gt; JobAppList =  [Select Id, Name, dfind_Potenzieller_Kandidat__c, dfind_Job__c, 
                                                       LastModifiedById, dfind_Bewerbungsdatum__c, dfind_Job_Name__c,
                                                       OwnerId
                                                       from dfind_Research_Projekt__c 
                                                       where dfind_Potenzieller_Kandidat__c = :recordId
                                                       ORDER BY dfind_Bewerbungsdatum__c DESC NULLS LAST];
        return JobAppList;
    }
    //Get User
    @AuraEnabled
    public static user fetchUser(){
        User u = [select id,Name from User where id =: userInfo.getUserId()];
        return u;
    }
}
&lt;/code&gt;&lt;/pre&gt;
&lt;p&gt;This is my test:&lt;/p&gt;
&lt;pre&gt;&lt;code&gt;@isTest
public class TESTdfind_pot_job_app  {
    static testMethod void myUnitTest()  {
        //Create Data for Customer Objet
        cxsrec__Potential_candidate__c objKandi = new cxsrec__Potential_candidate__c();
        objKandi.Name = 'Test Kandidat';
        insert objKandi;
        //Create List
        List&amp;lt;dfind_Research_Projekt__c&amp;gt; listOfPotApp = new List&amp;lt;dfind_Research_Projekt__c&amp;gt;{
            new dfind_Research_Projekt__c(Name='Test Appplication'
                                          , dfind_Job__c='a0w0X000008KKB5QAO'
                                          , dfind_Potenzieller_Kandidat__c = objKandi.Id
                                          , dfind_Bewerbungsdatum__c = Datetime.now()
                                          , OwnerId= '0050X000007vz5MQAQ'),
                new dfind_Research_Projekt__c(Name='Test Appplication 1'
                                              , dfind_Job__c='a0w1x0000013aSRAAY'
                                              , dfind_Potenzieller_Kandidat__c = objKandi.Id
                                              , dfind_Bewerbungsdatum__c = Datetime.now()
                                              , OwnerId= '0050X000007vz5MQAQ'),
                new dfind_Research_Projekt__c(Name='Test Appplication 2'
                                              , dfind_Job__c='a0w1x000000JJSBAA4'
                                              , dfind_Potenzieller_Kandidat__c = objKandi.Id
                                              , dfind_Bewerbungsdatum__c = Datetime.now()
                                              , OwnerId= '0050X000007vz5MQAQ')
                };
        insert(listOfPotApp);
        Test.startTest();  
        // Starts the scope of test
        // Now check if it is giving desired results using system.assert
        // Statement.New invoice should be created
       List&amp;lt;dfind_Research_Projekt__c&amp;gt; JobAppList = new List&amp;lt;dfind_Research_Projekt__c&amp;gt;(listOfPotApp);
        Test.stopTest();     // Ends the scope of test
         for(Integer i=0;i&amp;lt;JobAppList.Size();i++) {
            system.assertEquals(JobAppList[i].dfind_Potenzieller_Kandidat__c,objKandi.Id);
            System.debug(i + 'Kandidat: ' + JobAppList[i].dfind_Potenzieller_Kandidat__c + ';');
            System.debug(i + ': ' + objKandi.Id + ';');
        }
        system.assertEquals(1,1);
    }
}
&lt;/code&gt;&lt;/pre&gt;
</t>
  </si>
  <si>
    <t xml:space="preserve">&lt;p&gt;I want to create a trigger to check if an account exist in another object prior to submission .
The newmember object stores new member request but it has verify if there is an account once the newmember request is submitted for approval.&lt;/p&gt;
&lt;pre&gt;&lt;code&gt;trigger VerifyAcc on Account (after update) {
Id recordTypeId = [Select Id From RecordType Where DeveloperName = 'newmember'].Id;
    if (recordTypeID =='newmember'){
MAP&amp;lt;Id,List&amp;lt;NewMember__c&amp;gt;&amp;gt;Mapnewmemberstoaccounts new MAP&amp;lt;Id,List&amp;lt;NewMember__c&amp;gt;&amp;gt;();
    for(NewMember__c objNewMember:[select Id,name from NewMember__c where
                           Name IN:Trigger.newmap.keyset()])
    {
        if(Mapnewmemberstoaccounts.containsKey(objNewMember.Name)!= null) 
        {
        CalloutException e = new CalloutException();
        e.setMessage('There is no account for this member.');
        throw e;
        }
    }        
    } else{
       CalloutException e = new CalloutException();
        e.setMessage('Couldnt Find anything.');
        throw e;
    } 
}
&lt;/code&gt;&lt;/pre&gt;
&lt;p&gt;Your assistance is highly appreciated.&lt;/p&gt;
</t>
  </si>
  <si>
    <t xml:space="preserve">&lt;pre&gt;&lt;code&gt;trigger VerifyAcc on Account (after update) {
Id recordTypeId = [Select Id From RecordType Where DeveloperName = 'newmember'].Id;
    if (recordTypeID =='newmember'){
&lt;/code&gt;&lt;/pre&gt;
&lt;p&gt;A record type Id will never be equal to the text "newmember". You probably mean to be iterating over &lt;code&gt;Trigger.new&lt;/code&gt; and checking for records whose Record Type Id matches this one.&lt;/p&gt;
&lt;pre&gt;&lt;code&gt;MAP&amp;lt;Id,List&amp;lt;NewMember__c&amp;gt;&amp;gt;Mapnewmemberstoaccounts new MAP&amp;lt;Id,List&amp;lt;NewMember__c&amp;gt;&amp;gt;();
    for(NewMember__c objNewMember:[select Id,name from NewMember__c where
                           Name IN:Trigger.newmap.keyset()])
&lt;/code&gt;&lt;/pre&gt;
&lt;p&gt;&lt;code&gt;Trigger.newMap.keySet()&lt;/code&gt; is a &lt;code&gt;Set&amp;lt;Id&amp;gt;&lt;/code&gt;. Unless the Name field of the &lt;code&gt;NewMember__c&lt;/code&gt; object contains an Account Id, this query will return no data.&lt;/p&gt;
&lt;pre&gt;&lt;code&gt;    {
        if(Mapnewmemberstoaccounts.containsKey(objNewMember.Name)!= null) 
&lt;/code&gt;&lt;/pre&gt;
&lt;p&gt;You never populate the variable &lt;code&gt;Mapnewmemberstoaccounts&lt;/code&gt;, so checking it here will not achieve anything. The method &lt;code&gt;containsKey()&lt;/code&gt; returns a Boolean. It will never return a &lt;code&gt;null&lt;/code&gt; value.&lt;/p&gt;
&lt;pre&gt;&lt;code&gt;        {
        CalloutException e = new CalloutException();
        e.setMessage('There is no account for this member.');
        throw e;
&lt;/code&gt;&lt;/pre&gt;
&lt;p&gt;Your code should not throw a &lt;code&gt;CalloutException&lt;/code&gt; for an error that has nothing to do with a callout. If you wish to stop a specific record from being committed to the database, use the &lt;code&gt;addError()&lt;/code&gt; method on that record alone. Throwing an exception will result in rolling back the entire transaction.&lt;/p&gt;
&lt;pre&gt;&lt;code&gt;        }
    }        
    } else{
       CalloutException e = new CalloutException();
        e.setMessage('Couldnt Find anything.');
        throw e;
&lt;/code&gt;&lt;/pre&gt;
&lt;p&gt;Both arms of this &lt;code&gt;if&lt;/code&gt; statement are coded to throw an exception. That does not make sense; the result will be that (if the enclosing &lt;code&gt;for&lt;/code&gt; loop ever executes) you cannot insert any Accounts because your trigger always throws an exception.&lt;/p&gt;
&lt;p&gt;In rough outline, your trigger should follow a logical path like this:&lt;/p&gt;
&lt;pre&gt;&lt;code&gt;Create a collection variable
for each Account in the trigger set:
    if the Account's record type is "New Member":
        Add the Account's identifier to the set.
Query New Member records matching the Account identifiers.
Build a Map between Identifiers and New Member records.
for each Account in the trigger set:
    if the Account's record type is "New Member":
        Check if the Account's Identifier is in the New Member collection
        If it is, call addError() for this Account
&lt;/code&gt;&lt;/pre&gt;
</t>
  </si>
  <si>
    <t xml:space="preserve">&lt;p&gt;The [ ADD ] button enable when all 3 drop-down are selected. Trying to figure out how to now enable the [ ADD ] when the user enter a number amount on the Quantity TextInput&lt;/p&gt;
&lt;blockquote&gt;
  &lt;p&gt;&lt;a href="https://i.stack.imgur.com/nhTj6.png" rel="nofollow noreferrer"&gt;&lt;img src="https://i.stack.imgur.com/nhTj6.png" alt="enter image description here"&gt;&lt;/a&gt;&lt;/p&gt;
&lt;/blockquote&gt;
&lt;p&gt;&lt;strong&gt;DisplayMode:&lt;/strong&gt; &lt;code&gt;If(IsBlank(drpCategory.Selected.Result) || IsBlank(drpSubCategory.Selected.Result) || IsBlank(drpProductName.Selected.Result),Disabled,Edit)&lt;/code&gt;&lt;/p&gt;
&lt;p&gt;TextInput Properties: I have the following regular expression&lt;/p&gt;
&lt;p&gt;&lt;strong&gt;BorderColor:&lt;/strong&gt; &lt;code&gt;If(Not(IsMatch(txtQuantity.Text, "\d*"))&amp;amp;&amp;amp;!IsBlank(txtQuantity.Text),RGBA(255,0,0,1),RGBA(0,18,107, 1))&lt;/code&gt;&lt;/p&gt;
</t>
  </si>
  <si>
    <t xml:space="preserve">&lt;p&gt;All you have to do is get the value of the quantity field like following:&lt;/p&gt;
&lt;pre&gt;&lt;code&gt;('#IdOfQuantity').change(function(){
  if(typeof ValueOfQuantity =='number'){
    $( "#IdOfButton" ).prop( "disabled", false );
}
});
&lt;/code&gt;&lt;/pre&gt;
</t>
  </si>
  <si>
    <t xml:space="preserve">&lt;p&gt;I have 2 tables, one employer and managers. I created a relations between employer (count: many) and managers (count: one). When i create a new form I can select a manager, but I did not find a way to preselect a default manager. I tried to set in the manager table and in the employer, but both did not work.&lt;/p&gt;
&lt;p&gt;Is it possible to set a default value for a related field?&lt;/p&gt;
&lt;p&gt;thanks!&lt;/p&gt;
</t>
  </si>
  <si>
    <t xml:space="preserve">&lt;p&gt;In salesforce, I am using openCTI API.Now when A is getting call from B which is not save in contact list then one pop-up open for the saving of contact information of B. By this pop-up it will block the background call pick procedure. Please help me how I pick my call without canceling that popup for lightning version .&lt;/p&gt;
</t>
  </si>
  <si>
    <t xml:space="preserve">&lt;p&gt;What is the correct formula to calculate the total per Quantity enter&lt;/p&gt;
&lt;blockquote&gt;
  &lt;p&gt;&lt;a href="https://i.stack.imgur.com/zc5NY.png" rel="nofollow noreferrer"&gt;&lt;img src="https://i.stack.imgur.com/zc5NY.png" alt="PowerApps Form"&gt;&lt;/a&gt;&lt;/p&gt;
&lt;/blockquote&gt;
&lt;p&gt;SharePoint List&lt;/p&gt;
&lt;blockquote&gt;
  &lt;p&gt;&lt;a href="https://i.stack.imgur.com/BagP7.png" rel="nofollow noreferrer"&gt;&lt;img src="https://i.stack.imgur.com/BagP7.png" alt="enter image description here"&gt;&lt;/a&gt;&lt;/p&gt;
&lt;/blockquote&gt;
</t>
  </si>
  <si>
    <t xml:space="preserve">&lt;p&gt;I'm building a Google App Maker app which will allow the user to select a zip file from Google Drive, unzip the file and load it into a database.  I found the follow script which I've tried calling in a server script but I'm getting the error ""gapi" is not defined".   I've tried adding '&lt;a href="https://apis.google.com/js/plus.js?onload=init" rel="nofollow noreferrer"&gt;https://apis.google.com/js/plus.js?onload=init&lt;/a&gt;' as an external resource on the project settings page but didn't resolve the issue.  I'm guessing there must be an 'App Maker' way of using the Drive API to do this just haven't find a sample that shows how.&lt;/p&gt;
&lt;pre&gt;&lt;code&gt;function downloadFile(fileUrl, callback) {
  if (fileUrl) {
    console.log('fileUrl: ' + fileUrl);
    var accessToken = gapi.auth.getToken().access_token;
    var xhr = new XMLHttpRequest();
    xhr.open('GET', file.downloadUrl);
    xhr.setRequestHeader('Authorization', 'Bearer ' + accessToken);
    xhr.onload = function() {
      callback(xhr.responseText);
    };
    xhr.onerror = function() {
      callback(null);
    };
    xhr.send();
  } else {
    console.log('No file Url received.');
    callback(null);
  }
}
&lt;/code&gt;&lt;/pre&gt;
</t>
  </si>
  <si>
    <t xml:space="preserve">&lt;p&gt;We are in the process of migrating the our Salesforce instance from classic to lightning. Just realized that the Content delivery is not supported in lightning. Can anyone suggest me what the work around for achieving this in lightning. I also looked in to the Salesforce documentation&lt;/p&gt;
&lt;p&gt;&lt;code&gt;In Lightning Email generates delivery-based links as email attachments for Lightning Experience users who have access to the Content Deliveries feature.&lt;/code&gt;&lt;/p&gt;
&lt;p&gt;I am not able to understand how Email generates delivery-based links as email attachments, can anyone point me to any links/details to understand this in lightning&lt;/p&gt;
</t>
  </si>
  <si>
    <t xml:space="preserve">&lt;p&gt;Is there is any easy way to covert or migrate my Zoho API Version 1 code to API version 2, I am clue less what and how to do that.&lt;/p&gt;
&lt;p&gt;This is what i did For Version 1,&lt;/p&gt;
&lt;pre&gt;&lt;code&gt;&amp;lt;?php
$auth="a5014536e7303c218e983f9b2da7ae00";
$xml= "
&amp;lt;Leads&amp;gt;
&amp;lt;row no="1"&amp;gt;
&amp;lt;FL val="SMOWNERID"&amp;gt;60001750546&amp;lt;/FL&amp;gt;
&amp;lt;FL val="Lead Owner"&amp;gt;testing@test.com&amp;lt;/FL&amp;gt;
&amp;lt;FL val="Company"&amp;gt;Zoho&amp;lt;/FL&amp;gt;
&amp;lt;FL val="First Name"&amp;gt;Peter&amp;lt;/FL&amp;gt;
&amp;lt;FL val="Last Name"&amp;gt;John&amp;lt;/FL&amp;gt;
&amp;lt;FL val="Designation"&amp;gt;CEO&amp;lt;/FL&amp;gt;
&amp;lt;FL val="Email"&amp;gt;john@test.com&amp;lt;/FL&amp;gt;
&amp;lt;FL val="Phone"&amp;gt;04422334455&amp;lt;/FL&amp;gt;
&amp;lt;/row&amp;gt;
&amp;lt;/Leads&amp;gt;
";
$result = insert($auth,$xml);
print_r($result);
function insert($auth,$xml)
{
$curl_url ="https://crm.zoho.in/crm/private/xml/Leads/insertRecords";
$curl_post_fields= "authtoken=".'$auth'.&amp;amp;scope=crmapi&amp;amp;xmlData=".$xml."";
$ch = curl_int();
curl_setopt( $ch, CURLOPT_URL, $curl_url);
curl_setopt( $ch, CURLOPT_FOLLOWLOCATION,true);
curl_setopt( $ch, CURLOPT_TIMEOUT,60);
curl_setopt( $ch, CURLOPT_POST,1);
curl_setopt( $ch, CURLOPT_SSL_VERIFYPEER,true);
curl_setopt( $ch, CURLOPT_POSTFIELDS,$curl_post_fields);
$response= curl_exec($ch);
curl_close($ch);
return $response;
}
&lt;/code&gt;&lt;/pre&gt;
&lt;p&gt;i have seen zoho official documentation for migrating from version 1 to version 2 but i am unable to do it.&lt;/p&gt;
&lt;p&gt;here is the Version 2 &lt;a href="https://www.zoho.com/crm/developer/docs/api/insert-records.html" rel="nofollow noreferrer"&gt;https://www.zoho.com/crm/developer/docs/api/insert-records.html&lt;/a&gt; link.&lt;/p&gt;
&lt;p&gt;Can some one help me out how to modify the code or some thing to make it work on Version 2.&lt;/p&gt;
</t>
  </si>
  <si>
    <t xml:space="preserve">&lt;p&gt;We are currently working on moveing from Classic UI to Lightning Interface and I would like to get advice from the experts who are already using Lightning Interface.&lt;/p&gt;
&lt;p&gt;I setup all the settings to enable the Customizable Camapaign Influence and I am able to see the Camapign Influence related list on the Lightning Interface with the older Camapign records but the issue is we dont see Add to Camapign button on the related list&lt;/p&gt;
&lt;p&gt;&lt;a href="https://i.stack.imgur.com/vPLW8.png" rel="nofollow noreferrer"&gt;&lt;img src="https://i.stack.imgur.com/vPLW8.png" alt="enter image description here"&gt;&lt;/a&gt;&lt;/p&gt;
&lt;p&gt;As suggested in the forums I created a custom Camapaign Model and made it as default, the issue is it removes all the Camapigns on the existing Opp record.
&lt;a href="https://i.stack.imgur.com/MVGMS.jpg" rel="nofollow noreferrer"&gt;&lt;img src="https://i.stack.imgur.com/MVGMS.jpg" alt="enter image description here"&gt;&lt;/a&gt;
Above picture is on the same Opp record after I enabled the Custom Model as default. I also read this in the Knowledge article &lt;a href="https://help.salesforce.com/articleView?id=000315113&amp;amp;type=1&amp;amp;mode=1" rel="nofollow noreferrer"&gt;here&lt;/a&gt;&lt;/p&gt;
&lt;p&gt;&lt;a href="https://i.stack.imgur.com/DsL4g.png" rel="nofollow noreferrer"&gt;&lt;img src="https://i.stack.imgur.com/DsL4g.png" alt="enter image description here"&gt;&lt;/a&gt;&lt;/p&gt;
&lt;p&gt;Do we need to create workflows to add Camapign to Opp with default model? Can anyone please share the info on this&lt;/p&gt;
</t>
  </si>
  <si>
    <t xml:space="preserve">&lt;p&gt;I have a problem connecting app maker with Google Cloud Platform. First I created two tables with one(department) to many(employee) relation. I also created an employee form.&lt;/p&gt;
&lt;p&gt;Datasource on panel using employee, and on form using &lt;code&gt;inherited:employee(create)&lt;/code&gt;. Submit button using &lt;code&gt;SaveChanges To Datasource&lt;/code&gt;. My Problem is, when I create the first record, it only saves employee data, while &lt;code&gt;department_fk&lt;/code&gt; is empty.&lt;/p&gt;
&lt;p&gt;When I create the second record, it will create data, but the &lt;code&gt;department_fk&lt;/code&gt; will be placed on the first record.&lt;/p&gt;
&lt;pre&gt;&lt;code&gt;+------+--------+---------------+-----------------------+-----------+
|  id  |  name  | department_fk |         email         |   phone   |
+------+--------+---------------+-----------------------+-----------+
| 150  | john   | 262           | bermuara@gmail.com    | 3393939   |
| 151  | brian  | NULL          | takdungder@gmail.com  | 03030303  |
+------+--------+---------------+-----------------------+-----------+
&lt;/code&gt;&lt;/pre&gt;
&lt;p&gt;On the above record, brian should be in &lt;code&gt;department_fk 262&lt;/code&gt;, but it assigns it on john's record. How do I fix it?&lt;/p&gt;
</t>
  </si>
  <si>
    <t xml:space="preserve">&lt;p&gt;I can not post a comment to another question that exists out there,  so I am asking my own question. I have a drop down,  that consists of "employee name".   I want a date box to auto-populate based on the result of the name selected.   I.E.  John Smith is selected and his DOB is 01/02/1987,  I want this second box to return 01/02/1987.&lt;/p&gt;
&lt;p&gt;Things I have tried:&lt;/p&gt;
&lt;p&gt;Server side script function,  calling function -- RESULT:  Function not found
Client side script function,  Calling function -- RESULT:  function found,  but can't find references to datasources&lt;/p&gt;
&lt;p&gt;On another post,  someone recommended doing options in the dropdown to being @&lt;code&gt;datasources.Events.items&lt;/code&gt; and then the onChangeEvent being   &lt;code&gt;widget.root.descendants.DateBox1.value = newValue.Date;&lt;/code&gt;&lt;/p&gt;
&lt;p&gt;I have tried this,  however,  I can not stop the "options" at "items".  I am required to proceed through to items.projects.fieldName.  Since I am selecting the fieldName on requirement,   the newValue isn't returning the date based off that field.  It simply says "undefined value"&lt;/p&gt;
&lt;p&gt;How should I populate one date box based on the result set of the dropdown box?&lt;/p&gt;
</t>
  </si>
  <si>
    <t xml:space="preserve">&lt;p&gt;&lt;strong&gt;What I have:&lt;/strong&gt;
As of now, I have created a Form (editable) where the user can enter their Name, Number, and Birthday, then hit the submit button, and that data is then entered into a Data Table. This information is also stored into Google Sheets for which I have created a flow. (when the user hits "submit", trigger the data to be updated into the google sheet).&lt;/p&gt;
&lt;p&gt;&lt;strong&gt;What I need:&lt;/strong&gt; 
 I would like users to be able to mess with the submitted data in the app itself (add a row, delete a row when you click on it, edit the row's info, etc), so essentially my powerapp is a nice front end for the Google Sheet. Is it possible to mess with the data once it is entered into the data table?&lt;/p&gt;
&lt;p&gt;Any help how to do this would be appreciated. &lt;/p&gt;
&lt;blockquote&gt;
  &lt;p&gt;&lt;a href="https://i.stack.imgur.com/9rwYI.png" rel="nofollow noreferrer"&gt;&lt;img src="https://i.stack.imgur.com/9rwYI.png" alt="enter image description here"&gt;&lt;/a&gt;&lt;/p&gt;
&lt;/blockquote&gt;
</t>
  </si>
  <si>
    <t xml:space="preserve">&lt;pre&gt;&lt;code&gt;SELECT
         '2016 - 17' as 'Years',
         SUM("svalue") as 'Value',
         'Sale' as 'Type',
         "code" as 'FACode',
         'Apr 1 - Jan 31' as 'Period'
FROM  "FCJOIN" 
WHERE    "code"  IN
    (
    SELECT "fccode"
    FROM  "fcdetails" 
    )
 AND    (("year"  = '2016' AND  "month"  &amp;gt;= '04')
 OR ("year"  = '2017' AND   "month"  &amp;lt;= '01'))
GROUP BY  "code" 
UNION ALL
 SELECT
         '2017 - 18' as 'Years',
         SUM("svalue") as 'Value',
         'Sale' as 'Type',
         "code" as 'FACode',
         'Apr 1 - Jan 31' as 'Period'
FROM  "FCJOIN" 
WHERE    "code"  IN
    (
    SELECT "fccode"
    FROM  "fcdetails" 
    )
 AND    (("year"  = '2017' AND  "month"  &amp;gt;= '04')
 OR ("year"  = '2018' AND   "month"  &amp;lt;= '01'))
GROUP BY  "code" 
UNION ALL
 SELECT
         '2018 - 19' as 'Years',
         SUM("svalue") as 'Value',
         'Sale' as 'Type',
         "code" as 'FACode',
         'Apr 1 - Jan 31' as 'Period'
FROM  "FCJOIN" 
WHERE    "code"  IN
    (
    SELECT "fccode"
    FROM  "fcdetails" 
    )
 AND    (("year"  = '2018' AND  "month"  &amp;gt;= '04')
 OR ("year"  = '2019' AND   "month"  &amp;lt;= '01'))
GROUP BY  "code" 
UNION ALL
 SELECT
         '2019 - 20' as 'Years',
         SUM("svalue") as 'Value',
         'Sale' as 'Type',
         "code" as 'FACode',
         'Apr 1 - Jan 31' as 'Period'
FROM  "FCJOIN" 
WHERE    "code"  IN
    (
    SELECT "fccode"
    FROM  "fcdetails" 
    )
 AND    (("year"  = '2019' AND  "month"  &amp;gt;= '04')
 OR ("year"  = '2020' AND   "month"  &amp;lt;= '01'))
GROUP BY  "code"
&lt;/code&gt;&lt;/pre&gt;
&lt;p&gt;From the above query I am getting SUM(svalue) for the period of&lt;/p&gt;
&lt;pre&gt;&lt;code&gt;April 2016 - Jan 2017  
April 2017 - Jan 2018  
April 2018 - Jan 2019   
April 2019 - Jan 2020
&lt;/code&gt;&lt;/pre&gt;
&lt;p&gt;Is it possible to simplify this query ? I don't want &lt;code&gt;UNION ALL&lt;/code&gt; - when I use this query in zoho they limit for the total number of &lt;code&gt;UNION ALL&lt;/code&gt; (139) which I used in full query to get the complete result. Is there any way to rewrite the above query by which we get the same result. Thank you.&lt;/p&gt;
</t>
  </si>
  <si>
    <t xml:space="preserve">&lt;p&gt;You can do this by constructing your &lt;code&gt;Years&lt;/code&gt; value and then grouping by it as well as &lt;code&gt;code&lt;/code&gt;. For example:&lt;/p&gt;
&lt;pre&gt;&lt;code&gt;WITH yearly AS (
  SELECT CONCAT(CASE WHEN month &amp;lt; 4 THEN year -1  ELSE year END,
                ' - ',
                CASE WHEN month &amp;lt; 4 THEN year ELSE year + 1 END) AS 'Years',
         svalue,
         code AS 'FACode'
  FROM fcjoin
  WHERE code IN (SELECT fccode FROM fcdetails)
  AND month = 1 OR month &amp;gt; 3
)
SELECT Years, 
       SUM(svalue) AS 'Value',
       'Sale' AS 'Type', 
       FACode,
       'Apr 1 - Jan 31' AS 'Period'
FROM yearly
GROUP BY Years, FACode
ORDER BY Years, FACode
&lt;/code&gt;&lt;/pre&gt;
&lt;p&gt;&lt;a href="https://dbfiddle.uk/?rdbms=sqlserver_2016&amp;amp;fiddle=ad141b2b9fe188d1e3032cbe001ad553" rel="nofollow noreferrer"&gt;Demo on dbfiddle&lt;/a&gt;&lt;/p&gt;
&lt;p&gt;If your environment doesn't support CTEs, you can write &lt;code&gt;yearly&lt;/code&gt; as a subquery instead:&lt;/p&gt;
&lt;pre&gt;&lt;code&gt;SELECT Years, 
       SUM(svalue) AS 'Value',
       'Sale' AS 'Type', 
       FACode,
       'Apr 1 - Jan 31' AS 'Period'
FROM (
  SELECT CONCAT(CASE WHEN month &amp;lt; 4 THEN year -1  ELSE year END,
                ' - ',
                CASE WHEN month &amp;lt; 4 THEN year ELSE year + 1 END) AS 'Years',
         svalue,
         code AS 'FACode'
  FROM fcjoin
  WHERE code IN (SELECT fccode FROM fcdetails)
  AND month = 1 OR month &amp;gt; 3
) yearly
GROUP BY Years, FACode
ORDER BY Years, FACode
&lt;/code&gt;&lt;/pre&gt;
&lt;p&gt;&lt;a href="https://dbfiddle.uk/?rdbms=sqlserver_2016&amp;amp;fiddle=c87b2679faa72bb234ea0062d2d85dcb" rel="nofollow noreferrer"&gt;Demo on dbfiddle&lt;/a&gt;&lt;/p&gt;
</t>
  </si>
  <si>
    <t xml:space="preserve">&lt;p&gt;I am having the dashboard page on the visualforce page But the problem is when rendering my VF page as the pdf it is showing nothing. I want that all my content which is showing on the visualforce page will come in the pdf&lt;/p&gt;
&lt;p&gt;Code:&lt;/p&gt;
&lt;p&gt;pade and controller:&lt;/p&gt;
&lt;pre&gt;&lt;code&gt; &amp;lt;apex:page controller="converttopdf" action="{!methodone}" renderAs="pdf"&amp;gt;
           &amp;lt;apex:form &amp;gt;
             &amp;lt;apex:outputText value="{!output}" escape="false" &amp;gt; &amp;lt;/apex:outputText&amp;gt;
           &amp;lt;/apex:form&amp;gt;
        &amp;lt;/apex:page&amp;gt;
public with sharing class converttopdf {
public string output {set; get;}
public PageReference methodone()
{
PageReference ref = new PageReference('');
Blob jsonresponse=ref.getcontentAsPDF();
System.debug('getcontentAsPDF jsonresponse'+jsonresponse);
System.debug('ref.getcontentAsPDF()'+ref.getcontentAsPDF());
output=ref.getcontent().tostring();
return null;
}
}
&lt;/code&gt;&lt;/pre&gt;
&lt;p&gt;&lt;a href="https://i.stack.imgur.com/xNply.png" rel="nofollow noreferrer"&gt;Screenshot&lt;/a&gt; :--Without using renderAs="PDF"&lt;/p&gt;
</t>
  </si>
  <si>
    <t xml:space="preserve">&lt;p&gt;I want to integrate Twilio in Google App Maker. Is it possible? Does Google App Maker support third party services integrations? I am working on an app, which will send and receive messages using Twilio. I need to setup a webhook to receive events from Twilio. I couldn't find a way to call App Maker server scripts from outside.&lt;/p&gt;
&lt;p&gt;Also, can we use socket.io in Google App Maker?&lt;/p&gt;
</t>
  </si>
  <si>
    <t xml:space="preserve">&lt;p&gt;I logged in Into Omnni Channel Salesforce then externally or within salesforce that user is logged in into omnni channel or not&lt;/p&gt;
</t>
  </si>
  <si>
    <t xml:space="preserve">&lt;p&gt;I had created Zoho API which was using Version one now they migrate into Version two,
My version 1 php code which is using curl function is working perfectly fine which is mention below,&lt;/p&gt;
&lt;pre&gt;&lt;code&gt;&amp;lt;?php
$auth="a5014536e7303c218e983f9b2da7ae00";
$xml= "
&amp;lt;Leads&amp;gt;
&amp;lt;row no="1"&amp;gt;
&amp;lt;FL val="City"&amp;gt;Chennai&amp;lt;/FL&amp;gt;
&amp;lt;/row&amp;gt;
&amp;lt;/Leads&amp;gt;
";
$result = insert($auth,$xml);
print_r($result);
function insert($auth,$xml)
{
$curl_url ="https://crm.zoho.in/crm/private/xml/Leads/insertRecords";
$curl_post_fields= "authtoken=".'$auth'.&amp;amp;scope=crmapi&amp;amp;xmlData=".$xml."";
$ch = curl_int();
curl_setopt( $ch, CURLOPT_URL, $curl_url);
curl_setopt( $ch, CURLOPT_FOLLOWLOCATION,true);
curl_setopt( $ch, CURLOPT_TIMEOUT,60);
curl_setopt( $ch, CURLOPT_POST,1);
curl_setopt( $ch, CURLOPT_SSL_VERIFYPEER,true);
curl_setopt( $ch, CURLOPT_POSTFIELDS,$curl_post_fields);
$response= curl_exec($ch);
curl_close($ch);
return $response;
}
?&amp;gt; 
&lt;/code&gt;&lt;/pre&gt;
&lt;p&gt;But when i migrate to Version Two By using ZOHO Documention &lt;a href="https://www.zoho.com/crm/developer/docs/api/migration-v2.html" rel="nofollow noreferrer"&gt;API Documentation 1&lt;/a&gt; &lt;a href="https://www.zoho.com/crm/developer/docs/api/insert-records.html" rel="nofollow noreferrer"&gt;API Documentation 2&lt;/a&gt;
It wont run i dont know why some times it gives White Screen Error Some times 500 Error below is the Version 2 Code.&lt;/p&gt;
&lt;pre&gt;&lt;code&gt;&amp;lt;?php
   $apiUrl = "https://www.zohoapis.com/crm/v2/Leads/";
$fields = json_encode(array("data" =&amp;gt; array(["City" =&amp;gt; "Egham"])));
$headers = array(
    'Content-Type: application/json',
    'Content-Length: ' . strlen($fields),
    'Authorization: Zoho-oauthtoken 4869c41171910edf553c07461c59a059',
);
$ch = curl_init();
curl_setopt($ch, CURLOPT_URL, $apiUrl);
curl_setopt($ch, CURLOPT_HTTPHEADER, $headers);
curl_setopt($ch, CURLOPT_CUSTOMREQUEST, "PUT");
curl_setopt($ch, CURLOPT_POSTFIELDS, $fields);
curl_setopt($ch, CURLOPT_RETURNTRANSFER, 1);
curl_setopt($ch, CURLOPT_CONNECTTIMEOUT, 60);
curl_setopt($ch, CURLOPT_TIMEOUT, 60);
$response = curl_exec($ch);
curl_close($ch);
return $response;
?&amp;gt;
&lt;/code&gt;&lt;/pre&gt;
&lt;p&gt;Can any one tell me what i am doing wrong or can help me with modify the code?&lt;/p&gt;
</t>
  </si>
  <si>
    <t xml:space="preserve">&lt;p&gt;I'm trying to fetch data from Google search console (GSC) through http request.&lt;/p&gt;
&lt;p&gt;I'm using google app Maker with javascript.&lt;/p&gt;
&lt;p&gt;For my purpose I'm using a service account, all the scopes are already set up for the account.&lt;/p&gt;
&lt;p&gt;I've copied the code provided by @Morfinismo.&lt;/p&gt;
&lt;pre&gt;&lt;code&gt;/*********** SERVICE ACCOUNT CONFIGURATION USING THE OAUTH LIBRARY ***********
** All of the values are obtained from the .json file that is downloaded at
** the time of the service account creation
** Ref: https://developers.google.com/identity/protocols/OAuth2ServiceAccount
** Ref: https://github.com/googlesamples/apps-script-oauth2
*/
var accessData = {
  "private_key" : "-----BEGIN PRIVATE KEY-----THE KEY-----END PRIVATE KEY-----\n",
  "client_email" : "searchconsolebot@project-id-xxxxxxxxxxxxxxx.iam.gserviceaccount.com",
  "user_email" : "user@domain.com" // Why do we need a user mail ?
};
var scopes = ["https://www.googleapis.com/auth/webmasters", "https://www.googleapis.com/auth/webmasters.readonly"]; //GSC api scope
scopes = scopes.join(" "); //join all scopes into a space separated string
function getOAuthService(user) {
  console.log("je passe par getOAuthService");
  user = user || accessData.user_email;
  console.log("user: " + user);
  return OAuth2.createService("GSC_Service_Account")
    .setTokenUrl('https://accounts.google.com/o/oauth2/token')
    .setPrivateKey(accessData.private_key)
    .setIssuer(accessData.client_email)
    .setSubject(user)
    .setPropertyStore(PropertiesService.getScriptProperties())
    .setCache(CacheService.getUserCache())
    .setParam('access_type', 'offline')
    .setScope(scopes);
}
function reset(user) {
  var service = getOAuthService(user);
  console.log("service: " + service);
  service.reset();
  return service;
}
function getToken(userEmail){
  var totoken = reset(userEmail).getAccessToken();
  console.log(totoken);
  return reset(userEmail).getAccessToken();
}
function getGCSUrlData(urlGiven){
  var token = getToken();
  if(token){
    var reqBody = {
      startDate: "2019-01-01",
      endDate: "2020-01-23"
    };
    var options = {
      method : 'POST',           
      headers : {
        Authorization : 'Bearer ' + token,
      },
      contentType: 'application/json',
      payload: JSON.stringify(reqBody),
      muteHttpExceptions: true,
    };
    var url = "https://www.googleapis.com/webmasters/v3/sites/" + encodeURIComponent(urlGiven) + "/searchAnalytics/query";
    var response = UrlFetchApp.fetch(url, options);
    console.log(response);
  }
}
&lt;/code&gt;&lt;/pre&gt;
&lt;p&gt;Using the OAuth library seems really great but it does return me an error&lt;/p&gt;
&lt;pre&gt;&lt;code&gt;Error: Access not granted or expired. at getToken (Service_Account_Config:46)
&lt;/code&gt;&lt;/pre&gt;
&lt;p&gt;Also I noticed that &lt;code&gt;getToken()&lt;/code&gt; method requires a param but when calling it we don't give any param is it normal ?
And why do we need a user_email since we are using a service account ?
Which email should I enter for the user_email then ?&lt;/p&gt;
&lt;p&gt;I would really appreciate some help about this issue and any advice to understand this kind of issue.&lt;/p&gt;
&lt;p&gt;Thanks a lot,
Jacky&lt;/p&gt;
</t>
  </si>
  <si>
    <t xml:space="preserve">&lt;p&gt;&lt;a href="https://powerusers.microsoft.com/t5/Building-Power-Apps/Standard-connectors-moving-to-premium/td-p/382248" rel="nofollow noreferrer"&gt;This link&lt;/a&gt; lists connectors moving from standard to premium in Flow and Powerapps.
Will they also move to premium for logic apps which are Azure rather than Office365 based.&lt;/p&gt;
</t>
  </si>
  <si>
    <t xml:space="preserve">&lt;p&gt;For your concern about the connectors moving from standard to premium in logic app, I think you can raise a support ticket on Azure portal by following this &lt;a href="https://docs.microsoft.com/en-us/azure/azure-portal/supportability/how-to-create-azure-support-request" rel="nofollow noreferrer"&gt;link&lt;/a&gt;. The azure support team can provide you a professional answer.&lt;/p&gt;
</t>
  </si>
  <si>
    <t xml:space="preserve">&lt;p&gt;I have a client-side calculated database with a query script defined in the client scripts. The only purpose of the database is to serve as the datasource to a line chart.&lt;/p&gt;
&lt;p&gt;The database is calculated by loading another database and doing some operations on the data. Almost the entirety of the calculation is done in the load function's completed callback, including the part where the records are sent back in &lt;code&gt;callback.success(record_list);&lt;/code&gt;.&lt;/p&gt;
&lt;p&gt;I am getting a very weird behaviour. Sometimes all goes well, sometimes I get the below error message, originating at the line of &lt;code&gt;callback.success(record_list);&lt;/code&gt;:&lt;/p&gt;
&lt;p&gt;&lt;code&gt;Path segment does not exist: _proj. Node name: Unknown&lt;/code&gt;&lt;/p&gt;
&lt;p&gt;Once I get this message, if I redirect to another page I can't redirect back to the page with the chart widgets and the app pretty much hangs and becomes unusable. I also get the same error message originating at the redirection line.&lt;/p&gt;
&lt;p&gt;I have no idea what I am doing wrong. I have another client-side calculated database for a pie chart with almost the same structure of loading data and calculation and it works fine (does require a reload of the calculated database but that's it). Any idea what is going on?&lt;/p&gt;
&lt;p&gt;EDIT: it seems to be happening when I preview immediately the page containing the chart widgets. Starting at a different page and navigating to the page in question has been showing no issues. Does this mean it's just a mess up in the order of loads and timed out events?&lt;/p&gt;
</t>
  </si>
  <si>
    <t xml:space="preserve">&lt;p&gt;I'm after a specific type of polar chart in Outsystems &amp;amp; have scrabbled around to piece something together, &amp;amp; got very close. I can't quite get images to display as labels correctly.&lt;/p&gt;
&lt;p&gt;I've set up a &lt;a href="https://jsfiddle.net/swwebb1/5jobf8xd/1/" rel="nofollow noreferrer"&gt;JSFiddle&lt;/a&gt; which works fine. Output:&lt;/p&gt;
&lt;p&gt;&lt;a href="https://i.stack.imgur.com/70kYO.png" rel="nofollow noreferrer"&gt;&lt;img src="https://i.stack.imgur.com/70kYO.png" alt="JSFiddle_Output"&gt;&lt;/a&gt;&lt;/p&gt;
&lt;p&gt;When I run the same code through Outsystems, it comes back with the following:&lt;/p&gt;
&lt;p&gt;&lt;a href="https://i.stack.imgur.com/OoyYD.png" rel="nofollow noreferrer"&gt;&lt;img src="https://i.stack.imgur.com/OoyYD.png" alt="Outsystems_output"&gt;&lt;/a&gt;&lt;/p&gt;
&lt;p&gt;Going through DevTools in Chrome on the Outsystems output, the images exist, but aren't displaying. When I disable the &lt;code&gt;position: absolute&lt;/code&gt; style, it brings them up, but slightly in the wrong position. See below (note, using a different image to test for now):&lt;/p&gt;
&lt;p&gt;&lt;a href="https://i.stack.imgur.com/3logu.png" rel="nofollow noreferrer"&gt;&lt;img src="https://i.stack.imgur.com/3logu.png" alt="Outsystems_wo_position"&gt;&lt;/a&gt;&lt;/p&gt;
&lt;p&gt;Any ideas of where to look to correct this? Have people experienced similar issues?&lt;/p&gt;
&lt;p&gt;I can post the Outsystems script which I'm using is helpful..&lt;/p&gt;
</t>
  </si>
  <si>
    <t xml:space="preserve">&lt;p&gt;How to export Google App Maker app to own server? I know it is possible to export app structure, but I cannot find tool to convert it to standalone app.&lt;/p&gt;
&lt;p&gt;This files I can export from system:
- MANIFEST.json
- application.json
and folders with JSON files:
- models
- pages
- relations
- scripts (and JS files)&lt;/p&gt;
</t>
  </si>
  <si>
    <t xml:space="preserve">&lt;p&gt;I'd like to programmatically update a user profile to grant and revoke access to a Connected App.&lt;/p&gt;
</t>
  </si>
  <si>
    <t xml:space="preserve">&lt;p&gt;I made a drive picker for attaching files in a description of a ticket.
I want to be able to attach more than one file so I made in the features of the Drive Picker "MULTISELECT_ENABLED",Now I can select more than one item from my drive but it return one item only.
I want to know how to return the array of the selected items?
&lt;a href="https://i.stack.imgur.com/PEw1c.png" rel="nofollow noreferrer"&gt;&lt;img src="https://i.stack.imgur.com/PEw1c.png" alt="MULTISELECT_ENABLED feature"&gt;&lt;/a&gt;
&lt;a href="https://i.stack.imgur.com/N2k27.png" rel="nofollow noreferrer"&gt;&lt;img src="https://i.stack.imgur.com/N2k27.png" alt="enter image description here"&gt;&lt;/a&gt;&lt;/p&gt;
&lt;p&gt;Also when I searched for that, I found that uploading a new item to your drive using drive picker would cause a problem if another user wants to see this item, he will not be able due to sharing options.
I want to know how to be able to attach more than an item in the description of a ticket whether by a drive picker or not.&lt;/p&gt;
&lt;p&gt;Update1:&lt;/p&gt;
&lt;p&gt;I created a new table for the attachments instead of putting its fields in Tickets table and made a relation One to Many.
I modified the code in the proposed answer on Document select:&lt;/p&gt;
&lt;pre&gt;&lt;code&gt;// onDocumentSelect Drive Picker's event handler
var create = widget.root.datasource.relations.Tickets_Attachments.modes.create;
var tickets = app.datasources.Tickets;
var attachments = app.datasources.Tickets_Attachments;
result.docs.forEach(function(doc) {
  create.item.Attachment_name = doc.url;
  attachments.saveChanges();
  create.createItem();
});
tickets.saveChanges();
&lt;/code&gt;&lt;/pre&gt;
&lt;p&gt;But this error appeared:
"Cannot create new record in relation datasource unless parent record exists."
So changed the code to the above one and  saved the changes after creating an attachment item but nothing changed.
&lt;a href="https://i.stack.imgur.com/7zG8D.png" rel="nofollow noreferrer"&gt;&lt;img src="https://i.stack.imgur.com/7zG8D.png" alt="One to Many relationship"&gt;&lt;/a&gt;
&lt;a href="https://i.stack.imgur.com/p5jfD.png" rel="nofollow noreferrer"&gt;&lt;img src="https://i.stack.imgur.com/p5jfD.png" alt="Attachments_Tickets Table inside create Ticket"&gt;&lt;/a&gt;&lt;/p&gt;
</t>
  </si>
  <si>
    <t xml:space="preserve">&lt;p&gt;I have question for Google App Maker.&lt;/p&gt;
&lt;p&gt;I need a delete confirmation for every record on table. I already learn this url &lt;a href="https://stackoverflow.com/questions/53115362/dynamically-bind-data-source-to-app-maker-popup"&gt;Dynamically Bind Data source to app maker popup&lt;/a&gt;,  but It's not work with my case. What I did is :&lt;br&gt;&lt;/p&gt;
&lt;p&gt;a. On delete button, I set script :&lt;br&gt;
    widget.datasource.deleteItem(widget.parent.datasource);  &lt;/p&gt;
&lt;p&gt;b. On Confirmation button, I put script :&lt;br&gt;
    // GENERATED CODE: Add your action below.&lt;/p&gt;
&lt;pre&gt;&lt;code&gt;if (typeof widget.root.properties.CallbackFn === 'function') {
widget.root.properties.CallbackFn();    
}
widget.root.visible = false;
app.closeDialog();
&lt;/code&gt;&lt;/pre&gt;
&lt;p&gt;c. On Client Script, I put :&lt;/p&gt;
&lt;pre&gt;&lt;code&gt;function deleteItem(datasource) {
var popup = app.popups.ConfirmationDialog;
var datasource2 = datasource;
popup.properties.CallbackFn = function() {
    datasource.deleteItem();
      };
popup.visible = true;
}
&lt;/code&gt;&lt;/pre&gt;
&lt;p&gt;The result, I able to  delete record, but no confirmation. Tell me know, what wrong with my script. 
@markus-malessa&lt;/p&gt;
</t>
  </si>
  <si>
    <t xml:space="preserve">&lt;p&gt;I'm trying to update a blueprint "Transition" to next transition using v2 Api. but i am getting invalid data error. Please any feedback Or help &lt;/p&gt;
&lt;p&gt;&lt;strong&gt;this is my data pass to Api:&lt;/strong&gt;&lt;/p&gt;
&lt;pre&gt;&lt;code&gt;$data = {
    "blueprint":[
        {
            "transition_id":"0987654321551212",
            "data":{
                "next_field_value"=&amp;gt;"Solution Development",
                "id"=&amp;gt;"123456789009887"
                }
                }
                ]
}
dealid = "12556780098955";
$token = "1000.0axxxxxxxxxxxxxxxxxxx.52xxxxxxxxxxxxxxxxxxxxxxx";
&lt;/code&gt;&lt;/pre&gt;
&lt;p&gt;&lt;strong&gt;====this is my Curl Code=====&lt;/strong&gt;&lt;/p&gt;
&lt;pre&gt;&lt;code&gt;$curl = curl_init();
curl_setopt_array($curl, array(
CURLOPT_URL =&amp;gt; "https://www.zohoapis.com/crm/v2/Deals/".$dealId."/actions/blueprint",
CURLOPT_RETURNTRANSFER =&amp;gt; true,
CURLOPT_ENCODING =&amp;gt; "",
CURLOPT_MAXREDIRS =&amp;gt; 10,
CURLOPT_TIMEOUT =&amp;gt; 0,
CURLOPT_FOLLOWLOCATION =&amp;gt; true,
CURLOPT_HTTP_VERSION =&amp;gt; CURL_HTTP_VERSION_1_1,
CURLOPT_CUSTOMREQUEST =&amp;gt; "POST",
CURLOPT_POSTFIELDS =&amp;gt; $data,
CURLOPT_HTTPHEADER =&amp;gt; array(
"Authorization: Zoho-oauthtoken ".$token,
"Content-Type: application/json"
),
));
$response = curl_exec($curl);
curl_close($curl);
echo $response;
&lt;/code&gt;&lt;/pre&gt;
&lt;p&gt;====================================
&lt;strong&gt;And this the response (Error)&lt;/strong&gt;&lt;/p&gt;
&lt;p&gt;{code: "INVALID_DATA", details: {}, message: "invalid data", status: "error"}
code: "INVALID_DATA"
details: {}
message: "invalid data"
status: "error"&lt;/p&gt;
</t>
  </si>
  <si>
    <t xml:space="preserve">&lt;p&gt;I have edited the lead object in salesforce.  We have added brands to it.  And brand has a product range.
I have found where i can define how the Lead Brands look when viewing them.  But i don't seem to find where i can control how the new screen looks.  I want to add a field to the new screen and make the height higher.  Anyone any ideas?&lt;/p&gt;
&lt;p&gt;&lt;a href="https://i.stack.imgur.com/DHyTg.png" rel="nofollow noreferrer"&gt;&lt;img src="https://i.stack.imgur.com/DHyTg.png" alt="Lead layout"&gt;&lt;/a&gt;&lt;/p&gt;
&lt;p&gt;So the overview of the lead brands has the Brand name and the product range, as desired.  The popup however only has the product range to be filled (Brand is based on product range so it works, but i want to display it, and even make the second dropdown dependend on the first).  Where do i find how to edit this new popup (screen added below)&lt;/p&gt;
&lt;p&gt;&lt;a href="https://i.stack.imgur.com/CegSN.png" rel="nofollow noreferrer"&gt;&lt;img src="https://i.stack.imgur.com/CegSN.png" alt="enter image description here"&gt;&lt;/a&gt;&lt;/p&gt;
</t>
  </si>
  <si>
    <t xml:space="preserve">&lt;p&gt;I have a canvas app that uses a custom connector for an on premise data source. I am using an on-prem PowerBI Gateway to route the traffic for the custom connector. I have the checkbox marked to allow custom connectors through:&lt;/p&gt;
&lt;p&gt;&lt;a href="https://i.stack.imgur.com/aef0v.png" rel="nofollow noreferrer"&gt;&lt;img src="https://i.stack.imgur.com/aef0v.png" alt="enter image description here"&gt;&lt;/a&gt;&lt;/p&gt;
&lt;p&gt;The app and connector work great for my own O365 user with no issues. I shared it with a non-admin user and they were unable to get past the connector's Basic authentication. The error was saying the did not have BI gateway permissions, and it stopped the request before it could even connect to my on-prem data source. The only way I have gotten this to work is to make my user an Admin on my BI Gateway. This is not a realistic option, as I want to distribute the app across my organization. &lt;/p&gt;
&lt;p&gt;&lt;strong&gt;How can I give non-admin power app users permission to access my custom data source through my on-prem gateway?&lt;/strong&gt; &lt;/p&gt;
&lt;p&gt;For reference sake, I have confirmed that it is not a licensing issue on the Power Apps side. I have users who have a full admin power apps license, and others who are licensed for D365 who should have acess to on-prem data and custom connectors:&lt;/p&gt;
&lt;p&gt;&lt;a href="https://go.microsoft.com/fwlink/?LinkId=2085130&amp;amp;clcid=0x409" rel="nofollow noreferrer"&gt;https://go.microsoft.com/fwlink/?LinkId=2085130&amp;amp;clcid=0x409&lt;/a&gt;&lt;/p&gt;
</t>
  </si>
  <si>
    <t xml:space="preserve">&lt;p&gt;I have implemented live agent API to set up an agent in java. I am able to send and receive simple text messages to the chat visitor. But I want to send some rich messages (just like einstein sends option/buttons to the chat window). If I try to send the JSON/HTML as a message then it is encoded and displayed as a string in client chat window but I want to display the HTML or some kind of options that can be selected by the user and user don't need to type anything.
Please comment if anyone has an idea about this.  Thanks in advance!&lt;/p&gt;
</t>
  </si>
  <si>
    <t xml:space="preserve">&lt;p&gt;I am working on a PowerApp canvas trying what I thought should be easy but I am not having any joy.
I am using a Common Data Service to connect to an entity.  I am trying to get the SUM of a given column and display it into a text box using he following formula.&lt;/p&gt;
&lt;p&gt;&lt;code&gt;Sum(Table,'Current Value')&lt;/code&gt;&lt;/p&gt;
&lt;p&gt;I get nothing displayed.  There are around 13k rows of data in the table and some of the values for the given column are NULL.  I know there is a setting for 'Data row limit for non-delegable queries' which is set to 500.  If I push that to its max, 2000, I get a value in the field but certainly not what I was expecting.&lt;/p&gt;
&lt;p&gt;Any ideas?  I'm already thinking this 500/2000 limit is going to be a show-stopper and unfortunately I'm new enough to this that I don't know a way around to get what I need.&lt;/p&gt;
</t>
  </si>
  <si>
    <t xml:space="preserve">&lt;p&gt;&lt;a href="https://i.stack.imgur.com/eVPz0.png" rel="nofollow noreferrer"&gt;&lt;img src="https://i.stack.imgur.com/eVPz0.png" alt="enter image description here"&gt;&lt;/a&gt;&lt;/p&gt;
&lt;p&gt;&lt;a href="https://i.stack.imgur.com/R5Bem.png" rel="nofollow noreferrer"&gt;&lt;img src="https://i.stack.imgur.com/R5Bem.png" alt="enter image description here"&gt;&lt;/a&gt;&lt;/p&gt;
&lt;p&gt;I am trying to use Image from Static resource in Community using Design Attribute like 
&lt;code&gt;&amp;lt;img src="{!$Resource.DealRegChannelRedDot}"/&amp;gt;&lt;/code&gt; &lt;/p&gt;
&lt;p&gt;but it's not working.it is showing blank like path is not correct&lt;/p&gt;
&lt;pre&gt;&lt;code&gt;&amp;lt;!-- Component --&amp;gt;
&amp;lt;aura:component implements="forceCommunity:availableForAllPageTypes" access="global"&amp;gt;
    &amp;lt;aura:attribute name="showBannerImage" type="boolean" default="" access="global"/&amp;gt;
    &amp;lt;aura:attribute name="bannerImage" type="String" default="" access="global" /&amp;gt;
    &amp;lt;div class="container"&amp;gt;
        &amp;lt;aura:if isTrue = "{!v.showBannerImage}"&amp;gt;
            &amp;lt;aura:unescapedHtml value="{!v.bannerImage}"/&amp;gt;
        &amp;lt;/aura:if&amp;gt;
    &amp;lt;/div
&amp;lt;/aura:component&amp;gt;
&amp;lt;!-- Design --&amp;gt;
&amp;lt;design:component&amp;gt;
    &amp;lt;design:attribute name="showBannerImage" label="Show Banner Image" /&amp;gt;
    &amp;lt;design:attribute name="bannerImage" label="Banner Image" /&amp;gt;
&amp;lt;/design:component&amp;gt;
&lt;/code&gt;&lt;/pre&gt;
&lt;p&gt;is there a way to achieve this using static resource&lt;/p&gt;
</t>
  </si>
  <si>
    <t xml:space="preserve">&lt;p&gt;If you already upload a image in the static resources.
setup&gt;static resources then you can access Image like &lt;code&gt;&amp;lt;img src="{!'/sfsites/c/resource/'+YOUR_STATIC_RESOURCE_NAME}"/&amp;gt;&lt;/code&gt;&lt;/p&gt;
&lt;p&gt;as you are trying to access image using &lt;code&gt;Design property&lt;/code&gt; you can use below Lightning code:&lt;/p&gt;
&lt;pre&gt;&lt;code&gt;&amp;lt;aura:component implements="forceCommunity:availableForAllPageTypes" access="global"&amp;gt;
    &amp;lt;aura:attribute name="showBannerImage" type="boolean" default="" access="global"/&amp;gt;
    &amp;lt;aura:attribute name="bannerImage" type="String" default="" access="global" /&amp;gt;
    &amp;lt;div class="container"&amp;gt;
        &amp;lt;aura:if isTrue = "{!v.showBannerImage}"&amp;gt;
            &amp;lt;img src="{!'/sfsites/c/resource/'+v.bannerImage}" style="width: 100%;" /&amp;gt;
        &amp;lt;/aura:if&amp;gt;
    &amp;lt;/div
&amp;lt;/aura:component&amp;gt;
&lt;/code&gt;&lt;/pre&gt;
&lt;p&gt;and your Lightning Design Will look same&lt;/p&gt;
&lt;pre&gt;&lt;code&gt;&amp;lt;design:component&amp;gt;
    &amp;lt;design:attribute name="showBannerImage" label="Show Banner Image" /&amp;gt;
    &amp;lt;design:attribute name="bannerImage" label="Banner Image" /&amp;gt;
&amp;lt;/design:component&amp;gt;
&lt;/code&gt;&lt;/pre&gt;
&lt;p&gt;Now you just have to call your Static Resource Name in &lt;code&gt;showBannerImage&lt;/code&gt; property. for example if your static resource name is &lt;code&gt;imageResource&lt;/code&gt; then you just have to call this name simply in &lt;code&gt;community lightning page attribute.&lt;/code&gt;&lt;/p&gt;
&lt;p&gt;P.S. If my answer helps you to solve your problem please mark it as best answer. It will help other to find best answer.&lt;/p&gt;
</t>
  </si>
  <si>
    <t xml:space="preserve">&lt;p&gt;I wanted to know if it was possible to save data over time with google cloud SQL.&lt;/p&gt;
&lt;p&gt;Let me explain my need.&lt;/p&gt;
&lt;p&gt;Let's say my app is a racing game and I want to save the ranking of each player after a race.&lt;/p&gt;
&lt;p&gt;A race that has 30 laps before being able to finish it and any number of players.&lt;/p&gt;
&lt;p&gt;Each time a player finishes a lap, I have to save his race time.&lt;/p&gt;
&lt;p&gt;In the end each player will have 30 race times saved for this race.&lt;/p&gt;
&lt;p&gt;Can Google Cloud SQL able to manage this data, indeed a player ,its ranking and race time.&lt;/p&gt;
&lt;p&gt;I want to be able to retrieve the ranking and race time for each lap for a specific player. &lt;/p&gt;
&lt;p&gt;What type of data should I use to save this ?&lt;/p&gt;
&lt;blockquote&gt;
  &lt;p&gt;&lt;strong&gt;Data Type 1&lt;/strong&gt;&lt;br&gt;
   1. Player: string&lt;br&gt;
   2. Ranking: number I guess&lt;br&gt;
   3. Race time: timestamp  &lt;/p&gt;
&lt;/blockquote&gt;
&lt;p&gt;Or &lt;/p&gt;
&lt;blockquote&gt;
  &lt;p&gt;&lt;strong&gt;Data Type 2&lt;/strong&gt;&lt;br&gt;
   1. Player: string&lt;br&gt;
   2. Ranking: list of number&lt;br&gt;
   3. Race time: list of timestamp  &lt;/p&gt;
&lt;/blockquote&gt;
&lt;p&gt;Or maybe I'm completely wrong and then how should I do perform ?&lt;/p&gt;
&lt;p&gt;Note that I'm using google app-maker to perform this.&lt;/p&gt;
</t>
  </si>
  <si>
    <t xml:space="preserve">&lt;p&gt;I have created a connector from my Azure functions a while ago on the Azure Portal (az function page/API definition/Export To PowerApps + Flow) and they worked OK until now. I keep getting this error what I have not seen before:&lt;/p&gt;
&lt;blockquote&gt;
&lt;pre&gt;&lt;code&gt;{
  "error": {
    "code": 500,
    "message": "Expression value is invalid. The counter-key field is required.",
    "source": "unitedstates-002.azure-apim.net",
    "path": "",
    "clientRequestId": "cfd7458d-347e-4ee4-af9b-99f1-91dd74dc"
  }
}
&lt;/code&gt;&lt;/pre&gt;
&lt;/blockquote&gt;
&lt;p&gt;Any idea why this is happening now?&lt;/p&gt;
</t>
  </si>
  <si>
    <t xml:space="preserve">&lt;p&gt;Server side Script&lt;/p&gt;
&lt;pre&gt;&lt;code&gt;function getSpreadsheetValues(){
   return SpreadsheetApp.openById('1b3OWfUb3d0jy0DhxJzTYEHen- 
FHhD7nECF5NCgSDHiM').getSheetByName('Sheet1').getDataRange().getValues();
}
&lt;/code&gt;&lt;/pre&gt;
&lt;p&gt;Client side Script&lt;/p&gt;
&lt;pre&gt;&lt;code&gt;function readData(result){
// put the values in cells array
   var cells=[];
   cells=result;
  alert(“cell values=“+cells);// 'cell values= undefined'
}
function fail(error){
alert('Sheet not read' + error.message);
}
function getData() {
 google.script.run
  .withSuccessHandler(readData())
  .withFailureHandler(fail()) 
  .getSpreadsheetValues();
}
getData();
&lt;/code&gt;&lt;/pre&gt;
&lt;p&gt;The &lt;code&gt;readData&lt;/code&gt; function is fired, so the &lt;code&gt;getSpreadsheetValues()&lt;/code&gt; didn't report an error, but the "cells" are undefined.
The Spreadsheet is "sheets" format and has 6 rows and 3 column of string data.&lt;/p&gt;
</t>
  </si>
  <si>
    <t xml:space="preserve">&lt;p&gt;I have addred 'Clone with Related' button to "Salesforce1 &amp;amp; Lighning actions"  for all page layouts. But I can't see the added button in lightening page.&lt;/p&gt;
</t>
  </si>
  <si>
    <t xml:space="preserve">&lt;p&gt;In the clasic Salesforce, I have the next button type URL:&lt;/p&gt;
&lt;p&gt;&lt;a href="https://i.stack.imgur.com/yVONu.png" rel="nofollow noreferrer"&gt;&lt;img src="https://i.stack.imgur.com/yVONu.png" alt="Example button URL"&gt;&lt;/a&gt;&lt;/p&gt;
&lt;p&gt;&lt;a href="https://i.stack.imgur.com/CFQkg.png" rel="nofollow noreferrer"&gt;&lt;img src="https://i.stack.imgur.com/CFQkg.png" alt="Button details"&gt;&lt;/a&gt;&lt;/p&gt;
&lt;p&gt;In the Opportinity view I add this button correctly and work well:&lt;/p&gt;
&lt;p&gt;&lt;a href="https://i.stack.imgur.com/OTV4H.png" rel="nofollow noreferrer"&gt;&lt;img src="https://i.stack.imgur.com/OTV4H.png" alt="Op view"&gt;&lt;/a&gt;&lt;/p&gt;
&lt;p&gt;But if i change to Lightning experience.... I cant add this button to view:&lt;/p&gt;
&lt;p&gt;&lt;a href="https://i.stack.imgur.com/ivtVW.png" rel="nofollow noreferrer"&gt;&lt;img src="https://i.stack.imgur.com/ivtVW.png" alt="enter image description here"&gt;&lt;/a&gt;&lt;/p&gt;
&lt;p&gt;The button dont appear in the options:&lt;/p&gt;
&lt;p&gt;&lt;a href="https://i.stack.imgur.com/Lr5YR.png" rel="nofollow noreferrer"&gt;&lt;img src="https://i.stack.imgur.com/Lr5YR.png" alt="enter image description here"&gt;&lt;/a&gt;&lt;/p&gt;
&lt;p&gt;¿Any can help me?&lt;/p&gt;
&lt;p&gt;Basically I need a button that opens an external page, passing variables such as the opportune ID ...&lt;/p&gt;
&lt;p&gt;I tried with javascript button but I have the same problem.&lt;/p&gt;
</t>
  </si>
  <si>
    <t xml:space="preserve">&lt;p&gt;&lt;a href="https://developer.salesforce.com/docs/component-library/tools/playground/GcVjmML4/2/edit" rel="nofollow noreferrer"&gt;https://developer.salesforce.com/docs/component-library/tools/playground/GcVjmML4/2/edit&lt;/a&gt;
Why not update @track value on view? And how to force update value?&lt;/p&gt;
&lt;pre&gt;&lt;code&gt;Parent.cmp
   import { LightningElement } from 'lwc';
    var OBG ={ data:
                {name: "Valera",
                lastName : "Pypkin",
                lastNameTWO : "lastNameTWO1111",
                tt: {
                    gg:{name:"aaaaa"}
                }}
            }
    export default class App extends LightningElement {
        OBG = OBG; 
    }
&lt;/code&gt;&lt;/pre&gt;
&lt;p&gt;Child.cmp&lt;/p&gt;
&lt;pre&gt;&lt;code&gt;import { LightningElement, api, track } from 'lwc';
export default class Child extends LightningElement {
    @api data;
    @track _objCopy;
    get item() {
        return this.data.data;
    }
    handleClick(){
      const Other = { name: "Valera",
            lastName : "Pypkin",
            lastNameTWO : "lastNameTWO1111",
            tt: {
                gg:{name:"gggg"}
            }}
      this.myobj = Other;      //change track value;
   }
    get myobj() {
        return this.item;
    }
    set myobj(value) {
        this._objCopy = value;
    }
}
&lt;/code&gt;&lt;/pre&gt;
&lt;p&gt;Why not update @track value on view? And how to force update value?&lt;/p&gt;
</t>
  </si>
  <si>
    <t xml:space="preserve">&lt;p&gt;I have used select Filter By Owner: Name of the queue in filters.
&lt;a href="https://i.stack.imgur.com/beyMm.png" rel="nofollow noreferrer"&gt;enter image description here&lt;/a&gt;&lt;/p&gt;
</t>
  </si>
  <si>
    <t xml:space="preserve">&lt;p&gt;I read about this topic on the web but I would like to have more info about it. Is it true that Google App Maker will be decommissioned (or ended) in 2021?&lt;/p&gt;
</t>
  </si>
  <si>
    <t xml:space="preserve">&lt;p&gt;I am trying to populate a browse gallery with data form Table1 grouped by PRODUCTO, and I want to add as well an image colunm from the original table, but Power Apps cannot recognize this new column as image data. I tried to use [image] after the name of the new column as it is required in excel files, but unsuccesfully.&lt;/p&gt;
&lt;p&gt;This is the code I am using:&lt;/p&gt;
&lt;pre&gt;&lt;code&gt;SortByColumns(Search(Filter(AddColumns(GroupBy(Table1;"PRODUCTO";"NuevaTabla");"TStock";Sum(NuevaTabla.STOCK;STOCK);"TMin";Sum(NuevaTabla.MINIMO;MINIMO);"IMAGEN";NuevaTabla.IMAGEN);TMin -TStock &amp;gt;0);TextSearchBox1.Text; "PRODUCTO");"PRODUCTO";If(SortDescending1; SortOrder.Descending; SortOrder.Ascending))
&lt;/code&gt;&lt;/pre&gt;
</t>
  </si>
  <si>
    <t xml:space="preserve">&lt;p&gt;I am trying to write a custom web-api in Appian that will [among other things] return a count of the number of rows in a database table.  To that end, I have added this local variable in my api code.  &lt;/p&gt;
&lt;pre&gt;&lt;code&gt;local!countOfRows: a!queryEntity(
    entity: cons!MY_DATABASE_TABLE_DS,
    query: a!query(
      pagingInfo: a!pagingInfo(
        startIndex: 1,
        batchSize: -1
      )
    ),
    fetchTotalCount: true
  ).totalCount,
&lt;/code&gt;&lt;/pre&gt;
&lt;p&gt;The idea is that I will then include this value as one of the output's in the json.  For example:&lt;/p&gt;
&lt;pre&gt;&lt;code&gt;local!dataBaseCasesWithDocs: {
    numRecs: local!countOfRows,
    recList: local!listOfRecords
}
&lt;/code&gt;&lt;/pre&gt;
&lt;p&gt;So far the recList item works just fine - producing a nice json list of rows of data from my table [albeit 10 at a time].  But when i add the code for the countOfRows using the numRecs field, the function fails with an error 500.&lt;/p&gt;
&lt;p&gt;Any thoughts?&lt;/p&gt;
&lt;p&gt;[Added extra detail]&lt;/p&gt;
&lt;p&gt;I have [also] tried writing a seperate api which [only] returns the row-count for my entity, but it [also] returns error 500...&lt;/p&gt;
&lt;pre&gt;&lt;code&gt;a!localVariables(
  local!entities: a!queryEntity(
    entity: cons!MY_DATABASE_TABLE_DS,
    query: a!query(
      pagingInfo: a!pagingInfo(
        startIndex: 1,
        batchSize: -1
      )
    ),
    fetchTotalCount: true
  ).totalCount,
  a!httpResponse(
        headers: {
      a!httpHeader(name: "Content-Type", value: "application/json")
    },
    body: a!toJson(value: local!entities)
  )
)
&lt;/code&gt;&lt;/pre&gt;
&lt;p&gt;thanks heaps,&lt;/p&gt;
&lt;p&gt;David.&lt;/p&gt;
</t>
  </si>
  <si>
    <t xml:space="preserve">&lt;pre&gt;&lt;code&gt;with(
  local!entities: a!queryEntity(
    entity: cons!MY_DATABASE_TABLE_DS,
    query: a!query(
      pagingInfo: a!pagingInfo(
        startIndex: 1,
        batchSize: 0
      )
    ),
    fetchTotalCount: true
  ).totalCount,
  a!httpResponse(
    headers: {
      a!httpHeader(name: "Content-Type", value: "application/json")
    },
    body: a!toJson({count: local!entities})
  )
)
&lt;/code&gt;&lt;/pre&gt;
&lt;p&gt;The only difference was that I added a batch size of 10.  It [nevertheless] returns the correct number of rows in the database...&lt;/p&gt;
&lt;p&gt;I got the [original] code working as well, by similarly changing the batch size to a smaller number [rather than -1 to retrieve all records].  It turns out that retrieving &lt;em&gt;all&lt;/em&gt; records is not necessary to get a correct value for this totalCount field:&lt;/p&gt;
&lt;pre&gt;&lt;code&gt;local!countOfRows: a!queryEntity(
    entity: cons!MY_DATABASE_TABLE_DS,
    query: a!query(
      pagingInfo: a!pagingInfo(
        startIndex: 1,
        batchSize: 0
      )
    ),
    fetchTotalCount: true
  ).totalCount,   
&lt;/code&gt;&lt;/pre&gt;
&lt;p&gt;In actual fact, setting the batchsize to 0 [for this application] is the best option since this gets the metadata (including the totalCount) without actually wasting any processing time retrieving the rows of data (which aren't used in this instance) - thereby increasing the performance (Thanks Mike Schmitt for the tip on this one).&lt;/p&gt;
</t>
  </si>
  <si>
    <t xml:space="preserve">&lt;p&gt;how to use carousel in Lightning web component.need some sample example how to implement in lwc. &lt;/p&gt;
</t>
  </si>
  <si>
    <t xml:space="preserve">&lt;p&gt;I am getting OutPut "&lt;strong&gt;All records that meet the filter criteria are ready to be updated when the next Screen or Wait element is executed or when the interview finishes Salesforce&lt;/strong&gt;"
&lt;a href="https://i.stack.imgur.com/7lZCk.png" rel="nofollow noreferrer"&gt;enter image description here&lt;/a&gt;&lt;/p&gt;
</t>
  </si>
  <si>
    <t xml:space="preserve">&lt;p&gt;I am trying to get a single record from a SharePoint list however I am getting a RED X, I have passed though the ID of the item however which is working for the main form I am using on the page.&lt;/p&gt;
&lt;p&gt;My statement is below, the list is called contacts which power apps is aware of and autocompleted &lt;/p&gt;
&lt;pre&gt;&lt;code&gt;First(Filter(contacts.contacttype, ID=selectID))
&lt;/code&gt;&lt;/pre&gt;
&lt;p&gt;also tried &lt;/p&gt;
&lt;pre&gt;&lt;code&gt;First(contacts.contacttype)
&lt;/code&gt;&lt;/pre&gt;
&lt;p&gt;which I would expect to just return the contacttype of the first record in the list.&lt;/p&gt;
&lt;p&gt;Am I missing somthing really silly&lt;/p&gt;
</t>
  </si>
  <si>
    <t xml:space="preserve">&lt;pre&gt;&lt;code&gt;i need to populate the attachment on send email lightning quick action api. i can able to set the 
subject to the email quick action, but i need to add the attachment to the email. How can i send the 
&lt;/code&gt;&lt;/pre&gt;
&lt;p&gt;attachment from apex to lightning component 
how to return the attachment from apex to lightning component. and how to add to HtmlBody parameter for lightning quick action api?&lt;/p&gt;
</t>
  </si>
  <si>
    <t xml:space="preserve">&lt;p&gt;I want to write a Apex code and debug. I logged-in Salesforce and inside Salesforce Developer Console, Apex Class and Apex Trigger is invisible. I am not able to click that.&lt;/p&gt;
&lt;p&gt;Path : Salesforce Developer Console &gt; File &gt; New &gt; Apex Class / Apex Trigger &lt;/p&gt;
</t>
  </si>
  <si>
    <t xml:space="preserve">&lt;p&gt;Markus Malessa has provided some fantastic answers to Goole App Maker questions here on Stack Overflow. However, App Maker will soon be decommissioned. What will be the preferred alternative for App Maker experts like Markus?&lt;/p&gt;
</t>
  </si>
  <si>
    <t xml:space="preserve">&lt;p&gt;I appreciate the call out although I would not necessarily consider myself an ‘expert’ by any means. I do have to say that the initial choice for AM was largely due to the fact that it was part of our G Suite subscription and I was somewhat familiar with Google Apps Script and HTML/CSS due to some free standing app development using the HtmlService. Given that my background and education is actually not programming related at all I would consider myself to be the target market for these types of programs were little to no code is required.&lt;/p&gt;
&lt;p&gt;Unfortunately the reality is that my place of work never really committed much funding to this project outside of my time and more so this was probably what some coders would apparently refer to as their 20% project. So really at the moment I am not sure yet where I will end up after this. I’m afraid though that unless we decide to pony up some funds for something else we will be back where we used to be before this without a lot of functionality.&lt;/p&gt;
&lt;p&gt;Anyway best of luck to all citizen developers that took a plunge into App Maker, you guys are all great and it has been a pleasure providing feedback to you all.&lt;/p&gt;
</t>
  </si>
  <si>
    <t xml:space="preserve">&lt;p&gt;I am looking for a simple UI solution to add/edit/delete values in a Google SQL database.&lt;/p&gt;
&lt;p&gt;Why:
We are using Google Big Query and Google SQL databases. For the ETL process some mapping parameters are configured in Google Sheets and then accessed in the ETL (e.g. if you get "BLN" in a certain column, replace it by "Berlin").&lt;/p&gt;
&lt;p&gt;Using Google Sheets is error prone and I actually would like to store the mapping tables in a Google SQL database. The content of the mapping tables are filled/adapted by non-developers, also. I therefore would like to provide a simple online App/UI (preferable in the Google Cloud Platform universe) where users can just edit the content of defined tables in a grid.&lt;/p&gt;
&lt;p&gt;What I tried:
- While there are online solutions available, they do not seem to use/access Google SQL databases and/or use their own user administration (and monthly costs per user).
- Google provides "Google Apps", which may be used to create a suitable online app, but only as part of the GSuite
- AppSheets was bought by Google Cloud, but does not seem to be integrated in GCP, yet
- Microsoft PowerApps might also by suitable to create a suitable online app, but would require additional user account management in MS universe, a gateway to the DB and - in general - would be a cross-cloud solution.&lt;/p&gt;
&lt;p&gt;Is there anybody with a similar requirement and experiences, how this could be achieved?&lt;/p&gt;
&lt;p&gt;Thank you!&lt;/p&gt;
&lt;p&gt;HerrB92&lt;/p&gt;
</t>
  </si>
  <si>
    <t xml:space="preserve">&lt;p&gt;I am trying to insert a record zoho however i am getting the following error :&lt;br&gt;
Uncaught ParseError: syntax error, unexpected ''&lt;a href="https://www.zohoapis.com/crm/" rel="nofollow noreferrer"&gt;https://www.zohoapis.com/crm/&lt;/a&gt;' (T_CONSTANT_ENCAPSED_STRING) in wp-content/themes/tsahiasa/functions.php:486&lt;/p&gt;
&lt;p&gt;I tried using both " (double quotes) and ' (single quotes) however i am still getting the error.
Below is my code snippet and the line with error :&lt;/p&gt;
&lt;pre&gt;&lt;code&gt;**Line 486**  curl "https://www.zohoapis.com/crm/v2/Leads/insertRecords"
          -H "Authorization: Zoho-oauthtoken **************"
          -d "@newlead.json"   
-X POST{    
 "data": [
{
    "Lead_Owner": $zoho_lead_owner,
    "First_Name": $data['first_name'],
    "Last_Name": $data['last_name'],
    "Mobile": $data['phone_number'],
    "Email": data['email'],
    "Country_Of_Origin": $data['country'],
    "Client_Status": "Need Follow Up",
    "Client_Type": $zoho_lead_type,
    "Lead_Source": $zoho_lead_source,
    "Lead_Source_Description": $zoho_lead_source_desc,
    "Description": $zoho_ref_description,
    "Personal_Notes": "Kindly Add Notes"
}]
&lt;/code&gt;&lt;/pre&gt;
&lt;p&gt;}; &lt;/p&gt;
</t>
  </si>
  <si>
    <t xml:space="preserve">&lt;p&gt;I have a object case with 2 related records (account with the dealer and contact with the customer). Now when I am at a case a method generate a link with the accountId as Id. &lt;/p&gt;
&lt;pre&gt;&lt;code&gt;//helper.js
switch (context) {
  case 'Case' : task = 'getCase';
        break;
  case 'CaseWithContact' : task = 'getCaseWithContact';
        break;
  case 'PersonAccount' : task = 'getAccount';
        break;
  case 'Contact' : task = 'getContact';
        break;
  case 'ContactInCase' : task = 'getContactInCase';
        break;
    default: task = 'getCase';
}
// request data from 'task'
      DataService.exec(
        task, 
        component, 
        {
            id: component.get('v.recordId')
        }
     )
//Apex class
      /**
   * Returns an contact by it's id.
   *
   * same as  "public static Contact getContact" but in a case -&amp;gt; NavisionNavigatorHelper.js filters to a contact
   *
   * @param      id    The identifier
   *
   * @return     The contact.
   */
  @AuraEnabled
  public static Contact getContactInCase(Id id) {
    return [
      SELECT
        Id,
        FirstName,
        LastName,
        Salutation,
        Phone,
        MobilePhone,
        Fax,
        Email,
        CustomerNumberNav__c,
        CustomerNumberSF__c,
        MailingStreet,
        MailingPostalCode,
        MailingCity,
        Country_ISO_3166_2__c,
        SalutationNavisionExport__c,
        IsCustomer__c
        FROM Contact WHERE Id = :id
    ];
  }
&lt;/code&gt;&lt;/pre&gt;
&lt;p&gt;The DataService starts a method that make an sql call to get the data by Id. 
I want to give the contact id to the DataService and let them call my own method 'getContactInCase' that get a contact by its Id.
In the object 'case' there is a lookup field to contact VehicleOwner__c but I am not sure how to call that. Can anyone help me?&lt;/p&gt;
</t>
  </si>
  <si>
    <t xml:space="preserve">&lt;p&gt;I am using a suggest box to pull up and select records from a database, but it appears to limit suggestions to the first 100 records in the database. To be specific, the 101st record will not appear as a suggestion. I have read that "query page size" defaults to 100 records. Is this what's going on, and if so, is there a workaround?&lt;/p&gt;
</t>
  </si>
  <si>
    <t xml:space="preserve">&lt;p&gt;We are working on a custom connector for Power Apps. This connector basically uses post, get, patch, delete methods of the Dynamics Rest API. For authentication, we are using AAD as mentioned. &lt;/p&gt;
&lt;p&gt;We are writing swagger JSON and uploading the file to create/update the custom connector, after which we have to provide CRM URL, Client ID, and Client Secret. &lt;/p&gt;
&lt;p&gt;Everything was working smoothly until the custom connector started throwing error that the authorization token has expired. &lt;/p&gt;
&lt;pre&gt;&lt;code&gt;{
  "status": 400,
  "source": "https://unitedstates-002.token.azure-apim.net:443/tokens/unitedstates-002/-5Ftest-20final-5Fc8793734b9d234d8-5F1ae6317311eb737e/a6bf39bb183d4f89870ba39642194dbe/exchange",
  "message": "Error from token exchange: Bad authorization token. The access token has expired."
}
&lt;/code&gt;&lt;/pre&gt;
&lt;p&gt;This error went away after we recreated the custom connector using the same swagger JSON without any change. &lt;/p&gt;
&lt;p&gt;How can we avoid this error without needing to recreate the connector every time? Is there anything we are missing regarding to AD Tokens? &lt;/p&gt;
</t>
  </si>
  <si>
    <t xml:space="preserve">&lt;p&gt;I have a PowerApp connected to Common Data Services (CDS) very simple, just list products, add, remove or edit these products. But I have a more complex use case to solve: My user needs a button to import a CSV from App and this data should be loaded automatically in Common Data Services (CDS). &lt;/p&gt;
&lt;p&gt;So, I tried some things but without success:&lt;/p&gt;
&lt;p&gt;1) Create an attachment in a form, but I don't know how to make some process to read this attachment and load in CDS. 
2) Put the &lt;strong&gt;Import Data&lt;/strong&gt; button (&lt;a href="https://docs.microsoft.com/en-us/powerapps/maker/common-data-service/data-platform-import-export" rel="nofollow noreferrer"&gt;https://docs.microsoft.com/en-us/powerapps/maker/common-data-service/data-platform-import-export&lt;/a&gt;) in my UI, but this button just load "zip" exported from another PowerApp and this is not my case. &lt;/p&gt;
&lt;p&gt;So, If not possible put a button to import CSV directly I can suggest to user import in another place but I don't know where, and should be very easy because my user don't have any IT Knowledges. &lt;/p&gt;
</t>
  </si>
  <si>
    <t xml:space="preserve">&lt;p&gt;I currently have a PowerApps app that is connected to a SQL Server database with information about books. I am trying to make a hybrid screen that displays a gallery of books. I cannot figure out how to make the price and book id display when one of the book records is selected.&lt;/p&gt;
&lt;p&gt;Here is the book overview screen. 
&lt;a href="https://i.stack.imgur.com/xoDyJ.png" rel="nofollow noreferrer"&gt;&lt;img src="https://i.stack.imgur.com/xoDyJ.png" alt="enter image description here"&gt;&lt;/a&gt;&lt;/p&gt;
</t>
  </si>
  <si>
    <t xml:space="preserve">&lt;p&gt;In logic app i'm using &lt;code&gt;salesforce connector&lt;/code&gt; after deployment i observe for &lt;code&gt;api connection&lt;/code&gt; while authorize i'm getting &lt;code&gt;login.salesforce.com&lt;/code&gt; but i want it as &lt;code&gt;test.salesforce.com&lt;/code&gt; which is sandbox url.&lt;/p&gt;
&lt;p&gt;Is there any way to define that ?&lt;/p&gt;
&lt;p&gt;below parameters are there in logic app currently unable to see anything to define url.&lt;/p&gt;
&lt;pre&gt;&lt;code&gt;    "parameters": {
      "$connections": {
        "value": {
          "SalesforceConnection": {
            "id": "[concat(subscription().id, '/providers/Microsoft.Web/locations/', 'southcentralus', '/managedApis/', 'salesforce')]",
            "connectionId": "[resourceId('Microsoft.Web/connections', parameters('salesforce_conn_name'))]",
            "connectionName": "[parameters('salesforce_conn_name')]"
          }
        }
      }
    }
    {
  "type": "MICROSOFT.WEB/CONNECTIONS",
  "apiVersion": "2016-06-01",
  "name": "[parameters('salesforce_conn_name')]",
  "location": "southcentralus",
  "properties": {
    "api": {
      "id": "[concat(subscription().id, '/providers/Microsoft.Web/locations/', 'southcentralus', '/managedApis/', 'salesforce')]"
    },
    "displayName": "[parameters('salesforce_conn_name')]"
  }
}
&lt;/code&gt;&lt;/pre&gt;
</t>
  </si>
  <si>
    <t xml:space="preserve">&lt;p&gt;I'm working on a Mendix app, and I need to display two or more Pie Charts on the page. The problem is, that in Mendix I can pass only one entity object to the page. &lt;/p&gt;
&lt;p&gt;So if I want to show multiple Pie Charts, I have to create a "Wrapper" entity, associated with the Pie Chart entities, pass the Wrapper to the page, and access Pie Chart entities by association.&lt;/p&gt;
&lt;p&gt;Sounds simple and it works perfectly with Data Grids! But the Pie Chart widgets remain empty, and I can't understand why. &lt;/p&gt;
&lt;p&gt;What I have:&lt;/p&gt;
&lt;p&gt;I have two entities for the two Pie Charts and a Wrapper entity associated with them. I pass this entity to the page in order to access associated entities by association. &lt;/p&gt;
&lt;p&gt;&lt;a href="https://i.stack.imgur.com/rXglq.png" rel="nofollow noreferrer"&gt;&lt;img src="https://i.stack.imgur.com/rXglq.png" alt="enter image description here"&gt;&lt;/a&gt;&lt;/p&gt;
&lt;p&gt;I created some pages using which I can create new objects for the Pie Chart entities and save them in the database.&lt;/p&gt;
&lt;p&gt;&lt;a href="https://i.stack.imgur.com/U74iZ.png" rel="nofollow noreferrer"&gt;&lt;img src="https://i.stack.imgur.com/U74iZ.png" alt="enter image description here"&gt;&lt;/a&gt;&lt;/p&gt;
&lt;p&gt;On the page where I want to display the Pie Charts, I added 2 Data View widgets and passed the Wrapper object to them using a microflow. Inside of each Data View, I added a second Data View and linked it with the corresponding Pie Chart entity by association. Inside of the second Data View widgets, I added the Pie Chart widgets.&lt;/p&gt;
&lt;p&gt;&lt;a href="https://i.stack.imgur.com/7LrCN.png" rel="nofollow noreferrer"&gt;&lt;img src="https://i.stack.imgur.com/7LrCN.png" alt="enter image description here"&gt;&lt;/a&gt;&lt;/p&gt;
&lt;p&gt;The microflow:&lt;/p&gt;
&lt;p&gt;&lt;a href="https://i.stack.imgur.com/tUGzq.png" rel="nofollow noreferrer"&gt;&lt;img src="https://i.stack.imgur.com/tUGzq.png" alt="enter image description here"&gt;&lt;/a&gt;&lt;/p&gt;
&lt;p&gt;One Pie Chart Widget settings (the second one is the same just linked to another Pie Chart entity):&lt;/p&gt;
&lt;p&gt;&lt;a href="https://i.stack.imgur.com/jnIxO.png" rel="nofollow noreferrer"&gt;&lt;img src="https://i.stack.imgur.com/jnIxO.png" alt="enter image description here"&gt;&lt;/a&gt;
&lt;a href="https://i.stack.imgur.com/LQg9h.png" rel="nofollow noreferrer"&gt;&lt;img src="https://i.stack.imgur.com/LQg9h.png" alt="enter image description here"&gt;&lt;/a&gt;&lt;/p&gt;
&lt;p&gt;I also added Data Grid widgets for testing purposes. As you can see, Data Grid can access the data I entered, but the Pie Chart widgets remain empty. &lt;/p&gt;
&lt;p&gt;&lt;a href="https://i.stack.imgur.com/oo93Q.png" rel="nofollow noreferrer"&gt;&lt;img src="https://i.stack.imgur.com/oo93Q.png" alt="enter image description here"&gt;&lt;/a&gt;&lt;/p&gt;
&lt;p&gt;Why is it happening and how can I fix it?&lt;/p&gt;
</t>
  </si>
  <si>
    <t xml:space="preserve">&lt;p&gt;I would like to create files under a folder in sharepoint library if that specific folder exists. Else I will create a folder and create files. I would like to do this using MS FLOW. ANy help or ideas on this are highly appreciated. &lt;/p&gt;
&lt;p&gt;I tried the following method&lt;/p&gt;
&lt;ol&gt;
&lt;li&gt;Created a FLOW on an item created event.&lt;/li&gt;
&lt;li&gt;created a rest api GET request for the document library with the folder name as a variable&lt;/li&gt;
&lt;li&gt;then create a decision tree after this which will check if the value returned from rest is empty or not.&lt;/li&gt;
&lt;/ol&gt;
&lt;p&gt;&lt;a href="https://i.stack.imgur.com/kASKG.png" rel="nofollow noreferrer"&gt;&lt;img src="https://i.stack.imgur.com/kASKG.png" alt="enter image description here"&gt;&lt;/a&gt;&lt;/p&gt;
&lt;p&gt;The problem is its continuously retrying in the rest api step. Could someone tell me how to do this more efficiently. &lt;/p&gt;
</t>
  </si>
  <si>
    <t xml:space="preserve">&lt;p&gt;We have a suite of apps we are developing. We have already rolled the app out to about 50 users and have over 200 more. Sharing connections (custom connection &amp;amp; connector) and the apps have become super cumbersome. Long story short, this is a lot of time. Each time we have a new user we have to share 3 apps, 2x connections, and setup access on an internal method we have. We are using SQL, not CDS. &lt;/p&gt;
&lt;p&gt;This has been misery. Is there a way to create 1x address that I would share with the Apps/Connection and I would just add users to this group? Would save us time to just add users to the one list. Then access is just shared via this common group. Does anyone know a better method to deploy powerapps like this? We can't share to "everyone". Thanks.&lt;/p&gt;
&lt;p&gt;&lt;a href="https://i.stack.imgur.com/FW0L4.png" rel="nofollow noreferrer"&gt;&lt;img src="https://i.stack.imgur.com/FW0L4.png" alt="enter image description here"&gt;&lt;/a&gt;&lt;/p&gt;
</t>
  </si>
  <si>
    <t xml:space="preserve">&lt;p&gt;My swagger JSON for the custom connector looks like below: &lt;/p&gt;
&lt;pre&gt;&lt;code&gt;"/roles({roleid})/Microsoft.Dynamics.CRM.RetrieveRolePrivilegesRole": {
      "post": {
        "responses": {
          "200": {
            "description": "Success Operation"
          }
        },
        "parameters": [
          {
            "name": "roleid",
            "in": "path",
            "type": "string",
            "required": true
          }
        ],
        "operationId": "_POST_RetrieveRolePrivilegesRole",
        "description": "Retrieve Role Privileges",
        "summary": "Retrieve Role Privileges"
      }
    },
&lt;/code&gt;&lt;/pre&gt;
&lt;p&gt;When I create a custom connector with this and test the call, I am getting following error: &lt;/p&gt;
&lt;pre&gt;&lt;code&gt;{
  "error": {
    "code": "0x0",
    "message": "Resource not found for the segment 'Microsoft.Dynamics.CRM.RetrieveRolePrivilegesRole'",
    "innererror": {
      "message": "Resource not found for the segment 'Microsoft.Dynamics.CRM.RetrieveRolePrivilegesRole'",
      "type": "Microsoft.Crm.CrmHttpException",
      "stacktrace": "   at Microsoft.Crm.Extensibility.ODataV4.Routing.CrmODataRoutingConvention.ThrowUnresolvedSegmentException(ODataPath odataPath)\r\n   at Microsoft.Crm.Extensibility.ODataV4.Routing.CrmODataRoutingConvention.SelectActionImplementation(ODataPath odataPath, HttpControllerContext controllerContext, ILookup`2 actionMap)\r\n   at Microsoft.PowerApps.CoreFramework.ActivityLoggerExtensions.Execute[TResult](ILogger logger, EventId eventId, ActivityType activityType, Func`1 func, IEnumerable`1 additionalCustomProperties)\r\n   at Microsoft.Xrm.Telemetry.XrmTelemetryExtensions.Execute[TResult](ILogger logger, XrmTelemetryActivityType activityType, Func`1 func)\r\n   at System.Web.OData.Routing.ODataActionSelector.SelectAction(HttpControllerContext controllerContext)\r\n   at System.Web.Http.ApiController.ExecuteAsync(HttpControllerContext controllerContext, CancellationToken cancellationToken)\r\n   at System.Web.Http.Dispatcher.HttpControllerDispatcher.&amp;lt;SendAsync&amp;gt;d__1.MoveNext()"
    }
  }
}
&lt;/code&gt;&lt;/pre&gt;
</t>
  </si>
  <si>
    <t xml:space="preserve">&lt;p&gt;I have a user account on outsystems. I am new to the Outsystems and on learning phase. When I try to login into service center, it says "invalid username and password".&lt;/p&gt;
</t>
  </si>
  <si>
    <t xml:space="preserve">&lt;p&gt;[How can i check for duplicate list in SharePoint using power app][1]s.&lt;/p&gt;
&lt;p&gt;(Note : it is not a SharePoint list form.)&lt;/p&gt;
&lt;p&gt;Event                                      EmailEmail&lt;/p&gt;
&lt;p&gt;SharepointSaturday               Maruthi@gmail.com&lt;/p&gt;
&lt;p&gt;Azure boot camp                    Maruthi@gmail.com&lt;/p&gt;
&lt;p&gt;On click of submit ,user shouldn't able to register to the same event again.So how can i check this on click of submit button.&lt;/p&gt;
&lt;p&gt;Appreciate your help.&lt;/p&gt;
&lt;p&gt;I have two list :&lt;/p&gt;
&lt;p&gt;1:Registration list : where i store/create the items on submit of button in powerapps&lt;/p&gt;
&lt;p&gt;2: Events list : is source list ,where lookup Events column in powerapps.&lt;/p&gt;
</t>
  </si>
  <si>
    <t xml:space="preserve">&lt;p&gt;I have this cURL that I want to convert for Guzzle&lt;/p&gt;
&lt;pre&gt;&lt;code&gt;curl_setopt_array($curl, array(
  CURLOPT_URL =&amp;gt; "https://subscriptions.zoho.com/api/v1/hostedpages/newsubscription",
  CURLOPT_RETURNTRANSFER =&amp;gt; true,
  CURLOPT_ENCODING =&amp;gt; "",
  CURLOPT_MAXREDIRS =&amp;gt; 10,
  CURLOPT_TIMEOUT =&amp;gt; 0,
  CURLOPT_FOLLOWLOCATION =&amp;gt; true,
  CURLOPT_HTTP_VERSION =&amp;gt; CURL_HTTP_VERSION_1_1,
  CURLOPT_CUSTOMREQUEST =&amp;gt; "POST",
  CURLOPT_POSTFIELDS =&amp;gt;"{\n    \"plan\": {\n        \"plan_code\": \"AM-001\",\n        \"price\": " . $gPrice . ",\n        \"tax_id\": \"1786305000000842230\",\n    },\n    \"addons\": [\n        {\n            \"addon_code\": \"AB-001\",\n            \"addon_description\": \"Ads Budget\",\n            \"price\": " . $bPrice . ",\n\n        }\n    ],\n    \"coupon_code\": \"150-credit\"\n    \n}",
  CURLOPT_HTTPHEADER =&amp;gt; array(
    "X-com-zoho-subscriptions-organizationid: " . $org_id,
    "Authorization: Zoho-oauthtoken " . $accessToken,
    "Content-Type: application/x-www-form-urlencoded"
  ),
));
&lt;/code&gt;&lt;/pre&gt;
&lt;p&gt;For now, I have convert this : &lt;/p&gt;
&lt;pre&gt;&lt;code&gt;
$headers = [
            'Authorization' =&amp;gt; 'Zoho-oauthtoken ' . $access_token,
            'X-com-zoho-subscriptions-organizationid' =&amp;gt; $org_id,
        ];
        $res = $client-&amp;gt;request('POST', 'https://subscriptions.zoho.com/api/v1/hostedpages/newsubscription', $headers, [
            'plan' =&amp;gt; [
                'plan_code' =&amp;gt; 'AM-001',
                'price' =&amp;gt; $data['finaltotal'],
                'tax_id' =&amp;gt; '1786305000000842230',
            ],
            'addons' =&amp;gt;[
                'addon_code' =&amp;gt; 'AB-001',
                'addon_description' =&amp;gt; 'Ads Budget',
                'price' =&amp;gt; $data['finalads']
            ],
            'coupon_code' =&amp;gt; '150-credit'
        ]);
&lt;/code&gt;&lt;/pre&gt;
&lt;p&gt;But I have&lt;/p&gt;
&lt;p&gt;"Client error: &lt;code&gt;POST https://subscriptions.zoho.com/api/v1/hostedpages/newsubscription&lt;/code&gt; resulted in a &lt;code&gt;401 Unauthorized&lt;/code&gt; response:
{"code":14,"message":"Invalid value passed for authtoken."}"&lt;/p&gt;
&lt;p&gt;Have I correctly defined the header?&lt;/p&gt;
&lt;p&gt;Thank you for your help.&lt;/p&gt;
</t>
  </si>
  <si>
    <t xml:space="preserve">&lt;p&gt;third option is &lt;code&gt;options&lt;/code&gt; for request, So if you need to pass &lt;code&gt;headers&lt;/code&gt; you need to specify key &lt;code&gt;headers&lt;/code&gt;.&lt;/p&gt;
&lt;p&gt;so your code should look like this&lt;/p&gt;
&lt;pre class="lang-php prettyprint-override"&gt;&lt;code&gt;$options = [
    'headers' =&amp;gt; [ // &amp;lt;- here :)
            'Authorization' =&amp;gt; 'Zoho-oauthtoken ' . $access_token,
            'X-com-zoho-subscriptions-organizationid' =&amp;gt; $org_id,
    ];
]
$res = $client-&amp;gt;request(
    'POST',
    'https://subscriptions.zoho.com/api/v1/hostedpages/newsubscription', 
    $options, // &amp;lt;- options
    [
            'plan' =&amp;gt; [
                    'plan_code' =&amp;gt; 'AM-001',
                    'price' =&amp;gt; $data['finaltotal'],
                    'tax_id' =&amp;gt; '1786305000000842230',
            ],
            'addons' =&amp;gt;[
                    'addon_code' =&amp;gt; 'AB-001',
                    'addon_description' =&amp;gt; 'Ads Budget',
                    'price' =&amp;gt; $data['finalads']
            ],
            'coupon_code' =&amp;gt; '150-credit'
    ]
);
&lt;/code&gt;&lt;/pre&gt;
&lt;p&gt;try this it should work.&lt;/p&gt;
&lt;p&gt;if any doubt please comment.&lt;/p&gt;
</t>
  </si>
  <si>
    <t xml:space="preserve">&lt;p&gt;In PowerApps entity list page, we have default five fields &lt;strong&gt;Entity, Name, Type, Customizable&lt;/strong&gt; &amp;amp; &lt;strong&gt;Tags&lt;/strong&gt;&lt;/p&gt;
&lt;p&gt;What does the Type field mean, I couldn't find any article related to this! Even Microsoft docs is a no go!!
I do know that &lt;strong&gt;Custom&lt;/strong&gt; is the Type assigned to the tables created by us, whereas the default tables are grouped into two - Managed &amp;amp; Standard &lt;a href="https://i.stack.imgur.com/v2HXO.png" rel="nofollow noreferrer"&gt;(refer screenshot)&lt;/a&gt;. &lt;/p&gt;
&lt;p&gt;But under what criteria do they get separated into the two groups?&lt;/p&gt;
</t>
  </si>
  <si>
    <t xml:space="preserve">&lt;p&gt;I have a validation rule on email message object to throw the user friendly error message " please select the disposition value before send a email to the customer ",when case object disposition custom field (pick list) value is null before send a email to customer (see below screenshot for more info).
&lt;a href="https://i.stack.imgur.com/QhWAw.png" rel="nofollow noreferrer"&gt;enter image description here&lt;/a&gt;&lt;/p&gt;
</t>
  </si>
  <si>
    <t xml:space="preserve">&lt;pre&gt;&lt;code&gt;ConnectApi.FeedItemInput feedItemInput = new ConnectApi.FeedItemInput();
ConnectApi.MentionSegmentInput mentionSegmentInput = new ConnectApi.MentionSegmentInput();
ConnectApi.MessageBodyInput messageBodyInput = new ConnectApi.MessageBodyInput();
ConnectApi.TextSegmentInput textSegmentInput = new ConnectApi.TextSegmentInput();
messageBodyInput.messageSegments = new List&amp;lt;ConnectApi.MessageSegmentInput&amp;gt;();
//Mention user here
mentionSegmentInput.id = a.OwnerId;
messageBodyInput.messageSegments.add(mentionSegmentInput);
textSegmentInput.text = ' Description field is empty ' + c[0].lastModifiedDate;
messageBodyInput.messageSegments.add(textSegmentInput);
feedItemInput.body = messageBodyInput;
feedItemInput.feedElementType = ConnectApi.FeedElementType.FeedItem;
feedItemInput.subjectId = a.Id;
ConnectApi.BatchInput batchInput = new ConnectApi.BatchInput(feedItemInput);
ConnectApi.LinkCapabilityInput linkInput = new ConnectApi.LinkCapabilityInput();
linkInput.url = '/'+c[0].id;
linkInput.urlName = 'Doc link';
ConnectApi.FeedElementCapabilitiesInput feedElementCapabilitiesInput =
        new ConnectApi.FeedElementCapabilitiesInput();
feedElementCapabilitiesInput.link = linkInput;
feedItemInput.capabilities = feedElementCapabilitiesInput;
ConnectApi.FeedElement feedElement = ConnectApi.ChatterFeeds.postFeedElement(null, feedItemInput);
&lt;/code&gt;&lt;/pre&gt;
</t>
  </si>
  <si>
    <t xml:space="preserve">&lt;p&gt;I'm still new in Power Apps,&lt;/p&gt;
&lt;p&gt;I'm facing the issue when two drop-down list displays by using Office 365 Group connector.&lt;/p&gt;
&lt;p&gt;when 1st drop-down list change, then second drop-down list change accordingly. &lt;/p&gt;
&lt;p&gt;The 1st drop-down list Formula is &lt;strong&gt;Office365Groups.ListOwnedGroupsV3().value.displayName&lt;/strong&gt;&lt;/p&gt;
&lt;p&gt;The 2nd drop-down list Formula is &lt;strong&gt;Office365Groups.ListOwnedGroups().value.id&lt;/strong&gt;&lt;/p&gt;
&lt;p&gt;The data should be:&lt;/p&gt;
&lt;p&gt;Group Name - Group ID&lt;/p&gt;
&lt;ol&gt;
&lt;li&gt;Titanic - 340axxxx  &lt;/li&gt;
&lt;li&gt;DevSpace - a985xxx&lt;/li&gt;
&lt;/ol&gt;
&lt;p&gt;Herewith my screenshot.&lt;/p&gt;
&lt;p&gt;&lt;a href="https://i.stack.imgur.com/Xw6oh.png" rel="nofollow noreferrer"&gt;&lt;img src="https://i.stack.imgur.com/Xw6oh.png" alt="enter image description here"&gt;&lt;/a&gt;&lt;/p&gt;
</t>
  </si>
  <si>
    <t xml:space="preserve">&lt;p&gt;I'm solving by using the following formula.&lt;/p&gt;
&lt;p&gt;&lt;strong&gt;Filter(Office365Groups.ListOwnedGroupsV3().value.id, id = ddlgrouptest.Selected.id)&lt;/strong&gt;&lt;/p&gt;
&lt;p&gt;ddlgrouptest is my first dropdownlist name.&lt;/p&gt;
</t>
  </si>
  <si>
    <t xml:space="preserve">&lt;p&gt;creator fields like homeowner.photo&lt;/p&gt;
&lt;p&gt;uploading like in &lt;/p&gt;
&lt;pre&gt;&lt;code&gt;zoho.crm.attachFile(&amp;lt;module&amp;gt;, &amp;lt;record_id&amp;gt;, &amp;lt;file_object&amp;gt;, &amp;lt;connection&amp;gt;);
&lt;/code&gt;&lt;/pre&gt;
</t>
  </si>
  <si>
    <t xml:space="preserve">&lt;p&gt;Im currently trying to write a function to combine two images from azure storage to one image.
I dont know how to setup my function class so that I can trigger the function in powerapps with 2 selected images.&lt;/p&gt;
&lt;p&gt;This is my class&lt;/p&gt;
&lt;pre&gt;&lt;code&gt;    public static class Function1
{
    [Obsolete] // switch TraceWrite to Ilogger
    [FunctionName("Function1")]
    public static void Run(string background, string overlay, CloudBlockBlob outputBlob, TraceWriter log)
    {
        log.Info($"Function triggered with blob\n Background: {background} \n Overlay: {overlay}");
        ConvertMe Converter = new ConvertMe(System.Drawing.Color.Black); // My ImageEdit Class I have written
        Bitmap _Main = new Bitmap(background);
        Bitmap Overlay = Converter.MakeTransparent(overlay);
        using (MemoryStream memory = new MemoryStream())
        {
            Converter.ComebineBitmap(_Main, Overlay).Save(memory, ImageFormat.Jpeg);
            memory.Position = 0;
            outputBlob.Properties.ContentType = "image/jpeg";
            outputBlob.UploadFromStreamAsync(memory);
        }
    }
}
&lt;/code&gt;&lt;/pre&gt;
</t>
  </si>
  <si>
    <t xml:space="preserve">&lt;p&gt;Firstly, suppose you already know you could not directly call your function, especially you are using blob trigger function.&lt;/p&gt;
&lt;p&gt;Then is about how to use function in power apps. There is blog about this: &lt;a href="https://powerapps.microsoft.com/en-us/blog/using-azure-functions-in-powerapps/" rel="nofollow noreferrer"&gt;Using Azure Functions in PowerApps&lt;/a&gt;. You need the http trigger function and define the REST signature using Swagger then use the custom API in power apps.&lt;/p&gt;
&lt;p&gt;The last thing is about how to get two blob in the http trigger function. From the blob binding doc you could get the &lt;a href="https://docs.microsoft.com/en-us/azure/azure-functions/functions-bindings-storage-blob?tabs=csharp#input---usage" rel="nofollow noreferrer"&gt;Input-usage&lt;/a&gt;, you could find the c# or c# script function both support &lt;code&gt;CloudBlockBlob&lt;/code&gt; binding.&lt;/p&gt;
&lt;p&gt;The below is a sample read from two txt blob with http trigger function, you could add an output binding to storage the output image. &lt;/p&gt;
&lt;pre&gt;&lt;code&gt;public static class Function1
    {
        [FunctionName("Function1")]
        public static async Task RunAsync(
            [HttpTrigger(AuthorizationLevel.Function, "get", "post", Route = null)] HttpRequest req,
            [Blob("test/test.txt",FileAccess.ReadWrite)]CloudBlockBlob blob1,
            [Blob("test/out.txt", FileAccess.ReadWrite)]CloudBlockBlob blob2,
            ILogger log)
        {
            log.LogInformation("C# HTTP trigger function processed a request.");
            string test = await blob1.DownloadTextAsync();
            string outtxt = await blob2.DownloadTextAsync();
            log.LogInformation("test value： " + test);
            log.LogInformation("outtxt value： " + outtxt);
        }
    }
&lt;/code&gt;&lt;/pre&gt;
&lt;p&gt;&lt;a href="https://i.stack.imgur.com/J38JB.png" rel="nofollow noreferrer"&gt;&lt;img src="https://i.stack.imgur.com/J38JB.png" alt="enter image description here"&gt;&lt;/a&gt;&lt;/p&gt;
&lt;p&gt;Then follow the blog, suppose this could work, hope  this could help you, if you still have other problem, please feel free to let me know.&lt;/p&gt;
</t>
  </si>
  <si>
    <t xml:space="preserve">&lt;p&gt;I am attempting to build a simple lightning component that will display field values from the object that it is referencing on the page.  I have applied the tutorial but cannot get the field values to display on the page.&lt;/p&gt;
&lt;p&gt;It is not clear to me how to reference the id of the object on the page and/or whether it is necessary for the apex query or if the field value can be rendered without it.&lt;/p&gt;
&lt;p&gt;Position__c is the reference object API with some fields:
&lt;a href="https://i.stack.imgur.com/rrrQw.png" rel="nofollow noreferrer"&gt;&lt;img src="https://i.stack.imgur.com/rrrQw.png" alt="enter image description here"&gt;&lt;/a&gt;
This is my component:&lt;/p&gt;
&lt;pre&gt;&lt;code&gt;&amp;lt;aura:component implements="flexipage:availableForAllPageTypes" controller="positionController" access="global"&amp;gt;
    &amp;lt;aura:handler name="init" value="{!this}" action="{!c.doInit}"/&amp;gt;
    &amp;lt;aura:attribute name="recordId" type="Id" /&amp;gt;
    &amp;lt;aura:attribute name="position" type="Position__c"/&amp;gt;    
{!v.position.Job_Posting_One_liner__c} //I really just need to print this field value
&amp;lt;/aura:component&amp;gt;
&lt;/code&gt;&lt;/pre&gt;
&lt;p&gt;Controller:&lt;/p&gt;
&lt;pre&gt;&lt;code&gt;({
    doInit : function(component, event, helper) {
        var recordId = component.get("v.recordId"); 
        var action = component.get("c.getPositionDetails");
        action.setParams({
            "PosId": recordId
        });
        action.setCallback(this, function(response){
        var state = response.getState();
        if (component.isValid() &amp;amp;&amp;amp; state === "SUCCESS") {
            var position = response.getReturnValue();
            component.set("v.position", position);
        }
    });
    $A.enqueueAction(action);
}
&lt;/code&gt;&lt;/pre&gt;
&lt;p&gt;Apex:&lt;/p&gt;
&lt;pre&gt;&lt;code&gt;public class positionController {
    @AuraEnabled
    public static Position__c getPositionDetails(Id PosId) {   
    Position__c positions =  
            [SELECT Id, Job_Posting_One_liner__c FROM Position__c Where Id= :PosId limit 1 ];
    return positions;
    }
}
&lt;/code&gt;&lt;/pre&gt;
</t>
  </si>
  <si>
    <t xml:space="preserve">&lt;p&gt;I have a built a few custom lightning components but I am by no means an expert. My team wants to run PIWIK(Javascript) to gather user behavior data such as navigating to the home screen. I am looking for reassurance that this is indeed possible and would appreciate any hints as to what direction I should head in. &lt;/p&gt;
&lt;p&gt;Thanks &lt;/p&gt;
</t>
  </si>
  <si>
    <t xml:space="preserve">&lt;p&gt;I'm wondering if anyone has come across this issue.
I have two radio buttons on a canvas app that I am attempting to control the values displayed within a list box.&lt;/p&gt;
&lt;p&gt;&lt;code&gt;RadioButtons.Items: ["SomeValueA","SomeValueB"]&lt;/code&gt;&lt;/p&gt;
&lt;p&gt;The list box control should be getting reset whenever the value of the radio button changes.&lt;/p&gt;
&lt;pre&gt;&lt;code&gt;UpdateContext({resetList: !resetList});
UpdateContext({resetList: !resetList});
Reset(lbListbox);
lbListbox.Reset: resetList
&lt;/code&gt;&lt;/pre&gt;
&lt;p&gt;For the list box itself I have the following for Items:&lt;/p&gt;
&lt;pre&gt;&lt;code&gt;Switch(
    RadioButtons.Selected.Value,
    "SomeValueA",
    Sort(
        EntityA.FieldName,
        Descending
    ),
    "SomeValueB",
    Sort(
        EntityB.'Some other field name',
        Descending
    )
)
&lt;/code&gt;&lt;/pre&gt;
&lt;p&gt;The problem is when I select 'SomeValueA' the list box properly populates with the values from EntityA.FieldName but when I then select 'SomeValueB' from the radio buttons the list box blanks out with empty records.  There appears to be items in the list box that I can scroll through and select but not see.&lt;/p&gt;
&lt;p&gt;If I put two list boxes on the screen and set their Items event to the specific entity the values show up properly in both list boxes so I know the entity naming/field is correct.&lt;/p&gt;
&lt;p&gt;I've tried it without the reset of the list box, I've tried it using collections made out of the entity records.&lt;/p&gt;
&lt;p&gt;Has anyone come across this who maybe has a solution.  I was going to try to put two list boxes on top of one another and either hide/show or bring to front the active list but that also doesn't want to work.&lt;/p&gt;
&lt;p&gt;thanks!&lt;/p&gt;
</t>
  </si>
  <si>
    <t xml:space="preserve">&lt;p&gt;(Received this post from another source, figured I might as well post back here as well)&lt;/p&gt;
&lt;p&gt;Got this to work, but it was a bit finicky. The catch seemed to be giving the List a value-pairing table, instead of just a list of values.
First I collected the Option Sets from CDS, and added a column to indicate the source name, for reference. This could easily be combined into a single collection, and then filtered later but I was thinking simple.&lt;/p&gt;
&lt;pre&gt;&lt;code&gt;ClearCollect(colOptionSet1,AddColumns(Choices('Ownership (Accounts)'),"appSource","Ownership")); 
ClearCollect(colOptionSet2,AddColumns(Choices('Preferred Method of Contact (Accounts)'),"appSource","Preferred Method")); 
&lt;/code&gt;&lt;/pre&gt;
&lt;p&gt;Next added a Radio button identical to yours.
Then added a List control with Items equal to&lt;/p&gt;
&lt;pre&gt;&lt;code&gt;If( Radio1.Selected.Value = "SomeValueA", colOptionSet1, Radio1.Selected.Value = "SomeValueB", colOptionSet2 ) 
&lt;/code&gt;&lt;/pre&gt;
&lt;p&gt;You may need to use the right-side property pane to toggle between Value and "appSource" (from collections above), but this did allow me to toggle between two separate Option Set fields in a single list.&lt;/p&gt;
&lt;p&gt;Patching/writing this back is gonna be another hurdle. &lt;/p&gt;
</t>
  </si>
  <si>
    <t xml:space="preserve">&lt;p&gt;I'm not sure how to change this query in google app maker language&lt;/p&gt;
&lt;pre&gt;&lt;code&gt; var query = app.models.folders.newQuery();
  query.filters.requestId._equals = request;
  query.filters.filecount._equals = null;
  var total = 0;
  var recx = query.run(); 
&lt;/code&gt;&lt;/pre&gt;
&lt;p&gt;So right now it is the equivalent of &lt;/p&gt;
&lt;pre&gt;&lt;code&gt;select * from folders 
where requestID = request
and filecount = null
&lt;/code&gt;&lt;/pre&gt;
&lt;p&gt;But I would like to know if there is a way to change it to the equivalent of&lt;/p&gt;
&lt;pre&gt;&lt;code&gt;select * from folders 
where requestID = request
and (filecount = null or filecount &amp;lt; 0)
&lt;/code&gt;&lt;/pre&gt;
&lt;p&gt;Maybe by using query.where?&lt;/p&gt;
</t>
  </si>
  <si>
    <t xml:space="preserve">&lt;p&gt;I am working on the Srearh Layout, and instead of &lt;strong&gt;Default&lt;/strong&gt;, I want to create &lt;strong&gt;Custom Search Layout&lt;/strong&gt; and assign to a profile.&lt;/p&gt;
&lt;p&gt;Is that possible to create Custom search Layout. &lt;/p&gt;
</t>
  </si>
  <si>
    <t xml:space="preserve">&lt;p&gt;&lt;strong&gt;Hello&lt;/strong&gt;,&lt;/p&gt;
&lt;p&gt;I am building a small PowerApp for a work safety audit. It is using a SharePoint-List as 'database' and I read/write out of that. I can pick an item from the list in my app and start the audit. After starting it, the user has to answer ~40 questions (No defect/defect/not relevant) with the additional option to put a text to explain the defect.
The app is writing the answerers into the row of the chosen item. As Example, the first 10 columns of each row contains informations about the item (name,location,construction year, etc.) after that, I am using three columns for each question (relevant yes/no, defect yes/no, text). So for the audit for item 4 the app will write the answer to question one into the field 4/11, 4/12, 4/13. Question 2 is 4/14, 4/15, 4/16.&lt;/p&gt;
&lt;hr&gt;
&lt;p&gt;&lt;strong&gt;After this long explanation:&lt;/strong&gt;&lt;/p&gt;
&lt;p&gt;I need to generate a pdf to save the audit. A co-worker told me, its not possible to make a pdf out of the Sharepoint list and I should use excel as a database instead. I am learning PowerApps by doing, and I am by far not a master at it.
Is it possible to generate a pdf after finishing the audit in the way I do it right now? If so, how complicated is it? I am not looking for a working solution that I just copy and paste. I just need a general idea if its even possible and maybe a hint where to go. &lt;/p&gt;
&lt;p&gt;Thank you so much for every help and advice! &lt;/p&gt;
</t>
  </si>
  <si>
    <t xml:space="preserve">&lt;p&gt;I have created a jmeter script for Outsystems applications ( by recording and as well as creating raw request) however when I try to pass _OSVSTATE value from login page to subsequent requests I am getting an base64 encoding errors. I tried sending the request with encoding and without encoding but the result is same. Could anyone please help me/ advise me of how to overcome this issue. Any help is highly appreciated.&lt;/p&gt;
</t>
  </si>
  <si>
    <t xml:space="preserve">&lt;p&gt;I am trying to connect an &lt;code&gt;api&lt;/code&gt; with &lt;code&gt;powerapps&lt;/code&gt; using custom connectors.I have created from blank(custom connectors).But &lt;strong&gt;while testing i'm getting an error.&lt;/strong&gt;&lt;/p&gt;
&lt;pre&gt;&lt;code&gt;{
  "error": {
    "code": 500,
    "message": "Expression value is invalid. The template field is required.",
    "source": "unitedstates-002.azure-apim.net",
    "path": "choose[2]\\when[1]",
    "clientRequestId": "538b92eb-3eaf-4c8b-8e1a-8367-8c8251aa"
  }
}
&lt;/code&gt;&lt;/pre&gt;
&lt;p&gt;I haven't used any flow.
I just used the help of this video &lt;a href="https://www.youtube.com/watch?v=cSzI093-xgk&amp;amp;t=3s" rel="nofollow noreferrer"&gt;https://www.youtube.com/watch?v=cSzI093-xgk&amp;amp;t=3s&lt;/a&gt;.
But I'm not able to solve.&lt;/p&gt;
</t>
  </si>
  <si>
    <t xml:space="preserve">&lt;p&gt;We are working on a Canvas app that allows user to perform bulk operations such as assigning roles to users, manage privileges, etc. For this, we created a custom connector at the PowerApp that calls the Dynamics CRM Rest API to perform various operations using swagger JSON. The Azure AD tokens have been used for authentication. &lt;/p&gt;
&lt;p&gt;To avoid various UI limitations and challenges, we are now planning to switch to model-driven app. Two questions:&lt;br&gt;
1. How can we create a PCF component that consumes/call aforesaid Dynamics CRM rest API?&lt;br&gt;
2. How to embed this component on Dynamics CRM model-driven app, so we can use them in Model-driven apps? &lt;/p&gt;
</t>
  </si>
  <si>
    <t xml:space="preserve">&lt;p&gt;I am trying to set predefined colors in PowerApps using the function &lt;code&gt;Set&lt;/code&gt;, however, when I check the variables tab the variable does not have a value (NA). &lt;/p&gt;
&lt;p&gt;The syntax on the option &lt;strong&gt;OnStart&lt;/strong&gt; I am using is as follows:&lt;/p&gt;
&lt;p&gt;&lt;code&gt;Set(LightOrange, ColorValue("#ee7f00"))&lt;/code&gt;&lt;/p&gt;
&lt;p&gt;Can anyone help me solve this issue?&lt;/p&gt;
</t>
  </si>
  <si>
    <t xml:space="preserve">&lt;p&gt;Nothing wrong in what you're doing. You cannot see that &lt;code&gt;LightOrange&lt;/code&gt; variable value what you're setting in &lt;code&gt;OnStart&lt;/code&gt; under &lt;code&gt;Variables&lt;/code&gt; area like debug mode.&lt;/p&gt;
&lt;p&gt;I'm seeing &lt;code&gt;arunColor&lt;/code&gt; variable with &lt;code&gt;No value&lt;/code&gt;.
&lt;a href="https://i.stack.imgur.com/BwcEK.png" rel="nofollow noreferrer"&gt;&lt;img src="https://i.stack.imgur.com/BwcEK.png" alt="enter image description here"&gt;&lt;/a&gt;&lt;/p&gt;
&lt;p&gt;I'm assigning &lt;code&gt;#0000ff&lt;/code&gt; (Blue) using &lt;code&gt;Set&lt;/code&gt; from App &lt;code&gt;OnStart&lt;/code&gt;
&lt;a href="https://i.stack.imgur.com/KGOpb.png" rel="nofollow noreferrer"&gt;&lt;img src="https://i.stack.imgur.com/KGOpb.png" alt="enter image description here"&gt;&lt;/a&gt;&lt;/p&gt;
&lt;p&gt;I'm assigning that variable value &lt;code&gt;arunColor&lt;/code&gt; as control color &lt;code&gt;Fill&lt;/code&gt;
&lt;a href="https://i.stack.imgur.com/pGBRx.png" rel="nofollow noreferrer"&gt;&lt;img src="https://i.stack.imgur.com/pGBRx.png" alt="enter image description here"&gt;&lt;/a&gt;&lt;/p&gt;
&lt;p&gt;I'll use one of these urls to access the App after save &amp;amp; publish.&lt;/p&gt;
&lt;pre&gt;&lt;code&gt;https://apps.powerapps.com/play/d68b7936-xxxx-xxxx-xxxx-ce064e3f1637
https://apps.powerapps.com/play/d68b7936-xxxx-xxxx-xxxx-ce064e3f1637?tenantId=e485c427-xxxx-xxxx-xxxx-add2e5942a49
&lt;/code&gt;&lt;/pre&gt;
&lt;p&gt;Voila! I see the control color changed.
&lt;a href="https://i.stack.imgur.com/alF6y.png" rel="nofollow noreferrer"&gt;&lt;img src="https://i.stack.imgur.com/alF6y.png" alt="enter image description here"&gt;&lt;/a&gt;&lt;/p&gt;
&lt;p&gt;&lt;strong&gt;Reason&lt;/strong&gt;:&lt;br&gt;
&lt;code&gt;OnStart&lt;/code&gt; is designed to trigger when the app is opened very first time. If you make changes in color, then you have to open the App again to see the changes.&lt;/p&gt;
</t>
  </si>
  <si>
    <t xml:space="preserve">&lt;p&gt;Application throwing null error, tried a few things but no luck, seems something simple but cannot figure out for the life of me, not sure what I am missing. Hoping someone can see the problem.&lt;/p&gt;
&lt;p&gt;** Log **&lt;/p&gt;
&lt;pre&gt;&lt;code&gt;RouteToMarketSearch.RouteToMarketSearchSnippet.referenceSetDisplay2: Error while applying context Error: RouteToMarketSearch.RouteToMarketSearchSnippet.referenceSetDisplay2: Error while applying context TypeError: Cannot read property 'getReferences' of null Error: RouteToMarketSearch.RouteToMarketSearchSnippet.referenceSetDisplay2: Error while applying context Error: RouteToMarketSearch.RouteToMarketSearchSnippet.referenceSetDisplay2: Error while applying context TypeError: Cannot read property 'getReferences' of null
&lt;/code&gt;&lt;/pre&gt;
&lt;p&gt;Declaring the variables&lt;/p&gt;
&lt;pre&gt;&lt;code&gt;_handles: null,
_contextObj: null,
_reference : null,
_entity : null,
_intersectReference : null,
_intersectEntity : null,
&lt;/code&gt;&lt;/pre&gt;
&lt;p&gt;** Code **&lt;/p&gt;
&lt;pre&gt;&lt;code&gt;_updateRendering: function (callback) {
    logger.debug(this.id + "._updateRendering");
    var self = this;
    if(this.rsdListContainer){
        data.get({
            guids: this._contextObj.getReferences(this._reference),
            callback: function(objs){
                if(self.rsdListContainer){
                    var intersectGuids = [];
                    if(self._intersectReference){
                        intersectGuids = self._contextObj.getReferences(self._intersectReference);
                    }
                    var dataArray = objs.map(function(o){
                        var data = {};
                        data.guid = o.getGuid();
                        data.caption = o.get(self.displayAttribute);
                        if( intersectGuids &amp;amp;&amp;amp; intersectGuids.indexOf(o.getGuid()) &amp;gt; -1){
                            data.elementClass = self.intersetResultClass;
                        }
                        if(self.sortAttribute){
                            data.sortIndex = parseInt(o.get(self.sortAttribute));
                        }
                        return data;
                    });
                    if(self.sortAttribute){
                        dataArray.sort(function(a,b){
                                return a.sortIndex - b.sortIndex;
                        });
                    }
                    dojoConstruct.empty(self.rsdListContainer);
&lt;/code&gt;&lt;/pre&gt;
</t>
  </si>
  <si>
    <t xml:space="preserve">&lt;p&gt;Here is my node, which sometimes freezes by the last INSERT command:&lt;/p&gt;
&lt;p&gt;&lt;a href="https://i.stack.imgur.com/reu9E.png" rel="nofollow noreferrer"&gt;&lt;img src="https://i.stack.imgur.com/reu9E.png" alt="enter image description here"&gt;&lt;/a&gt;&lt;/p&gt;
&lt;p&gt;This process sometimes will freeze because the functionality for this node is to truncate the table. But sometimes the previous inserting command is not finished and the truncate is triggered, which will cause this node freeze for 2 hours to complete (originally should be 2 seconds to finish).&lt;/p&gt;
&lt;p&gt;So my solution is to set up a timer condition if this node take too long then run the Stored procedure stop all &lt;code&gt;MySQL&lt;/code&gt; current database tasks (the inserting Action which insert data to this table).&lt;/p&gt;
&lt;p&gt;What stored procedure can do this work?&lt;/p&gt;
</t>
  </si>
  <si>
    <t xml:space="preserve">&lt;p&gt;In Salesforce When emails are sent manually through contacts , it doesn't display the entire message even after choosing "show entire message" but when sent automatically through a process builder they display the entire message. ( Here the emails are sent using an email template). how can i fix this?&lt;/p&gt;
</t>
  </si>
  <si>
    <t xml:space="preserve">&lt;p&gt;We are working on a Canvas App which is simply an admin dashboard that allows performing bulk operations such as bulk assigning roles, teams to users, etc. &lt;/p&gt;
&lt;p&gt;We are using a custom connector with this app, which consumes dynamics CRM rest API. When uploading the swagger JSON to create a custom connector in Power Apps, we have to provide, Client Id and Client Secret (AD for authentication) and resource URL (CRM instance URL). &lt;/p&gt;
&lt;p&gt;Everything is working pretty smoothly with this setup. Now consider we are publishing this app publically on app source. Now when someone chooses to install our app from the app source, how will things work for them? would they be asked to provide the above-mentioned detail required by the custom connector? &lt;/p&gt;
</t>
  </si>
  <si>
    <t xml:space="preserve">&lt;p&gt;With Reference to my old Thread 
&lt;a href="https://stackoverflow.com/questions/60169520/how-to-implement-my-azure-function-for-using-it-in-powerapps"&gt;How to implement My Azure function for using it in PowerApps&lt;/a&gt;&lt;/p&gt;
&lt;p&gt;Im still struggling with implementing my function to powerapps 
I dont really know what I have to do next. The function itself is already working.
But If I want to execute it over an url it does not work (401 http error)&lt;/p&gt;
&lt;p&gt;MY Url: &lt;a href="https://XXX.azurewebsites.net/api/XXX/?blobname1=image1.png&amp;amp;blobname2=image2.png" rel="nofollow noreferrer"&gt;https://XXX.azurewebsites.net/api/XXX/?blobname1=image1.png&amp;amp;blobname2=image2.png&lt;/a&gt;&lt;/p&gt;
&lt;pre&gt;&lt;code&gt;    [FunctionName("ConvertMe")]
public async static Task RunASync([HttpTrigger(AuthorizationLevel.Function, "get", "post", Route = null)] HttpRequest req,
  [Blob("test", FileAccess.ReadWrite)] CloudBlobContainer blobContainer,
     [Blob("test/out3.png", FileAccess.ReadWrite)] CloudBlockBlob outputBlob, ILogger log)
{
    try
    {
        ConvertMe Converter = new ConvertMe();
        MemoryStream stream1 = new MemoryStream();
        MemoryStream stream2 = new MemoryStream();
        log.LogInformation($"Containername: {blobContainer.Name} \nPublic Access: {blobContainer.Properties.PublicAccess} \nOriginal Path: {blobContainer.Uri.OriginalString}");
        string name1 = req.Query["blobname1"];
        string name2 = req.Query["blobname2"];
        CloudBlob blob1 = blobContainer.GetBlobReference(name1);
        CloudBlob blob2 = blobContainer.GetBlobReference(name2);
        await blob1?.DownloadToStreamAsync(stream1);
        stream1.Position = 0;
        await blob2?.DownloadToStreamAsync(stream2);
        stream2.Position = 0;
        MagickImage _Main = new MagickImage(stream1, MagickFormat.Png);
        MagickImage _Overlay = new MagickImage(stream2, MagickFormat.Png);
        using (MemoryStream memory = new MemoryStream())
        {
            Converter.ComebineBitmap(_Main, _Overlay).Write(memory, MagickFormat.Png);
            memory.Position = 0;
            outputBlob.Properties.ContentType = "image/png";
            await outputBlob?.UploadFromStreamAsync(memory);
        }
    }
    catch (System.Exception e)
    {
        log.LogError(e.Message);
    }
    finally
    {
        log.LogInformation("Wuhu ich bin durch");
    }
}
&lt;/code&gt;&lt;/pre&gt;
&lt;p&gt;&lt;a href="https://i.stack.imgur.com/tAmm5.png" rel="nofollow noreferrer"&gt;&lt;img src="https://i.stack.imgur.com/tAmm5.png" alt="Power Apps Example"&gt;&lt;/a&gt;&lt;/p&gt;
&lt;p&gt;This is how I want to compose the images in PowerApps 
OnClick Event &lt;/p&gt;
&lt;p&gt;"AzureFunction.ConvertMe(Input1:PictureBox.Image, Input2:PenInput; Output:CDS_Image.OUTputfield)"&lt;/p&gt;
&lt;p&gt;So I think I dont really need blobobjects as Inputs or am I misunderstanding something ?&lt;/p&gt;
&lt;p&gt;Im trying to follow this &lt;a href="https://powerapps.microsoft.com/de-de/blog/using-azure-functions-in-powerapps/" rel="nofollow noreferrer"&gt;guide&lt;/a&gt;, but I dont really know how to build/setup the correct swagger.json for my example&lt;/p&gt;
</t>
  </si>
  <si>
    <t xml:space="preserve">&lt;p&gt;This is my Azure function I want to connect to my PowerApps &lt;/p&gt;
&lt;pre&gt;&lt;code&gt;        [FunctionName("ConvertMe")]
    public static IActionResult RunAsync
        ([HttpTrigger(AuthorizationLevel.Function, "get", Route = null)] HttpRequest req, ILogger log)
    {
        log.LogInformation($"Received a Request");
        ConvertMe Converter = new ConvertMe();
        string test1 = req.Query["image1"];
        string test2 = req.Query["image2"];
        MagickImage _Main = new MagickImage(Convert.FromBase64String(test1), MagickFormat.Png);
        MagickImage _Overlay = new MagickImage(Convert.FromBase64String(test2), MagickFormat.Png);
        using (MemoryStream memory = new MemoryStream())
        {
            Converter.ComebineBitmap(_Main, _Overlay).Write(memory, MagickFormat.Png);
            memory.Position = 0;
            return new FileContentResult(memory.ToArray(),"image/png");
        }
    }
&lt;/code&gt;&lt;/pre&gt;
&lt;p&gt;Its already working on local but I want to use it in PowerApps. 
How do I get my return value to Swagger ? &lt;/p&gt;
&lt;p&gt;My current swagger file &lt;/p&gt;
&lt;pre&gt;&lt;code&gt;    {
  "swagger": "2.0",
  "info": {
    "version": "1.0.0",
    "title": "MyAzureFunction"
  },
  "host": "xxx",
  "paths": {
    "/api/ConvertMe": {
      "get": {
        "description": "Calls my azure function over https",
        "operationId": "ConvertMe",
        "parameters": [
          {
            "name": "code",
            "in": "query",
            "description": "code",
            "default": "code",
            "type": "string"
          },
          {
            "name": "image1",
            "in": "query",
            "required": true,
            "type": "string"
          },     
          {
            "name": "image2",
            "in": "query",
            "required": true,
            "type": "string"
          },
        ],
        "responses": {
          "200": {
            "description": "Successful response",
            "schema": {
              "title": "The response of the api.",
              "type": "string"
            }
          }
        }
      }
    }
  }
}
&lt;/code&gt;&lt;/pre&gt;
&lt;p&gt;Ive never worked with swagger but ive already found out, the best is to work with base64 string.&lt;/p&gt;
</t>
  </si>
  <si>
    <t xml:space="preserve">&lt;p&gt;I hope you can help. I'm wanting to create a LWC that uses the Datatable component with Inline Editing. but which get's the columns to display from the Lightning Page Parameters in the JS.Meta file Properties. &lt;/p&gt;
&lt;p&gt;For instance, the Properties will have a field for inputting the fields we want to display in the related list in a comma deliminated fashion, and the passes these fields into the component / a dynamic piece of soql to be used in the Edtiable List. &lt;/p&gt;
&lt;p&gt;All of the examples i have found have statically declared columns like below. But i really want these to be defined in the Lightning Builder Page so the component can be re-used on multiple objects and with different fields etc: &lt;/p&gt;
&lt;p&gt;&lt;strong&gt;Class&lt;/strong&gt;:&lt;/p&gt;
&lt;pre&gt;&lt;code&gt;public with sharing class ContactController {
    @AuraEnabled(cacheable=true)
    public static List&amp;lt;Contact&amp;gt; getContactList() {
        return [SELECT Id, FirstName, LastName, Title, Phone, Email FROM Contact LIMIT 10];
    }
}
&lt;/code&gt;&lt;/pre&gt;
&lt;p&gt;&lt;strong&gt;HTML&lt;/strong&gt;: &lt;/p&gt;
&lt;pre&gt;&lt;code&gt;&amp;lt;template&amp;gt;
    &amp;lt;lightning-card title="Datatable Example" icon-name="custom:custom63"&amp;gt;
        &amp;lt;div class="slds-m-around_medium"&amp;gt;
            &amp;lt;template if:true={contact.data}&amp;gt;
                &amp;lt;lightning-datatable
                    key-field="Id"
                    data={contact.data}
                    columns={columns}
                    onsave={handleSave}
                    draft-values={draftValues}&amp;gt;
                &amp;lt;/lightning-datatable&amp;gt;
            &amp;lt;/template&amp;gt;
            &amp;lt;template if:true={contact.error}&amp;gt;
                &amp;lt;!-- handle Apex error --&amp;gt;
            &amp;lt;/template&amp;gt;
        &amp;lt;/div&amp;gt;
    &amp;lt;/lightning-card&amp;gt;
&amp;lt;/template&amp;gt;
&lt;/code&gt;&lt;/pre&gt;
&lt;p&gt;&lt;strong&gt;JS&lt;/strong&gt;:&lt;/p&gt;
&lt;pre&gt;&lt;code&gt;import { LightningElement, wire, track } from 'lwc';
import getContactList from '@salesforce/apex/ContactController.getContactList';
import { updateRecord } from 'lightning/uiRecordApi';
import { refreshApex } from '@salesforce/apex';
import { ShowToastEvent } from 'lightning/platformShowToastEvent';
import FIRSTNAME_FIELD from '@salesforce/schema/Contact.FirstName';
import LASTNAME_FIELD from '@salesforce/schema/Contact.LastName';
import ID_FIELD from '@salesforce/schema/Contact.Id';
const COLS = [
    { label: 'First Name', fieldName: 'FirstName', editable: true },
    { label: 'Last Name', fieldName: 'LastName', editable: true },
    { label: 'Title', fieldName: 'Title' },
    { label: 'Phone', fieldName: 'Phone', type: 'phone' },
    { label: 'Email', fieldName: 'Email', type: 'email' }
];
export default class DatatableUpdateExample extends LightningElement {
    @track error;
    @track columns = COLS;
    @track draftValues = [];
    @wire(getContactList)
    contact;
    handleSave(event) {
        const fields = {};
        fields[ID_FIELD.fieldApiName] = event.detail.draftValues[0].Id;
        fields[FIRSTNAME_FIELD.fieldApiName] = event.detail.draftValues[0].FirstName;
        fields[LASTNAME_FIELD.fieldApiName] = event.detail.draftValues[0].LastName;
        const recordInput = {fields};
        updateRecord(recordInput)
        .then(() =&amp;gt; {
            this.dispatchEvent(
                new ShowToastEvent({
                    title: 'Success',
                    message: 'Contact updated',
                    variant: 'success'
                })
            );
            // Clear all draft values
            this.draftValues = [];
            // Display fresh data in the datatable
            return refreshApex(this.contact);
        }).catch(error =&amp;gt; {
            this.dispatchEvent(
                new ShowToastEvent({
                    title: 'Error creating record',
                    message: error.body.message,
                    variant: 'error'
                })
            );
        });
    }
}
&lt;/code&gt;&lt;/pre&gt;
&lt;p&gt;Ideally, i'd like to declare the Object and Fields etc in the JS-Meta file, like below. And have these pass into the class / JS etc: &lt;/p&gt;
&lt;pre&gt;&lt;code&gt;&amp;lt;?xml version="1.0" encoding="UTF-8"?&amp;gt;  
&amp;lt;LightningComponentBundle xmlns="http://soap.sforce.com/2006/04/metadata" fqn="EditableRelatedList"&amp;gt;  
    &amp;lt;apiVersion&amp;gt;45.0&amp;lt;/apiVersion&amp;gt;  
    &amp;lt;isExposed&amp;gt;true&amp;lt;/isExposed&amp;gt;  
    &amp;lt;targets&amp;gt;  
        &amp;lt;target&amp;gt;lightning__RecordPage&amp;lt;/target&amp;gt;  
    &amp;lt;/targets&amp;gt;  
    &amp;lt;targetConfigs&amp;gt;  
        &amp;lt;!-- Component UI Properties --&amp;gt;
        &amp;lt;targetConfig targets="lightning__RecordPage"&amp;gt;  
            &amp;lt;property name="strTitle" type="String" label="Title" description="Enter the title"/&amp;gt;  
            &amp;lt;property name="objectName" type="String" label="Object Name" description="Enter the object name"/&amp;gt;  
            &amp;lt;property name="parentFieldAPIName" type="String" label="Parent Field API Name" description="Enter the parent field API Name"/&amp;gt;  
            &amp;lt;property name="whereClause" type="String" label="WHERE Clause" description="Enter your WHERE clause (Not Required). Do not include 'WHERE'. Eg: firstName = 'David' AND lastName != 'Bradbury'"/&amp;gt; 
            &amp;lt;property name="fields" type="String" label="Fields" description="Enter the API Names of the fields you would like to use in this Related List seperated by a comma. Eg: FirstName, LastName, CustomField1__c, CustomField2__c "/&amp;gt; 
            &amp;lt;property name="errorMessage" type="String" label="Error Message" description="Enter your Error Message for when there are 0 records"/&amp;gt;
        &amp;lt;/targetConfig&amp;gt;  
    &amp;lt;/targetConfigs&amp;gt;  
&amp;lt;/LightningComponentBundle&amp;gt;
&lt;/code&gt;&lt;/pre&gt;
&lt;p&gt;Thanks in advance!!&lt;/p&gt;
</t>
  </si>
  <si>
    <t xml:space="preserve">&lt;p&gt;I am trying to create a Gallery that contains multiple Listboxes from a Collection. I have a collection called &lt;strong&gt;Ideas&lt;/strong&gt;, and it encompasses ideas from different participants. I am able to create a &lt;strong&gt;Listbox&lt;/strong&gt; out of each participant with their ideas. However, I am trying to create a gallery that creates multiple &lt;strong&gt;Listboxes&lt;/strong&gt; from that collection. It means if more participants are added to the collection, more &lt;strong&gt;Listboxes&lt;/strong&gt; will automatically be created. The image shows an idea of what I am trying to achieve: &lt;/p&gt;
&lt;p&gt;&lt;a href="https://i.stack.imgur.com/jXA07.png" rel="nofollow noreferrer"&gt;&lt;img src="https://i.stack.imgur.com/jXA07.png" alt="Gallery containing multiple ListBox"&gt;&lt;/a&gt;&lt;/p&gt;
&lt;p&gt;I tried inserting a &lt;strong&gt;NewGallery&lt;/strong&gt;, then inside the galley a &lt;strong&gt;ListBox&lt;/strong&gt;. On &lt;strong&gt;Items&lt;/strong&gt; inside the gallery I wrote the name of the Collections, and I got multiple &lt;strong&gt;ListBoxes&lt;/strong&gt;, but all of them have the same information, I got something like this (only the information from one participant is displayed in 5 &lt;strong&gt;ListBoxes&lt;/strong&gt;):&lt;/p&gt;
&lt;p&gt;&lt;a href="https://i.stack.imgur.com/uAUj2.png" rel="nofollow noreferrer"&gt;&lt;img src="https://i.stack.imgur.com/uAUj2.png" alt="Multiple ListBox with the information of one participant only"&gt;&lt;/a&gt;&lt;/p&gt;
&lt;p&gt;I could individually add the listboxes on my Screen without using a gallery, however, this would not work, because I have to add manually the information every time the collection is modified.&lt;/p&gt;
&lt;p&gt;Any idea how to add multiple ListBoxes automatically from a Collection into a Gallery in PowerApps?&lt;/p&gt;
</t>
  </si>
  <si>
    <t xml:space="preserve">&lt;p&gt;I'm struggling with this for days now. &lt;/p&gt;
&lt;p&gt;I've made a PowerApp in which a Document Library is shown from SharePoint in a Gallery. In this list there's a label which contains the data from a multiple selection in SharePoint. &lt;/p&gt;
&lt;p&gt;&lt;a href="https://i.stack.imgur.com/GWM9W.png" rel="nofollow noreferrer"&gt;SharePoint Multiple selection&lt;/a&gt;&lt;/p&gt;
&lt;p&gt;The values are shown in a label using the formula below:&lt;/p&gt;
&lt;pre&gt;&lt;code&gt;Concat(ThisItem.'Behandelende Afdeling';Value &amp;amp; ", ")
&lt;/code&gt;&lt;/pre&gt;
&lt;p&gt;This works fine, as you're able to see in this capture: &lt;a href="https://i.stack.imgur.com/FwryV.png" rel="nofollow noreferrer"&gt;List in PowerApps&lt;/a&gt;&lt;/p&gt;
&lt;p&gt;In this case, 'Klantenteam Groen' is returned.&lt;/p&gt;
&lt;p&gt;Now, I want to filter the Gallery in order to show just the items which contain "Inkoop" in the label. So, for example, if the label is "Klantenteam Groen, Inkoop, Order Afgerond" it should be shown in the list, but if it doesn't contain the "Inkoop" part is should not be shown. &lt;/p&gt;
&lt;p&gt;Do you guys have any ideas? &lt;/p&gt;
&lt;p&gt;Many thanks in advance!&lt;/p&gt;
&lt;p&gt;Kelsey. &lt;/p&gt;
&lt;p&gt;&lt;em&gt;The names:&lt;/em&gt;&lt;/p&gt;
&lt;p&gt;&lt;em&gt;- Label which returns the multiple values: Txt_BehandelendeAfd&lt;/em&gt;&lt;/p&gt;
&lt;p&gt;&lt;em&gt;- Name of the gallery: BrowseGallery1&lt;/em&gt;&lt;/p&gt;
&lt;p&gt;&lt;em&gt;- Name of the SharePoint Document Library: Orderproces&lt;/em&gt;&lt;/p&gt;
&lt;p&gt;&lt;em&gt;- Name of the Multiple Selection option: 'Behandelende Afdeling'&lt;/em&gt;&lt;/p&gt;
</t>
  </si>
  <si>
    <t xml:space="preserve">&lt;p&gt;What is the best approach to change 0 to 1 on a PowerApps TextInput. Trying to figure out with OnSelect Function. Don't want a user to input a 0 Quantity to an order. If a user type in 0 it will automatic change to a 1&lt;/p&gt;
&lt;p&gt;&lt;a href="https://i.stack.imgur.com/5xaUS.png" rel="nofollow noreferrer"&gt;&lt;img src="https://i.stack.imgur.com/5xaUS.png" alt="enter image description here"&gt;&lt;/a&gt;&lt;/p&gt;
&lt;p&gt;Hope l explain myself clearly. Thank you in advance.&lt;/p&gt;
</t>
  </si>
  <si>
    <t xml:space="preserve">&lt;p&gt;You cannot, today, have a rule that will update the value of a control based on the value of the same control (as this may create a cyclical dependency). What you can do is to show to the user an error saying that they have made an error, and possibly prevent them from advancing in the app, like in the example below:&lt;/p&gt;
&lt;p&gt;&lt;a href="https://i.stack.imgur.com/ZXGW8.gif" rel="nofollow noreferrer"&gt;&lt;img src="https://i.stack.imgur.com/ZXGW8.gif" alt="Input validation"&gt;&lt;/a&gt;&lt;/p&gt;
&lt;p&gt;To make that example, I updated the following properties in the screen control:&lt;/p&gt;
&lt;pre&gt;&lt;code&gt;btnAdd.DisplayMode: If(Value(TextInput1.Text) &amp;gt;= 1, DisplayMode.Edit, DisplayMode.Disabled)
lblErrorMessage.Visible: Value(TextInput1.Text) &amp;lt; 1
txtQuantity.BorderColor: If(Value(TextInput1.Text) &amp;gt;= 1, RGBA(0, 18, 107, 1), Color.Red)
&lt;/code&gt;&lt;/pre&gt;
&lt;p&gt;Hope this helps!&lt;/p&gt;
</t>
  </si>
  <si>
    <t xml:space="preserve">&lt;p&gt;I have created a basic list in sharepoint. When I go to create an item in the list, I am able to fill out all of the fields. But when I go to save it, it doesn't submit the form. It gives me the error "Skip to Main Content".&lt;/p&gt;
&lt;p&gt;I have several lists where I use the same syntax for the "On New", "On Edit", "OnView", etc. fields in the SharePointIntegration tab of the powerapps form and all of my other lists work fine except for the one which I describe with the error above.&lt;/p&gt;
&lt;p&gt;Any suggestions?&lt;/p&gt;
</t>
  </si>
  <si>
    <t xml:space="preserve">&lt;p&gt;I have designed an API REST service (with Bonita) to which I can perfectly connect with Postman, with the following parameters:&lt;/p&gt;
&lt;p&gt;&lt;a href="https://i.stack.imgur.com/8B2vu.png" rel="nofollow noreferrer"&gt;&lt;img src="https://i.stack.imgur.com/8B2vu.png" alt="enter image description here"&gt;&lt;/a&gt;&lt;/p&gt;
&lt;p&gt;By the way, the &lt;code&gt;x-www-form-urlencoded&lt;/code&gt; option that is selected comes from the &lt;code&gt;Content-type application/x-www-form-urlencoded&lt;/code&gt; header that is not displayed in my screenshot. The &lt;a href="https://documentation.bonitasoft.com/bonita/7.10/rest-api-authentication#toc0" rel="nofollow noreferrer"&gt;official Bonita specification&lt;/a&gt; states that this header is needed and I always get a &lt;code&gt;200-OK&lt;/code&gt; status code as an answer.&lt;/p&gt;
&lt;p&gt;How can I specify an equivalent request with the body part in a Mendix &lt;code&gt;Call REST service&lt;/code&gt; in a microflow? Here is what I have so far:&lt;/p&gt;
&lt;p&gt;&lt;a href="https://i.stack.imgur.com/i4Xo0.png" rel="nofollow noreferrer"&gt;&lt;img src="https://i.stack.imgur.com/i4Xo0.png" alt="enter image description here"&gt;&lt;/a&gt;
&lt;a href="https://i.stack.imgur.com/OCGUk.png" rel="nofollow noreferrer"&gt;&lt;img src="https://i.stack.imgur.com/OCGUk.png" alt="enter image description here"&gt;&lt;/a&gt;&lt;/p&gt;
&lt;p&gt;I guess the body part should be specified in the &lt;code&gt;Request&lt;/code&gt; tab, but I just don't know how to do it properly. I always get the following error message for my connector, which means that, whatever I specify, the username is not taken into account:&lt;/p&gt;
&lt;p&gt;&lt;code&gt;An error has occurred while handling the request. [User 'Anonymous_69a378ed-bb56-4183-ae71-c9ead783db1f' with session id '5fefb6ad-XXXX-XXXX-XXXX-XXXXXXXXb34f' and roles 'Administrator']&lt;/code&gt;&lt;/p&gt;
</t>
  </si>
  <si>
    <t xml:space="preserve">&lt;p&gt;I have a project owners list in SharePoint. There can be more than one project owner for a given project (1:n).&lt;/p&gt;
&lt;p&gt;In my app, I want to create some collections OnStart to keep the UI quick and responsive. I have created a collection that contains a distinct list of the projects that the current user is the owner of:&lt;/p&gt;
&lt;pre&gt;&lt;code&gt;ClearCollect(
    MyProjects,
    Filter(
        Project_Owners, //SP list, contains the project ID along with the owner id
        Owner_ID = _myProfile.UserPrincipalName
        )
);
&lt;/code&gt;&lt;/pre&gt;
&lt;p&gt;This works well and should continue to work even as the SP list exceeds 500 records. But next I want to create a collection that contains &lt;em&gt;all&lt;/em&gt; the owners for the projects the current user is the owner of. I can achieve this like so: &lt;/p&gt;
&lt;pre&gt;&lt;code&gt;ClearCollect(
    MyProjectOwners,
    Filter(
        Project_Owners, //SP list, contains the project ID along with the owner id
        Project_ID in MyProjects.Project_ID
    )
);
&lt;/code&gt;&lt;/pre&gt;
&lt;p&gt;The problem here though is that &lt;code&gt;in&lt;/code&gt; is not delegable with SharePoint, so I'm concerned that once the project owners list exceeds 500 rows my app won't show the correct data. &lt;/p&gt;
&lt;p&gt;I cannot find a good reference anywhere that discusses how to do a 1:n lookup like this without sacrificing delegation.&lt;/p&gt;
&lt;p&gt;Am I missing something obvious here? How can I maintain delegation in this situation?&lt;/p&gt;
</t>
  </si>
  <si>
    <t xml:space="preserve">&lt;p&gt;I have LWCA that calls a method in LWCB (service LWC) that makes an imperative call to an APEX method.
The problem is that the promise is not behaving as expected.&lt;/p&gt;
&lt;p&gt;LWCA  &lt;/p&gt;
&lt;pre&gt;&lt;code&gt;      import serviceLWC from 'c/servicelwc';
    handleButtonClick() {
       this.apexCallResult = serviceLWC.callApexMethod(parm);
       console.log('lwcA:' + this.apexCallResult );
     }
&lt;/code&gt;&lt;/pre&gt;
&lt;p&gt;LWCB&lt;/p&gt;
&lt;pre&gt;&lt;code&gt;import verify from '@salesforce/apexContinuation/util.verify';
 callApexMethod(parm) {
     console.log('Service lwc');
     verify ({ parm })
            .then(result =&amp;gt;  {
                console.log('lwcB: ' + result);
                return result;
            })
            .catch(error =&amp;gt; {
                console.log('lwcB: ' + result);
                return error;
            });
},
&lt;/code&gt;&lt;/pre&gt;
&lt;p&gt;console:&lt;br/&gt;
&lt;em&gt;Service lwc &lt;br/&gt;
lwcA: undefined&lt;br/&gt;
lwcB: valid&lt;/em&gt;&lt;br/&gt;&lt;/p&gt;
&lt;p&gt;I expected (maybe incorrectly) that result in lwcB would be resolved before returning the value to the calling fn (lwcA).  Can you help me better understand why this isn't working as expected and how I can adjust this code to return a fulfilled promise to the caller?&lt;/p&gt;
</t>
  </si>
  <si>
    <t xml:space="preserve">&lt;p&gt;You need to export a callApexMethod function from LWCB and return another function/promise which return the value of promise resolver - than the this.apexCallResult in LWCA should be equal result from promise. You only need to put some changes on LWCB:&lt;/p&gt;
&lt;pre&gt;&lt;code&gt;import verify from '@salesforce/apexContinuation/util.verify';
 export function callApexMethod(parm) {
     console.log('Service lwc');
     return verify ({ parm })
            .then(result =&amp;gt;  {
                console.log('lwcB: ' + result);
                return result;
            })
            .catch(error =&amp;gt; {
                console.log('lwcB: ' + result);
                return error;
            });
}
&lt;/code&gt;&lt;/pre&gt;
&lt;p&gt;If you have more functions which need to be exported in LWCB you can use shortcut for export&lt;/p&gt;
&lt;pre&gt;&lt;code&gt;function callApexMethodA() {}
function callApexMethodB() {}
export default { callApexMethodA, callApexMethodB }
&lt;/code&gt;&lt;/pre&gt;
</t>
  </si>
  <si>
    <t xml:space="preserve">&lt;p&gt;I can see there are plugins to create events in existing calendars but is there a way to create a completely new calendar in Outlook BEFORE you add the new event using &lt;a href="https://i.stack.imgur.com/Vz5wt.png" rel="nofollow noreferrer"&gt;MS-flow&lt;/a&gt;?
Essentially I want to automate the 'Add Calendar' you can do on Outlook OWA.&lt;/p&gt;
</t>
  </si>
  <si>
    <t xml:space="preserve">&lt;p&gt;I have a table like the one shown below&lt;/p&gt;
&lt;p&gt;&lt;img src="https://i.stack.imgur.com/e7rtd.png" alt="screenshot"&gt;&lt;/p&gt;
&lt;p&gt;I want to have a radio who choses the toy car and a galery that only show the information about said car.&lt;/p&gt;
&lt;p&gt;Ive tried the property &lt;strong&gt;thisitem.(variable)&lt;/strong&gt; but that does not work.&lt;/p&gt;
&lt;p&gt;does anyone know any workaround?&lt;/p&gt;
&lt;p&gt;PS:I've tried a bunch of &lt;em&gt;if&lt;/em&gt; functions, but I have 200 itens and &lt;em&gt;if&lt;/em&gt; functions in power apps only alow 50 itens.&lt;/p&gt;
</t>
  </si>
  <si>
    <t xml:space="preserve">&lt;p&gt;Basically I want to be able to store a URL from a link I found on the webpage.  The link itself is dynamically generated by a java script function embedded within the webpage.  My question could also be satisfactorily answered by a command that grabs the current webpage URL, but I have not found any way to do that in this particular tool.  &lt;/p&gt;
&lt;p&gt;Before you ask, I cannot use a different tool, it must be this one or a Microsoft Flows / Microsoft Power Apps function/tool.  This unfortunately rules out code-based python and code-based selenium as possible solutions for me.  &lt;/p&gt;
&lt;p&gt;&lt;a href="https://i.stack.imgur.com/70zxs.png" rel="nofollow noreferrer"&gt;&lt;img src="https://i.stack.imgur.com/70zxs.png" alt="enter image description here"&gt;&lt;/a&gt;&lt;/p&gt;
</t>
  </si>
  <si>
    <t xml:space="preserve">&lt;p&gt;Do we have a functionality to publish Power Apps Portals on Microsoft's App Source? &lt;/p&gt;
&lt;p&gt;Posting this rather very simple question here since I am unable to find any concrete resource stating if it is possible to publish power app portals to app source like we normally do with canvas or model-driven power apps. &lt;/p&gt;
</t>
  </si>
  <si>
    <t xml:space="preserve">&lt;p&gt;I'm working on a project in POWERAPPS which is involved with a large data set.&lt;/p&gt;
&lt;p&gt;Right now the gallery showed all the list but not the latest list which is exceeded &gt; 2000 LIMIT&lt;/p&gt;
&lt;p&gt;Here is the code inside the Gallery in Items :&lt;/p&gt;
&lt;pre&gt;&lt;code&gt;SortByColumns(If(ExpeditorCheckbox.Value = false,
If(RequestCheckbox.Value = false,If(DateCheckbox.Value = false,Filter('SRE Request List', Geomarket.Value = DropDownGM.SelectedText.Value, StatusO/C.Value = DropDownStatus.SelectedText.Value, If(Not(DropDownPOState.SelectedText.Value = "All"), StartsWith(POState.Value, DropDownPOState.SelectedText.Value), StartsWith(POState.Value,POState.Value)), StartsWith(Traffic Light,TrafficLight.Text), SearchBar.Text in PONumber),
Filter('SRE Request List', Geomarket.Value = DropDownGM.SelectedText.Value, StatusO/C.Value = DropDownStatus.SelectedText.Value, If(Not(DropDownPOState.SelectedText.Value = "All"), StartsWith(POState.Value, DropDownPOState.SelectedText.Value), StartsWith(POState.Value,POState.Value)), NextFollowUpDate = NextFollowUpDateFilter.SelectedDate,StartsWith(ExpeditorName.DisplayName,NameInput.Text), StartsWith(Traffic Light,TrafficLight.Text),SearchBar.Text in PONumber)),
If(RequestCheckbox.Value = true,If(DateCheckbox.Value = false,Filter('SRE Request List', Geomarket.Value = DropDownGM.SelectedText.Value, StatusO/C.Value = DropDownStatus.SelectedText.Value, If(Not(DropDownPOState.SelectedText.Value = "All"), StartsWith(POState.Value, DropDownPOState.SelectedText.Value), StartsWith(POState.Value,POState.Value)), RequestType.Value = DropdownRequestType.SelectedText.Value ,StartsWith(ExpeditorName.DisplayName,NameInput.Text),StartsWith(Traffic Light,TrafficLight.Text), SearchBar.Text in PONumber),
Filter('SRE Request List', Geomarket.Value = DropDownGM.SelectedText.Value, StatusO/C.Value = DropDownStatus.SelectedText.Value, If(Not(DropDownPOState.SelectedText.Value = "All"), StartsWith(POState.Value, DropDownPOState.SelectedText.Value), StartsWith(POState.Value, POState.Value)), NextFollowUpDate = NextFollowUpDateFilter.SelectedDate, RequestType.Value = DropdownRequestType.SelectedText.Value ,StartsWith(ExpeditorName.DisplayName,NameInput.Text), StartsWith(Traffic Light,TrafficLight.Text),SearchBar.Text in PONumber)))),
If(RequestCheckbox.Value = false,If(DateCheckbox.Value = false,Filter('SRE Request List', Geomarket.Value = DropDownGM.SelectedText.Value, StatusO/C.Value = DropDownStatus.SelectedText.Value, If(Not(DropDownPOState.SelectedText.Value = "All"), StartsWith(POState.Value, DropDownPOState.SelectedText.Value), StartsWith(POState.Value,POState.Value)), StartsWith(Traffic Light,TrafficLight.Text), SearchBar.Text in PONumber, StartsWith(ExpeditorName.DisplayName,NameInput.Text)),
Filter('SRE Request List', Geomarket.Value = DropDownGM.SelectedText.Value, StatusO/C.Value = DropDownStatus.SelectedText.Value, If(Not(DropDownPOState.SelectedText.Value = "All"), StartsWith(POState.Value, DropDownPOState_M.SelectedText.Value), StartsWith(POState.Value,POState.Value)), NextFollowUpDate = NextFollowUpDateFilter.SelectedDate,StartsWith(ExpeditorName.DisplayName,NameInput.Text), StartsWith(Traffic Light,TrafficLight.Text),SearchBar.Text in PONumber, StartsWith(ExpeditorName.DisplayName,NameInput.Text))),
If(RequestCheckbox.Value = true,If(DateCheckbox.Value = false,Filter('SRE Request List', Geomarket.Value = DropDownGM.SelectedText.Value, StatusO/C.Value = DropDownStatus.SelectedText.Value, If(Not(DropDownPOState.SelectedText.Value = "All"), StartsWith(POState.Value, DropDownPOState.SelectedText.Value), StartsWith(POState.Value,POState.Value)), RequestType.Value = DropdownRequestType.SelectedText.Value ,StartsWith(ExpeditorName.DisplayName,NameInput.Text),StartsWith(Traffic Light,TrafficLight.Text), SearchBar.Text in PONumber, StartsWith(ExpeditorName.DisplayName,NameInput.Text)),
Filter('SRE Request List', Geomarket.Value = DropDownGM.SelectedText.Value, StatusO/C.Value = DropDownStatus.SelectedText.Value, If(Not(DropDownPOState.SelectedText.Value = "All"), StartsWith(POState.Value, DropDownPOState.SelectedText.Value), StartsWith(POState.Value,POState.Value)), NextFollowUpDate = NextFollowUpDateFilter.SelectedDate, RequestType.Value = DropdownRequestType.SelectedText.Value ,StartsWith(ExpeditorName.DisplayName,NameInput.Text), StartsWith(Traffic Light,TrafficLight.Text),SearchBar.Text in PONumber, StartsWith(ExpeditorName.DisplayName,NameInput.Text)))))),
"RequestID", Descending)
&lt;/code&gt;&lt;/pre&gt;
</t>
  </si>
  <si>
    <t xml:space="preserve">&lt;p&gt;I want to create a custom login form with several conditions.&lt;/p&gt;
&lt;p&gt;Here is the scenario:
When users log in to the app, PowerApps only show the screen based on their position.
for example:&lt;/p&gt;
&lt;ul&gt;
&lt;li&gt;Mr. ABC as a Staff,&lt;/li&gt;
&lt;li&gt;Mrs. DEF as a Supervisor,&lt;/li&gt;
&lt;li&gt;then when Mr. ABC logs in, he just gets a Staff screen&lt;/li&gt;
&lt;li&gt;and when Mrs. DEF logs in, she can access to Staff and Supervisor
screen&lt;/li&gt;
&lt;/ul&gt;
&lt;p&gt;I already create a table on Data Source with Name, Email, Password and Position column.
On Canvas App: &lt;/p&gt;
&lt;ul&gt;
&lt;li&gt;I set TextInput1 (Email)&lt;/li&gt;
&lt;li&gt;TextInput2 (Password)&lt;/li&gt;
&lt;li&gt;and button1 (Login)&lt;/li&gt;
&lt;/ul&gt;
&lt;p&gt;On button1:
I set a function on OnSelect event &lt;/p&gt;
&lt;pre&gt;&lt;code&gt;If(LookUp('MyDataSource', Email = TextInput1.Text, Password)=TextInput2.Text, Nagivate(StaffScreen,None))
&lt;/code&gt;&lt;/pre&gt;
&lt;p&gt;This action is just only taken users to Staff Screen.&lt;/p&gt;
&lt;p&gt;How to solve this problem?&lt;/p&gt;
</t>
  </si>
  <si>
    <t xml:space="preserve">&lt;p&gt;I am trying to use postman for update huge number of records.
I am using Bulk api with operations 'update'
1. created update job
2. updating data using csv format.
Both the commands are successful. But the job is not showing any record. also not updating the records.
Can you guys give me a sample postman for bulk api update for existing records in the system&lt;/p&gt;
</t>
  </si>
  <si>
    <t xml:space="preserve">&lt;p&gt;Working on the new Salesforce Lightning web components. I am trying to get the multidimensional array sorted in javascript. I have a trackable array, it has a few columns, i want the data sorted by the total buildings value.
Here is what I have done so far, no errors, but not getting the expected results.&lt;/p&gt;
&lt;pre&gt;&lt;code&gt;@track bc = [];
@wire(getCityStats) cityStats({ data }) {
    if (data) {
      for (let i = 0; i &amp;lt; data.length; i++) {
        if (data[i].sumchans__Province_Code__c == 'BC') {
          this.bc.push(data[i]);
        }
      }
      sortCityByNumberOfBldgs(this.bc);
}
}
  sortCityByNumberOfBldgs(province) {
    province.sort(function(a,b) {
      return a[4]-b[4]
    });
  } 
&lt;/code&gt;&lt;/pre&gt;
&lt;p&gt;Here is the SOQL in the Apex controller:&lt;/p&gt;
&lt;pre&gt;&lt;code&gt;SELECT Name,sumchans__Province_Code__c,
        (select sumchans__Penetration__c,sumchans__Total_Buildings__c from sumchans__City_Stats__r) FROM sumchans__CITY_MASTER__c
&lt;/code&gt;&lt;/pre&gt;
&lt;p&gt;This is how the data gets displayed when I run the above query and this is the data that is getting stored in the trackable bc array above.
&lt;a href="https://i.stack.imgur.com/ZQC6E.png" rel="nofollow noreferrer"&gt;&lt;img src="https://i.stack.imgur.com/ZQC6E.png" alt="enter image description here"&gt;&lt;/a&gt;&lt;/p&gt;
</t>
  </si>
  <si>
    <t xml:space="preserve">&lt;p&gt;When iterated over Trigger.new for ContentDocumentLink, I'm trying to filter out some ContentDocumentLink records basis on the entity it is linked to.( Code snippet below. ) The system.debug shows same results but twice after some ms time interval. It is causing my functionality to run twice, how do I prevent the same?&lt;/p&gt;
&lt;pre&gt;&lt;code&gt;if(govAgreementIds !=null){
        for(ContentDocumentLink att:(List&amp;lt;ContentDocumentLink&amp;gt;)Trigger.new){
            if(govAgreementIds.contains(att.LinkedEntityId)){
                finalcdId.add(att.ContentDocumentId);
            }
        }
    }
    System.debug('finalcdId&amp;gt;&amp;gt; '+finalcdId);
&lt;/code&gt;&lt;/pre&gt;
&lt;p&gt;Debugs logs :
&lt;strong&gt;17:08:07:232&lt;/strong&gt; USER_DEBUG [251]|DEBUG|finalcdId&gt;&gt; {0698A000000eg6bQAA}
&lt;strong&gt;17:08:08:528&lt;/strong&gt; USER_DEBUG [251]|DEBUG|finalcdId&gt;&gt; {0698A000000eg6bQAA}&lt;/p&gt;
</t>
  </si>
  <si>
    <t xml:space="preserve">&lt;p&gt;I've been trying to add Leaflet Draw to my SFDX Project with limited success. I've looked at the other posts here regarding it as well as their documentation to try and replicate it to get everything working, but I haven't been able to. All of this is very new to me so it is a struggle but doing what I can. &lt;/p&gt;
&lt;p&gt;Currently, I am trying to enable the Draw toolbar in leaflet so users can draw shapes to define regions. In order to do that, I am trying to set-up my HTML file and my map.js file.&lt;/p&gt;
&lt;p&gt;HTML: &lt;/p&gt;
&lt;pre&gt;&lt;code&gt;&amp;lt;!DOCTYPE html&amp;gt;
&amp;lt;html&amp;gt;
    &amp;lt;head&amp;gt;
        &amp;lt;link href="https://cdnjs.cloudflare.com/ajax/libs/leaflet.draw/0.4.2/leaflet.draw.css" el="stylesheet" /&amp;gt;
        &amp;lt;script src="https://cdnjs.cloudflare.com/ajax/libs/leaflet.draw/0.4.2/leaflet.draw.js"&amp;gt;&amp;lt;/script&amp;gt;
    &amp;lt;/head&amp;gt;
    &amp;lt;template&amp;gt;
        &amp;lt;lightning-card title="Geospatial Map"&amp;gt;
            &amp;lt;div class="map-root" lwc:dom="manual"&amp;gt;&amp;lt;/div&amp;gt;
        &amp;lt;/lightning-card&amp;gt;
    &amp;lt;/template&amp;gt;
&amp;lt;/html&amp;gt;
&lt;/code&gt;&lt;/pre&gt;
&lt;p&gt;&lt;strong&gt;Error:&lt;/strong&gt;
I've tried a few permutations of the  and  tags in terms of location and nesting, but keep getting an error either saying &lt;code&gt;LWC1051: Forbidden tag found in template: '&amp;lt;link&amp;gt;' tag is not allowed.&lt;/code&gt; &lt;/p&gt;
&lt;p&gt;or in the current setup &lt;/p&gt;
&lt;p&gt;&lt;code&gt;LWC1075: Multiple roots found
LWC1079: Expected root tag to be template, found link&lt;/code&gt;&lt;/p&gt;
&lt;p&gt;&lt;strong&gt;Do I need to be formatting this differently/putting it somewhere else?&lt;/strong&gt;&lt;/p&gt;
&lt;p&gt;Map.js:&lt;/p&gt;
&lt;pre&gt;&lt;code&gt;import { LightningElement } from 'lwc';
import { loadScript, loadStyle } from 'lightning/platformResourceLoader';
import leaflet from '@salesforce/resourceUrl/leaflet';
var leafletDraw = require('leaflet-draw');
/* L is the Leaflet object constructed by the leaflet.js script */
/*global L*/
export default class Map extends LightningElement {
    map; // L.map, a leaflet map. constructed in initializeleaflet
    /**
     * When the Map LWC is ready, start downloading Leaflet.
     * 
     * When this is complete, call initializeleaflet()
     */
    connectedCallback() {
        Promise.all([
            loadScript(this, leaflet + '/leaflet.js'),
            loadStyle(this, leaflet + '/leaflet.css')
        ]).then(() =&amp;gt; {
            this.initializeLeaflet();
            this.setupBaseTiles();
            this.dispatchEvent(new CustomEvent('ready', { detail: this.map }));
        });
    }
    /**
     * Constructs the Leaflet map on the page and initializes this.map
     */
    initializeLeaflet() {
        const mapRoot = this.template.querySelector('.map-root');
        this.map = L.map(mapRoot, {drawControl: true});
        this.map.fitWorld();
        L.control.scale().addTo(this.map);
        this.map.setMinZoom(2);
        this.map.setMaxZoom(17);
        this.addDrawTools();
    }
    addDrawTools() {
        const drawnItems = new L.FeatureGroup();
        this.map.addLayer(drawnItems);
        const drawControl = new L.Control.Draw({
            edit: {
                featureGroup: drawnItems
            }
        });
        L.control.drawControl(drawControl).addTo(this.map);
        const toolbar = L.Toolbar();
        const modifiedDraw = L.drawLocal.extend({
            draw: {
                toolbar: {
                    buttons: {
                        polygon: 'Draw a polygon!'
                    }
                }
            }
        });
        this.map.addLayer(modifiedDraw);
        toolbar.addToolbar(this.map);
    }
    /**
     * Setup the base OpenStreetMap tile layer
     */
    setupBaseTiles() {
        const mapLink = '&amp;lt;a href="http://openstreetmap.org"&amp;gt;OpenStreetMap&amp;lt;/a&amp;gt;';
        L.tileLayer(
            'https://{s}.tile.openstreetmap.org/{z}/{x}/{y}.png',
            {
                attribution: '&amp;amp;copy; ' + mapLink + ' Contributors',
            })
            .addTo(this.map);
    }
}
&lt;/code&gt;&lt;/pre&gt;
&lt;p&gt;&lt;strong&gt;Error:&lt;/strong&gt;
When I deploy this to Salesforce, I get an error saying that &lt;code&gt;L.Draw.Control is not a constructor&lt;/code&gt;, which I assume has to do with the incorrect set-up. &lt;/p&gt;
&lt;p&gt;In the docs, it says to use &lt;code&gt;npm install leaflet-draw&lt;/code&gt;, then to put &lt;code&gt;var leafletDraw = require('leaflet-draw');&lt;/code&gt; at the top of the file. Could someone provide insight on how I am to use the leafletDraw in conjuction with the other leafletDraw code snippets that I have in the file already, which come from the setup documentation? &lt;/p&gt;
&lt;p&gt;Thank you in advance for any help!! &lt;/p&gt;
</t>
  </si>
  <si>
    <t xml:space="preserve">&lt;p&gt;I uploaded my d3 version 3 javascript file in a static resource in Salesforce. But when I am trying to load the script in my javascript facing resource not found issue.&lt;/p&gt;
&lt;p&gt;I am able to load D3 V4 javascript file. But when I am trying to load D3 V3 file facing the following error. I have the requirement to load d3 v3 script only&lt;/p&gt;
&lt;p&gt;&lt;a href="https://i.stack.imgur.com/aSF6V.png" rel="nofollow noreferrer"&gt;&lt;img src="https://i.stack.imgur.com/aSF6V.png" alt="enter image description here"&gt;&lt;/a&gt;&lt;/p&gt;
&lt;p&gt;Javascript code to load d3 v3 script is below&lt;/p&gt;
&lt;p&gt;&lt;a href="https://i.stack.imgur.com/Nn6NS.png" rel="nofollow noreferrer"&gt;&lt;img src="https://i.stack.imgur.com/Nn6NS.png" alt="Load D3 V3 code"&gt;&lt;/a&gt;&lt;/p&gt;
</t>
  </si>
  <si>
    <t xml:space="preserve">&lt;p&gt;I have an Azure DevOps Pipeline with which I am trying to import a data file. It is a zip file with less than 50 records to a custom entity. When I try to import the file using datamigration utility it works, but when I try to deploy the package using an Azure DevOps Pipeline, it stays there with status &lt;code&gt;PackageDeployer Information: 8 : Message: ************** Solution IMPORT COMPLETE *****************&lt;/code&gt;
and then times out after 30 minutes. There are no other errors. &lt;/p&gt;
&lt;p&gt;&lt;a href="https://i.stack.imgur.com/pqPJ8.png" rel="nofollow noreferrer"&gt;&lt;img src="https://i.stack.imgur.com/pqPJ8.png" alt="Pipeline Log"&gt;&lt;/a&gt;&lt;/p&gt;
</t>
  </si>
  <si>
    <t xml:space="preserve">&lt;p&gt;I'm trying to secure my Zoho webhook implementation. I followed this doc: &lt;a href="https://www.zoho.com/subscriptions/kb/webhooks/securing-webhooks.html" rel="nofollow noreferrer"&gt;https://www.zoho.com/subscriptions/kb/webhooks/securing-webhooks.html&lt;/a&gt;&lt;/p&gt;
&lt;p&gt;I don't find it super clear on what to do, but I'm pretty sure that in the end I still did everything what they said.&lt;/p&gt;
&lt;p&gt;I DONT have any query parameters.
The format is just a default JSON payload NO X-WWW-FORM-URLENCODED.&lt;/p&gt;
&lt;p&gt;I tried with following code, but I don't get the correct hash. It's also unclear if I should sort the default payload or not. According to &lt;a href="https://stackoverflow.com/a/58933464/5985593"&gt;this&lt;/a&gt; answer, it's only necessary for form-url-encoded and query parameters, but for plain JSON payload is no processing required. Either way I tried both ways with following implementation as a result:&lt;/p&gt;
&lt;pre&gt;&lt;code&gt;function computeZohoSignature(query, payload) {
    return crypto
         .createHmac('sha256', process.env.ZOHO_WEBHOOK_SECRET)
         .update(JSON.stringify(payload), 'utf8')
         .digest('hex');
}
function validSignature(signatureHash, computedHash) {
  return signatureHash.length === computedHash.length
     &amp;amp;&amp;amp; crypto.timingSafeEqual(Buffer.from(signatureHash), Buffer.from(computedHash));
} 
&lt;/code&gt;&lt;/pre&gt;
&lt;p&gt;I also tried wrapping the payload with following function:&lt;/p&gt;
&lt;pre&gt;&lt;code&gt;function sortObjectByKeys(object) {
  if (!isObject(object)) return object;
  const sortedObj = {};
  Object
    .keys(object)
    .sort()
    .forEach((k) =&amp;gt; {
      sortedObj[k] = sortObjectByKeys(object[k]);
    });
  return sortedObj;
}
&lt;/code&gt;&lt;/pre&gt;
&lt;p&gt;The sorting works correct, and I even tried with just sorting the "root-keys". Doesn't matter what I try, the hash is never the same. And YES I'm 100% certain the secret is correct, I triple checked that.&lt;/p&gt;
&lt;p&gt;Does anyone see what's wrong here or has a working NodeJS implementation of doing this?&lt;/p&gt;
&lt;p&gt;Thanks in advance!&lt;/p&gt;
</t>
  </si>
  <si>
    <t xml:space="preserve">&lt;p&gt;A typical &lt;code&gt;Express&lt;/code&gt; setup uses the following configuration for parsing :&lt;/p&gt;
&lt;pre class="lang-js prettyprint-override"&gt;&lt;code&gt;app.use(bodyParser.json());
&lt;/code&gt;&lt;/pre&gt;
&lt;p&gt;This parser will add the &lt;strong&gt;parsed&lt;/strong&gt; (object) content of a request's body to the &lt;code&gt;body&lt;/code&gt; property of the first &lt;code&gt;req&lt;/code&gt; parameter of your route handler &lt;code&gt;(req, res) =&amp;gt; { ... }&lt;/code&gt;.&lt;/p&gt;
&lt;p&gt;The hash of your webhook, however, is calculated based on the &lt;strong&gt;raw&lt;/strong&gt; (string) payload. While you could use &lt;code&gt;JSON.stringify&lt;/code&gt; to convert your parsed body back to a string, this may result in inconsistencies with the original raw payload.&lt;/p&gt;
&lt;p&gt;For example, if your currency is &lt;code&gt;Euro&lt;/code&gt;, Zoho will pass the encoded &lt;code&gt;"\u20a"&lt;/code&gt; as the value for &lt;code&gt;currency_symbol&lt;/code&gt;. However, if you use &lt;code&gt;JSON.stringify&lt;/code&gt; to convert your parsed body back to a string, you'll find that it produces the unencoded &lt;code&gt;"€"&lt;/code&gt; instead. And because this results in both strings not being identical, they will not produce the same hash.&lt;/p&gt;
&lt;p&gt;Without direct access to the raw body, it is very difficult to detect precisely what's the difference between the original raw body &amp;amp; the result of your &lt;code&gt;JSON.stringify&lt;/code&gt; and thus how the latter should be transformed for it to be in the same format as the original raw body. The simplest way to overcome this, is to use the &lt;code&gt;verify&lt;/code&gt; method of your parser, to add the raw body to eg. the &lt;code&gt;rawBody&lt;/code&gt; property of the first &lt;code&gt;req&lt;/code&gt; parameter of your route handler, as described &lt;a href="https://flaviocopes.com/express-get-raw-body/" rel="nofollow noreferrer"&gt;in this article&lt;/a&gt; :&lt;/p&gt;
&lt;pre class="lang-js prettyprint-override"&gt;&lt;code&gt;app.use(bodyParser.json({
  verify: (req, res, buf) =&amp;gt; {
    req.rawBody = buf
  }
}))
&lt;/code&gt;&lt;/pre&gt;
&lt;p&gt;If you assign the value of &lt;code&gt;req.rawBody&lt;/code&gt; to &lt;code&gt;payload&lt;/code&gt;, the hash produced by your &lt;code&gt;computeZohoSignature&lt;/code&gt; method should now correspond with the signature passed by Zoho!&lt;/p&gt;
</t>
  </si>
  <si>
    <t xml:space="preserve">&lt;p&gt;We use Zoho Analytics as our BI tool at work and i want to report on our social media pages i.e. LinkedIn and Instagram.&lt;/p&gt;
&lt;p&gt;How do i connect these two social media platforms to Zoho Analytics so that i am able to report on e.g. number of likes, followers etc. &lt;/p&gt;
&lt;p&gt;I am not well versed in creating an API that can connect the two.&lt;/p&gt;
&lt;p&gt;Thanks&lt;/p&gt;
</t>
  </si>
  <si>
    <t xml:space="preserve">&lt;p&gt;I have developed a custom function which operates on the api of a third party web application. &lt;/p&gt;
&lt;p&gt;Here the Function get executed if I open it in chrome browser. &lt;/p&gt;
&lt;p&gt;Although the same does not happen within the web application. When executing the function through URL we are getting the message as Below. &lt;/p&gt;
&lt;p&gt;“ Your system administrator has blocked your computer or device. Please contact the system administrator “ &lt;/p&gt;
&lt;p&gt;Administrative Quarantined. As a header to the response. &lt;/p&gt;
&lt;p&gt;Share your suggestions. &lt;/p&gt;
</t>
  </si>
  <si>
    <t xml:space="preserve">&lt;p&gt;I am using the following DataSet Grid example:&lt;/p&gt;
&lt;p&gt;&lt;a href="https://docs.microsoft.com/en-us/powerapps/developer/component-framework/sample-controls/data-set-grid-control" rel="nofollow noreferrer"&gt;https://docs.microsoft.com/en-us/powerapps/developer/component-framework/sample-controls/data-set-grid-control&lt;/a&gt;&lt;/p&gt;
&lt;p&gt;The example allows me to upload a &lt;em&gt;DataSet&lt;/em&gt; and then shows it into a &lt;em&gt;grid&lt;/em&gt;.&lt;/p&gt;
&lt;p&gt;I am trying to upload this &lt;em&gt;DataSet&lt;/em&gt; through &lt;strong&gt;&lt;em&gt;code&lt;/em&gt;&lt;/strong&gt; to be loaded &lt;strong&gt;automatically on startup&lt;/strong&gt; instead of doing it manually.&lt;/p&gt;
&lt;p&gt;Is there a way to do do?&lt;/p&gt;
&lt;p&gt;&lt;em&gt;UPDATE:&lt;/em&gt;&lt;/p&gt;
&lt;p&gt;&lt;strong&gt;My use case:&lt;/strong&gt; I am willing to create a PCF component and use it on &lt;em&gt;Dynamics CRM&lt;/em&gt; to generate a view for cases.
I need the component to retrieve the cases from the CRM on startup so I can apply some logic on it and show it in the view. So far I can upload it &lt;strong&gt;manually&lt;/strong&gt; and apply the logic.&lt;/p&gt;
</t>
  </si>
  <si>
    <t xml:space="preserve">&lt;p&gt;I am trying to put text inside SVG so we can use custom fonts in PowerApps&lt;/p&gt;
&lt;p&gt;Sp I have an image with the below definition in the &lt;strong&gt;Image&lt;/strong&gt; property (I've cut out the &lt;em&gt;Base 64 font definition of about 1000 lines&lt;/em&gt;:&lt;/p&gt;
&lt;pre&gt;&lt;code&gt;"data:image/svg+xml," &amp;amp; // You need to include this data uri to indicate that the code herein is an SVG image
 EncodeUrl(
    "&amp;lt;svg viewBox='0 0 1291 338' xmlns='http://www.w3.org/2000/svg'&amp;gt;
  &amp;lt;style&amp;gt;
    @font-face {
    font-family: 'BHF Beats';
    src: url(data:application/font-woff2;charset=utf-8;base64,d09GMgABAAAAAFHUAA8AAAAA21AAAFFyAAEAAAAAAAAAAAAAAAAAA
{TL:DR}
4q/Jed/AdY8h4kAAHjaY2BgYGQAgqtL1DlA9LU2kwwYDQA7fwWaAAA=) format('woff');
    font-weight: bold;
    font-style: normal;
}
    .BHFBeats { font: 128px BHF Beats;fill: white }
  &amp;lt;/style&amp;gt;
  &amp;lt;text x='21' y='180' class='BHFBeats'&amp;gt;ExpenSys Claimant Setup Administration Module&amp;lt;/text&amp;gt;
&amp;lt;/svg&amp;gt;"
)
&lt;/code&gt;&lt;/pre&gt;
&lt;p&gt;with those settings this is what I can see (in PowerApps Studio:&lt;/p&gt;
&lt;p&gt;&lt;a href="https://i.stack.imgur.com/cO05q.jpg" rel="nofollow noreferrer"&gt;&lt;img src="https://i.stack.imgur.com/cO05q.jpg" alt="enter image description here"&gt;&lt;/a&gt;&lt;/p&gt;
&lt;p&gt;but what I am trying to achieve is similar to what we can get using a simple &lt;em&gt;Label&lt;/em&gt; control as below:&lt;/p&gt;
&lt;p&gt;&lt;a href="https://i.stack.imgur.com/lRFGQ.jpg" rel="nofollow noreferrer"&gt;&lt;img src="https://i.stack.imgur.com/lRFGQ.jpg" alt="enter image description here"&gt;&lt;/a&gt;&lt;/p&gt;
&lt;p&gt;so what I want is the text to be the right size, and start at the far-left, and show &lt;strong&gt;all the text&lt;/strong&gt;&lt;/p&gt;
&lt;p&gt;I've tried many different settings for font size, view-box size but cannot get it right...&lt;/p&gt;
&lt;p&gt;Where am I going wrong?&lt;/p&gt;
&lt;p&gt;More info:
The &lt;em&gt;label&lt;/em&gt; control in the second image has a height of &lt;strong&gt;50&lt;/strong&gt; and a width if &lt;strong&gt;823&lt;/strong&gt;&lt;/p&gt;
</t>
  </si>
  <si>
    <t xml:space="preserve">&lt;p&gt;Try adding a &lt;code&gt;preserveAspectRatio&lt;/code&gt; attribute to your SVG.&lt;/p&gt;
&lt;pre&gt;&lt;code&gt;&amp;lt;svg preserveAspectRatio="xMinYMid meet" ...
&lt;/code&gt;&lt;/pre&gt;
&lt;p&gt;It will ensure the contents of your SVG always start at the left end of the parent container.&lt;/p&gt;
&lt;p&gt;&lt;strong&gt;Update&lt;/strong&gt;&lt;/p&gt;
&lt;p&gt;For example.  With and without the &lt;code&gt;preserveAspectRatio&lt;/code&gt; attribute.&lt;/p&gt;
&lt;p&gt;&lt;div class="snippet" data-lang="js" data-hide="false" data-console="true" data-babel="false"&gt;
&lt;div class="snippet-code"&gt;
&lt;pre class="snippet-code-css lang-css prettyprint-override"&gt;&lt;code&gt;div {
  width: 100%;
  height:100px;
  background-color: red;
}
svg {
   width: 100%;
   height: 100%;
}&lt;/code&gt;&lt;/pre&gt;
&lt;pre class="snippet-code-html lang-html prettyprint-override"&gt;&lt;code&gt;&amp;lt;div&amp;gt;
  &amp;lt;svg viewBox="0 0 1291 338" xmlns="http://www.w3.org/2000/svg"&amp;gt;
    &amp;lt;style&amp;gt;
      .BHFBeats { font: 128px "BHF Beats";fill: white }
    &amp;lt;/style&amp;gt;
    &amp;lt;text x="21" y="180" class="BHFBeats"&amp;gt;ExpenSys Claimant Setup Administration Module&amp;lt;/text&amp;gt;
  &amp;lt;/svg&amp;gt;
&amp;lt;/div&amp;gt;
&amp;lt;br/&amp;gt;&amp;lt;br/&amp;gt;
&amp;lt;div&amp;gt;
  &amp;lt;svg viewBox="0 0 1291 338" xmlns="http://www.w3.org/2000/svg" preserveAspectRatio="xMinYMid meet"&amp;gt;
    &amp;lt;style&amp;gt;
      .BHFBeats { font-size: 128px; fill: white }
    &amp;lt;/style&amp;gt;
    &amp;lt;text x="21" y="180" class="BHFBeats"&amp;gt;ExpenSys Claimant Setup Administration Module&amp;lt;/text&amp;gt;
  &amp;lt;/svg&amp;gt;
&amp;lt;/div&amp;gt;&lt;/code&gt;&lt;/pre&gt;
&lt;/div&gt;
&lt;/div&gt;
&lt;/p&gt;
</t>
  </si>
  <si>
    <t xml:space="preserve">&lt;p&gt;I have a situation where i need to read a file (XLS) which is attached in an record using the Mulesoft. I have to apply some validations like file should not have more than 10 columns, if not it would through error message back to user.&lt;/p&gt;
&lt;p&gt;My question is how to read excel file using Mulesoft. As we have so many records for which file is attached, I need to create a setup so that Mulesoft could read file for each record dynamically.&lt;/p&gt;
&lt;p&gt;Please help.&lt;/p&gt;
&lt;p&gt;Regards,
Pankaj&lt;/p&gt;
</t>
  </si>
  <si>
    <t xml:space="preserve">&lt;p&gt;I try to calculate the leave days respectively hours as selected in the dropdown (see picture) in Power Apps.&lt;/p&gt;
&lt;p&gt;&lt;a href="https://i.stack.imgur.com/kuf3t.png" rel="nofollow noreferrer"&gt;enter image description here&lt;/a&gt;&lt;/p&gt;
&lt;p&gt;The simplest way would be only calculating the leave days as followed:
DateDiff(DateFrom.SelectedDate;DateTo.SelectedDate) + 1&lt;/p&gt;
&lt;p&gt;The problem is, this is not what I want to implement.&lt;/p&gt;
&lt;p&gt;The goal is to calculate the the hours and days which are selected, but only the working days (MO - FR) and working hours (in my case 8.5 hours) should be considered. 
For example if I would take a leave from 27.02.xx 08.00 to 29.02.xx 12.15. It should calculate 21.25 hours.&lt;/p&gt;
&lt;p&gt;Does anyone know how I can calculate the leaves in hours? Is there a trick how to handle this in Power Apps? 
Thanks a lot&lt;/p&gt;
</t>
  </si>
  <si>
    <t xml:space="preserve">&lt;p&gt;I need to modify the format of a form in a model-driven app to make it more readable/intuitive. Currently, the form looks like this: &lt;/p&gt;
&lt;p&gt;&lt;a href="https://i.stack.imgur.com/Oc335.png" rel="nofollow noreferrer"&gt;&lt;img src="https://i.stack.imgur.com/Oc335.png" alt="enter image description here"&gt;&lt;/a&gt;&lt;/p&gt;
&lt;p&gt;I tried to use a web resource to create a simple HTML table with &lt;code&gt;&amp;lt;script&amp;gt;&lt;/code&gt; and &lt;code&gt;Xrm.Page.getAttribute()&lt;/code&gt; to pull in the relevant fields under the planned and actual columns, but that isn't working. I set the dependencies and assigned it to the proper form element, but no luck. The code that I used is this: &lt;/p&gt;
&lt;pre&gt;&lt;code&gt;&amp;lt;div&amp;gt;  
  &amp;lt;table&amp;gt;
    &amp;lt;tr&amp;gt;
      &amp;lt;td&amp;gt;&amp;lt;u&amp;gt;Tasks&amp;lt;/u&amp;gt;&amp;lt;/td&amp;gt;
      &amp;lt;td&amp;gt;&amp;lt;u&amp;gt;Planned&amp;lt;/u&amp;gt;&amp;lt;/td&amp;gt;
      &amp;lt;td&amp;gt;&amp;lt;u&amp;gt;Actual&amp;lt;/u&amp;gt;&amp;lt;/td&amp;gt;
    &amp;lt;/tr&amp;gt;
    &amp;lt;tr&amp;gt;
      &amp;lt;td&amp;gt;Task 1&amp;lt;/td&amp;gt;
      &amp;lt;td&amp;gt;&amp;lt;script&amp;gt;Xrm.Page.getAttribute("[plannedField_1]")&amp;lt;/script&amp;gt;&amp;lt;/td&amp;gt;
      &amp;lt;td&amp;gt;&amp;lt;script&amp;gt;Xrm.Page.getAttribute("[actualField_1]")&amp;lt;/script&amp;gt;&amp;lt;/td&amp;gt;
    &amp;lt;/tr&amp;gt;
    &amp;lt;tr&amp;gt;
      &amp;lt;td&amp;gt;Task 2&amp;lt;/td&amp;gt;
      &amp;lt;td&amp;gt;&amp;lt;script&amp;gt;Xrm.Page.getAttribute("[plannedField_2]")&amp;lt;/script&amp;gt;&amp;lt;/td&amp;gt;
      &amp;lt;td&amp;gt;&amp;lt;script&amp;gt;Xrm.Page.getAttribute("[actualField_2]")&amp;lt;/script&amp;gt;&amp;lt;/td&amp;gt;
    &amp;lt;/tr&amp;gt;
    &amp;lt;tr&amp;gt;
      &amp;lt;td&amp;gt;Task 3&amp;lt;/td&amp;gt;
      &amp;lt;td&amp;gt;&amp;lt;script&amp;gt;Xrm.Page.getAttribute("[plannedField_3]")&amp;lt;/script&amp;gt;&amp;lt;/td&amp;gt;
      &amp;lt;td&amp;gt;&amp;lt;script&amp;gt;Xrm.Page.getAttribute("[actualField_3]")&amp;lt;/script&amp;gt;&amp;lt;/td&amp;gt;
    &amp;lt;/tr&amp;gt; 
  &amp;lt;/table&amp;gt;
&amp;lt;/div&amp;gt;
&lt;/code&gt;&lt;/pre&gt;
&lt;p&gt;Is this a valid way to modify form output, or is there another/better way to do this that doesn't involve creating an elaborate solution with dynamically scripted HTML? &lt;/p&gt;
</t>
  </si>
  <si>
    <t xml:space="preserve">&lt;p&gt;Uncheck the &lt;code&gt;Display label on the form&lt;/code&gt; for one of the controls.&lt;/p&gt;
&lt;blockquote&gt;
  &lt;p&gt;&lt;a href="https://i.stack.imgur.com/UGbms.png" rel="nofollow noreferrer"&gt;&lt;img src="https://i.stack.imgur.com/UGbms.png" alt="enter image description here"&gt;&lt;/a&gt;&lt;/p&gt;
  &lt;p&gt;&lt;a href="https://i.stack.imgur.com/F0uID.png" rel="nofollow noreferrer"&gt;&lt;img src="https://i.stack.imgur.com/F0uID.png" alt="enter image description here"&gt;&lt;/a&gt;&lt;/p&gt;
  &lt;p&gt;&lt;a href="https://i.stack.imgur.com/uGEJJ.png" rel="nofollow noreferrer"&gt;&lt;img src="https://i.stack.imgur.com/uGEJJ.png" alt="enter image description here"&gt;&lt;/a&gt;&lt;/p&gt;
&lt;/blockquote&gt;
</t>
  </si>
  <si>
    <t xml:space="preserve">&lt;p&gt;I have lightning component with screen flow and I added this component to my record page.
The screen component has next button - and what i'm trying to achieve is whenever the next button is been pressed - to show the spinner inside this screen and also to "gray out" the screen, so users won't be able to make changes during this time, until the next screen is loaded.&lt;/p&gt;
&lt;p&gt;Important to say - I only want the component to be grayed out, and not my whole record page .. &lt;/p&gt;
&lt;p&gt;I tried any possible way with styling the box container and the modal, but can't get the required result ..&lt;/p&gt;
&lt;p&gt;Anyone know solution for this issue ?&lt;/p&gt;
</t>
  </si>
  <si>
    <t xml:space="preserve">&lt;p&gt;the attachments added is not saved and when the form is submitted the attachment field in the SharePoint list is not updated&lt;/p&gt;
&lt;p&gt;&lt;em&gt;attachment image:&lt;/em&gt; &lt;a href="https://i.stack.imgur.com/e8Hx6.jpg" rel="nofollow noreferrer"&gt;https://i.stack.imgur.com/e8Hx6.jpg&lt;/a&gt;&lt;/p&gt;
</t>
  </si>
  <si>
    <t xml:space="preserve">&lt;p&gt;Please excuse my ignorance, I’m only a beginner at coding and find this very confusing.&lt;/p&gt;
&lt;p&gt;I am looking at creating a custom button for DocuSign for Salesforce.&lt;/p&gt;
&lt;p&gt;I do have the code provided by DocuSign however they say that it won’t work unless I remove the “hard returns” &lt;/p&gt;
&lt;p&gt;Can someone help me understand how to do that taking in consideration that I cannot code?&lt;/p&gt;
&lt;p&gt;I have tried to paste the code below but it didn’t work otherwise here’s the link where it can be found. Happy to pay for the advice! &lt;/p&gt;
&lt;p&gt;&lt;a href="https://support.docusign.com/guides/dfs-admin-guide-sample-js-code-custom-buttons" rel="nofollow noreferrer"&gt;https://support.docusign.com/guides/dfs-admin-guide-sample-js-code-custom-buttons&lt;/a&gt;&lt;/p&gt;
</t>
  </si>
  <si>
    <t xml:space="preserve">&lt;p&gt;We have a requirement to show google drive contents(pdf,txt,docs,xlsx,images) in a modal in lightning experience.&lt;/p&gt;
&lt;p&gt;Below is what I did so far:&lt;/p&gt;
&lt;p&gt;1) Get the &lt;code&gt;base64&lt;/code&gt; content of the drive file using Apex Callout.&lt;/p&gt;
&lt;p&gt;2) Set the iframe tag's &lt;code&gt;url&lt;/code&gt; attribute to the base64 content inside the Lightning Component.&lt;/p&gt;
&lt;p&gt;When I view the modal in LEX, I get the below error:&lt;/p&gt;
&lt;blockquote&gt;
  &lt;p&gt;Refused to frame '' because it violates the following Content Security
  Policy directive: "frame-src https: mailto:&lt;/p&gt;
&lt;/blockquote&gt;
&lt;p&gt;But if I view the same lightning component inside a VFpage in Classic view using lightning-out, the modal shows the contents properly.&lt;/p&gt;
&lt;p&gt;I tried adding the drive url : &lt;code&gt;https://www.googleapis.com&lt;/code&gt; in CSP and CORS setting but nothing works.&lt;/p&gt;
</t>
  </si>
  <si>
    <t xml:space="preserve">&lt;p&gt;Am trying to import a zip file which consists of javascript files into salesforce as static resource and use the script in lightning aura components. Am getting the" Error: Cannot use import statement outside a module" in my locker console.&lt;/p&gt;
</t>
  </si>
  <si>
    <t xml:space="preserve">&lt;p&gt;I have a created a data lake gen 2 &amp;amp; am trying to push some CDS entities to the Common Data Model on the data lake.&lt;/p&gt;
&lt;p&gt;The data lake is configured, but when i try to add an entity i get the error:&lt;/p&gt;
&lt;pre&gt;&lt;code&gt;Please wait for the initial sync of data to complete before updating the entities list.
&lt;/code&gt;&lt;/pre&gt;
&lt;p&gt;This error is occurring for the past 8 hours.
I cannot add entities and i cant find any information on why this error is being generated.&lt;/p&gt;
&lt;p&gt;Do i have to wait longer for a sync? If not, how do i troubleshoot?&lt;/p&gt;
</t>
  </si>
  <si>
    <t xml:space="preserve">&lt;p&gt;I'm trying to create a custom function in Zoho CRM that takes the invoice record, looks at the subscription time period (start date and end date) and divides the subtotal over the months of the subscription. (April, May, June, etc.) I'm trying to create a date that takes a constant 04/30 and adds the year from the start date year or the end date year, but I'm having trouble with the syntax. I believe there may be something wrong with my if statement as well. Sorry, total noob at this. If anyone could provide a direction on these it would be greatly appreciated.&lt;/p&gt;
&lt;p&gt;Here is the code I have so far&lt;/p&gt;
&lt;pre&gt;&lt;code&gt;invoice_record = zoho.crm.getRecordById("Invoices", invoice_id);
start_date = invoice_record.get("Service Start Date");
end_date = invoice_record.get("Service End Date");
invoice_date = invoice_record.get("Invoice Date");
start_date_month = start_date.getMonth();
start_date_year = start_date.getyear ();
end_date_year = end_date.getyear();
// calculate how many months in the service period
service_length = start_date.monthsBetween(end_date);
//April Revenue Recognition
april_date_start_year_datestring = "04/30/" + start_date_year;
april_date_start_year = april_date_start_year_datestring.todate( "MM/dd/yyyy") ;
april_date_end_year_datestring = "04/30/" + end_date_year;
april_date_end_year = april_date_end_year_datestring.todate( "mm/dd/yyyy") ;
if (april_date_start_year &amp;gt;= start_date || april_date_end_year &amp;lt; = april_date_end_year ) 
{ rev_rec_april = "Sub Total" / service_length }
else
{rev_rec_april = 0}
invoice_record.put("April Revenue", rev_rec_april);
update_resp = zoho.crm.updateRecord("invoices", invoice_id.toString(), invoice_record);
&lt;/code&gt;&lt;/pre&gt;
</t>
  </si>
  <si>
    <t xml:space="preserve">&lt;p&gt;Well, I am a newbie in powerapps. Recently I had this task to run an external 
Android application (A type of NFC reader) which is currently not supported on powerapps.&lt;/p&gt;
&lt;p&gt;So I researched and understood there is a method for lunching in powerapps:
You can launch a url like this:&lt;/p&gt;
&lt;pre&gt;&lt;code&gt;Launch("https://www.bing.com")
&lt;/code&gt;&lt;/pre&gt;
&lt;p&gt;You can launch skype like this:&lt;/p&gt;
&lt;pre&gt;&lt;code&gt;Launch("skype:")
&lt;/code&gt;&lt;/pre&gt;
&lt;p&gt;The syntax is like this:&lt;/p&gt;
&lt;pre&gt;&lt;code&gt;Launch( Address [, ParameterName1, ParameterValue1, ... ] )
&lt;/code&gt;&lt;/pre&gt;
&lt;p&gt;Address - Required. The address of a webpage or the ID of an app to launch.&lt;/p&gt;
&lt;p&gt;ParameterName(s) - Optional. Parameter name.&lt;/p&gt;
&lt;p&gt;ParameterValue(s) - Optional. Corresponding parameter values to pass to the app or the webpage.&lt;/p&gt;
&lt;p&gt;But how about a specific unknown application?&lt;/p&gt;
&lt;p&gt;I want to for example load app at address below in google play:&lt;/p&gt;
&lt;p&gt;&lt;a href="https://play.google.com/store/apps/details?id=com.ssaurel.nfcreader&amp;amp;hl=en" rel="nofollow noreferrer"&gt;https://play.google.com/store/apps/details?id=com.ssaurel.nfcreader&amp;amp;hl=en&lt;/a&gt;&lt;/p&gt;
&lt;p&gt;I know that I can navigate user to address below, but Is there a way to run application directly?&lt;/p&gt;
&lt;pre&gt;&lt;code&gt;Launch("https://play.google.com/store/apps/details?id=com.ssaurel.nfcreader&amp;amp;hl=en")
&lt;/code&gt;&lt;/pre&gt;
</t>
  </si>
  <si>
    <t xml:space="preserve">&lt;p&gt;I am trying to take the count from the object &lt;strong&gt;Lead&lt;/strong&gt; using SOQL.
When I am hitting the below mention query, I am getting the results.&lt;/p&gt;
&lt;pre&gt;&lt;code&gt;select 'Lead' as source_table,count(*) as source_count from Lead
&lt;/code&gt;&lt;/pre&gt;
&lt;p&gt;But when I am trying to give &lt;code&gt;where&lt;/code&gt; condition with this query, then it is throwing me the error.&lt;/p&gt;
&lt;blockquote&gt;
  &lt;p&gt;select 'Lead' as source_table,count() as source_count from Lead where
  CreatedDate &gt; 2020-02-24T09:43:51Z&lt;/p&gt;
&lt;/blockquote&gt;
&lt;p&gt;Is there anything that I am missing.&lt;/p&gt;
</t>
  </si>
  <si>
    <t xml:space="preserve">&lt;p&gt;I’m trying to create a new dataset type Powerapps Component (PCF). For the moment I am using it to display a view of the records that are available in an entity in Microsoft Dynamics CRM.&lt;/p&gt;
&lt;p&gt;I wish to make the view sort itself when I click on the grid column headers (in a similar way that the default CRM grid view does). I'm trying to figure out how to apply a sort to the dataset so that I can refresh it as indicated by the documentation for the dataset.refresh() function:&lt;/p&gt;
&lt;blockquote&gt;
  &lt;p&gt;Refreshes the dataset based on filters, sorting, linking, new column.
  New data will be pushed to control in another 'updateView' cycle.&lt;/p&gt;
&lt;/blockquote&gt;
&lt;p&gt;The dataset object does have a “sorting” property, but changing its value and then refreshing the dataset doesn’t seem to have any effect. After the refresh, the sorting property reverts to the value it had before I changed it.&lt;/p&gt;
&lt;p&gt;In short, the click handler for the grid header does something like the following bit of code. The refresh gets done and my updateView() function gets called as expected but the sorting was not applied.&lt;/p&gt;
&lt;pre&gt;&lt;code&gt;dataset.sorting = [{name: 'createdon', sortDirection: 1}];
dataset.refresh();
&lt;/code&gt;&lt;/pre&gt;
&lt;p&gt;Any help on getting the dataset sorting to work would be appreciated.&lt;/p&gt;
</t>
  </si>
  <si>
    <t xml:space="preserve">&lt;p&gt;I've been experimenting with PowerApps Component Framework a little bit recently and I can confirm that the following code won't be working:&lt;/p&gt;
&lt;pre&gt;&lt;code&gt;dataSet.sorting = [ { name: "columnName", sortDirection: 0 } ];
&lt;/code&gt;&lt;/pre&gt;
&lt;p&gt;However, I managed to get this one working for me:&lt;/p&gt;
&lt;pre&gt;&lt;code&gt;dataSet.sorting.pop(); // you may want to clean up the whole collection
dataSet.sorting.push({ name: "columnName", sortDirection: 0 });
&lt;/code&gt;&lt;/pre&gt;
&lt;p&gt;I haven't really figured out the reason of this behavior. The sorting array may be implemented as some form of &lt;em&gt;observable collection&lt;/em&gt; in the background.&lt;/p&gt;
&lt;p&gt;I hope this will guide you to a functioning solution.&lt;/p&gt;
</t>
  </si>
  <si>
    <t xml:space="preserve">&lt;p&gt;&lt;a href="https://i.stack.imgur.com/CMphz.png" rel="nofollow noreferrer"&gt;&lt;img src="https://i.stack.imgur.com/CMphz.png" alt="enter image description here"&gt;&lt;/a&gt;What is the best approach to update 2 combo box from a selected Combo box
&lt;br&gt;&lt;br&gt;
SharePoint list Issue Tracker &lt;br&gt;
Home Center     -    Lookup&lt;br&gt; 
Supervisor      -    Person or Group    &lt;br&gt;
Regional Manager -  Person or Group&lt;br&gt;&lt;/p&gt;
&lt;p&gt;&lt;a href="https://i.stack.imgur.com/1RNjV.png" rel="nofollow noreferrer"&gt;&lt;img src="https://i.stack.imgur.com/1RNjV.png" alt="enter image description here"&gt;&lt;/a&gt;&lt;/p&gt;
&lt;p&gt;Let me know if i explain it clearly. I attach some screen shot
When they select from Home Center. Supervisor and Regional Manager gets auto populated &lt;/p&gt;
</t>
  </si>
  <si>
    <t xml:space="preserve">&lt;p&gt;In the Onchange property of HomeCenter combobox ,you can set a context variable like &lt;/p&gt;
&lt;pre&gt;&lt;code&gt;    UpdateContext({homecenter_changed:true});
&lt;/code&gt;&lt;/pre&gt;
&lt;p&gt;and set the value of the same variable as false in the page OnVisible property as &lt;/p&gt;
&lt;pre&gt;&lt;code&gt;    UpdateContext({homecenter_changed:false});
&lt;/code&gt;&lt;/pre&gt;
&lt;p&gt;Set the Items property of Supervisor ComboBox as&lt;/p&gt;
&lt;pre&gt;&lt;code&gt;    If(homecenter_changed = true,Filter(Issue Tracker,Home Center =HomeCenter_combobox.Selected.Home Center).Supervisor)
&lt;/code&gt;&lt;/pre&gt;
&lt;p&gt;Similarly,the Items property of Regional Manager can be set as&lt;/p&gt;
&lt;pre&gt;&lt;code&gt;    If(homecenter_changed = true,Filter(Issue Tracker,Home Center =HomeCenter_combobox.Selected.Home Center).Regional Manager)
&lt;/code&gt;&lt;/pre&gt;
&lt;p&gt;And in the OnChange property of both Supervisor and Regional Manager,update the context varaible back to false,then only the next time you change the value for Home Center,the other two values gets autopopulated properly,like&lt;/p&gt;
&lt;pre&gt;&lt;code&gt;    UpdateContext({homecenter_changed:false});
&lt;/code&gt;&lt;/pre&gt;
</t>
  </si>
  <si>
    <t xml:space="preserve">&lt;p&gt;I am trying to deploy a trigger to prod on salesforce. I was hoping someone could help me with an example of tests for this trigger. &lt;/p&gt;
&lt;p&gt;Here is my trigger. It does its purpose, which is to update a bool field when a new contentNote (or anything of content type) that then has collateral effects through process builder. &lt;/p&gt;
&lt;pre&gt;&lt;code&gt;trigger NewNote on ContentDocumentLink (before insert) {
Set&amp;lt;Id&amp;gt; setParentId = new Set&amp;lt;Id&amp;gt;();
List&amp;lt;Client_Relationships__c&amp;gt; crlst = new List&amp;lt;Client_Relationships__c&amp;gt;();
for (ContentDocumentLink cdl : trigger.new ) {
    setParentId.add(cdl.LinkedEntityId);
    }
crlst = [select Id , newNote__c from Client_Relationships__c where Id IN :setParentId];
For(Client_Relationships__c e : crlst)
 {
    e.newNote__c = True;
 }
 update crlst;
} 
&lt;/code&gt;&lt;/pre&gt;
</t>
  </si>
  <si>
    <t xml:space="preserve">&lt;p&gt;The trigger you wrote can be more efficient by omitting the SOQL query as seen below:&lt;/p&gt;
&lt;pre&gt;&lt;code&gt;trigger NewNote on ContentDocumentLink (before insert) {
   List&amp;lt;Client_Relationships__c&amp;gt; crlst = new List&amp;lt;Client_Relationships__c&amp;gt;();
   for (ContentDocumentLink cdl : trigger.new ) {
      if(cdl.LinkedEntityId.getSObjectType().getDescribe().getName() == 'Client_Relationships__c'){
         crlst.add(
            new Client_Relationships__c(
               Id = cdl.LinkedEntityId,
               newNote__c = true
            )
         );
      }
   }
   update crlst;
} 
&lt;/code&gt;&lt;/pre&gt;
&lt;p&gt;The best practice would be to add your code to a handler or utility class and to only have one trigger per object. The name of this trigger could be changed to "ContentDocumentLinkTrigger" if you adopt that practice.&lt;/p&gt;
&lt;p&gt;The test class for that trigger is below. I could not test the compilation because I don't have the same custom object.&lt;/p&gt;
&lt;pre&gt;&lt;code&gt;@IsTest
private class ContentDocumentLinkTriggerTest {
    @TestSetup
    static void setupTest() {
        insert new ContentVersion(
                Title = 'Test_Document.txt',
                VersionData = Blob.valueOf('This is my file body.'),
                SharingPrivacy  = 'N',
                SharingOption   = 'A',
                Origin          = 'H',
                PathOnClient    = '/Test_Document.txt'
        );
        List&amp;lt;Client_Relationships__c&amp;gt; relationships = new List&amp;lt;Client_Relationships__c&amp;gt;();
        for(Integer i = 0; i &amp;lt; 300; i++){
            relationships.add(
                    new Client_Relationships__c(
                            //add required field names and values
                    )
            );
        }
        insert relationships;
    }
    static testMethod void testInsertTrigger() {
        //prepare data
        List&amp;lt;ContentVersion&amp;gt; contentVersions = new List&amp;lt;ContentVersion&amp;gt;([
                SELECT Id, ContentDocumentId FROM ContentVersion
        ]);
        System.assertNotEquals(0, contentVersions.size(), 'ContentVersion records should have been retrieved');
        List&amp;lt;Client_Relationships__c&amp;gt; relationships = getAllClientRelationships();
        System.assertNotEquals(0, relationships.size(), 'Client Relationship records should have been retrieved.');
        List&amp;lt;ContentDocumentLink&amp;gt; documentLinks = new List&amp;lt;ContentDocumentLink&amp;gt;();
        for(Integer i = 0; i &amp;lt; 252; i++){
            documentLinks.add(
                    new ContentDocumentLink(
                            ContentDocumentId = contentVersions[0].ContentDocumentId,
                            LinkedEntityId = relationships[i].Id,
                            ShareType = 'I'
                    )
            );
        }
        //test functionality
        Test.startTest();
            insert documentLinks;
        Test.stopTest();
        //assert expected results
        List&amp;lt;Client_Relationships__c&amp;gt; relationshipsAfterProcessing = getAllClientRelationships();
        for(Client_Relationships__c relationship : relationshipsAfterProcessing){
            System.assert(relationship.newNote__c, 'The newNote__c field value should be true.');
        }
    }
    private static List&amp;lt;Client_Relationships__c&amp;gt; getAllClientRelationships(){
        return new List&amp;lt;Client_Relationships__c&amp;gt;([
                SELECT Id, newNote__c FROM Client_Relationship__c
        ]);
    }
}
&lt;/code&gt;&lt;/pre&gt;
&lt;p&gt;For setting up test data, it is helpful to have a utility class that centralizes the creation of well-formed records. This is extremely useful when your code base gets large and a validation rule affects the insertion of new data in many test classes. With a centralized method, the inserted data only needs to be altered once.&lt;/p&gt;
</t>
  </si>
  <si>
    <t xml:space="preserve">&lt;p&gt;I want to use a custom metadata type to store a value in a JavaScript variable.&lt;/p&gt;
&lt;p&gt;But while doing so I am getting an error saying:&lt;/p&gt;
&lt;blockquote&gt;
  &lt;p&gt;[LWC component's @wire target property or method threw an error during value provisioning. &lt;/p&gt;
&lt;/blockquote&gt;
&lt;p&gt;Original error: &lt;/p&gt;
&lt;blockquote&gt;
  &lt;p&gt;[Cannot read property 'data' of undefined ]&lt;/p&gt;
&lt;/blockquote&gt;
&lt;p&gt;I'm using:&lt;/p&gt;
&lt;pre&gt;&lt;code&gt;this.CustomMetadata.data.fields.Field_Name__c.value;
&lt;/code&gt;&lt;/pre&gt;
</t>
  </si>
  <si>
    <t xml:space="preserve">&lt;p&gt;Is there any way we can generate salesforce unittests html report using ANT migration tool?&lt;/p&gt;
&lt;p&gt;Refering: &lt;a href="https://github.com/beamso/force-deploy-with-xml-report-task" rel="nofollow noreferrer"&gt;https://github.com/beamso/force-deploy-with-xml-report-task&lt;/a&gt;&lt;/p&gt;
&lt;p&gt;I tried appending junitreportdir to testLevel="RunLocalTests"  but getting unsupported error as below:&lt;/p&gt;
&lt;p&gt;**[root@ip-10-1-1-15 unit_test]# ant ValidateRunAllTestsReport&lt;/p&gt;
&lt;p&gt;Buildfile: /opt/salesforce/ANT_Migration_Tool/unit_test/build.xml
ValidateRunAllTestsReport:
BUILD FAILED
/opt/salesforce/ANT_Migration_Tool/unit_test/build.xml:33: sf:deploy doesn't support the "junitreportdir" attribute
Total time: 2 seconds**&lt;/p&gt;
&lt;p&gt;&lt;strong&gt;Below is my complete build.xml&lt;/strong&gt;&lt;/p&gt;
&lt;pre&gt;&lt;code&gt;&amp;lt;project name="Sample usage of Salesforce Ant tasks" default="test" basedir="." xmlns:sf="antlib:com.salesforce"&amp;gt;
&amp;lt;property file="build.properties"/&amp;gt;
&amp;lt;property environment="env"/&amp;gt;
&amp;lt;!-- Setting default value for username, password and session id properties to empty string 
     so unset values are treated as empty. Without this, ant expressions such as ${sf.username}
     will be treated literally.
--&amp;gt;
&amp;lt;condition property="sf.username" value=""&amp;gt; &amp;lt;not&amp;gt; &amp;lt;isset property="sf.username"/&amp;gt; &amp;lt;/not&amp;gt; &amp;lt;/condition&amp;gt;
&amp;lt;condition property="sf.password" value=""&amp;gt; &amp;lt;not&amp;gt; &amp;lt;isset property="sf.password"/&amp;gt; &amp;lt;/not&amp;gt; &amp;lt;/condition&amp;gt;
&amp;lt;condition property="sf.sessionId" value=""&amp;gt; &amp;lt;not&amp;gt; &amp;lt;isset property="sf.sessionId"/&amp;gt; &amp;lt;/not&amp;gt; &amp;lt;/condition&amp;gt;
&amp;lt;taskdef resource="com/salesforce/antlib.xml" uri="antlib:com.salesforce"&amp;gt;
    &amp;lt;classpath&amp;gt;
        &amp;lt;pathelement location="../ant-salesforce.jar" /&amp;gt;            
    &amp;lt;/classpath&amp;gt;
&amp;lt;/taskdef&amp;gt;
&amp;lt;!-- Shows check only; never actually saves to the server --&amp;gt;
&amp;lt;target name="ValidateRunAllTests"&amp;gt;
    &amp;lt;sf:deploy username="${sf.username}" password="${sf.password}" serverurl="${sf.serverurl}" maxPoll="${sf.maxPoll}" deployRoot="${sf.srcFolder}" checkOnly="true" testLevel="RunLocalTests"/&amp;gt;
&amp;lt;/target&amp;gt;
&amp;lt;path id="ant.additions.classpath"&amp;gt;
    &amp;lt;fileset dir="/opt/salesforce/ANT/apache-ant-1.10.7"/&amp;gt;
&amp;lt;/path&amp;gt;
&amp;lt;target name="ValidateRunAllTestsReport"&amp;gt;
    &amp;lt;taskdef
                name="sfdeploy"
                classname="com.salesforce.ant.DeployWithXmlReportTask"
                classpathref="ant.additions.classpath"
                /&amp;gt;
    &amp;lt;delete dir="test-report-xml" quiet="true"/&amp;gt;
    &amp;lt;sf:deploy username="${sf.username}" password="${sf.password}" serverurl="${sf.serverurl}" maxPoll="${sf.maxPoll}" deployRoot="${sf.srcFolder}" checkOnly="true" testLevel="RunLocalTests" junitreportdir="test-report-xml"/&amp;gt;
&amp;lt;/target&amp;gt;   
&lt;/code&gt;&lt;/pre&gt;
&lt;p&gt;&lt;/p&gt;
</t>
  </si>
  <si>
    <t xml:space="preserve">&lt;p&gt;I am doing automation testing for salesforce application where they used lightning web components. Here i need to bypass credit card details to the method gettValueFromLwc(): how to call this method from console? When i tried getvalueFromLwc(); it is showing uncauhtreferenceerror: getValueFromLwc is not defined. Is there any method to call lightning components from console? &lt;/p&gt;
</t>
  </si>
  <si>
    <t xml:space="preserve">&lt;p&gt;When I execute the Power Automate,
When the app execute Add Member to Group, 
its show me the error as below.&lt;/p&gt;
&lt;p&gt;&lt;a href="https://i.stack.imgur.com/crUmU.png" rel="nofollow noreferrer"&gt;&lt;img src="https://i.stack.imgur.com/crUmU.png" alt="enter image description here"&gt;&lt;/a&gt;&lt;/p&gt;
&lt;p&gt;and
 the condition
&lt;a href="https://i.stack.imgur.com/Hwlky.png" rel="nofollow noreferrer"&gt;&lt;img src="https://i.stack.imgur.com/Hwlky.png" alt="enter image description here"&gt;&lt;/a&gt;&lt;/p&gt;
&lt;p&gt;and &lt;/p&gt;
&lt;p&gt;my logic as shown below&lt;/p&gt;
&lt;p&gt;&lt;a href="https://i.stack.imgur.com/i2G8s.png" rel="nofollow noreferrer"&gt;&lt;img src="https://i.stack.imgur.com/i2G8s.png" alt="enter image description here"&gt;&lt;/a&gt;&lt;/p&gt;
</t>
  </si>
  <si>
    <t xml:space="preserve">&lt;p&gt;It looks like you are comparing &lt;code&gt;Responses&lt;/code&gt; to the string &lt;code&gt;"Approve"&lt;/code&gt;. The issue might be that &lt;code&gt;Responses&lt;/code&gt; is the collection of many individual &lt;code&gt;Response&lt;/code&gt; records. &lt;a href="https://docs.microsoft.com/en-us/power-automate/modern-approvals" rel="nofollow noreferrer"&gt;If you look at this Microsoft Doc&lt;/a&gt;, it shows a condition checking if a &lt;code&gt;Response&lt;/code&gt; is equal to &lt;code&gt;"Approve"&lt;/code&gt;. Note that &lt;code&gt;Response&lt;/code&gt; is lacking the trailing &lt;code&gt;s&lt;/code&gt;.&lt;/p&gt;
&lt;p&gt;Assuming you have multiple possible &lt;code&gt;Response&lt;/code&gt;s to check, and you only need one &lt;code&gt;"Approve"&lt;/code&gt; response to add them member of the group, &lt;a href="https://powerusers.microsoft.com/t5/Building-Flows/Apply-To-Each-over-Approval-Response/td-p/356290" rel="nofollow noreferrer"&gt;you can use the solution proposed int this power user's forum&lt;/a&gt;: &lt;/p&gt;
&lt;blockquote&gt;
  &lt;p&gt;Use filter action to get your information (one with Approve other with
  Reject)&lt;/p&gt;
  &lt;p&gt;expression is &lt;code&gt;item()?['approverResponse']&lt;/code&gt;&lt;/p&gt;
  &lt;p&gt;&lt;a href="https://i.stack.imgur.com/SboJE.png" rel="nofollow noreferrer"&gt;&lt;img src="https://i.stack.imgur.com/SboJE.png" alt="enter image description here"&gt;&lt;/a&gt;&lt;/p&gt;
  &lt;p&gt;Then use expression &lt;code&gt;length(dynamicontentfilterarray)&lt;/code&gt; to get your results (will give you count of approve or reject)&lt;/p&gt;
&lt;/blockquote&gt;
</t>
  </si>
  <si>
    <t xml:space="preserve">&lt;p&gt;Prevents the header created by Page Fragment from moving to the top of the screen.
Added {position: modified; top: 0;} to the style editor, but had no effect.&lt;/p&gt;
&lt;p&gt;In addition, I placed a table widget, but I also want the table-header-row to be fixed and not move.
I also don't know how to keep it still.&lt;/p&gt;
&lt;p&gt;&lt;a href="https://i.stack.imgur.com/hsAud.png" rel="nofollow noreferrer"&gt;Screen being created&lt;/a&gt;
＊＊
I always get help here.
Thanks.&lt;/p&gt;
</t>
  </si>
  <si>
    <t xml:space="preserve">&lt;p&gt;We are trying to remind people to contact clients by running through contacts to check if the last contacted date (updated through specific actions in the process builder) breaks a threshold that would require the client to be contacted. Does anyone have any recommendations as to how to do this best? Contacting the client and updating that field essentially restarts the whole system for that one contact. Keep in mind, the method we want to use to alert users to contact clients is assigning a task to them. (I was thinking of checking on a daily basis probably morning) &lt;/p&gt;
</t>
  </si>
  <si>
    <t xml:space="preserve">&lt;p&gt;I'm working on a list of tasks. Users can request to be assigned to a task, and Admin can approve or reject this request. &lt;/p&gt;
&lt;p&gt;I almost have it done, but have a &lt;strong&gt;problem with the XPath statement in the last 3rd step&lt;/strong&gt;.&lt;/p&gt;
&lt;hr&gt;
&lt;p&gt;Implementation step-by-step:&lt;/p&gt;
&lt;ol&gt;
&lt;li&gt;I created the tasks entity and associated it with the Administration.Account entity, this way I can assign users to tasks using reference selector.&lt;/li&gt;
&lt;/ol&gt;
&lt;p&gt;&lt;a href="https://i.stack.imgur.com/ElYYd.png" rel="nofollow noreferrer"&gt;&lt;img src="https://i.stack.imgur.com/ElYYd.png" alt="enter image description here"&gt;&lt;/a&gt;&lt;/p&gt;
&lt;ol start="2"&gt;
&lt;li&gt;&lt;p&gt;In each list item, there is a "request assignment" button, when User clicks on it, a microflow takes the name of the current user and saves it to the "requester" string parameter of this item.&lt;/p&gt;&lt;/li&gt;
&lt;li&gt;&lt;p&gt;When Admin approves a request, a microflow should find the user with the same username as the one stored in the requestor parameter, and associate this list item with this user.&lt;/p&gt;&lt;/li&gt;
&lt;/ol&gt;
&lt;p&gt;I have a problem with the last 3rd step. As you can see on the screenshot below, I created a microflow and I use Retrieve action to get the user from the database of all registered users. I use this XPath expression, which should help me get only one user, whose name is the same as the name stored in the "requestor" string parameter of the tasks entity:&lt;/p&gt;
&lt;pre&gt;&lt;code&gt;[Name = $Tasks.Requester] 
&lt;/code&gt;&lt;/pre&gt;
&lt;p&gt;But I'm getting an error, and don't understand how to fix it.&lt;/p&gt;
&lt;p&gt;&lt;a href="https://i.stack.imgur.com/37KJg.png" rel="nofollow noreferrer"&gt;&lt;img src="https://i.stack.imgur.com/37KJg.png" alt="enter image description here"&gt;&lt;/a&gt;&lt;/p&gt;
</t>
  </si>
  <si>
    <t xml:space="preserve">&lt;p&gt;Hi I am using Developer force of Sales force to get the account details, i am not getting any response while executing
await, the response is taking too long, any alternative for this await in sales force&lt;/p&gt;
&lt;p&gt;var results = await client.QueryAsync(constants.AccountsQuery);&lt;/p&gt;
</t>
  </si>
  <si>
    <t xml:space="preserve">&lt;blockquote&gt;
  &lt;p&gt;this is running fine in Console application, in MVC 5 Controller, its giving Unlimited TImeout Issue&lt;/p&gt;
&lt;/blockquote&gt;
&lt;p&gt;Most likely, this means that further up your call stack, some code is calling an asynchronous and then blocking on the task it returns (using &lt;code&gt;.Result&lt;/code&gt;, &lt;code&gt;.Wait()&lt;/code&gt;, or &lt;code&gt;.GetAwaiter().GetResult()&lt;/code&gt;). The solution is: &lt;a href="https://blog.stephencleary.com/2012/07/dont-block-on-async-code.html" rel="nofollow noreferrer"&gt;don't block on asynchronous code&lt;/a&gt;. Instead of blocking, use &lt;a href="https://docs.microsoft.com/en-us/archive/msdn-magazine/2013/march/async-await-best-practices-in-asynchronous-programming" rel="nofollow noreferrer"&gt;&lt;code&gt;async&lt;/code&gt; all the way&lt;/a&gt;. Change the &lt;code&gt;Result&lt;/code&gt;/&lt;code&gt;Wait&lt;/code&gt; to use &lt;code&gt;await&lt;/code&gt; instead, and the compiler will guide you from there.&lt;/p&gt;
</t>
  </si>
  <si>
    <t xml:space="preserve">&lt;p&gt;Before I activated the critical update name 'Restrict Access to @AuraEnabled Apex Methods for Guest and Portal Users Based on User Profile' I can login to Portal community properly.&lt;/p&gt;
&lt;p&gt;After I Activated that critical update, community user can not login to Portal and the error message in response of Network tab will be 'You do not have access to the Apex class named &lt;code&gt;LightningLoginFormController&lt;/code&gt;&lt;/p&gt;
&lt;p&gt;I am sure that guest or portal user profile can access &lt;code&gt;LightningLoginFormController&lt;/code&gt; Apex class.&lt;/p&gt;
&lt;pre&gt;&lt;code&gt;global class LightningLoginFormController {
    public LightningLoginFormController() {
    }
    @AuraEnabled
    public static String login(String username, String password, String startUrl) {
        try{
            ApexPages.PageReference lgn = Site.login(username, password, startUrl);
            aura.redirect(lgn);
            return null;
        }
        catch (Exception ex) {
            return ex.getMessage();            
        }
    }
    @AuraEnabled
    public static Boolean getIsUsernamePasswordEnabled() {
        Auth.AuthConfiguration authConfig = getAuthConfig();
        return authConfig.getUsernamePasswordEnabled();
    }
    @AuraEnabled
    public static Boolean getIsSelfRegistrationEnabled() {
        Auth.AuthConfiguration authConfig = getAuthConfig();
        return authConfig.getSelfRegistrationEnabled();
    }
    @AuraEnabled
    public static String getSelfRegistrationUrl() {
        Auth.AuthConfiguration authConfig = getAuthConfig();
        if (authConfig.getSelfRegistrationEnabled()) {
            return authConfig.getSelfRegistrationUrl();
        }
        return null;
    }
    @AuraEnabled
    public static String getForgotPasswordUrl() {
        Auth.AuthConfiguration authConfig = getAuthConfig();
        return authConfig.getForgotPasswordUrl();
    }
    @TestVisible
    private static Auth.AuthConfiguration getAuthConfig(){
        Id networkId = Network.getNetworkId();
        Auth.AuthConfiguration authConfig = new Auth.AuthConfiguration(networkId,'');
        return authConfig;
    }
    @AuraEnabled
    global static String setExperienceId(String expId) {
        // Return null if there is no error, else it will return the error message 
        try {
            if (expId != null) {
                Site.setExperienceId(expId);
            }
            return null; 
        } catch (Exception ex) {
            return ex.getMessage();            
        }
    }   
}
&lt;/code&gt;&lt;/pre&gt;
&lt;p&gt;Does someone else face the same problem?&lt;/p&gt;
</t>
  </si>
  <si>
    <t xml:space="preserve">&lt;p&gt;Is there a simple way to convert a Date value to the UNIX timestamp in PowerApps?&lt;/p&gt;
&lt;p&gt;For example:&lt;/p&gt;
&lt;pre&gt;&lt;code&gt;UNIX(Today()) // -&amp;gt; 1583722800000
//Or
UNIX(Date(2020, 03, 09)) // -&amp;gt; 1583722800000
&lt;/code&gt;&lt;/pre&gt;
</t>
  </si>
  <si>
    <t xml:space="preserve">&lt;ol&gt;
&lt;li&gt;You can actually just use the Text() function with the format param:&lt;/li&gt;
&lt;/ol&gt;
&lt;pre&gt;&lt;code&gt;Text(Date(2020, 03, 09), "") // -&amp;gt; 1583722800000
&lt;/code&gt;&lt;/pre&gt;
&lt;ol start="2"&gt;
&lt;li&gt;You just calculate the DateDiff from January 1st 1970:&lt;/li&gt;
&lt;/ol&gt;
&lt;pre&gt;&lt;code&gt;DateDiff(Date(1970, 01, 01), Date(2020, 03, 09), Milliseconds) // - Timezone Offset
// -&amp;gt; 1583722800000
&lt;/code&gt;&lt;/pre&gt;
&lt;p&gt;But be careful as this case will take your timezone in account.&lt;/p&gt;
</t>
  </si>
  <si>
    <t xml:space="preserve">&lt;p&gt;The data is coming from Controller like &lt;code&gt;Map&amp;lt;String,List&amp;lt;String&amp;gt;&lt;/code&gt; and need to read the Map in the Javascript. I tried to use keyset() to get key, but it failed.&lt;/p&gt;
&lt;p&gt;Original data in the Map is :&lt;/p&gt;
&lt;blockquote&gt;
  &lt;p&gt;{"error":["Error Fields: (FirstName) : FirstName required.","Error
  Fields: (Phone) : Office Phone Number Required.","Error Fields: () :
  House Phone number required"]}&lt;/p&gt;
&lt;/blockquote&gt;
&lt;p&gt;In the above data, I wanted to loop the value List based on Key 'error'.&lt;/p&gt;
&lt;h2&gt;Edit&lt;/h2&gt;
&lt;p&gt;The above issue resolved by using the below solution. But now I have an issue to display the error message line by line in the HTML page. I used to divide the error message by using \n but and print in the console, it looks good. But when I pass to the HTML, it is again showing next to each other. Here is the code.                                                                 &lt;/p&gt;
&lt;pre&gt;&lt;code&gt;result['error'].forEach( x=&amp;gt;{                                   
                errMsg += x+ '\n';
             });      
             this.showErrorMessage = true;
&lt;/code&gt;&lt;/pre&gt;
&lt;p&gt;Result in console: &lt;/p&gt;
&lt;pre&gt;&lt;code&gt;errorMessage*****
FirstName Required.
Office Phone Number Required.
House Phone number required
&lt;/code&gt;&lt;/pre&gt;
&lt;p&gt;But when displaying in HTML, it is displaying next to each other like this:  FirstName Required. Office Phone Number Required. House Phone number required.&lt;/p&gt;
&lt;p&gt;HTML code:&lt;/p&gt;
&lt;pre&gt;&lt;code&gt;&amp;lt;template if:true={showErrorMessage}&amp;gt;
                        &amp;lt;div&amp;gt;
                            &amp;lt;h6 style="color: red;"&amp;gt;{errMsg }&amp;lt;/h6&amp;gt;
                        &amp;lt;/div&amp;gt;
                    &amp;lt;/template&amp;gt;
&lt;/code&gt;&lt;/pre&gt;
</t>
  </si>
  <si>
    <t xml:space="preserve">&lt;p&gt;JavaScript doesn't have &lt;code&gt;keyset&lt;/code&gt; method, you're confusing it with Apex maybe?&lt;/p&gt;
&lt;p&gt;You could do it like that, bit old-school but if you want readability&lt;/p&gt;
&lt;pre class="lang-js prettyprint-override"&gt;&lt;code&gt;let x = {
    "error":[
        "Error Fields: (FirstName) : FirstName required.",
        "Error Fields: (Phone) : Office Phone Number Required.",
        "Error Fields: () : House Phone number required"
     ]
};
if(x &amp;amp;&amp;amp; x.error &amp;amp;&amp;amp; x.error.length){
    for(let i = 0; i &amp;lt; x.error.length; ++i){
        console.log(x.error[i]);
    }
}
&lt;/code&gt;&lt;/pre&gt;
&lt;p&gt;Or if you're comfortable with modern JavaScript and callback functions you could go with &lt;a href="https://developer.mozilla.org/en-US/docs/Web/JavaScript/Reference/Global_Objects/Array/map" rel="nofollow noreferrer"&gt;array.map&lt;/a&gt; method&lt;/p&gt;
&lt;pre class="lang-js prettyprint-override"&gt;&lt;code&gt;x.error.map(function(row){
    console.log(row);
});
&lt;/code&gt;&lt;/pre&gt;
&lt;p&gt;Or even &lt;a href="https://developer.mozilla.org/en-US/docs/Web/JavaScript/Reference/Functions/Arrow_functions" rel="nofollow noreferrer"&gt;"arrow function"&lt;/a&gt;&lt;/p&gt;
&lt;pre class="lang-js prettyprint-override"&gt;&lt;code&gt;console.log(x.error.map(i =&amp;gt; i));
&lt;/code&gt;&lt;/pre&gt;
&lt;p&gt;If you're getting started with Lightning Web Components trailheads like &lt;a href="https://trailhead.salesforce.com/en/content/learn/modules/modern-javascript-development" rel="nofollow noreferrer"&gt;https://trailhead.salesforce.com/en/content/learn/modules/modern-javascript-development&lt;/a&gt; might help. Or any online course about EC6 (EcmaScript 6, version of JavaScript specification you'll see a lot in some LWC tutorials). There's some black magic like spread operator, arrow functions that will take a while getting used to.&lt;/p&gt;
&lt;p&gt;Nothing wrong with starting by writing more verbose but readable code and slowly moving on to the fancier syntax, especially if you're in big team and not everybody is JS god.&lt;/p&gt;
</t>
  </si>
  <si>
    <t xml:space="preserve">&lt;p&gt;I have two columns that depend on each other, one is a calculated column in Microsoft flow. I like to change the currency sign based on the condition of the first column.&lt;/p&gt;
&lt;pre&gt;&lt;code&gt;  |Id  |Japan    |Installment |
  |  1 |  Yes    |   Fee will be billed in 2 equal installments of  ¥6873750 on 1-Apr-2020, 1-Oct-2020    |
  |  2 |  No     |   Fee will be billed in 2 equal installments of $6873750 on 1-Apr-2020, 1-Oct2020      |
&lt;/code&gt;&lt;/pre&gt;
&lt;p&gt;My installment column is a calculated column, in my current logic it only puts a dollar sign whether Japan is Yes or No, but for the future when the Japan column is "Yes" I like to make the currency into Yen( ¥). here is the logic&lt;/p&gt;
&lt;pre&gt;&lt;code&gt;=IF([Number of Installments]&amp;gt;="2","Fee will be billed in "&amp;amp;[Number of Installments]&amp;amp;" equal installments of "&amp;amp;"$"&amp;amp;ROUNDUP([Installment Value],2)&amp;amp;" on "&amp;amp;TEXT([Installment 1],"d-mmm-yyyy")&amp;amp;", "&amp;amp;TEXT([Installment 2],"d-mmm-yyyy")
&lt;/code&gt;&lt;/pre&gt;
</t>
  </si>
  <si>
    <t xml:space="preserve">&lt;p&gt;What is a good approach to send Application Insights telemetry from OutSystems to App Insights?&lt;/p&gt;
&lt;p&gt;I see 2 levels:&lt;/p&gt;
&lt;ul&gt;
&lt;li&gt;Server side&lt;/li&gt;
&lt;li&gt;Client side (browser)&lt;/li&gt;
&lt;/ul&gt;
&lt;p&gt;Note: I have no experience with Outsystems.&lt;/p&gt;
</t>
  </si>
  <si>
    <t xml:space="preserve">&lt;p&gt;I have an Accordion widget that is connected to a datasource 'Projects'. I have a list of all the projects and their details. However, each record in the projects datasource has a string field called "Project Type" which can contain one type or several types (seperated by commas), for e.g "Field,Qual,Quant" etc.&lt;/p&gt;
&lt;p&gt;The challenge I am facing is that I want to create another accordion that  contains rows depending on the number of types of project. For example if ProjectID P23 has project type as "Field,Qual,Quant", then when I click on the accordion for Project P23 it must expand further accordion widgets based on the number of projects types, in this case, 3 more rows should be visible.&lt;/p&gt;
&lt;p&gt;What I am thinking is that whenever I click on a Project row, it should create a datasource with 3 records depending on the number of project types. Then I can bind this data source to the subsequent accordion. However, the problem with that this will become a server-side call and cannot work synchronously. I want to do this on an onClick event of the first accordion so that results should be instant. And whenever the accordion closes, the datasource should get empty, so for any other project, it should be a dynamic process.&lt;/p&gt;
&lt;p&gt;Any leads would be greatly appreciated.&lt;/p&gt;
&lt;p&gt;P.S. I know App Maker is getting decommissioned.&lt;/p&gt;
</t>
  </si>
  <si>
    <t xml:space="preserve">&lt;p&gt;In a folder 5 CSV files and i need to upload one by one for validation purpose but even single file is not uploading i tried so many methods,can anyone suggest any methods, i'm doing in salesforce.&lt;/p&gt;
&lt;pre&gt;&lt;code&gt;WebElement uploadElement = driver.findElement(By.xpath("//div[@class='cBatchMaster']//input[1]"));
uploadElement.sendKeys("E:\\Automation\\Error Inventory.csv");
&lt;/code&gt;&lt;/pre&gt;
&lt;p&gt;above the code is for single file and directly i'm giving the exact file location but i want to upload the files in one folder&lt;/p&gt;
&lt;p&gt;Thanks&lt;/p&gt;
</t>
  </si>
  <si>
    <t xml:space="preserve">&lt;p&gt;I am trying to subscribe to a salesforce channel, I was able to get the messages from the channel.
But the issue is I am getting the messages one after another, the expected way of receiving is when bulk messages are published to the channel. Need to get the messages as a whole in the subscriber.&lt;/p&gt;
&lt;p&gt;Let's say if I publish 500 messages, I need to get whole 500 messages here on the subscriber. But I am getting one message after another.&lt;/p&gt;
&lt;p&gt;I am using the following code &lt;/p&gt;
&lt;pre&gt;&lt;code&gt;async with  client:
    for topic in get_topics(system='salesforce'):
        await client.subscribe(topic)
    async for message in client:
        messages = message
&lt;/code&gt;&lt;/pre&gt;
&lt;p&gt;The above code is called inside async function&lt;/p&gt;
&lt;p&gt;I am not sure this a bug from library or the method I follow is wrong &lt;/p&gt;
&lt;p&gt;please let me know what is the issue.&lt;/p&gt;
</t>
  </si>
  <si>
    <t xml:space="preserve">&lt;p&gt;I was able to figure out this Issue,&lt;/p&gt;
&lt;p&gt;&lt;strong&gt;It is not related to library, it is super awesome. I was able to get the message real time.&lt;/strong&gt;&lt;/p&gt;
&lt;p&gt;The issue was with the architecture I have currently, which is causing the delay.&lt;/p&gt;
&lt;p&gt;Thank you all for the help.&lt;/p&gt;
&lt;p&gt;I see like it is not so good to answer this way, but answering it so that it might give someone heads up. While looking for such errors.&lt;/p&gt;
&lt;p&gt;They can easily start debug the architecture instead of the library. &lt;/p&gt;
</t>
  </si>
  <si>
    <t xml:space="preserve">&lt;p&gt;I am working with a canvas app which is reading query parameters from URL and displaying it in a form. Currently, I am trying to read a base64 encoded string and decode it to it's actual value. Is there a way to do this within the app itself, as I don't see a function which I can use? Is there a way I can do this via MS Flow because it needs a trigger like click, I wish to do this on page load?    &lt;/p&gt;
</t>
  </si>
  <si>
    <t xml:space="preserve">&lt;p&gt;I've been trying to implement a way to download all the changes made by a particular user in salesforce using PowerShell script &amp;amp; create a package.xml. The changes could be anything whether it can be added or modified, Apex classes, profiles, Account, etc based on the modified by the user, component ID, timestamp, etc. below is the URL that exposes the API. The URL Does not explain any way to do this by using a PowerShell script.&lt;/p&gt;
&lt;p&gt;&lt;a href="https://developer.salesforce.com/docs/atlas.en-us.api_meta.meta/api_meta/meta_listmetadata.htm" rel="nofollow noreferrer"&gt;https://developer.salesforce.com/docs/atlas.en-us.api_meta.meta/api_meta/meta_listmetadata.htm&lt;/a&gt;&lt;/p&gt;
&lt;p&gt;Does anyone know how I can implement this? I don't know where to begin.&lt;/p&gt;
&lt;p&gt;Regards,
Kramer&lt;/p&gt;
</t>
  </si>
  <si>
    <t xml:space="preserve">&lt;p&gt;All,&lt;/p&gt;
&lt;p&gt;I had this question during the test automation framework development. Further, I would like to understand from experts view as well.&lt;/p&gt;
&lt;p&gt;How important to have a field level assertion compared with workflow level (Only end workflow result)? As the application is predominantly on the workflow based. &lt;/p&gt;
&lt;p&gt;I am trying to learn the best practices asserting the salesforce application workflow, Also trying to understand the best way of reporting the sales force automation flows.&lt;/p&gt;
&lt;p&gt;Thanks,&lt;/p&gt;
&lt;p&gt;Ram&lt;/p&gt;
</t>
  </si>
  <si>
    <t xml:space="preserve">&lt;p&gt;I have a Power App that, with a button, starts a Flow. The Flow is only using a Gmail-send email-component to send an email. From the Power App to the Flow i pass some values that will be included in the email.&lt;/p&gt;
&lt;p&gt;Why do I get the promt of Office 365 Outlook permissions? Are those permissions really needed?&lt;/p&gt;
&lt;p&gt;I'm not using the Office 365 Outlook-connection. Also I tried to remove all Office 365 Outlook-connectors without success, both in the Power App and in the Flow.&lt;/p&gt;
</t>
  </si>
  <si>
    <t xml:space="preserve">&lt;p&gt;I would like to know how to import pictures into an app. i have a bunch of them in a folder and i need them all imported but i don't want to have to do it one by one. Is there any way to do it? I am unsure of how to do this and if someone could tell me that would be great! thanks!&lt;/p&gt;
</t>
  </si>
  <si>
    <t xml:space="preserve">&lt;p&gt;I got this document from the api response:
&lt;code&gt;https://inventory.zoho.com/api/v1/items/{item_id}&lt;/code&gt;&lt;/p&gt;
&lt;pre&gt;&lt;code&gt;"documents":[
{
"source_formatted":"Desktop",
"can_send_in_mail":false,
"file_name":"Personalization-vantage-technology.jpg",
"file_type":"jpg",
"file_size_formatted":"40.2 KB",
"attachment_order":1,
"source":"desktop",
"document_id":"1877812000004113075",
"file_size":"41179",
"alter_text":""
}
],
&lt;/code&gt;&lt;/pre&gt;
&lt;p&gt;The question is how can I get the full image URL? I would like to display the image on my website.&lt;/p&gt;
</t>
  </si>
  <si>
    <t xml:space="preserve">&lt;p&gt;I am trying to display my name and email registered in salesforce using Lightning Web Component.&lt;/p&gt;
&lt;p&gt;I imported User.Name and User.Email but still I am getting error.
Could you tell me why this happens?&lt;/p&gt;
&lt;p&gt;Thanks in advance.&lt;/p&gt;
&lt;blockquote&gt;
  &lt;p&gt;Blockquote
  [Line: 4, Col: 23] LWC1512: Missing resource value for @salesforce/Schema/User.Name
  [Line: 5, Col: 23] LWC1512: Missing resource value for @salesforce/Schema/User.EMAIL&lt;/p&gt;
&lt;/blockquote&gt;
&lt;p&gt;JS&lt;/p&gt;
&lt;pre&gt;&lt;code&gt;import { LightningElement, wire, track, api } from 'lwc';
import { getRecord, getFieldValue } from 'lightning/uiRecordApi';
import USERID_FIELD from '@salesforce/user/Id';
import NAME_FIELD from '@salesforce/Schema/User.Name';
import MAIL_FIELD from '@salesforce/Schema/User.Email';
const FIELDS = [
    USERID_FIELD, NAME_FIELD, MAIL_FIELD
];
export default class JsSample extends LightningElement {
    @api recordId;
    @wire(getRecord, {'recordId': USERID_FIELD, fields: FIELDS})
    record;
    getName() {
        return getFieldValue(this.record.data, NAME_FIELD);
    }
    getEMail() {
        return getFieldValue(this.record.data, MAIL_FIELD);
    }
    @track inputText = '';
    handleChange(event){
        this.inputText = event.target.value;
    }
    /**
     * 初期化処理
     */
    connectedCallback(){
    }
}
&lt;/code&gt;&lt;/pre&gt;
&lt;p&gt;HTML&lt;/p&gt;
&lt;pre&gt;&lt;code&gt;&amp;lt;template&amp;gt;
    &amp;lt;div class="container"&amp;gt;
        UserInfo&amp;lt;br&amp;gt;
        &amp;lt;div class="showProperties"&amp;gt;
            Name：{name}&amp;lt;br&amp;gt;
            Mail：{eMail}
        &amp;lt;/div&amp;gt;
    &amp;lt;/div&amp;gt;
    &amp;lt;div class="おまけ"&amp;gt;
        &amp;lt;label for="wireText"&amp;gt;Input Text&amp;lt;/label&amp;gt;&amp;lt;input type="text" id="wireText" onchange={handleChange}/&amp;gt;
        &amp;lt;lightning-formatted-text value={inputText}&amp;gt;&amp;lt;/lightning-formatted-text&amp;gt;
    &amp;lt;/div&amp;gt;
&amp;lt;/template&amp;gt;
&lt;/code&gt;&lt;/pre&gt;
&lt;p&gt;update:
I cannot show my name using this code... &lt;/p&gt;
&lt;pre&gt;&lt;code&gt;import { LightningElement, api, wire } from 'lwc';
import { getRecord, getFieldValue } from 'lightning/uiRecordApi';
import Id from '@salesforce/user/Id';
import NAME_FIELD from '@salesforce/schema/User.Name';
import MAIL_FIELD from '@salesforce/schema/User.EMail';
const FIELDS = "[NAME_FIELD, MAIL_FIELD]";
export default class JsSample extends LightningElement {
    @api recordId;
    userId = Id;
    @wire(getRecord, {recordId: '$userId', fields: FIELDS})
    user;
    get name() {
        return getFieldValue(this.user.data, NAME_FIELD);
    }
    get eMail() {
        return getFieldValue(this.user.data, MAIL_FIELD);
    }
    // @track inputText = '';
    // handleChange(event){
    //     this.inputText = event.target.value;
    // }
    // /**
    //  * init
    //  */
    // connectedCallback(){
    // }
}
&lt;/code&gt;&lt;/pre&gt;
</t>
  </si>
  <si>
    <t xml:space="preserve">&lt;p&gt;Wire adaptors use lowercase camel case names, for instance &lt;code&gt;salesforce&lt;/code&gt; and &lt;code&gt;schema&lt;/code&gt; (apart from SObject and field names). Your references to the schema objects have incorrect case with the word &lt;code&gt;Schema&lt;/code&gt;. They should be: &lt;/p&gt;
&lt;pre class="lang-js prettyprint-override"&gt;&lt;code&gt;import NAME_FIELD from '@salesforce/schema/User.Name';
import MAIL_FIELD from '@salesforce/schema/User.Email';
&lt;/code&gt;&lt;/pre&gt;
&lt;p&gt;I made that correction and then pushed to my scratch org and it compiled and saved correctly. &lt;/p&gt;
</t>
  </si>
  <si>
    <t xml:space="preserve">&lt;p&gt;I want to get Zoho books Module fields like &lt;a href="https://www.zoho.com/crm/developer/docs/api/modules-api.html" rel="nofollow noreferrer"&gt;Zoho CRM API&lt;/a&gt; has. I want to know which field is a custom field in this module. There is no resource available in &lt;a href="https://www.zoho.com/books/api/v3/" rel="nofollow noreferrer"&gt;Zoho Books API&lt;/a&gt;. &lt;/p&gt;
</t>
  </si>
  <si>
    <t xml:space="preserve">&lt;blockquote&gt;
  &lt;p&gt;I want to call handleContextEdit method from eventRender function callback
  I have tried with this.handleContextEdit(event); but it is not working.
     Please help me out. &lt;/p&gt;
&lt;/blockquote&gt;
&lt;p&gt;&lt;div class="snippet" data-lang="js" data-hide="false" data-console="true" data-babel="false"&gt;
&lt;div class="snippet-code"&gt;
&lt;pre class="snippet-code-js lang-js prettyprint-override"&gt;&lt;code&gt;export default class FullCalendarJs extends LightningElement {
initialiseFullCalendarJs() {
  const ele = this.template.querySelector('div.fullcalendarjs');
  $(ele).fullCalendar({
    // this.calendar = new FullCalendar.Calendar(ele,{
    header: {
        left: 'prev,next, today',
        center: 'title',
        right: 'month,agendaWeek,agendaDay'
    },
    //themeSystem:'bootstrap3',
    plugins: [ 'momentTimezone' ],
    defaultDate: moment(),
    navLinks: true, // can click day/week names to navigate views
    editable: true,
    eventLimit: true, // allow "more" link when too many events
    events: this.programEventList,
    eventRender:function(event, element){
      var originalClass = element[0].className;
      element[0].className = originalClass + ' hasmenu';
      $(ele).contextMenu({
        selector: '.hasmenu', 
        callback: function(key, options,e) {
          this.handleContextEdit(event); //this is undefined here
        },
        items: {
            "view": {name: "View", icon: "view"},
            "edit": {name: "Edit", icon: "edit"}, 
            "delete": {name: "Delete", icon: "delete"},
            "sep1": "---------",
            "quit": {name: "Quit", icon: function(){
                return 'context-menu-icon context-menu-icon-quit';
            }}
        }
    });
    }
  });
  $(ele).fullCalendar('render');
}
handleContextEdit(event){
  console.log(event);
}
}&lt;/code&gt;&lt;/pre&gt;
&lt;/div&gt;
&lt;/div&gt;
&lt;/p&gt;
&lt;p&gt;I want to call handleContextEdit method from eventRender function callback I have tried with this.handleContextEdit(event); but it is not working. Please help me out.
Thanks!!&lt;/p&gt;
</t>
  </si>
  <si>
    <t xml:space="preserve">&lt;p&gt;I'm trying to do query using REST API, and ran into the following problem:&lt;/p&gt;
&lt;p&gt;Using GET request on the query endpoint exposes the entire query string, which may contain sensitive data such as SSN, phone number, etc...&lt;/p&gt;
&lt;p&gt;&lt;code&gt;https://[instance-url].my.salesforce.com/services/data/v48.0/query/?q=SELECT Id FROM Contact WHERE SSN__c = '123456789'&lt;/code&gt;&lt;/p&gt;
&lt;p&gt;How can I do such a query using rest api securely?
IS there an equivalent request I can make using at least POST request with post body being the query? since that part is encrypted over https.&lt;/p&gt;
&lt;p&gt;Thank you for help&lt;/p&gt;
</t>
  </si>
  <si>
    <t xml:space="preserve">&lt;p&gt;AFAIK, salesforce only provides a GET method for executing SOQL queries. One can write their own REST endpoint in their org that accepts a query in body and execute it, but thats a waste of time in my opinion.&lt;/p&gt;
&lt;p&gt;Query string parameters are secured over &lt;code&gt;https&lt;/code&gt;.  Its a common misconception, where people think whole url is open in plain text in transmission. When a request is made to an &lt;code&gt;https&lt;/code&gt; url, first it establishes a Secure Tunnel to &lt;code&gt;[instance-url].my.salesforce.com&lt;/code&gt; then transmits the rest of the url and any other data over the secure tunnel.&lt;/p&gt;
&lt;p&gt;If you're worried about some man in the middle attack sniffing out the SSN from your query string, don't. One downside is, if you are accessing this url from a browser instead of a programmatic call, then there is a chance for browser to stored/cache for history or auto complete, then it won't be so good.&lt;/p&gt;
&lt;p&gt;But I doubt if you would be able to do this via browser, as salesforce requires a bearer token set in Authorization header and there is no easy way that I know of to set headers while typing the url in the browser or clicking a link.&lt;/p&gt;
&lt;p&gt;To know more about how query string is secure over https please refer to &lt;a href="https://stackoverflow.com/questions/323200/is-an-https-query-string-secure"&gt;this stackoverflow question&lt;/a&gt;&lt;/p&gt;
</t>
  </si>
  <si>
    <t xml:space="preserve">&lt;p&gt;So I have a component that I need to hide in a community when certain conditions are met. Unfortunately I'll need to load the community page in an iFrame and then target the element and hide it when the conditions are met. &lt;/p&gt;
&lt;p&gt;However:&lt;/p&gt;
&lt;p&gt;iFrame.contentDocument.body.style...; &lt;/p&gt;
&lt;p&gt;the body and or style is not being recognized and the property is null. 
I know this should work in js but is there a specific way to do this with the lightning/aura framework?&lt;/p&gt;
&lt;p&gt;I already gave the iFrame an id and capture that in the controller.&lt;/p&gt;
</t>
  </si>
  <si>
    <t xml:space="preserve">&lt;p&gt;I'm trying to filter data in PowerApps, then make that filtered data searchable. The filter is a Yes/No column in a SharePoint list.&lt;/p&gt;
&lt;p&gt;I have Yes and No items for testing.&lt;/p&gt;
&lt;p&gt;This works:&lt;/p&gt;
&lt;pre&gt;&lt;code&gt;SortByColumns(
    Filter(
        Search(
            'Verify Research Requests',Complete_search.Text,"ResearcherAssigned","CallLetters","Status"),
        Not(IsBlank('Researcher Assigned')),'Complete' = false),
     "Title",Descending)
&lt;/code&gt;&lt;/pre&gt;
&lt;p&gt;Note:&lt;/p&gt;
&lt;pre&gt;&lt;code&gt;'Complete' = false
&lt;/code&gt;&lt;/pre&gt;
&lt;p&gt;When I set...&lt;/p&gt;
&lt;pre&gt;&lt;code&gt;'Complete' = true
&lt;/code&gt;&lt;/pre&gt;
&lt;p&gt;I get no results in the search. I've tried 0/1, no luck. I've also tried...&lt;/p&gt;
&lt;pre&gt;&lt;code&gt;Not('Complete' = false)
&lt;/code&gt;&lt;/pre&gt;
&lt;p&gt;No luck.&lt;/p&gt;
&lt;p&gt;Any insights or suggested solutions would be appreciated!&lt;/p&gt;
&lt;p&gt;&lt;a href="https://i.stack.imgur.com/EKns0.png" rel="nofollow noreferrer"&gt;Canvas app&lt;/a&gt;&lt;/p&gt;
</t>
  </si>
  <si>
    <t xml:space="preserve">&lt;p&gt;I recently learned about a low-code platform by &lt;strong&gt;&lt;a href="https://en.wikipedia.org/wiki/Appian_Corporation" rel="noreferrer"&gt;Appian&lt;/a&gt;&lt;/strong&gt; - it is basically a web service which allows you to click-and-drag interfaces, design processes using &lt;a href="/questions/tagged/bpmn" class="post-tag" title="show questions tagged &amp;#39;bpmn&amp;#39;" rel="tag"&gt;bpmn&lt;/a&gt;, and connect various data sources. Before I get too excited, I would like to figure out whether you could be working with this service fulfilling at least some check points of the &lt;a href="https://www.joelonsoftware.com/2000/08/09/the-joel-test-12-steps-to-better-code/" rel="noreferrer"&gt;Joel Test&lt;/a&gt; &lt;/p&gt;
&lt;blockquote&gt;
  &lt;ol&gt;
  &lt;li&gt;Do you use source control?&lt;/li&gt;
  &lt;li&gt;Can you make a build in one step?&lt;/li&gt;
  &lt;li&gt;Do you make daily builds?&lt;/li&gt;
  &lt;li&gt;Do you have a bug database?&lt;/li&gt;
  &lt;li&gt;Do you fix bugs before writing new code?&lt;/li&gt;
  &lt;li&gt;Do you have an up-to-date schedule?&lt;/li&gt;
  &lt;li&gt;Do you have a spec?&lt;/li&gt;
  &lt;li&gt;Do programmers have quiet working conditions?&lt;/li&gt;
  &lt;li&gt;Do you use the best tools money can buy?&lt;/li&gt;
  &lt;li&gt;Do you have testers?&lt;/li&gt;
  &lt;li&gt;Do new candidates write code during their interview?&lt;/li&gt;
  &lt;li&gt;Do you do hallway usability testing?&lt;/li&gt;
  &lt;/ol&gt;
&lt;/blockquote&gt;
&lt;p&gt;Most importantly, I am worried about the first point: &lt;strong&gt;How do I do advanced version management? Can I easily do pull requests like in GIT?&lt;/strong&gt; &lt;/p&gt;
&lt;p&gt;I heard that exported files of an Appian are loads of JSONs in a ZIP-file, so I might be able to actually use this in a usual GIT respository - or can I?&lt;/p&gt;
&lt;h2&gt;References&lt;/h2&gt;
&lt;ul&gt;
&lt;li&gt;&lt;a href="https://github.com/appian/devops-quickstart" rel="noreferrer"&gt;https://github.com/appian/devops-quickstart&lt;/a&gt; says it is &lt;em&gt;intended to serve as a model for Appian developers looking to construct a CI/CD pipeline in order to version and test their applications.&lt;/em&gt; This project dates back to 2018, at does not look official.&lt;/li&gt;
&lt;li&gt;&lt;a href="https://docs.appian.com/suite/help/19.4/Managing_Object_Versions.html" rel="noreferrer"&gt;Appian Docu: Managing Object Versions&lt;/a&gt; is not what I am after&lt;/li&gt;
&lt;li&gt;&lt;a href="https://community.appian.com/w/the-appian-playbook/198/deployment-automation" rel="noreferrer"&gt;Appian Playbook: Deployment Automation&lt;/a&gt; is a rather lengthy recipe for the usage of certain tools, and looks like it is in principle possible, but complicated.&lt;/li&gt;
&lt;li&gt;&lt;a href="https://community.appian.com/discussions/f/best-practices/12458/does-anyone-have-an-example-of-how-they-implemented-github-jenkins-for-environment-promotion" rel="noreferrer"&gt;Appian Community: Does anyone have an example of how they implemented GitHub/Jenkins for environment promotion?&lt;/a&gt; does refer to the above mentioned playbook.&lt;/li&gt;
&lt;/ul&gt;
&lt;p&gt;&lt;strong&gt;Disclaimer:&lt;/strong&gt; I am not associated with the service, I am just curious, and web searches did not lead me anywhere.&lt;/p&gt;
</t>
  </si>
  <si>
    <t xml:space="preserve">&lt;p&gt;A little more than a year ago, I worked in a project where we used Appian 18.x. Appian provides &lt;code&gt;Automated Versioning Manager&lt;/code&gt; that helps manage Appian applications and database DDL files in a version control system. It will &lt;code&gt;unzip&lt;/code&gt; the application and take care of &lt;code&gt;check-ins&lt;/code&gt; and &lt;code&gt;check-outs&lt;/code&gt;. It's a command-line utility. There's another tool called &lt;code&gt;Automated Import Manager&lt;/code&gt; that takes care of deployment.&lt;/p&gt;
&lt;p&gt;You can check this link for details: &lt;a href="https://community.appian.com/b/appmarket/posts/deployment-automation-manager" rel="nofollow noreferrer"&gt;https://community.appian.com/b/appmarket/posts/deployment-automation-manager&lt;/a&gt;&lt;/p&gt;
&lt;p&gt;As far as pull-request/code-review is concerned, I don't think there's any straightforward process. I guess it's mainly because of XMLs. Code review is mostly based on review checklists (manual) and the Appian Health Check (programmatic). Seems, there is one tool called &lt;a href="https://community.appian.com/b/appmarket/posts/virtual-application-review" rel="nofollow noreferrer"&gt;Virtual Application Review&lt;/a&gt; but that's 3rd party (and paid one). May be Appian might come up with &lt;a href="https://community.appian.com/discussions/f/general/18573/build-automated-code-review-tool-for-appian-application/73129#73129" rel="nofollow noreferrer"&gt;some solution&lt;/a&gt; in the near future.&lt;/p&gt;
&lt;p&gt;&lt;code&gt;Automated Versioning Manager&lt;/code&gt; never saw the light of the day in our project because the project was over before it could be implemented. :(&lt;/p&gt;
</t>
  </si>
  <si>
    <t xml:space="preserve">&lt;p&gt;I have an application in App Maker (yep, i know it's going to be deprecated in 2021) which I use to upload records to Big Query from a CSV file or a form.&lt;/p&gt;
&lt;p&gt;&lt;a href="https://i.stack.imgur.com/CGHdk.png" rel="nofollow noreferrer"&gt;&lt;img src="https://i.stack.imgur.com/CGHdk.png" alt="enter image description here"&gt;&lt;/a&gt;&lt;/p&gt;
&lt;p&gt;it works properly in preview mode, but it doesn't in a deployed version.&lt;/p&gt;
&lt;p&gt;&lt;a href="https://i.stack.imgur.com/580CG.png" rel="nofollow noreferrer"&gt;&lt;img src="https://i.stack.imgur.com/580CG.png" alt="enter image description here"&gt;&lt;/a&gt;&lt;/p&gt;
&lt;p&gt;Nevertheless, in this application I have a form to submit records one by one to BigQuery and it works properly in preview and deployed versions, so I think we can rule out a permission problem...&lt;/p&gt;
&lt;p&gt;&lt;strong&gt;Code snippet&lt;/strong&gt;&lt;/p&gt;
&lt;pre&gt;&lt;code&gt;function processCSV (file_id){
  var file = DriveApp.getFileById(file_id);
  var raw_data = file.getBlob().getDataAsString();
  var lines = raw_data.split("\n");
  var result_2darray = [];
  for (var i =1; i &amp;lt; lines.length; i++){
    var row = lines[i].split(",");
    var list_data = [];    
    var id_ = Math.random().toString(36).substring(2, 15) + Math.random().toString(36).substring(2, 15) + Math.random().toString(36).substring(2, 15);
    var contacto = row[0] != null ? row[0] : null;
    //var id = row[1];
    var telefono = row[2];
    var empresa = row[3];
    list_data.push(id_,contacto,telefono,empresa);
    try {
      var result_list = addBigqueryFromCSV(list_data);
      //console.log(result_list.length);
      result_2darray.push(result_list); 
    } catch (e){
      console.error(e);
    }
  }
  //console.log(result_2darray.length);
  console.log(result_2darray);
  var id = "xxx";
  var folder_id = "xxx";
  var sheet_name = "xxx";
  var ss = SpreadsheetApp.openById(id).getSheetByName(sheet_name).getRange(1, 1, result_2darray.length, result_2darray[0].length).setValues(result_2darray);
  var ss_file = DriveApp.getFileById(id);
  var folder = DriveApp.getFolderById(folder_id);
  var fileName = ss_file.getName() + ".csv";
  var csvFile = convertRangeToCsvFile_(id, sheet_name);
  // create a file in the Docs List with the given name and the csv data
  var csv_final = folder.createFile(fileName, csvFile);
  var data = csv_final.getBlob().setContentType('application/octet-stream');
  var projectId = "gestion-leads-pyme";
  var job = {
    configuration: {
      load: {
        destinationTable: {
          projectId: "gestion-leads-pyme",
          datasetId: "gestion_leads",
          tableId: "lead"
        },
        schema: {
          fields: [
            {name: 'Contacto', type: 'STRING'},
            {name: 'ID', type: 'STRING'},
            {name: 'Telefono', type: 'NUMERIC'},
            {name: 'Empresa', type: 'STRING'}            
          ]
        },
        //skipLeadingRows: 1
        source_format: 'CSV',
      }
    }
  };
  job = BigQuery.Jobs.insert(job, projectId, data);
  Logger.log('Load job started. Check on the status of it here: ' + 'https://bigquery.cloud.google.com/jobs/%s', projectId);
  Logger.log(job.status);
  SpreadsheetApp.openById(id).getSheetByName(sheet_name).clear();
  DriveApp.getFileById(csv_final.getId()).setTrashed(true);
}
&lt;/code&gt;&lt;/pre&gt;
&lt;p&gt;&lt;strong&gt;Full error message&lt;/strong&gt;&lt;/p&gt;
&lt;p&gt;Sorry, the console it's in Spanish and i don't have permissions to change it. &lt;/p&gt;
&lt;p&gt;&lt;a href="https://i.stack.imgur.com/0Yca6.png" rel="nofollow noreferrer"&gt;&lt;img src="https://i.stack.imgur.com/0Yca6.png" alt="enter image description here"&gt;&lt;/a&gt;&lt;/p&gt;
&lt;p&gt;The line which apparently is causing the error:&lt;/p&gt;
&lt;pre&gt;&lt;code&gt;var file = DriveApp.getFileById(file_id);
&lt;/code&gt;&lt;/pre&gt;
</t>
  </si>
  <si>
    <t xml:space="preserve">&lt;p&gt;I need to get contact fields such and name phone email etc. of the custom Lookup(contact) relation on my custom object, while using conga composer.  I can use Query but then I need to add TableStart and End around every merge field in that case.&lt;/p&gt;
</t>
  </si>
  <si>
    <t xml:space="preserve">&lt;p&gt;When I create an PowerApps to Integrate with Power Automate,&lt;/p&gt;
&lt;p&gt;Its shown me the error as below:&lt;/p&gt;
&lt;p&gt;&lt;a href="https://i.stack.imgur.com/kWWOl.png" rel="nofollow noreferrer"&gt;&lt;img src="https://i.stack.imgur.com/kWWOl.png" alt="enter image description here"&gt;&lt;/a&gt;&lt;/p&gt;
&lt;p&gt;When I run in default environment , the Power Automate flow is working.&lt;/p&gt;
&lt;p&gt;But when I run in other enviroment , the Flow is not working.&lt;/p&gt;
&lt;p&gt;Any permission or steps, I'm missing ?&lt;/p&gt;
&lt;p&gt;Thank you.&lt;/p&gt;
</t>
  </si>
  <si>
    <t xml:space="preserve">&lt;p&gt;If you are having the same problem you will need to be a global admin and then do the following:&lt;/p&gt;
&lt;ul&gt;
&lt;li&gt;Get an F2 flow licence for the account you are using&lt;/li&gt;
&lt;li&gt;Go to the flow app and then from settings choose the admin centre&lt;/li&gt;
&lt;li&gt;choose the 'envronments' tab on the left&lt;/li&gt;
&lt;li&gt;select your default environemnt&lt;/li&gt;
&lt;li&gt;click 'create database' and follow the instructions&lt;/li&gt;
&lt;/ul&gt;
&lt;p&gt;&lt;a href="https://powerusers.microsoft.com/t5/General-Power-Automate/Action-Start-an-approval-failed/m-p/174930#M26292" rel="nofollow noreferrer"&gt;Ref Solution&lt;/a&gt;&lt;/p&gt;
</t>
  </si>
  <si>
    <t xml:space="preserve">&lt;p&gt;I am not sure if this is the right forum for this question, but I am trying my luck to get answers.  &lt;/p&gt;
&lt;p&gt;Below is an issue which i have .
- Our users are accessing Dynamics 365 Job card device on iPad through web browser
- There is a session time out after X hours of inactivity. 
- Users have to login again and resume their work. &lt;/p&gt;
&lt;p&gt;Is there any way that powerapps can help to keep the session alive .&lt;/p&gt;
&lt;p&gt;I  would like to get suggestions on how this can be achieved . &lt;/p&gt;
</t>
  </si>
  <si>
    <t xml:space="preserve">&lt;p&gt;I am having trouble refreshing a Datatable in my Lightning Web Component after updating a record. I am calling an &lt;code&gt;onclick&lt;/code&gt; action on a button within the row, and imperatively calling an Apex method to update that record. I then call the refreshApex() to update the data being fed into the Datatable.  &lt;/p&gt;
&lt;p&gt;However, after the &lt;code&gt;refreshApex()&lt;/code&gt;, the tables within the for:each are not being refreshed with new data. &lt;/p&gt;
&lt;p&gt;The records are properly modified and reflect the changes properly when refreshing the entire page.&lt;/p&gt;
&lt;p&gt;&lt;strong&gt;Note:&lt;/strong&gt; The Task object is not supported in LWC, and I cannot use the &lt;code&gt;updateRecord()&lt;/code&gt; method to update these records.&lt;/p&gt;
&lt;p&gt;HTML: &lt;/p&gt;
&lt;pre class="lang-html prettyprint-override"&gt;&lt;code&gt;&amp;lt;template&amp;gt;
  &amp;lt;template if:true="{taskCompWrapperList}"&amp;gt;
    &amp;lt;!--&amp;lt;lightning-layout multiple-rows="false" pull-to-boundary="small"&amp;gt;--&amp;gt;
    &amp;lt;template for:each="{taskCompWrapperList}" for:item="taskTemplate"&amp;gt;
      &amp;lt;lightning-layout-item
        key="{taskTemplate.taskSectionOrder}"
        size="3"
        class="slds-p-around_x-small"
      &amp;gt;
        &amp;lt;!-- Start bear tile --&amp;gt;
        &amp;lt;lightning-card title="{taskTemplate.taskSectionTitle}"&amp;gt;
          &amp;lt;div class="slds-m-around_medium"&amp;gt;
            &amp;lt;template if:true="{taskTemplate.taskList}"&amp;gt;
              &amp;lt;lightning-datatable
                key-field="Id"
                data="{taskTemplate.taskList}"
                onrowaction="{handleRowAction}"
                columns="{columns}"
                onsave="{handleSave}"
                draft-values="{draftValues}"
              &amp;gt;
              &amp;lt;/lightning-datatable&amp;gt;
            &amp;lt;/template&amp;gt;
            &amp;lt;template if:true="{contact.error}"&amp;gt;
              &amp;lt;!-- handle Apex error --&amp;gt;
            &amp;lt;/template&amp;gt;
          &amp;lt;/div&amp;gt;
        &amp;lt;/lightning-card&amp;gt;
        &amp;lt;!-- End bear tile --&amp;gt;
      &amp;lt;/lightning-layout-item&amp;gt;
    &amp;lt;/template&amp;gt;
    &amp;lt;!--&amp;lt;/lightning-layout&amp;gt;--&amp;gt;
  &amp;lt;/template&amp;gt;
&amp;lt;/template&amp;gt;
&lt;/code&gt;&lt;/pre&gt;
&lt;p&gt;Javascript:&lt;/p&gt;
&lt;pre class="lang-js prettyprint-override"&gt;&lt;code&gt;import { LightningElement, api, wire ,track} from 'lwc';
import getTaskCompWrappers from '@salesforce/apex/ENT_Task_Utility.getTaskComponentWrapper';
import updateTask from '@salesforce/apex/ENT_Task_Utility.updateTask';
import { ShowToastEvent } from 'lightning/platformShowToastEvent';
import { updateRecord } from 'lightning/uiRecordApi';
import { refreshApex } from '@salesforce/apex';
const COLS = [
    {        
        type: 'button',
        label: 'Complete',
        typeAttributes: 
        {
            //iconName: 'action:preview',
            label: 'Complete',
            name: 'Complete',
            title: 'Complete',
            value: 'Complete',
            variant: 'brand',
            alternativeText: 'Complete'
        }
    },
    {        
        type: 'button-icon', 
        label: 'Start',       
        typeAttributes: 
        {
            iconName: 'action:approval',
            //label: 'Complete',
            name: 'Start',
            title: 'Start',
            value: 'Start',
            variant: 'success',            
            alternativeText: 'Start',
        }
    },
    {
        type: "button", 
        typeAttributes: 
        {  
            label: 'View',  
            name: 'View',  
            title: 'View',  
            disabled: false,  
            value: 'view',  
            iconPosition: 'left'  
        }
    },  
    {
        type: "button", 
        typeAttributes: 
        {  
            label: 'Edit',  
            name: 'Edit',  
            title: 'Edit',  
            disabled: false,  
            value: 'edit',  
            iconPosition: 'left'  
        }
    },  
    //{ label: 'Complete', fieldName: 'Task_Complete__c', editable: true },
    { label: 'Status', fieldName: 'Status', type: 'picklist', editable: true },
    { label: 'Completed', fieldName: 'Completed', type: 'boolean', editable: true },
    { label: 'Owner', fieldName: 'OwnerId', editable: true },
    { label: 'Subject', fieldName: 'Subject' },
    { label: 'Due Date', fieldName: 'ActivityDate', type: 'date' }
];
export default class ENT_Task_Utility_LWC extends LightningElement {
    @api objApiName;
    @api recordId;
    @track testMessage = 'Test Failed :c';  
    @track error;
    @track columns = COLS;
    @track draftValues = [];
    taskCompWrapperList;
    @track error;
    //@wire(getTasks, {recordId: '$recordId'}) taskList;`
    @wire(getTaskCompWrappers, {recordId: '$recordId', objApiName: '$objApiName'}) 
    taskCompWrapperListWire({ error, data }) {
        if (data) {
            this.taskCompWrapperList = data;
            this.error = undefined;
        } else if (error) {
            this.error = error;
            this.taskCompWrapperList = undefined;
        }
    }
    updateTaskValues (taskId, taskStatus) {
        // eslint-disable-next-line no-console
        console.log('updateTaskValues hit');
        for(var counter = 0; counter &amp;lt; this.taskCompWrapperList.length; counter++) {
            // eslint-disable-next-line no-console
            console.log('taskWrapper: ' + this.taskCompWrapperList[counter]);
            for(var counter2 = 0; counter2 &amp;lt; this.taskCompWrapperList[counter].taskList.length; counter2++) {
                // eslint-disable-next-line no-console
                console.log('task: ' + this.taskCompWrapperList[counter].taskList[counter2]);
                if(this.taskCompWrapperList[counter].taskList[counter2].Id == taskId)
                {
                    this.dispatchEvent(
                        new ShowToastEvent({
                            title: 'Task Id Found!',
                            message: this.taskCompWrapperList[counter].taskList[counter2].Id,
                            variant: 'success'
                        })
                    );
                    this.taskCompWrapperList[counter].taskList[counter2].Status = taskStatus;
                }
            }
        }
    }
    handleRowAction(event) {
        //TODO
    }    
}
&lt;/code&gt;&lt;/pre&gt;
&lt;p&gt;Apex methods: &lt;/p&gt;
&lt;pre&gt;&lt;code&gt;@AuraEnabled(cacheable=true)
    global static List&amp;lt;Task&amp;gt; getTasks(String recordId)
    {
        return [SELECT Id, Subject, OwnerId FROM Task WHERE WhatId = :recordId];
    }
    @AuraEnabled(cacheable=true)
    global static List&amp;lt;ENT_Task_Comp_Wrapper&amp;gt; getTaskComponentWrapper(String recordId, String objApiName)
    {
        List&amp;lt;Task_Template__c&amp;gt; taskTemplateList = [SELECT Id, Task_Component_Section_Order__c, Task_Component_Section_Title__c, (SELECT Id FROM Task_Template_Items__r) 
                                                   FROM Task_Template__c 
                                                   WHERE Active__c = true AND sObject__c = :objApiName ORDER BY Task_Component_Section_Order__c ASC];
        List&amp;lt;Task&amp;gt; taskList = [SELECT Id, Task_Template_Item__c, OwnerId, Owner.Name, Subject, Description, Status, ActivityDate, Task_Complete__c FROM TasK WHERE WhatId = :recordId];
        List&amp;lt;ENT_Task_Comp_Wrapper&amp;gt; taskCompWrapperList = new List&amp;lt;ENT_Task_Comp_Wrapper&amp;gt;();
        for(Task_Template__c taskTemplate : taskTemplateList)
        {
            ENT_Task_Comp_Wrapper taskCompWrapper = new ENT_Task_Comp_Wrapper();
            taskCompWrapper.taskSectionTitle = taskTemplate.Task_Component_Section_Title__c;
            taskCompWrapper.taskSectionOrder = (Integer)taskTemplate.Task_Component_Section_Order__c;
            taskCompWrapper.taskList = new List&amp;lt;Task&amp;gt;();
            for(Task currentTask : taskList)
            {
                for(Task_Template_Item__c taskTemplateItem : taskTemplate.Task_Template_Items__r)
                {
                    if(taskTemplateItem.Id == currentTask.Task_Template_Item__c)
                    {
                        taskCompWrapper.taskList.add(currentTask);
                    }
                }
            }
            taskCompWrapperList.add(taskCompWrapper);
        }
        System.debug(taskCompWrapperList);
        return taskCompWrapperList;
    }
    @AuraEnabled
    global static void updateTask(String taskId, String newStatus)
    {
        System.debug(taskId);
        Task taskToUpdate = new Task(Id = taskId, Status = newStatus);
        update taskToUpdate;
        //update taskToUpdate;
    }
@AuraEnabled
    global static void updateTask(String taskId, String newStatus)
    {
        System.debug(taskId);
        Task taskToUpdate = new Task(Id = taskId, Status = newStatus);
        update taskToUpdate;
        //update taskToUpdate;
    }
&lt;/code&gt;&lt;/pre&gt;
</t>
  </si>
  <si>
    <t xml:space="preserve">&lt;pre&gt;&lt;code&gt;    //component
&amp;lt;aura:component controller="LookupRelatedContactC"
                implements="force:appHostable,flexipage:availableForAllPageTypes,flexipage:availableForRecordHome,force:hasRecordId,forceCommunity:availableForAllPageTypes,force:lightningQuickAction" access="global" &amp;gt;
    &amp;lt;aura:attribute name="selectedLookUpRecord" type="sObject" default="{}"/&amp;gt;
    &amp;lt;aura:attribute name="data" type="Object"/&amp;gt;
    &amp;lt;aura:attribute name="columns" type="List"/&amp;gt;
    &amp;lt;aura:attribute name="selectedRows" type="List"/&amp;gt;
    &amp;lt;aura:attribute name="rowIndex" type="String"/&amp;gt;
    &amp;lt;aura:attribute name="options" type="List" default="[
     {'label': 'Contacts', 'value': 'option1'},
     {'label': 'Opportunities', 'value': 'option2'}]"/&amp;gt;
    &amp;lt;aura:attribute name="value" type="String" default="option1"/&amp;gt;
    &amp;lt;aura:handler name="change" value="{!v.selectedLookUpRecord}" action="{!c.selectedLookupChanged}"/&amp;gt;
    &amp;lt;lightning:card title = 'Search by Account Name' &amp;gt;
        &amp;lt;c:LookupReusable_Parent objectAPIName="account" IconName="standard:account"
                                 selectedRecord="{!v.selectedLookUpRecord}"
                                 label="Accounts"/&amp;gt;
        &amp;lt;lightning:radioGroup name="radioGroup"
                              label="Select any one of these"
                              options="{! v.options }"
                              value="{! v.value }"
                              type="radio"/&amp;gt;
        &amp;lt;br/&amp;gt;&amp;lt;br/&amp;gt;
        &amp;lt;lightning:datatable columns="{! v.columns }"
                             data="{! v.data }"
                             keyField="id"
                             hideCheckboxColumn="true"
                             onrowaction="{!c.removeRecord}"/&amp;gt;&amp;lt;br&amp;gt;&amp;lt;/br&amp;gt;
        &amp;lt;lightning:button variant="brand" label="Save" title="Brand action" onclick="{! c.handleClick}" /&amp;gt;
        &amp;lt;lightning:button variant="brand" label="Add Row" title="Brand action" onclick="{! c.handleClick}" /&amp;gt;
    &amp;lt;/lightning:card&amp;gt;
&amp;lt;/aura:component&amp;gt;
//js controller
({ 
    selectedLookupChanged:function(component, event, helper) { 
        component.set('v.columns', [
            {label: 'Contact Name', 
             fieldName: 'Name', 
             editable: true, 
             type: 'text'},
            {label: 'Phone', 
             fieldName: 'Phone',
             type: 'phone'},
            {label: "Action",type: "button", typeAttributes: {
                label: 'Delete',
                name: 'delete',
                title: 'Delete',
                disabled: false,
                value: 'delete',
                iconPosition: 'left'  
            }},
        ]);
            var aId = component.get("v.selectedLookUpRecord").Id;
            var action=component.get('c.getCon');
            action.setParams({accId : aId});
            action.setCallback(this, function(response){
            var state = response.getState();
            if (state === "SUCCESS") {
            var rows1 = response.getReturnValue();
            component.set("v.data", rows1);
            }
            });
            $A.enqueueAction(action);
            }
})
//apex class
public class LookupRelatedContactC {
    @AuraEnabled
    public static List&amp;lt;Contact&amp;gt; getCon(List&amp;lt;String&amp;gt; accId) {
        return [SELECT Id, Name, Phone FROM Contact WHERE AccountId =:accId];
    }
}
&lt;/code&gt;&lt;/pre&gt;
&lt;p&gt;In the above code I am stuck at the point where I am not able to add rows or delete any row dynamically in the lightning data table what I have found on the internet mostly people I have done with it aura iteration but not with data table. So when I press on delete it should fire js event or when I add row then it should fire js I dont want to call server side method again and again to add or delete. So, once I done with the delete or add row then after pressing Save button then it should fire server side method once and should save into the database Please help&lt;/p&gt;
</t>
  </si>
  <si>
    <t xml:space="preserve">&lt;p&gt;I'm trying to create an ebay style app in powerapps using sharepoint as db.
This is the video showing the problem: &lt;a href="https://gofile.io/?c=H1E6Bb" rel="nofollow noreferrer"&gt;https://gofile.io/?c=H1E6Bb&lt;/a&gt;&lt;/p&gt;
&lt;p&gt;The app structure is like this:&lt;/p&gt;
&lt;ul&gt;
&lt;li&gt;one list with available items (the list column is a number column where the number can't be less than zero)&lt;/li&gt;
&lt;li&gt;one list with user and bought items, each item is a Yes/No type column&lt;/li&gt;
&lt;/ul&gt;
&lt;p&gt;In the onCheck code of each toggle I first reduce the "products available" field by one, if no error received (the list will give error if the availability goes below zero) I patch the user field, otherwise I reset the toggle.
In the onUnCheck code of each toggle I just add one to the products availability.
It looks working ok, but look at the video, when I refresh the lists it goes crazy
Another problem is when the check toggle is unsuccessful and I reset the toggle, the unUnCheck code is processed and the product availability increases by mistake&lt;/p&gt;
</t>
  </si>
  <si>
    <t xml:space="preserve">&lt;p&gt;I am receiving the following error when trying to run my application with react lightning design&lt;/p&gt;
&lt;pre&gt;&lt;code&gt;./node_modules/@salesforce/design-system-react/components/button/index.jsx 38:20
Module parse failed: Unexpected token (38:20)
You may need an appropriate loader to handle this file type, currently no loaders are configured to process this file. See https://webpack.js.org/concepts#loaders
|  */
| class Button extends React.Component {
&amp;gt;   static displayName = BUTTON;
| 
|   static propTypes = {
&lt;/code&gt;&lt;/pre&gt;
&lt;p&gt;I have configured at webpack.config.js file with the following loader config below:&lt;/p&gt;
&lt;pre&gt;&lt;code&gt;loaders: [
            {
                test: /\.jsx?$/,
                loaders: ['babel'],
                include: [
                    path.join(__dirname, 'public/src'),
                    path.join(__dirname, 'node_modules/@salesforce/design-system-react'),
                ]
            },
&lt;/code&gt;&lt;/pre&gt;
</t>
  </si>
  <si>
    <t xml:space="preserve">&lt;p&gt;I am trying to use zoho desk api in google apps script.&lt;/p&gt;
&lt;p&gt;I am trying to genereate ticket through google script.But getting error.
Whereas if I do it in PHP its working fine.&lt;/p&gt;
&lt;p&gt;Please find both codes for reference:&lt;/p&gt;
&lt;p&gt;&lt;strong&gt;PHP CODE which is working&lt;/strong&gt;&lt;/p&gt;
&lt;pre&gt;&lt;code&gt;            $auth_token = '12345ab';//your_auth_token
            $org_id=12345; //your_organization_id
            $ticket_data=array(
                "departmentId"=&amp;gt;$getdepartmentid,
                "contactId"=&amp;gt;$getcontactid,
                "subject"=&amp;gt;$ticket_subject,
                "description"=&amp;gt;$ticket_desc,
                "priority"=&amp;gt;$priority,
                "status"=&amp;gt;$ticketstatus,
                "email"=&amp;gt;$contact_email,
                "classification"=&amp;gt;$classification,
                "channel"=&amp;gt;"Application"
            );
        $headers=array(
            "Authorization: $auth_token",
            "orgId: $org_id",
            "contentType: application/json; charset=utf-8",
        );
        $url="https://desk.zoho.in/api/v1/tickets";
        $ticket_data=(gettype($ticket_data)==="array")? json_encode($ticket_data):$ticket_data;
        $ch= curl_init($url);
        curl_setopt($ch,CURLOPT_HTTPHEADER,$headers);
        curl_setopt($ch,CURLOPT_RETURNTRANSFER,TRUE);
        curl_setopt($ch,CURLOPT_POST,TRUE);
        curl_setopt($ch, CURLOPT_POSTFIELDS,$ticket_data); //convert ticket data array to json
        curl_setopt($ch, CURLOPT_SSL_VERIFYHOST, false);
        curl_setopt($ch, CURLOPT_SSL_VERIFYPEER, false);    
        $response= curl_exec($ch);
        $info= curl_getinfo($ch);
&lt;/code&gt;&lt;/pre&gt;
&lt;p&gt;&lt;strong&gt;GOOGLE APPS SCRIPT(which is not working)&lt;/strong&gt;&lt;/p&gt;
&lt;pre&gt;&lt;code&gt;        var authtoken = "12345ab"; //your_auth_token
        var org_id=12345; //your_organization_id
        var department=23220000000057620; // ID of department
        var contact=23220000000066959; //ID of customer
        var subject=location_urgent_inbox_folder_name + ' /' + Name_of_file_to_be_attached;
        var description="Ticked via drive";
        var status="open";
        const ticketData = {
         subject: subject, 
         departmentId: department, // Replace this with whatever yours is.
         contactId: contact, // Replace this with whatever yours is.
         description: description,
         status: status
        };
        const zohoUrl = 'https://desk.zoho.in/api/v1/tickets';
        try {
          var response = UrlFetchApp.fetch(zohoUrl, {
          "method": 'POST',
          "muteHttpExceptions": true,
           "headers": {
           Authorization: authtoken,
          orgId: org_id,
          contentType: 'application/json',
         },
        "payload": JSON.stringify(ticketData),
        });
        Logger.log(response.getContentText());
        const parsed = JSON.parse(response.getContentText());
        } catch (error) {
          Logger.log(error.toString());
        }             
&lt;/code&gt;&lt;/pre&gt;
</t>
  </si>
  <si>
    <t xml:space="preserve">&lt;p&gt;Issue resolved,
Posting answer so that it might help someone&lt;/p&gt;
&lt;pre&gt;&lt;code&gt;         //create ticket in zoho
        var authtoken = "abcd"; //your_auth_token
        var org_id="12345"; //your_organization_id
        var department="54321"; // ID of department in which ticket to be raised
        var contact="9999"; //ID of customer
        var subject="Ticket via google script";
        var description="Ticket via google script";
        var status="open";
        const ticketData = {
           subject: subject, 
           departmentId: department, // Replace this with whatever yours is.
           contactId: contact, // Replace this with whatever yours is.
           description: description,
           status: status
        };
        const zohoUrl = 'https://desk.zoho.in/api/v1/tickets';
        try {
          var response = UrlFetchApp.fetch(zohoUrl, {
          "method": 'POST',
          "muteHttpExceptions": true,
          "headers": {
           Authorization: authtoken,
           orgId: org_id,
           contentType: 'application/json',
         },
         "payload": JSON.stringify(ticketData),
         });
         const parsed = JSON.parse(response.getContentText());
         } catch (error) {
          Logger.log(error.toString());
         }             
&lt;/code&gt;&lt;/pre&gt;
</t>
  </si>
  <si>
    <t xml:space="preserve">&lt;p&gt;I have a squared image and want to cut it middle with a circle shape to see what's behind (actually a body background-image).
I found &lt;code&gt;clip-path&lt;/code&gt; CSS property, but I only arrive to create a circle with the image instead of creating a circle surrounded by my image.&lt;/p&gt;
&lt;p&gt;Until now I had a white background, so I just created a &lt;code&gt;::after&lt;/code&gt; element white, with an inset box-shadow but now I got an image for the background so I can't keep that.&lt;/p&gt;
&lt;p&gt;Is there a way with or without clip-path to achieve that?&lt;/p&gt;
&lt;p&gt;PS: the final goal is to create a music vinyl rotating, so this middle hole is necessary! :)&lt;/p&gt;
&lt;p&gt;Thanks.&lt;/p&gt;
</t>
  </si>
  <si>
    <t xml:space="preserve">&lt;p&gt;You can do this using &lt;code&gt;mask&lt;/code&gt; and not &lt;code&gt;clip-path&lt;/code&gt;&lt;/p&gt;
&lt;p&gt;&lt;div class="snippet" data-lang="js" data-hide="false" data-console="true" data-babel="false"&gt;
&lt;div class="snippet-code"&gt;
&lt;pre class="snippet-code-css lang-css prettyprint-override"&gt;&lt;code&gt;img {
  border-radius:50%;
  -webkit-mask:radial-gradient(farthest-side,transparent 15%,#fff 16%);
          mask:radial-gradient(farthest-side,transparent 15%,#fff 16%);
}
body {
  background:linear-gradient(to right,gray,yellow);
}&lt;/code&gt;&lt;/pre&gt;
&lt;pre class="snippet-code-html lang-html prettyprint-override"&gt;&lt;code&gt;&amp;lt;img src="https://i.picsum.photos/id/1003/400/400.jpg"&amp;gt;&lt;/code&gt;&lt;/pre&gt;
&lt;/div&gt;
&lt;/div&gt;
&lt;/p&gt;
</t>
  </si>
  <si>
    <t xml:space="preserve">&lt;p&gt;Add-PowerAppsAccount
I am using this script to get information in 2 columns ( AppName and DisplayName )&lt;/p&gt;
&lt;pre&gt;&lt;code&gt;$environments = Get-PowerAppEnvironment
foreach($environ in $environments.EnvironmentName)
{
    $apps = Get-AdminPowerApp -EnvironmentName $environ    
    $apps | Select-Object AppName, DisplayName 
}
&lt;/code&gt;&lt;/pre&gt;
&lt;p&gt;How could I modify this script to show a new column with an owner property ?&lt;/p&gt;
&lt;p&gt;Thanks!&lt;/p&gt;
</t>
  </si>
  <si>
    <t xml:space="preserve">&lt;p&gt;When using the Azure DevOps Connector in Microsoft flow to query the ADO api users. It only returns 500 users. How can I get it to return the rest of the users? &lt;/p&gt;
&lt;p&gt;&lt;a href="https://i.stack.imgur.com/FTxjv.jpg" rel="nofollow noreferrer"&gt;&lt;img src="https://i.stack.imgur.com/FTxjv.jpg" alt="enter image description here"&gt;&lt;/a&gt;&lt;/p&gt;
&lt;p&gt;I need it to pass back in the &lt;code&gt;continuationToken&lt;/code&gt; and return the next page of results.&lt;/p&gt;
</t>
  </si>
  <si>
    <t xml:space="preserve">&lt;p&gt;I have a mobile app(not a  salesforce app) which is connected to Salesforce.com and salesforce.com talks to an external website(fulfillment portal) using HTTP REST Request and Response method call out ,now problem is whenever user who wishes to buy a new phone enters his/her details like name,phone model name and his phone number from app and visits physical store outlet,the store representative unable to search the customer  data  in fulfillment portal..So the store has to manually re-enter customer details.&lt;/p&gt;
&lt;p&gt;Integration apex class has been exposed as a WebService&lt;/p&gt;
&lt;pre&gt;&lt;code&gt;public class HttpIntegration{
public String getCalloutResponseContents(String url){
Http h = new Http();
HttpRequest req = new HttpRequest();
req.setEndpoint(url);
req.setMethod('GET');
HttpResponse res = h.send(req);
return res.getBody();
}
 }
&lt;/code&gt;&lt;/pre&gt;
&lt;p&gt;While manually testing from Salesforce ,we get a success response from external website(fulfillment portal) and &lt;code&gt;Trigger&lt;/code&gt; is also created at Salesforce end to update the &lt;code&gt;Token id&lt;/code&gt; at the &lt;code&gt;Order&lt;/code&gt; custom object ,but still when the customer goes to store he is unable to find his details,What can be the possible solution to fix this&lt;/p&gt;
</t>
  </si>
  <si>
    <t xml:space="preserve">&lt;p&gt;Carolyn, there are few questions to ask that may help you locate the issue: &lt;/p&gt;
&lt;ol&gt;
&lt;li&gt;Are you sure the users in the store have access to the records being created by the API?&lt;/li&gt;
&lt;li&gt;What is the org-wide default for the custom Order object in Sharing Settings?&lt;/li&gt;
&lt;/ol&gt;
&lt;p&gt;Based on your comment, the OWD is set to private. You have a few options, and the solution will depend on your security needs:&lt;/p&gt;
&lt;ol&gt;
&lt;li&gt;If you only want that information exposed to reps in the store, you can create a sharing rule that shares those records with users who have a specific role or users in a specific public group.&lt;/li&gt;
&lt;li&gt;If you are not concerned about letting all internal users access that information, you can change the OWD to whatever access is needed by the store reps.&lt;/li&gt;
&lt;li&gt;If the users in the store all share a profile or permission set, you can grant them "View All" access on the custom object.&lt;/li&gt;
&lt;/ol&gt;
</t>
  </si>
  <si>
    <t xml:space="preserve">&lt;p&gt;I create a new form using canvas app. i had a lookup field name companies.
I need to bind the lookup field dropdown with current sitecollection name from the following options in new form of canvas app&lt;/p&gt;
</t>
  </si>
  <si>
    <t xml:space="preserve">&lt;p&gt;I'm developing an application by using Powerapps canvas. I have a problem while importing data from the excel sheet, the first issue that some of the rows not been displayed on the page, second on all dates and time are not displayed correctly especially time. the table name Arrival and there are two columns STA for both date&amp;amp;time-"custom data type" and Arrival Time - "Time data type". I think I have a problem with zone time. I tried (TimeValue, DateVale, and DateTimeValue) functions and all of them didn't work or maybe I'm using these functions wrong way. look at the pictures to understand my problem more
I need help guys&lt;/p&gt;
&lt;p&gt;&lt;a href="https://i.stack.imgur.com/nC2cF.png" rel="nofollow noreferrer"&gt;&lt;img src="https://i.stack.imgur.com/nC2cF.png" alt="enter image description here"&gt;&lt;/a&gt;&lt;/p&gt;
&lt;p&gt;&lt;a href="https://i.stack.imgur.com/XWCib.png" rel="nofollow noreferrer"&gt;&lt;img src="https://i.stack.imgur.com/XWCib.png" alt="enter image description here"&gt;&lt;/a&gt;&lt;/p&gt;
</t>
  </si>
  <si>
    <t xml:space="preserve">&lt;p&gt;I have little experience in using JMeter, so my sincere apologies if I'm missing something totally obvious here.&lt;/p&gt;
&lt;p&gt;However, I get a 401 each time I try to make an HTTP Request in which a query is send to the server, the request looks as follows:&lt;/p&gt;
&lt;pre&gt;&lt;code&gt;{"action":"retrieve_by_query","params": {"queryId":"DkWjkFD27UKYSz9ytWW5ew","constraint":"","context":"37154696925809628","options":{"sort":[["DCM.TaskInstance_TaskCategoryInstance/DCM.TaskCategoryInstance/DCM.TaskCategoryInstance_TaskCategory/DCM.TaskCategory/OrderNumber","desc"],["HasMessages","desc"]],"offset":0,"amount":100}},"profiledata":{"1584961703745-131":51,"1584961703743-130":58,"1584961703774-133":106,"1584961703773-132":221}}
&lt;/code&gt;&lt;/pre&gt;
&lt;p&gt;And the response data is as follows:&lt;/p&gt;
&lt;pre&gt;&lt;code&gt;HTTP/1.1 401 Unauthorized
Cache-Control: no-store
Server: nginx
Set-Cookie: ARRAffinity=3769bc7afaf737a4a03d956ebdfc5742c39a3f6232952e26cf18d2da49b83c1e;Path=/;HttpOnly;Domain=****-t.****-ta.p.azurewebsites.net
Date: Mon, 23 Mar 2020 14:13:32 GMT
Content-Length: 0
&lt;/code&gt;&lt;/pre&gt;
&lt;p&gt;I already tried to make the request message correspond with the stream that I checked with Fiddler, however this didn't bring me much further.&lt;/p&gt;
</t>
  </si>
  <si>
    <t xml:space="preserve">&lt;p&gt;The protocol used to communicate between the client and server in a Mendix app is quite complicated because the server-side is stateless. Before sending your request to the server, you need to make sure the client (JMeter in this case) is authenticated. So to build a successful JMeter script, you would have to record and replay the whole sequence of communication, from authentication to the query you want to check. This approach is quite time-consuming. &lt;/p&gt;
&lt;p&gt;The official position here is that this type of testing should be done using a selenium based solution. &lt;/p&gt;
&lt;p&gt;The documentation referenced in the earlier answer details the authentication for API's exposed by the Mendix platform, not the authentication between the client and server. &lt;/p&gt;
</t>
  </si>
  <si>
    <t xml:space="preserve">&lt;p&gt;It's the first time I'm using jest tests and I'm trying to test a method that generates lightning pills from a query of groups with access permissions (array). The lightning pills get updated whenever a new group is either added or removed from an array.&lt;/p&gt;
&lt;p&gt;I need to test the following scenarios, but I'm not sure if I created the tests correctly:&lt;/p&gt;
&lt;p&gt;(these are already properly functioning in actual code).&lt;/p&gt;
&lt;p&gt;Test#1: The returned array from query should be displayed as lightning pills&lt;/p&gt;
&lt;p&gt;Test#2: Clicking the X icon in a pill should remove the selected pill from array&lt;/p&gt;
&lt;p&gt;&lt;a href="https://i.stack.imgur.com/af27A.png" rel="nofollow noreferrer"&gt;enter image description here&lt;/a&gt;&lt;/p&gt;
&lt;p&gt;For Test#1, the jest test fails for a mock array of multiple or single elements. I'm not sure where is the problem, but debugging shows this line is undefined:&lt;/p&gt;
&lt;p&gt;&lt;div class="snippet" data-lang="js" data-hide="false" data-console="true" data-babel="false"&gt;
&lt;div class="snippet-code"&gt;
&lt;pre class="snippet-code-js lang-js prettyprint-override"&gt;&lt;code&gt;  const detailEls = element.shadowRoot.querySelectorAll('lightning-pill');&lt;/code&gt;&lt;/pre&gt;
&lt;/div&gt;
&lt;/div&gt;
&lt;/p&gt;
&lt;p&gt;I'm using return method GroupController.getSpecificGroups:&lt;/p&gt;
&lt;p&gt;public with sharing class GroupController {&lt;/p&gt;
&lt;pre&gt;&lt;code&gt;/* Description: Gets the groups where the contact is being shared to
*
*/
@AuraEnabled
public static List&amp;lt;sObject&amp;gt; getSpecificGroups(String recordId){
    List&amp;lt;GroupShare&amp;gt; groupShareList = new List&amp;lt;GroupShare&amp;gt;();
    List&amp;lt;sObject&amp;gt; returnShareList = new List&amp;lt;sObject&amp;gt;();
    try{
        groupShareList = [SELECT Id, UserOrGroupId, UserOrGroup.Name, ContactId, Contact.Name,
                            FROM GroupShare 
                            WHERE ContactId =: recordId];
        if(groupShareList != NULL &amp;amp;&amp;amp; !groupShareList.isEmpty()){
            for(GroupShare csBuff : groupShareList){
                returnShareList.add(csBuff);
            }
        }
    }
    catch(queryException qExcp){
    }
    return returnShareList;
}
&lt;/code&gt;&lt;/pre&gt;
&lt;p&gt;}&lt;/p&gt;
&lt;p&gt;Jest test is passed when testing if the method successfully passes recordId to the apex method call so I'm thinking there's no problem with method calls.&lt;/p&gt;
&lt;p&gt;&lt;div class="snippet" data-lang="js" data-hide="false" data-console="true" data-babel="false"&gt;
&lt;div class="snippet-code"&gt;
&lt;pre class="snippet-code-js lang-js prettyprint-override"&gt;&lt;code&gt;   it('passes the recordId to the Apex method correctly', () =&amp;gt; {
        const RECORD_ID = '00AAABBBCCCDDD12345';
        const APEX_PARAMETERS = { recordId: RECORD_ID };
        // Assign mock value for resolved Apex promise
        getSpecificGroups.mockResolvedValue(APEX_GROUPS_SUCCESS);
        // Create initial element
        const element = createElement('c-cmm-specific-group-sharing', {
            is: Cmm_specificGroupSharing
        });
        element.recordId = RECORD_ID;
        document.body.appendChild(element);
        // Select button for executing Apex call
        const buttonEl = element.shadowRoot.querySelector('lightning-button');
        buttonEl.click();
        return flushPromises().then(() =&amp;gt; {
            // Validate parameters of mocked Apex call
            expect(getSpecificGroups.mock.calls[0][0]).toEqual(APEX_PARAMETERS);
        });
    });&lt;/code&gt;&lt;/pre&gt;
&lt;/div&gt;
&lt;/div&gt;
&lt;/p&gt;
&lt;p&gt;For Test#2, jest test for removing pills fail. The pill is not removed from array using dispatchEvent:&lt;/p&gt;
&lt;p&gt;&lt;div class="snippet" data-lang="js" data-hide="false" data-console="true" data-babel="false"&gt;
&lt;div class="snippet-code"&gt;
&lt;pre class="snippet-code-js lang-js prettyprint-override"&gt;&lt;code&gt;it('handleRemoveSelectedItem works', () =&amp;gt; {
        // Create element
        const element = createElement('c-cmm-specific-group-sharing', {
            is: Cmm_specificGroupSharing
        });
        element.availableGroups = APEX_GROUPS_SUCCESS;
        document.body.appendChild(element);
        // Remove a selected item
        const selPills = element.shadowRoot.querySelectorAll('lightning-pill');
        selPills[0].dispatchEvent(new CustomEvent('remove'));
        // Check selection
        expect(element.availableGroups.length).toBe(0);
    });&lt;/code&gt;&lt;/pre&gt;
&lt;/div&gt;
&lt;/div&gt;
&lt;/p&gt;
&lt;p&gt;&lt;strong&gt;Jest Test&lt;/strong&gt;&lt;/p&gt;
&lt;p&gt;&lt;div class="snippet" data-lang="js" data-hide="false" data-console="true" data-babel="false"&gt;
&lt;div class="snippet-code"&gt;
&lt;pre class="snippet-code-js lang-js prettyprint-override"&gt;&lt;code&gt;import { createElement } from 'lwc';
import Cmm_specificGroupSharing from 'c/c-cmm-specific-group-sharing';
import getSpecificGroups from '@salesforce/apex/GroupController.getSpecificGroups';
import delete from "@salesforce/apex/GroupController.delete";
// Mocking  Apex method call
jest.mock(
    '@salesforce/apex/GroupController.getSpecificGroups',
    () =&amp;gt; {
        return {
            default: jest.fn()
        };
    },
    { virtual: true }
);
// Sample data for Apex call
const APEX_GROUPS_SUCCESS = [
    {
        "Id": "000001112222DDDD001",
        "UserOrGroupId":  "00AAABBBCCCDDD12345", 
        "Name":  "Asia Pacific"
    }
];
describe('c-cmm-specific-group-sharing', () =&amp;gt; {
    afterEach(() =&amp;gt; {
        // The jsdom instance is shared across test cases in a single file so reset the DOM
        while (document.body.firstChild) {
            document.body.removeChild(document.body.firstChild);
        }
        // Prevent data saved on mocks from leaking between tests
        jest.clearAllMocks();
    });
    // Helper function to wait until the microtask queue is empty. This is needed for promise
    // timing when calling imperative Apex.
    function flushPromises() {
        // eslint-disable-next-line no-undef
        return new Promise(resolve =&amp;gt; setImmediate(resolve));
    }
   it('passes the recordId to the Apex method correctly', () =&amp;gt; {
        const RECORD_ID = '00AAABBBCCCDDD12345';
        const APEX_PARAMETERS = { recordId: RECORD_ID };
        // Assign mock value for resolved Apex promise
        getSpecificGroups.mockResolvedValue(APEX_GROUPS_SUCCESS);
        // Create initial element
        const element = createElement('c-cmm-specific-group-sharing', {
            is: Cmm_specificGroupSharing
        });
        element.recordId = RECORD_ID;
        document.body.appendChild(element);
        // Select button for executing Apex call
        const buttonEl = element.shadowRoot.querySelector('lightning-button');
        buttonEl.click();
        return flushPromises().then(() =&amp;gt; {
            // Validate parameters of mocked Apex call
            expect(getSpecificGroups.mock.calls[0][0]).toEqual(APEX_PARAMETERS);
        });
    });
    it('renders one sharing group', () =&amp;gt; {
        // Assign mock value for resolved Apex promise
        getSpecificGroups.mockResolvedValue(APEX_GROUPS_SUCCESS);
        // Create initial element
        const element = createElement('c-cmm-specific-group-sharing', {
            is: Cmm_specificGroupSharing
        });
        document.body.appendChild(element);
        // Select button for executing Apex call
        const buttonEl = element.shadowRoot.querySelector('lightning-button');
        buttonEl.click();
        return flushPromises().then(() =&amp;gt; {
            const detailEls = element.shadowRoot.querySelectorAll('lightning-pill');
            expect(detailEls.length).toBe(APEX_GROUPS_SUCCESS.length);
            expect(detailEls[0].label).toBe(
                APEX_GROUPS_SUCCESS[0].Name
            );
        });
    });
    it('handleRemoveSelectedItem works', () =&amp;gt; {
        // Create element
        const element = createElement('c-cmm-specific-group-sharing', {
            is: Cmm_specificGroupSharing
        });
        element.availableGroups = APEX_GROUPS_SUCCESS;
        document.body.appendChild(element);
        // Remove a selected item
        const selPills = element.shadowRoot.querySelectorAll('lightning-pill');
        selPills[0].dispatchEvent(new CustomEvent('remove'));
        // Check selection
        expect(element.availableGroups.length).toBe(0);
    });
});&lt;/code&gt;&lt;/pre&gt;
&lt;/div&gt;
&lt;/div&gt;
&lt;/p&gt;
&lt;p&gt;&lt;strong&gt;JS and HTML&lt;/strong&gt;&lt;/p&gt;
&lt;p&gt;&lt;div class="snippet" data-lang="js" data-hide="false" data-console="true" data-babel="false"&gt;
&lt;div class="snippet-code"&gt;
&lt;pre class="snippet-code-js lang-js prettyprint-override"&gt;&lt;code&gt;import {
    LightningElement
    api
} from 'lwc';
import getSpecificGroups from '@salesforce/apex/GroupController.getSpecificGroups';
import deleteGroup from "@salesforce/apex/GroupController.deleteGroup";
export default class Cmm_specificGroupSharing extends LightningElement {
@api availableGroups;
@api
get recordId() {
    return this._recordId;
}
set recordId(value) {
    this._recordId = value;
}
connectedCallback() {
      this.getSpecificGroups();
  } 
getSpecificGroups() {
        this.availableGroups =[];
        getSpecificGroups({
                recordId: this._recordId,
            })
            .then(result =&amp;gt; {
                result.map(gShare =&amp;gt; {
                     let obj = {
                            'Id': gShare.Id,
                            'UserOrGroupId': gShare.UserOrGroupId,
                            'Name': gShare.UserOrGroup.Name
                        };  
                        this.availableGroups.push(obj);
                    return null;
                })
                console.log('result' + JSON.stringify(result));
            })
            .catch((err) =&amp;gt; {
            });
    }
handleRemoveSelectedItem(event) {
        const recordId = event.currentTarget.dataset.id;
        this.availableGroups = this. availableGroups.filter(item =&amp;gt; item.id !== recordId);
        deleteGroup ({
            recordId: recordId
        })
        .then(() =&amp;gt; {
            this.notifyUser('', this.deleteSuccessMsg, 'success');
        })
        .catch((err) =&amp;gt; {
            this.error = err;
        });
    }
}&lt;/code&gt;&lt;/pre&gt;
&lt;pre class="snippet-code-html lang-html prettyprint-override"&gt;&lt;code&gt;&amp;lt;template&amp;gt;
  &amp;lt;template for:each={availableGroups} for:item="groupShare"&amp;gt;
      &amp;lt;lightning-pill
          data-id={groupShare.Id}
          key={groupShare.Id}
          label={groupShare.Name}
          onremove={handleRemoveSelectedItem}&amp;gt;
      &amp;lt;/lightning-pill&amp;gt;
  &amp;lt;/template&amp;gt; 
&amp;lt;/template&amp;gt; &lt;/code&gt;&lt;/pre&gt;
&lt;/div&gt;
&lt;/div&gt;
&lt;/p&gt;
&lt;p&gt;I appreciate any help. Thanks!&lt;/p&gt;
</t>
  </si>
  <si>
    <t xml:space="preserve">&lt;p&gt;I need to bind a lookup field value in powerapp new form. the lookup field value id should be pass through url or any other method. my requirement is to set the new form lookup field named 'Company' , binding the lookup field with the current site collection name&lt;/p&gt;
</t>
  </si>
  <si>
    <t xml:space="preserve">&lt;p&gt;I am trying to add a Zoho Campaign Newsletter Form to my Gatsby site.
I added the code to gatsby-ssr.js inside the setHeadComponents but when starting gatsby -&gt; its not working... 
I am not sure why because when i try the code in the browser console it's working fine. Looks like its not loaded or defined. I am new to JS and Gatsby so maybe you can help me here.&lt;/p&gt;
&lt;p&gt;here is my code:&lt;/p&gt;
&lt;pre&gt;&lt;code&gt;setHeadComponents([
 &amp;lt;script 
        type="text/javascript" 
        src="https://sfcp.maillist-manage.eu/js/optin.min.js" 
        key="newsletter"
        defer={true}
    /&amp;gt;,
    &amp;lt;script 
        type="text/javascript"
        key="newsletter-start"
        dangerouslySetInnerHTML={{
            __html: `
            try {
                  function startsf() {
                    setupSF('###############','ZCFORMVIEW',false,'light',false,'0');
                  }  
                  window.onload = startsf;
                }
                catch (error) {console.log(error)}
            `}}
    /&amp;gt;,
])
&lt;/code&gt;&lt;/pre&gt;
</t>
  </si>
  <si>
    <t xml:space="preserve">&lt;p&gt;What you need to is to place your scripts inside &lt;code&gt;&amp;lt;Helmet&amp;gt;&lt;/code&gt; tag in any desired component or layout For example, in &lt;code&gt;index.js&lt;/code&gt; file something like this:&lt;/p&gt;
&lt;pre&gt;&lt;code&gt;    import React from "react"
    import Helmet from "react-helmet"
    import Layout from "../components/layout"
    import SEO from "../components/seo"
    const IndexPage = () =&amp;gt; (
        &amp;lt;Layout&amp;gt;
          &amp;lt;SEO title="Live" /&amp;gt;
          &amp;lt;Helmet&amp;gt;
            &amp;lt;script src="https://sfcp.maillist-manage.eu/js/optin.min.js" type="text/javascript"/&amp;gt;
&amp;lt;script 
        type="text/javascript"
        key="newsletter-start"
        dangerouslySetInnerHTML={{
            __html: `
            try {
                  function startsf() {
                    setupSF('###############','ZCFORMVIEW',false,'light',false,'0');
                  }  
                  window.onload = startsf;
                }
                catch (error) {console.log(error)}
            `}}
    /&amp;gt;
          &amp;lt;/Helmet&amp;gt;
        &amp;lt;/Layout&amp;gt;
    )
&lt;/code&gt;&lt;/pre&gt;
&lt;p&gt;You can check for further information about &lt;a href="https://www.gatsbyjs.org/packages/gatsby-plugin-react-helmet/" rel="nofollow noreferrer"&gt;Gatsby's Helmet&lt;/a&gt;, and &lt;a href="https://github.com/nfl/react-helmet" rel="nofollow noreferrer"&gt;React Helmet&lt;/a&gt;, but basically, &lt;code&gt;&amp;lt;Helmet&amp;gt;&lt;/code&gt; component allows you to insert a few code that will be placed after compilation inside the &lt;code&gt;&amp;lt;head&amp;gt;&lt;/code&gt; tag.&lt;/p&gt;
&lt;p&gt;&lt;strong&gt;Edit&lt;/strong&gt;: I've tested it in my local machine and it works, as the following screenshot shows:&lt;/p&gt;
&lt;p&gt;&lt;a href="https://i.stack.imgur.com/cuSOz.png" rel="nofollow noreferrer"&gt;&lt;img src="https://i.stack.imgur.com/cuSOz.png" alt="Load of external scripts with status 200"&gt;&lt;/a&gt;&lt;/p&gt;
</t>
  </si>
  <si>
    <t xml:space="preserve">&lt;p&gt;In PowerApps I have a Base64 string (from PDF). And all I have to do is to make this Base64 view as PDF in PowerApps and make the same PDF downloadable in localStorage. Please help me on how to do this.&lt;/p&gt;
</t>
  </si>
  <si>
    <t xml:space="preserve">&lt;p&gt;Happy Tuesday!
What is the best approach to valid that checkbox is check before submitting the form in PowerApps.&lt;/p&gt;
&lt;p&gt;&lt;a href="https://i.stack.imgur.com/EEmDm.png" rel="nofollow noreferrer"&gt;&lt;img src="https://i.stack.imgur.com/EEmDm.png" alt="enter image description here"&gt;&lt;/a&gt;&lt;/p&gt;
&lt;p&gt;Thank you in advance&lt;/p&gt;
</t>
  </si>
  <si>
    <t xml:space="preserve">&lt;p&gt;Yes,you can either set required value of the field to true and check Form1.Valid or if in this case (case where fields are very less),you can directly check the value of the field like &lt;strong&gt;chkMember.Value = true || chkPatient.Value =true&lt;/strong&gt; and you can patch the data.&lt;/p&gt;
</t>
  </si>
  <si>
    <t xml:space="preserve">&lt;p&gt;I'm New to salesforce reporting so i'm sure what i'm trying to get might be easy, but i'm not getting the results I want.&lt;/p&gt;
&lt;p&gt;Basically I want to be able to extract the HOUR from a date/time field.&lt;/p&gt;
&lt;p&gt;I have tried this:
VALUE(MID (TEXT (CREATED_DATE:UNIQUE), 12, 2))&lt;/p&gt;
&lt;p&gt;But it gives me an '-' as an output rather then the actual hour.&lt;/p&gt;
&lt;p&gt;Any idea as to what I might be doing wrong here?&lt;/p&gt;
&lt;p&gt;Thank you!&lt;/p&gt;
</t>
  </si>
  <si>
    <t xml:space="preserve">&lt;p&gt;I am trying to add a google map onto a salesforce component with lightning:container, can anyone shine a little light on how to do this? I know there is the old way of using a visualforce page, but I'd like to know if this is possible.&lt;/p&gt;
&lt;p&gt;So far I have &lt;/p&gt;
&lt;pre&gt;&lt;code&gt;&amp;lt;lightning:container aura:id="googleMap" src="{https://maps.googleapis.com/maps/api/js?key=AIvsSyDRNIZNYKTQ67UVgXtFwB62xXejdCjhdHX}"/&amp;gt; 
&lt;/code&gt;&lt;/pre&gt;
&lt;p&gt;But then I'm confused what's next. In the controller I tried&lt;/p&gt;
&lt;pre&gt;&lt;code&gt;var map = new google.maps.Map(document.getElementById('googleMap'), {
                            center: {lat: -33.8688, lng: 151.2195},
                            zoom: 13,
                            mapTypeId: 'roadmap'
                          });
&lt;/code&gt;&lt;/pre&gt;
&lt;p&gt;Which doesn't work at all lol&lt;/p&gt;
&lt;p&gt;Note: The reason I'm not using the new lightning:map is that the functionality is too limited. I want to add a Searchbox, for example. If someone knows how to do that, let me know!&lt;/p&gt;
&lt;p&gt;Thanks in advance. &lt;/p&gt;
</t>
  </si>
  <si>
    <t xml:space="preserve">&lt;p&gt;I want to make a single field editable(Display mode.Edit) and make all other fields viewable (FormMode.View) in Powerapps.&lt;/p&gt;
&lt;p&gt;Will the FormMode override DisplayMode of fields.?&lt;/p&gt;
&lt;p&gt;In my case, when I tried, every fields get viewable when I give FormMode.View.&lt;/p&gt;
</t>
  </si>
  <si>
    <t xml:space="preserve">&lt;p&gt;You cannot override Edit mode for View mode.
You will need to use disable property of each of your Field on Form to disable it (read only).&lt;/p&gt;
&lt;p&gt;&lt;a href="https://powerusers.microsoft.com/t5/Building-Power-Apps/Grayed-out-field-based-on-control/td-p/142248" rel="nofollow noreferrer"&gt;Look into this thread.&lt;/a&gt;&lt;/p&gt;
</t>
  </si>
  <si>
    <t xml:space="preserve">&lt;p&gt;I am working on a project to build a &lt;strong&gt;chat bot&lt;/strong&gt;. I am presently exploring on &lt;strong&gt;power virtual agent&lt;/strong&gt;. By exploring as of my understanding,I understood that the Power virtual agent are &lt;strong&gt;Questions &amp;amp; Answers&lt;/strong&gt; based. In my project I want, where a bot will be there, when user asks questions to bot, the bot need to get the data from database and need to answer to user because I require latest data from the database. So while using Power virtual agent is that possible to get the data from backend or not. I mean to say that can we connect the Power virtual agent to our local database(sql server) and calling api's(django). If there is a possibility can anyone help me how to do it, how to connect Power virtual agents to database or api's. I don't have much knowledge in this power virtual agents because I am pretty knew to this topic. Please anyone help me. &lt;/p&gt;
</t>
  </si>
  <si>
    <t xml:space="preserve">&lt;p&gt;It took a couple of hours. I haven't touched vb since 10th grade{2005}...anyway, Zoho {a SUB of Google} Desktop Mail Client is being used to send the currently active workbook in excel as a PDF. I had to write this for work, and I did not find any clear info directly tied to Zoho mail, thus I will share. &lt;/p&gt;
&lt;p&gt;If there is a better way or fewer lines of code etc, please advise. &lt;/p&gt;
&lt;p&gt;Currently, the code will just show a pop up saying "Mail sent" and will not open the Zoho mail client.&lt;/p&gt;
&lt;p&gt;If there is a way, please advise. I definitely would like to see how far I can push this lol&lt;/p&gt;
&lt;p&gt;be gentle to me plz haha&lt;/p&gt;
&lt;pre&gt;&lt;code&gt;Sub SendPDF()
' Create PDF of active sheet and send as attachment.
 On Error GoTo Err
    Dim strPath As String, strFName As String
    Dim fields As Variant
    Dim msConfigURL As String
    Dim NewMail As Object
    Dim mailConfig As Object
' **************************************************************************************
'Create PDF of active sheet only
    strPath = Environ$("temp") &amp;amp; "\" 'Or any other path, but include trailing "\"
    strFName = ActiveWorkbook.Name
    strFName = Left(strFName, InStrRev(strFName, ".") - 1) &amp;amp; "_" &amp;amp; ActiveSheet.Name &amp;amp; ".pdf"
    ActiveSheet.ExportAsFixedFormat Type:=xlTypePDF, FileName:= _
        strPath &amp;amp; strFName, Quality:=xlQualityStandard, _
        IncludeDocProperties:=True, IgnorePrintAreas:=False, OpenAfterPublish:=False
' **************************************************************************************
    Set NewMail = CreateObject("CDO.Message")
    Set mailConfig = CreateObject("CDO.Configuration")
' load all default configurations
    mailConfig.Load -1
    Set fields = mailConfig.fields
' **************************************************************************************
'Set All Email Properties
    On Error Resume Next
    With NewMail
        .From = "*******************"
        .To = "***************" 'Insert required address here ########
        .CC = ""
        .BCC = ""
        .Subject = "Test from YOU"
        .TextBody = "Test You are awesome!" &amp;amp; vbCr
        .AddAttachment strPath &amp;amp; strFName
        .Display   'Use only during debugging ##############################
        ' .Send      'Uncomment to send e-mail ##############################
    End With
' **************************************************************************************    
'Delete any temp files created
    Kill strPath &amp;amp; strFName
    On Error GoTo 0
' **************************************************************************************   
    msConfigURL = "http://schemas.microsoft.com/cdo/configuration"
' **************************************************************************************
    With fields
'Enable SSL Authentication
        .Item(msConfigURL &amp;amp; "/smtpusessl") = True
'Make SMTP authentication Enabled=true (1)
        .Item(msConfigURL &amp;amp; "/smtpauthenticate") = 1
'Set the SMTP server and port Details
'To get these details you can get on Settings Page of your Zoho Account
        .Item(msConfigURL &amp;amp; "/smtpserver") = "smtp.zoho.com"
        .Item(msConfigURL &amp;amp; "/smtpserverport") = 465
        .Item(msConfigURL &amp;amp; "/sendusing") = 2
'Set your credentials of your Zoho Account
        .Item(msConfigURL &amp;amp; "/sendusername") = "***********"
        .Item(msConfigURL &amp;amp; "/sendpassword") = "***********"
'Update the configuration fields
        .Update
    End With
    NewMail.Configuration = mailConfig
    NewMail.Send
    MsgBox ("Mail has been Sent")
' **************************************************************************************
Exit_Err:
    Set NewMail = Nothing
    Set mailConfig = Nothing
    End
' **************************************************************************************
Err:
    Select Case Err.Number
    Case -2147220973  'Could be because of Internet Connection
        MsgBox " Could be no Internet Connection !!  -- " &amp;amp; Err.Description
    Case -2147220975  'Incorrect credentials User ID or password
        MsgBox "Incorrect Credentials !!  -- " &amp;amp; Err.Description
    Case Else   'Rest other errors
        MsgBox "Error occured while sending the email !!  -- " &amp;amp; Err.Description
    End Select
    Resume Exit_Err
End Sub
&lt;/code&gt;&lt;/pre&gt;
</t>
  </si>
  <si>
    <t xml:space="preserve">&lt;p&gt;&lt;code&gt;enter code here&lt;/code&gt;Is it possible to generate a variable or object dynamically?
I store some settings like standard colors in a sharepoint list (PowerAppStyling) and read this to dynamically style all my apps.&lt;/p&gt;
&lt;p&gt;Like:&lt;/p&gt;
&lt;pre&gt;&lt;code&gt;Object,Property,Value
Label,Font,Segoe UI
Label,Fill,White
Label,Color,Grey
&lt;/code&gt;&lt;/pre&gt;
&lt;p&gt;This is working fine, I can set the label font like this:&lt;/p&gt;
&lt;pre&gt;&lt;code&gt;First(Filter(PowerAppStyling,Object = "Label" &amp;amp;&amp;amp; Property = "Font")).Value
&lt;/code&gt;&lt;/pre&gt;
&lt;p&gt;Now, to make this more easier to read, from the list above, I would like to dynamically, runtime create an object something like this:
&lt;code&gt;PowerAppStyling.Label.Font&lt;/code&gt; that should give a value of "Segoe UI" or a simple variable where I concatenate the columns, like &lt;code&gt;LabelFont&lt;/code&gt;.&lt;/p&gt;
&lt;p&gt;I tried the Set() function:&lt;/p&gt;
&lt;pre&gt;&lt;code&gt;Set(a,"a");Set(b,"b");Set(concatenate(a,b),"ab")
&lt;/code&gt;&lt;/pre&gt;
&lt;p&gt;I expected that the 3rd command will create a variable named &lt;code&gt;ab&lt;/code&gt; and set its value to "ab", but t doesn't accept strings in variable names.&lt;/p&gt;
&lt;p&gt;Is any of the two option possible, if yes, how?&lt;/p&gt;
</t>
  </si>
  <si>
    <t xml:space="preserve">&lt;p&gt;The second option definitely is not possible today - you can consider creating a new feature request in &lt;a href="https://aka.ms/powerapps-ideas" rel="nofollow noreferrer"&gt;https://aka.ms/powerapps-ideas&lt;/a&gt; for that.&lt;/p&gt;
&lt;p&gt;For the first option, if you know all the fields that the 'PowerAppsStyling' object will have, then you can at the beginning of your app (e.g., on the App.OnStart logic) read the values from your settings SP list and create the object, so that you can use it throughout the app, something along the lines of&lt;/p&gt;
&lt;pre&gt;&lt;code&gt;ClearCollect(localStylesTemp, PowerAppsStyling); // To make only 1 network call to the SP list
Set(
    LocalStyles,
    {
        Label: {
            Font: LookUp(localStylesTemp, Object = "Label" And Property = "Font", Value),
            Fill: LookUp(localStylesTemp, Object = "Label" And Property = "Fill", Value),
            Color: LookUp(localStylesTemp, Object = "Label" And Property = "Color", Value)
        },
        Button: {
            Font: LookUp(localStylesTemp, Object = "Button" And Property = "Font", Value),
            Fill: LookUp(localStylesTemp, Object = "Button" And Property = "Fill", Value),
            Color: LookUp(localStylesTemp, Object = "Button" And Property = "Color", Value)
        }
    })
&lt;/code&gt;&lt;/pre&gt;
&lt;p&gt;After that you can reference &lt;code&gt;LocalStyles.Label.Font&lt;/code&gt; in your app.&lt;/p&gt;
&lt;p&gt;Hope this helps!&lt;/p&gt;
</t>
  </si>
  <si>
    <t xml:space="preserve">&lt;p&gt;I am using microsoft powerApps for developing an application.
I have a table (x) with several columns, including a column (y).
Another table (z) with several columns also including a column (y).
I want to filter table (z) to get all rows that have values of column (y) that appear in table (x).
Any help how to do that?&lt;/p&gt;
</t>
  </si>
  <si>
    <t xml:space="preserve">&lt;p&gt;I have a PowerApp for which I am trying to build offline capabilities.Below is a scenario which I am trying to achieve.Need suggestions.&lt;/p&gt;
&lt;p&gt;I have timer API  method which basically executes when I start and stop a timer method in the app. In ONLINE mode it works fine, but I want to allow users to start/stop a timer in OFFLINE mode as well. When the app is in offline mode, the API call fails as it is not connected . how do i bypass that situation and start and stop a timer in offline mode . Is there a way to achieve that ?
Here is my API definition. &lt;/p&gt;
&lt;pre&gt;&lt;code&gt;ClearCollect(colTimers, Time360.timerStartStop({_timerContract:{
    Comment:txtDBTimerDescription.Text, 
    Running:"Yes", 
    IsPinned:"No", 
    CustomerAccount:tsLineCust.CustNum,
    ProjectId:tsLineProj.ProjectId,
    ProjectCategoryId:tsLineCat.CategoryId,
    ParentId:0,
    RecordId:0,
    ProjectDataAreaId:If(Len(tsLineCust.DataAreaId) &amp;gt; 0, tsLineCust.DataAreaId, If(Len(tsLineProj.DataAreaId) &amp;gt; 0, tsLineProj.DataAreaId))
    }}));
&lt;/code&gt;&lt;/pre&gt;
</t>
  </si>
  <si>
    <t xml:space="preserve">&lt;p&gt;I went to my company's Power Apps Admin centre and there was a button saying 'Create my database'&lt;/p&gt;
&lt;p&gt;In the attempts of creating a Microsoft Automate business process, I clicked this button and it asked what currency I want to use in the database and what language. I chose accordingly and like a real idiot, clicked 'Create my database' button again without reading anything. &lt;/p&gt;
&lt;p&gt;Now I am freaking out as I don't know if this is going to cost my workplace. Did I create an empty database? Or a data server? I don't know how to undo/ delete. disable what I did. &lt;/p&gt;
&lt;p&gt;The questions are:&lt;/p&gt;
&lt;ol&gt;
&lt;li&gt;Is this going to cost our company? &lt;/li&gt;
&lt;li&gt;If so, how do I undo this/ disable the CDS?&lt;/li&gt;
&lt;/ol&gt;
&lt;p&gt;There is also a link saying 'You can manage these settings in the Dynamics 365 Administration Center.' &lt;/p&gt;
&lt;p&gt;I clicked this link and I will attach what I see when I click them. Seems like I created something today and I don't even know what I created. &lt;/p&gt;
&lt;p&gt;Please help me to understand what I did and the financial impact of it. &lt;/p&gt;
&lt;p&gt;Thank you in advance! 
&lt;a href="https://i.stack.imgur.com/uIwY7.png" rel="nofollow noreferrer"&gt;&lt;img src="https://i.stack.imgur.com/uIwY7.png" alt="enter image description here"&gt;&lt;/a&gt;&lt;/p&gt;
&lt;p&gt;&lt;a href="https://i.stack.imgur.com/MhlxQ.png" rel="nofollow noreferrer"&gt;&lt;img src="https://i.stack.imgur.com/MhlxQ.png" alt="enter image description here"&gt;&lt;/a&gt;&lt;/p&gt;
&lt;p&gt;&lt;a href="https://i.stack.imgur.com/w7QPz.png" rel="nofollow noreferrer"&gt;&lt;img src="https://i.stack.imgur.com/w7QPz.png" alt="enter image description here"&gt;&lt;/a&gt;&lt;/p&gt;
</t>
  </si>
  <si>
    <t xml:space="preserve">&lt;p&gt;I want to generate JSON string from Account sObject field which also contains other sObject.
Please help...&lt;/p&gt;
</t>
  </si>
  <si>
    <t xml:space="preserve">&lt;p&gt;In my experience, the best way to go about this without using middleware is to create a custom metadata type for the API mapping. It will store the JSON key, SObject name, and SObject field.&lt;/p&gt;
&lt;p&gt;You can use that data to generate a dynamic SOQL query and then create a map (Map) that can be serialized.&lt;/p&gt;
&lt;p&gt;The complexity depends on the JSON you need to generate. If you need sub-objects or arrays of objects in the JSON, it can get complicated.&lt;/p&gt;
</t>
  </si>
  <si>
    <t xml:space="preserve">&lt;p&gt;In my lightning web component, the column label is not displayed in the Datatable. I have 2 templates(acceptAttendance.html and appAttendance.html) in my component. When I click the save button in appAttendance.html, the template in acceptAttendance.html gets to display. In that template, I have datatable to display a list of contacts. The column label is not displaying in the datatable but I'm getting the data in the table.&lt;/p&gt;
&lt;p&gt;&lt;strong&gt;Javascript file&lt;/strong&gt;&lt;/p&gt;
&lt;pre&gt;&lt;code&gt;  import templateTwo from './acceptAttendance.html';
  import templateOne from './appAttendance.html';
  const fields= [NAME_FIELD,STAGE_FIELD,ATTENDANCE_FIELD];
  const columns  =
[{
    lable:'First Name',
    fieldName:'FirstName',
    type:'text'
 },
 {
    lable:'Last Name',
    fieldName:'LastName',
    type:'text'
 },
 {
    lable:'Email',
    fieldName:'Email',
    type: 'email'
 },
 {
    lable:'Account',
    fieldName:'AccountId',
    type : 'lookup'
 }
  ];
  export default class AppAttendance extends LightningElement 
  {
@api recordId;
@api objectApiName;
showTemplate=true;
attValue='';
sValue='';
lastName='';
email='';
address='';
@track value = 'None';
@track cData=[];
@track columns=[];
@track contactError = [];
@wire(getRecord, {recordId:'$recordId',fields})
stageDetails;
get decision()
{
     this.lName=getFieldValue(this.stageDetails.data,LASTNAME_FIELD);
     this.email=getFieldValue(this.stageDetails.data,EMAIL_FIELD);
     this.address=getFieldValue(this.stageDetails.data,ADDRESS_FIELD);
     let getStage ='';
     getStage = getFieldValue(this.stageDetails.data,STAGE_FIELD)
     if(getStage =='Accepted')
        return true;
     else
       return false;
}
@wire(getContacts, {recordId:'$recordId'})
wiredContacts({ error, data }) {
    if(data) {
        this.cData = data;
        this.columns=columns;
        console.log('return data:'+this.cData);           
        this.contactError = undefined ;
    } 
    else if (error) {
        this.contactEror = error;
        this.cData = undefined;
    }
}
handleChange(event)
{
    this.attValue='';
    this.attValue =event.target.value; 
}
switchTemplate()
 {
    if(this.attValue == 'Yes'){
    this.showTemplate = true;
   }else{
    this.showTemplate = false;
  }
 this.showTemplate = !this.showTemplate;
  console.log('returning record:'+wiredContacts.data);
}
  render()
  {
     return this.showTemplate ? templateOne : templateTwo;
  }
}
&lt;/code&gt;&lt;/pre&gt;
&lt;p&gt;&lt;strong&gt;acceptAttendance.html&lt;/strong&gt;&lt;/p&gt;
&lt;pre&gt;&lt;code&gt;&amp;lt;template&amp;gt;
&amp;lt;lightning-card&amp;gt;
    &amp;lt;h1  style="font-weight:bold; font-size:15px"&amp;gt;Applicant Accepted Attendance&amp;lt;/h1&amp;gt;     
        &amp;lt;div class="slds-m-bottom--medium"&amp;gt;&amp;lt;/div&amp;gt;
        &amp;lt;template if:true={cData}&amp;gt;
                &amp;lt;lightning-datatable
                    key-field="Id"
                    data={cData}
                    columns={columns}
                    onrowselection={getSelectedName}&amp;gt;
                &amp;lt;/lightning-datatable&amp;gt;
            &amp;lt;/template&amp;gt;  
        &amp;lt;template if:true={contactError}&amp;gt;
                &amp;lt;p&amp;gt; No matching Contacts Found ! &amp;lt;/p&amp;gt;
        &amp;lt;/template&amp;gt;
        &amp;lt;div class="slds-m-bottom--large"&amp;gt;&amp;lt;/div&amp;gt;
&amp;lt;/lightning-card&amp;gt;
&lt;/code&gt;&lt;/pre&gt;
&lt;p&gt;&lt;/p&gt;
&lt;p&gt;&lt;strong&gt;Output&lt;/strong&gt; &lt;/p&gt;
&lt;pre&gt;&lt;code&gt;[enter image description here][1]
&lt;/code&gt;&lt;/pre&gt;
</t>
  </si>
  <si>
    <t xml:space="preserve">&lt;p&gt;Is there a powershell command to get model driven power apps?&lt;/p&gt;
&lt;p&gt;The Get-AdminPowerApp command gets power apps but does not get model driven apps.&lt;/p&gt;
</t>
  </si>
  <si>
    <t xml:space="preserve">&lt;p&gt;I have created a array of objects, which has @track decorator (parent Js file). &lt;/p&gt;
&lt;pre&gt;&lt;code&gt;@track assetsFilters = [
    { name: 'drilling', checked: false },
    { name: 'offshore', checked: false },
    { name: 'others', checked: false }
];
&lt;/code&gt;&lt;/pre&gt;
&lt;p&gt;This above code passed to child custom element as parameter (parent html file). 
That is &lt;/p&gt;
&lt;p&gt;&lt;code&gt;&amp;lt;c-child filters={assetsFilters}&amp;gt;&amp;lt;/c-child&amp;gt;&lt;/code&gt;&lt;/p&gt;
&lt;p&gt;At the child js level, when I am trying update the filter - array of object. 
I see another data of &lt;strong&gt;proxy&lt;/strong&gt;&lt;/p&gt;
&lt;p&gt;That is,&lt;/p&gt;
&lt;pre&gt;&lt;code&gt;Proxy {}
&lt;/code&gt;&lt;/pre&gt;
&lt;p&gt;But when I convert to pure JSON.stringify I get,&lt;/p&gt;
&lt;pre&gt;&lt;code&gt;[{"name":"drilling","checked":false},{"name":"offshore","checked":false},{"name":"others","checked":false}]
&lt;/code&gt;&lt;/pre&gt;
&lt;p&gt;How to handle this proxy, as I need to update and also it should be traceable array objects. &lt;/p&gt;
&lt;p&gt;Or anything, which I need to be doing to handle.&lt;/p&gt;
</t>
  </si>
  <si>
    <t xml:space="preserve">&lt;p&gt;I'm new to powerapps and having issue with an if statment with multiple conditions for a list box that is dependent on a dropdown with two variables, I keep getting an error: &lt;/p&gt;
&lt;blockquote&gt;
  &lt;p&gt;Warning: The columns produced by this rule are all nested tables
  and\or records, however the property expects at least some columns of
  simple values (such as text, or numbers).&lt;/p&gt;
&lt;/blockquote&gt;
&lt;p&gt;These are the variables:&lt;/p&gt;
&lt;p&gt;Listbox1_1 is used for filtering and contains the selection.&lt;/p&gt;
&lt;p&gt;Dropdown4 contains 'Yes' or 'No'. &lt;/p&gt;
&lt;p&gt;Reason_table_1 is a table with 3 columns: 'Reason for Visit', 'if Yes', 'if No'.&lt;/p&gt;
&lt;p&gt;This is my code for the if statment:&lt;/p&gt;
&lt;pre&gt;&lt;code&gt;If(
    Dropdown4.SelectedText.Value="Yes",Filter(Reason_Table_1, 'Reason for Visit' in ListBox1_1.SelectedItems.Result).'if YES',
    Dropdown4.SelectedText.Value="No", Filter(Reason_Table_1, 'Reason for Visit' in ListBox1_1.SelectedItems.Result).'if no')
&lt;/code&gt;&lt;/pre&gt;
&lt;p&gt;I'm sure my if statement is wrong but not sure where.
any help is greatly appreciated. &lt;/p&gt;
</t>
  </si>
  <si>
    <t xml:space="preserve">&lt;p&gt;I am looking for help to create SPFX web part where I want to access CDS entities and perform below actions&lt;/p&gt;
&lt;ol&gt;
&lt;li&gt;Retrieve entity records&lt;/li&gt;
&lt;li&gt;Add record &lt;/li&gt;
&lt;li&gt;Update record&lt;/li&gt;
&lt;li&gt;Delete a record&lt;/li&gt;
&lt;/ol&gt;
</t>
  </si>
  <si>
    <t xml:space="preserve">&lt;p&gt;I have a lightning component, which fires a toast messages when a record gets saved.(Works perfectly fine when working as a standalone lightning component).&lt;/p&gt;
&lt;p&gt;When i embedd the same lightning component in a Lightning App, and when a record gets saved, the toast messages doesn't fire. &lt;/p&gt;
&lt;p&gt;Any help in this regard is highly appreciated.&lt;/p&gt;
&lt;p&gt;Below code which displays the toast messages when record gets saved.&lt;/p&gt;
&lt;p&gt;&lt;strong&gt;Lightning component A&lt;/strong&gt;: Save method &lt;/p&gt;
&lt;pre&gt;&lt;code&gt; action.setCallback(this,function(response){
        var state = response.getState();
        if (state === "SUCCESS") {
            helper.callSaveToast({
                "title": "Record Update",
                "type": "success",
                "message": " Records saved/updated sucessfully"
            });
            alert("Records saved/updated sucessfully"); // Used this statement to close the application once record gets saved
            window.close();
        }
        else {
            console.log('!@@@!!@@'+JSON.stringify(response));
            this.handleException(component,response.getError());}
    });
    $A.enqueueAction(action);
},
&lt;/code&gt;&lt;/pre&gt;
&lt;p&gt;&lt;strong&gt;APPLICATION COMPONENT:&lt;/strong&gt;&lt;/p&gt;
&lt;pre&gt;&lt;code&gt;&amp;lt;aura:application extends="force:slds" access="GLOBAL" &amp;gt;
&amp;lt;aura:dependency resource="markup://force:showToast" type="EVENT"&amp;gt;&amp;lt;/aura:dependency&amp;gt;
 &amp;lt;c:Lightning component A/&amp;gt;
&lt;/code&gt;&lt;/pre&gt;
&lt;p&gt;&lt;/p&gt;
&lt;p&gt;Thank you&lt;/p&gt;
</t>
  </si>
  <si>
    <t xml:space="preserve">&lt;p&gt;I have launched a PowerApps from PowerBi and after saving I cannot see the same data in the PowerApps Editor and PowerBi. At the beginning I could see data in both. I refreshed PowerBi report. Any idea? Pictures below: &lt;/p&gt;
&lt;p&gt;&lt;a href="https://i.stack.imgur.com/QVHu8.png" rel="nofollow noreferrer"&gt;&lt;img src="https://i.stack.imgur.com/QVHu8.png" alt="enter image description here"&gt;&lt;/a&gt;&lt;/p&gt;
&lt;p&gt;&lt;a href="https://i.stack.imgur.com/4M426.png" rel="nofollow noreferrer"&gt;&lt;img src="https://i.stack.imgur.com/4M426.png" alt="enter image description here"&gt;&lt;/a&gt;&lt;/p&gt;
</t>
  </si>
  <si>
    <t xml:space="preserve">&lt;p&gt;You will have to refresh your cache for powerapps.
I usually save my powerapps (Editor) close the browser and open it again. Once you do that you shall see your refreshed data.&lt;/p&gt;
&lt;p&gt;You could also user ctrl+F5 to refresh cache.&lt;/p&gt;
&lt;blockquote&gt;
  &lt;p&gt;If you are running the app in the browser then you need to clear out
  the browser cache or simply by hard refreshing your browser by
  pressing CTRL and F5 you can force PowerApp to reload data.&lt;/p&gt;
  &lt;p&gt;If you are running App in PowerApp from your mobile, IPad or Tablet
  you need to open the PowerApp mobile application, Click on three lines
  menu from the left top corner, click on 'clear cache' menu and click
  on 'Confirm' button.&lt;/p&gt;
  &lt;p&gt;That will clear out the cache for the app.&lt;/p&gt;
&lt;/blockquote&gt;
&lt;p&gt;&lt;a href="https://cielocosta.zendesk.com/hc/en-us/articles/360024726591-How-do-I-clear-the-cache-in-Microsoft-PowerApps-" rel="nofollow noreferrer"&gt;Ref Article&lt;/a&gt;&lt;/p&gt;
</t>
  </si>
  <si>
    <t xml:space="preserve">&lt;p&gt;I've a custom button for different set of roles/profiles. I've come across a business case where I want to hide this button for specific users on certain conditions. Is it possible to do via automation workflow and writing some function in deluge?&lt;/p&gt;
</t>
  </si>
  <si>
    <t xml:space="preserve">&lt;p&gt;I am trying to implement google recaptcha v2 for one our lightning communities. I followed few examples provided online and was able to setup the captcha form. So internally it uses a VF page and its loaded within an iframe in the lightning component. Now the issue i am facing, is that the image gets cut off making it unusable. Tried different css styles but couldnt manage to make it work, hence reaching out to the community for &lt;a href="https://i.stack.imgur.com/EEeYF.jpg" rel="nofollow noreferrer"&gt;&lt;img src="https://i.stack.imgur.com/EEeYF.jpg" alt="enter image description here"&gt;&lt;/a&gt;help. Thanks in advance.&lt;/p&gt;
</t>
  </si>
  <si>
    <t xml:space="preserve">&lt;p&gt;I'm writing automated test scripts with Selenium and need to verify that certain elements are read-only.&lt;/p&gt;
&lt;p&gt;Looking at some of the code I can see 'readonly' added at the end of some of the elements:&lt;/p&gt;
&lt;pre&gt;&lt;code&gt;&amp;lt;input lightning-input_input="" type="text" id="input-21000" accesskey="customerDetailsInput" name="preferredName" class="slds-input" readonly=""&amp;gt;
&lt;/code&gt;&lt;/pre&gt;
&lt;p&gt;However there are many (probably most) where readonly elements don't have 'readonly' included in the element, for instance:&lt;/p&gt;
&lt;pre&gt;&lt;code&gt;&amp;lt;td role="gridcell" tabindex="-1" data-label="Case Type"&amp;gt;&amp;lt;lightning-primitive-cell-factory data-label="Case Type" aria-selected="undefined" role="gridcell"&amp;gt;&amp;lt;span class="slds-grid slds-grid_align-spread"&amp;gt;&amp;lt;div class="slds-truncate"&amp;gt;&amp;lt;lightning-formatted-text&amp;gt;Complaint&amp;lt;/lightning-formatted-text&amp;gt;&amp;lt;/div&amp;gt;&amp;lt;/span&amp;gt;&amp;lt;/lightning-primitive-cell-factory&amp;gt;&amp;lt;/td&amp;gt;
&lt;/code&gt;&lt;/pre&gt;
&lt;p&gt;From my perspective, this makes automating tests to verify these elements are readonly, much more difficult.&lt;/p&gt;
&lt;p&gt;Does anyone know what is the best practice for developing/customizing Salesforce Lightning components?&lt;/p&gt;
&lt;p&gt;Also, are there any Selenium testers out there that have worked with Salesforce Lightning and their experience (were readonly elements added as part of dev etc) ?&lt;/p&gt;
&lt;p&gt;Thanks.&lt;/p&gt;
</t>
  </si>
  <si>
    <t xml:space="preserve">&lt;p&gt;Happy Friday!&lt;/p&gt;
&lt;p&gt;Looking to see if the following is possible using only Javascript.
I have two Custom Objects - Obj1 &amp;amp; Obj2 (both have child relationship to Account).&lt;/p&gt;
&lt;p&gt;Using a List View Button on Obj1, create new records in Obj2 (based on selected records in List View).  Ideally this would create unique records by Account.  For example, if 5 records were selected associated to 3 Accounts in total, only 3 records would be created in Obj2.&lt;/p&gt;
&lt;p&gt;Any help/guidance/programming help is greatly appreciated.&lt;/p&gt;
</t>
  </si>
  <si>
    <t xml:space="preserve">&lt;p&gt;My team has created a Developer sandbox from production.  Because there are Portal and Community Users data does not get copied over from Production to Developer Sandboxes.  I create the user via creating a Contact and then enter data on the User screen I am redirected to after clicking Enable Community User.  All is well, the Customer Community Plus license and the role and profile there. 
I had to create the Account with the Account Name manaually,  Yet the Public Group, Profile and Role for the Community user already exists after the refresh. Even the Custom Objects and setting exist (FLS) and Sharing Rule necessary.  The Role should be correct is I selected the correct Account Name for the Contact while setting up the User.&lt;/p&gt;
&lt;p&gt;My issue is the Community user does not have access to their records after settings them up.  The difference I notice between UAT and developer sandbox is when I go to setup - Public Group and click on the public group for the Community the user the correct Role is there but the Community user is not a member.&lt;/p&gt;
&lt;p&gt;What am I missing? Did I do something out of order?&lt;/p&gt;
&lt;p&gt;Regards,&lt;/p&gt;
</t>
  </si>
  <si>
    <t xml:space="preserve">&lt;p&gt;I have a large list of company names (comp_list).&lt;/p&gt;
&lt;p&gt;On every Lead, I want a checkbox field that evaluates to true if the Lead's Company value is contained in comp_list.&lt;/p&gt;
&lt;p&gt;The character count for the full list is over 10k which means I can't store it as a long text field on every Lead record.&lt;/p&gt;
&lt;p&gt;I believe I can come to a basic solution using multiple formula fields across the list but I'd prefer something neater and would be ideal to have something that works for 50k+ characters so I can make the lookup a bit more sophisticated.&lt;/p&gt;
&lt;p&gt;Any thoughts or suggestions appreciated - preferably without Apex, but will accept Apex answers if nothing else works.&lt;/p&gt;
&lt;p&gt;Thanks,
Pieter&lt;/p&gt;
</t>
  </si>
  <si>
    <t xml:space="preserve">&lt;p&gt;I am building a Powerapp that will allow users to choose a project from a SharePoint list and have that selection pre-populate some items in a form.  There are other items in the form that I have changed to Drop Down  boxes whose items are pulled from other SharePoint lists.  So far so good, but the users have one requirement I cannot figure out:&lt;/p&gt;
&lt;p&gt;'Engineer' must have a default value pulled from the selected project (from &lt;code&gt;Project_Selector&lt;/code&gt;).  The user must also be able to overwrite that default value with a selection from the Drop Down (from &lt;code&gt;pkg_Engineer&lt;/code&gt;).  The default value is not necessarily in the item list.&lt;/p&gt;
&lt;p&gt;What I have done: &lt;/p&gt;
&lt;ul&gt;
&lt;li&gt;Replaced the Text Input box for the Engineer Data Card with a Drop Down&lt;/li&gt;
&lt;li&gt;Set &lt;em&gt;items&lt;/em&gt; to &lt;code&gt;pkg_Engineer.Name&lt;/code&gt;  to populate the Drop Down choices&lt;/li&gt;
&lt;li&gt;Set &lt;em&gt;Default&lt;/em&gt; to &lt;code&gt;Project_Selector.Selected.Name&lt;/code&gt;&lt;/li&gt;
&lt;/ul&gt;
&lt;p&gt;On preview, I expect to see Engineer pre-populated with "Fitzsimmons" (an item not in the list) and Drop Down choices of "Adams", "Baker", "Charles".&lt;/p&gt;
&lt;p&gt;What I see is the default value of "Adams".&lt;/p&gt;
&lt;p&gt;How can I pre-populate a Drop Down with a value not in the items list like this?&lt;/p&gt;
</t>
  </si>
  <si>
    <t xml:space="preserve">&lt;p&gt;Create a collection and populate that with your names. Then set dropdown.items to be your collection&lt;/p&gt;
</t>
  </si>
  <si>
    <t xml:space="preserve">&lt;p&gt;I have a condition where i need to get the taskId value of the dictionary where taskcode is "LIFE_MAX_DAYS". How do i do ?&lt;/p&gt;
&lt;pre&gt;&lt;code&gt;  Dictionary
        replFlag: null (Text)
        taskCode: "LIFE_MAX_DAYS"
        createdBy: "Administrator"
        createdOn: 3/20/2020 1:54 AM EDT
        lastModifiedBy: "Administrator"
        lastModifiedOn: 3/20/2020 1:54 AM EDT
        actionId: null (Number (Integer))
        priorityId: 5
        statusId: null (Number (Integer))
        concatKey: null (Text)
        taskId: 5980
        batchId: null (Number (Integer))
        id: 4
    Dictionary
        replFlag: null (Text)
        taskCode: "LIFE_MAX_DAYS"
        createdBy: "Administrator"
        createdOn: 3/20/2020 1:54 AM EDT
        lastModifiedBy: "Administrator"
        lastModifiedOn: 3/20/2020 1:54 AM EDT
        actionId: null (Number (Integer))
        priorityId: 5
        statusId: null (Number (Integer))
        concatKey: null (Text)
        taskId: 5980
        batchId: null (Number (Integer))
        id: 5
&lt;/code&gt;&lt;/pre&gt;
</t>
  </si>
  <si>
    <t xml:space="preserve">&lt;p&gt;I am new to Power apps.&lt;/p&gt;
&lt;p&gt;I want to create a new data table with pivot&lt;/p&gt;
&lt;p&gt;Using the data table below.&lt;/p&gt;
&lt;pre&gt;&lt;code&gt;AccountNumber  Costcenter  Amount
51500          202         100
51500          200         200
51800          200         300
51800          200         400
&lt;/code&gt;&lt;/pre&gt;
&lt;p&gt;How can I do it?&lt;/p&gt;
</t>
  </si>
  <si>
    <t xml:space="preserve">&lt;p&gt;We are working on LWC component, Where we are calling getFraudNotifications method(fetching data from external system) inside getFraudNotifications we are calling buildandcallinterface and we are getting illegal assignment from Object to String in VS code while deploying.&lt;/p&gt;
&lt;pre&gt;&lt;code&gt;**// Continuation method**
    @AuraEnabled(continuation=true cacheable=true)
        //public static String buildandcallinterface(String oinputmap,String intname,String stime){
        con = new Continuation(90); //90 seconds
                con.continuationMethod='processResponse';
                con.state=sInterfaceName;
                con.addHttpRequest(req);
       return con;
    }
    // Continuation Callback method
        @AuraEnabled(cacheable=true)
        public static String processResponse(List&amp;lt;String&amp;gt; labels,Object state) {}
// end**strong text**
**Apex method**
    @AuraEnabled(cacheable=true)
        public static BAC_FraudNotfResponseJson getFraudNotifications(String oinputmap, String interName, String stime){      
            BAC_FraudNotfResponseJson response;
            try{
              // Call utility method with API name and parameters.
              System.debug('params = '+'oinputmap= '+oinputmap+'interName= '+interName);
            String Json = BAC_Util.buildandcallinterface(oinputmap,interName,stime);
    }catch(Exception ex){
    }
    }
&lt;/code&gt;&lt;/pre&gt;
&lt;p&gt;&lt;a href="https://i.stack.imgur.com/MFe5A.png" rel="nofollow noreferrer"&gt;enter image description here&lt;/a&gt;&lt;/p&gt;
</t>
  </si>
  <si>
    <t xml:space="preserve">&lt;p&gt;I am trying to interrupt the Mark Complete save event for one of our activity entities. I had an existing script which pre Unified Interface worked perfectly, but since we switched to UI it throws an ugly error resulting in a poor user experience. &lt;/p&gt;
&lt;p&gt;The error reads: "This form can’t be saved due to a custom setting. Error code: 0x83215605". It does however continue to work as normal after this popup (it still prevents the save and works as normal, just throws an error informing me of the save prevention).&lt;/p&gt;
&lt;p&gt;I inserted the below Javascript on the onSave event of a new entity with no other customisations: &lt;/p&gt;
&lt;p&gt;&lt;div class="snippet" data-lang="js" data-hide="false" data-console="true" data-babel="false"&gt;
&lt;div class="snippet-code"&gt;
&lt;pre class="snippet-code-js lang-js prettyprint-override"&gt;&lt;code&gt;function preventSave(executionContext) {
  e = executionContext.getEventArgs();
  e.preventDefault();
  console.log("Save prevented. Save mode: " + e.getSaveMode());
  return;
}&lt;/code&gt;&lt;/pre&gt;
&lt;/div&gt;
&lt;/div&gt;
&lt;/p&gt;
&lt;p&gt;From the console I can see that when I save the form normally (save mode 1) the script still executes and prevents the save, with no error. However, when I mark the record complete (save mode 58) the error message is thrown along with a console warning "Empty string passed to getElementById()" from app.js.&lt;/p&gt;
&lt;p&gt;I've tried on multiple entities and multiple forms with the same result. Can anyone else verify that they are able to prevent the saving of activities using Mark Complete without this error occurring? As a secondary query, is there any supported way to hide the error thrown? I'd really appreciate any advice.&lt;/p&gt;
&lt;p&gt;Dynamics version info:
Server version: 9.1.0000.15631
Client version: 1.4.376-2003.3&lt;/p&gt;
</t>
  </si>
  <si>
    <t xml:space="preserve">&lt;h1&gt;Problem Statement&lt;/h1&gt;
&lt;p&gt;Need to build a Power APP which invokes a SOAP Webservice and displays the response on the Power APP.
It also involves taking input frmo the user from POwer APP screen and persisting using a SOAP Webservice.&lt;/p&gt;
&lt;h2&gt;Query:&lt;/h2&gt;
&lt;blockquote&gt;
  &lt;ol&gt;
  &lt;li&gt;Does Power Automate provide a Connector via which we can invoke a SOAP Webservice? If yes, could you please provide a sample/ references to retrieve results from the Webservice and pass it to Power App.&lt;/li&gt;
  &lt;/ol&gt;
  &lt;blockquote&gt;
    &lt;ol start="2"&gt;
    &lt;li&gt;If not, then how can we invoke SOAP Webservice via MS Flow/ Power Automate? &lt;/li&gt;
    &lt;/ol&gt;
  &lt;/blockquote&gt;
&lt;/blockquote&gt;
</t>
  </si>
  <si>
    <t xml:space="preserve">&lt;h1&gt;Problem Statement:&lt;/h1&gt;
&lt;ol&gt;
&lt;li&gt;We need to make a reusable PowerApp widget which we can embed in multiple partner websites.&lt;/li&gt;
&lt;li&gt;Requirement is to provide a Workflow to the all partners which can be embeded in their websites.&lt;/li&gt;
&lt;/ol&gt;
&lt;h1&gt;Query:&lt;/h1&gt;
&lt;blockquote&gt;
  &lt;p&gt;Is there a way to achieve this i.e. embed a Power App Widgit which can be embedded in any Website without disturbing the existing functionality of the websites?&lt;/p&gt;
&lt;/blockquote&gt;
</t>
  </si>
  <si>
    <t xml:space="preserve">&lt;p&gt;does anyone have any idea-one event got created in Outlook,it got synced to SF calendar,after sometime, event is getting deleted and at the same time, same event is getting created in SF . Any idea why is this happening? We are using Outlook sync. Ps- no one doing any alteration in that particular event in Outlook/SF.&lt;/p&gt;
</t>
  </si>
  <si>
    <t xml:space="preserve">&lt;pre&gt;&lt;code&gt;const input = await select('input[name="file"]')
await input.uploadFile(workspace+'/sfdc/data/Work-relay/src/processes/application assessment/Orchestrator.wri')
await takeScreenshot(page,enableLogs,jobName,"Start_WR_Processes_Forms")
console.log('Select Work relay -&amp;gt; Click Process -&amp;gt; selecting file1... Done');
await page.waitFor(7000);
&lt;/code&gt;&lt;/pre&gt;
&lt;p&gt;I am getting below error while running the above code in Salesforce Lightening&lt;/p&gt;
&lt;blockquote&gt;
  &lt;p&gt;Puppeteer Catch Error: TypeError: input.uploadFile is not a function
  at /unicrm/jenkins/workspace/DevTools/SandboxPostRefreshTest/runtimeResources/PostStep/WorkRelay_Processes_Forms.js:163:7&lt;/p&gt;
&lt;/blockquote&gt;
</t>
  </si>
  <si>
    <t xml:space="preserve">&lt;p&gt;I am junior developer. We are using Outsystems(Outsystems is a low code platform). Due to some limitations in consuming soap web services, there is an option to consume the web service through .NET extension using Outsystems Integration Studio tool. All details of my issue is posted here &lt;a href="https://www.outsystems.com/forums/discussion/59419/consume-soap-web-service-net-extension/#Post226821" rel="nofollow noreferrer"&gt;https://www.outsystems.com/forums/discussion/59419/consume-soap-web-service-net-extension/#Post226821&lt;/a&gt; &lt;/p&gt;
&lt;p&gt;So the process is : 1) create the data structure in this tool 2) Add the web reference in .NET using the soap wsdl 3) now when I want to implement the web service method, the data types I defined can't be mapped to the web service data types and it gives me below error. &lt;/p&gt;
&lt;p&gt;How can I resolve this error ? &lt;/p&gt;
&lt;pre&gt;&lt;code&gt; Error  CS1503   Argument 1: cannot convert from 'OutSystems.NssPvtWebService.RLPvtRecordRecordList' to 'OutSystems.NssPvtWebService.WebReference4.DT_PVT_WELL'
&lt;/code&gt;&lt;/pre&gt;
&lt;p&gt;Your support is much appreciated. &lt;/p&gt;
</t>
  </si>
  <si>
    <t xml:space="preserve">&lt;p&gt;I want to refresh PowerBI graphs comments using power apps. Since updated comments are saved in a excel file(which is saved in share drive) and when ever new comments added to excel it has to be refresh in PowerBI. So my manger asked m to use Power app. Since it is very new to me and i would need your help in terms of refreshing data.&lt;/p&gt;
</t>
  </si>
  <si>
    <t xml:space="preserve">&lt;p&gt;To help visualize what I am talking about, the graphic in &lt;a href="https://support.office.com/en-us/article/use-the-link-web-part-19c37587-118a-4813-b25a-192f3bd829d9" rel="nofollow noreferrer"&gt;this&lt;/a&gt; explains it. I would like to be able to change what preview text is displayed when I link another sharepoint page. By default, it is set as the first X characters of whatever text is displayed on the page being linked. Any Ideas? &lt;/p&gt;
</t>
  </si>
  <si>
    <t xml:space="preserve">&lt;p&gt;In Microsoft PowerApps within a environment there will be many users. each one create their own application. in that case i need that , a single user should only see the application created by him within the environment.How can we set that permission?&lt;/p&gt;
</t>
  </si>
  <si>
    <t xml:space="preserve">&lt;p&gt;&lt;a href="https://i.stack.imgur.com/sNHYL.png" rel="nofollow noreferrer"&gt;&lt;img src="https://i.stack.imgur.com/sNHYL.png" alt="enter image description here"&gt;&lt;/a&gt;&lt;/p&gt;
&lt;p&gt;In the Picture near the 3, we have Action and Create Task in the dropdown.
How can I add more Actions in the drop down like "Create Note", "Log Call"&lt;/p&gt;
</t>
  </si>
  <si>
    <t xml:space="preserve">&lt;p&gt;Hi i am using zoho v2 apis to create lead on zoho. All the values are save but one value is not saving. Check the attached file.&lt;/p&gt;
&lt;p&gt;&lt;a href="https://i.stack.imgur.com/js5ur.png" rel="nofollow noreferrer"&gt;&lt;img src="https://i.stack.imgur.com/js5ur.png" alt="enter image description here"&gt;&lt;/a&gt;&lt;/p&gt;
&lt;p&gt;i have tried "Last_Page_Url" and "last_page_url" nothing works.&lt;/p&gt;
</t>
  </si>
  <si>
    <t xml:space="preserve">&lt;p&gt;I used this api to get the api_name for the key.
curl "&lt;a href="https://www.zohoapis.com/crm/v2/settings/fields?module=Leads" rel="nofollow noreferrer"&gt;https://www.zohoapis.com/crm/v2/settings/fields?module=Leads&lt;/a&gt;"
-X GET
-H  "Authorization: Zoho-oauthtoken 1000.8cb99dxxxxxxxxxxxxx9be93.9b8xxxxxxxxxxxxxxxf"&lt;/p&gt;
</t>
  </si>
  <si>
    <t xml:space="preserve">&lt;p&gt;Salesforce has two different UIs and in accordance with it, it has the possibility to store attached files differently.&lt;/p&gt;
&lt;p&gt;Two files were uploaded via the classic UI. They marked as attachments and I know how to get them using request to &lt;code&gt;GET /services/data/v47.0/sobjects/Attachment&lt;/code&gt;&lt;/p&gt;
&lt;p&gt;I want to find all the files that were uploaded through the new UI associated with this 'NewAccount2020'.
How can I achieve my goal using REST API?&lt;/p&gt;
&lt;p&gt;I guess these files can be retrieved using Chatter REST API. However, I did not find anything that could solve my problem.&lt;/p&gt;
&lt;p&gt;&lt;a href="https://i.stack.imgur.com/A8wfc.png" rel="nofollow noreferrer"&gt;&lt;img src="https://i.stack.imgur.com/A8wfc.png" alt="enter image description here"&gt;&lt;/a&gt;&lt;/p&gt;
</t>
  </si>
  <si>
    <t xml:space="preserve">&lt;p&gt;Attachments in Lightning are stored as &lt;code&gt;ContentDocument&lt;/code&gt; type, within Files.&lt;br&gt;
This blog post walks through how to access the attachments for a record, plus an example Js app to download the files: &lt;a href="https://crmcog.com/retrieve-sfdc-attachments-using-rest/" rel="nofollow noreferrer"&gt;https://crmcog.com/retrieve-sfdc-attachments-using-rest/&lt;/a&gt;&lt;/p&gt;
</t>
  </si>
  <si>
    <t xml:space="preserve">&lt;p&gt;I am writing an Appian web API, to retrieve documents from our Appian system which will be used to integrate with our other systems.&lt;/p&gt;
&lt;p&gt;To this end, I am using the folder() method to get information about the contents of a folder in appian.&lt;/p&gt;
&lt;pre&gt;&lt;code&gt;folder(
    theCaseFolder,
    "documentChildren"
)
&lt;/code&gt;&lt;/pre&gt;
&lt;p&gt;The problem I am having is that while this code works most of the time - we have some cases where there are more than 1000 documents stored against the case.  I note that the appian documentation at:&lt;/p&gt;
&lt;p&gt;&lt;a href="https://docs.appian.com/suite/help/18.4/fnc_scripting_folder.html" rel="nofollow noreferrer"&gt;https://docs.appian.com/suite/help/18.4/fnc_scripting_folder.html&lt;/a&gt;&lt;/p&gt;
&lt;p&gt;States that:&lt;/p&gt;
&lt;p&gt;"The documentChildren and folderChildren properties return up to the first 1000 documents or folders, respectively, that are direct children of the selected folder".&lt;/p&gt;
&lt;p&gt;My problem is that we have a few cases where there are more than 3000 documents attached to the case.  Is there a way to get a list of of those child documents, or am I plain out of luck?&lt;/p&gt;
</t>
  </si>
  <si>
    <t xml:space="preserve">&lt;p&gt;I need to install D365 apps to my powerapps environment with PowerShell. But, I don’t see any supported cmdlet available now.
Anyone please confirm, if any cmdlet is available to achieve the same in below use cases   &lt;/p&gt;
&lt;ol&gt;
&lt;li&gt;Install D365 apps(Sales, Service etc) while creating the powerapps environment&lt;br&gt;
or  &lt;/li&gt;
&lt;li&gt;Install D365 apps for existing powerapps environment&lt;/li&gt;
&lt;/ol&gt;
</t>
  </si>
  <si>
    <t xml:space="preserve">&lt;p&gt;As a system administrator, I want to fetch all the files uploaded by a specific user. I found out that using the request to &lt;code&gt;GET /services/data/v48.0/query/?q=SELECT+Id+FROM+ContentDocument+USING+SCOPE+Everything&lt;/code&gt; I can fetch all the files from my organization uploaded by different users.&lt;/p&gt;
&lt;p&gt;Can I do the same for a specific user?
If yes, then how?&lt;/p&gt;
&lt;p&gt;Does this require the user`s access token to fetch files and also upload them? Or can it be done using only system admin token?&lt;/p&gt;
</t>
  </si>
  <si>
    <t xml:space="preserve">&lt;p&gt;I'm not sure you need &lt;code&gt;SCOPE&lt;/code&gt;. System Administrator will have "View All Data, Query All Files", should be enough according to the &lt;a href="https://developer.salesforce.com/docs/atlas.en-us.api.meta/api/sforce_api_objects_contentdocument.htm" rel="nofollow noreferrer"&gt;docs&lt;/a&gt;. Check the profile/permission sets, experiment a bit.&lt;/p&gt;
&lt;p&gt;This should be a good start:&lt;/p&gt;
&lt;pre&gt;&lt;code&gt;SELECT Id, OwnerId, CreatedById, Title
FROM ContentDocument
WHERE CreatedById = '005...' OR OwnerId = '005...'
&lt;/code&gt;&lt;/pre&gt;
&lt;p&gt;You'll need to know the user's &lt;code&gt;Id&lt;/code&gt; or you can do JOINs (called &lt;a href="https://developer.salesforce.com/docs/atlas.en-us.soql_sosl.meta/soql_sosl/sforce_api_calls_soql_relationships_lookup.htm" rel="nofollow noreferrer"&gt;relationship queries&lt;/a&gt; in SF) &lt;code&gt;WHERE CreatedBy.Username = 'x@y.com'&lt;/code&gt; &lt;/p&gt;
</t>
  </si>
  <si>
    <t xml:space="preserve">&lt;p&gt;I'm opening a standard modal component in my lwc in this way: &lt;/p&gt;
&lt;pre&gt;&lt;code&gt;newContract(event) {
        let temp = {
            type: 'standard__objectPage',
            attributes: {
                objectApiName: 'Contract',
                actionName: 'new'
            },
            state: {
                nooverride: '1',
                useRecordTypeCheck: '1',
                defaultFieldValues: "AccountId=" + this.currentPageReference.state.c__id,
                navigationLocation: 'RELATED_LIST'
            }
        };
        this[NavigationMixin.Navigate](temp);
    }
&lt;/code&gt;&lt;/pre&gt;
&lt;p&gt;Once the user closes the modal component I want to capture the event to refresh a section of my component. Some help?&lt;/p&gt;
</t>
  </si>
  <si>
    <t xml:space="preserve">&lt;p&gt;I'm using the replay debugger in vs code and have the debug log in finest mode. What I'm noticing is the variable values get truncated (as shown below - in responseBody|"{\n   \"error_message\" &lt;strong&gt;(114 more)&lt;/strong&gt;) and doesn't show the whole value. My initial guess is this is because of the log file that is being captured in Salesforce. Has anyone else has faced this issue and knows how can this be resolved? I'm using VSCode version 1.44&lt;/p&gt;
&lt;p&gt;&lt;a href="https://i.stack.imgur.com/r7oNY.png" rel="nofollow noreferrer"&gt;&lt;img src="https://i.stack.imgur.com/r7oNY.png" alt="enter image description here"&gt;&lt;/a&gt;
Cheers
Sree&lt;/p&gt;
</t>
  </si>
  <si>
    <t xml:space="preserve">&lt;p&gt;I am trying to authenticate to messagebird using a custom function of zoho CRM. I am trying the following script:&lt;/p&gt;
&lt;pre&gt;&lt;code&gt;//HEADER
API_Key = "***"; I am hiding the API Key
HeaderMap = Map();
HeaderMap.put("Content-Type","application/json");
HeaderMap.put("Authorization","Access Key " + API_Key);
ENDPOINT = "https://conversations.messagebird.com/v1/send";
Request = invokeurl
[
    url :ENDPOINT
    type :POST
    headers:HeaderMap
];
&lt;/code&gt;&lt;/pre&gt;
&lt;p&gt;I am getting this error:&lt;/p&gt;
&lt;pre&gt;&lt;code&gt;{"errors":[{"code":2,"description":"Request was not authenticated"}]}
&lt;/code&gt;&lt;/pre&gt;
&lt;p&gt;and i am passing this json:&lt;/p&gt;
&lt;pre&gt;&lt;code&gt;{"Content-Type":"application/json","Authorization":"Access Key ***"}
&lt;/code&gt;&lt;/pre&gt;
&lt;p&gt;Does any one if i am doing something wrong?&lt;/p&gt;
</t>
  </si>
  <si>
    <t xml:space="preserve">&lt;p&gt;We only send to 07 numbers, which are +447&lt;/p&gt;
&lt;p&gt;When trying to send to 07, the message fails.
I've reached out to Twilio which just seems pointless as I never get a response from support.&lt;/p&gt;
&lt;p&gt;Any ideas?&lt;/p&gt;
</t>
  </si>
  <si>
    <t xml:space="preserve">&lt;p&gt;I'm trying to add a related record to a lightning page layout for BAN but don't have an update/new action to associate with it&lt;/p&gt;
&lt;p&gt;My goal is  based on the BAN entered into the Case to  show the BAN page on the Case lightning page for a custom object&lt;/p&gt;
&lt;p&gt;Carolyn&lt;/p&gt;
</t>
  </si>
  <si>
    <t xml:space="preserve">&lt;p&gt;I'm currently stuck at a problem and was hoping someone here could help me. I also certainly hope this is the right place to ask it. &lt;/p&gt;
&lt;p&gt;I'm trying to create a custom Invoice record with its corresponding Invoice Line records upon firing an event. I already have some logic in place to gather ID of selected rows in the JS. &lt;/p&gt;
&lt;p&gt;I've gone so far as to be able to create the Invoice record (using LDS) and the Invoice Line records (using Apex), but can't seem to pass the Invoice ID for the Invoice Line records. I know I'm able to create the records because it works when I tested this with a hardcoded Invoice ID.&lt;/p&gt;
&lt;p&gt;Would it be possible to pass multiple parameters of List and String to an Apex method in LWC? &lt;/p&gt;
&lt;p&gt;I would appreciate any help. Thanks in advance!&lt;/p&gt;
&lt;p&gt;&lt;strong&gt;JS&lt;/strong&gt;&lt;/p&gt;
&lt;pre&gt;&lt;code&gt;    selectedRowsEvent(event) {
    ...some codes here...
    this.selectedRecords = Array.from(conIds);
    }
    handleSave() {
         **invId;**
         ...some codes here...
        createRecord(recordInput)
        .then(invoice =&amp;gt; {
            **this.invId = invoice.Id;**  
            **createInvLines({ lstConIds : this.selectedRecords, invoiceId : this.invId})**
        }).catch(error =&amp;gt; {
          ...some codes here...
          });
    }
&lt;/code&gt;&lt;/pre&gt;
&lt;p&gt;&lt;strong&gt;Controller&lt;/strong&gt;&lt;/p&gt;
&lt;pre&gt;&lt;code&gt;@AuraEnabled
    public static void createInvLines(list&amp;lt;Id&amp;gt; lstConIds, string invoiceId){
        if(lstConIds.size() &amp;gt; 0){
            List&amp;lt;OpportunityLine__c&amp;gt; oppLst = new List&amp;lt;OpportunityLine__c&amp;gt;([SELECT Id, Description__c FROM OpportunityLine__c WHERE Id = :lstConIds]);
            try {
                List&amp;lt;InvoiceLine__c&amp;gt; lstInvLinesToInsert = new List&amp;lt;InvoiceLine__c&amp;gt;();
                for(OpportunityLine__c idCon : oppLst) {
                    lstInvLinesToInsert.add(new InvoiceLine__c(**InvoiceId__c = invoiceId**, Description__c = idCon.Description__c));
                }
                if(!lstInvLinesToInsert.isEmpty()) {
                    insert lstInvLinesToInsert;
                }
            }
            catch(Exception ex) {
                throw new AuraHandledException(ex.getMessage());
            }
        }
    }  
&lt;/code&gt;&lt;/pre&gt;
</t>
  </si>
  <si>
    <t xml:space="preserve">&lt;p&gt;Yes, you can pass complex parameters to methods marked as &lt;code&gt;@AuraEnabled&lt;/code&gt;. On client side it'll be a JSON object with right field names, like you already have &lt;code&gt;{ lstConIds : this.selectedRecords, invoiceId : this.invId}&lt;/code&gt;. On Apex side it can be a function with multiple arguments or just 1 argument (some helper wrapper class, again with right field names). Salesforce will "unpack" that JSON for you and put into right fields before your code is called.&lt;/p&gt;
&lt;p&gt;Your preference which would be cleaner. I tend to use wrappers. If you have a reusable service-like function and you want to add some optional parameters later - you'd simply put new field in wrapper class and job done. Might be not as easy to add a new parameter to function used in other apex code, bit messier.&lt;/p&gt;
&lt;p&gt;(in your scenario I'd definitely try to create invoice and line items as 1 call so if anything fails - the normal transaction rollback will help you. if one of items fails - you don't want to be left with just invoice header, right?)&lt;/p&gt;
&lt;p&gt;Have you seen &lt;a href="https://developer.salesforce.com/docs/component-library/documentation/en/lwc/lwc.apex" rel="nofollow noreferrer"&gt;https://developer.salesforce.com/docs/component-library/documentation/en/lwc/lwc.apex&lt;/a&gt; ? it's a wall of text but it mentions interesting example, search for "apexImperativeMethodWithParams" in there.&lt;/p&gt;
&lt;p&gt;Look at JS file here: &lt;a href="https://github.com/trailheadapps/lwc-recipes/tree/master/force-app/main/default/lwc/apexImperativeMethodWithComplexParams" rel="nofollow noreferrer"&gt;https://github.com/trailheadapps/lwc-recipes/tree/master/force-app/main/default/lwc/apexImperativeMethodWithComplexParams&lt;/a&gt;
And see how it calls &lt;/p&gt;
&lt;pre&gt;&lt;code&gt;ApexTypesController {
    @AuraEnabled(cacheable=true)
    public static String checkApexTypes(CustomWrapper wrapper) {
...
&lt;/code&gt;&lt;/pre&gt;
&lt;p&gt;Where &lt;a href="https://github.com/trailheadapps/lwc-recipes/blob/master/force-app/main/default/classes/CustomWrapper.cls" rel="nofollow noreferrer"&gt;CustomWrapper&lt;/a&gt; is&lt;/p&gt;
&lt;pre&gt;&lt;code&gt;public with sharing class CustomWrapper {
    class InnerWrapper {
        @AuraEnabled
        public Integer someInnerInteger { get; set; }
        @AuraEnabled
        public String someInnerString { get; set; }
    }
    @AuraEnabled
    public Integer someInteger { get; set; }
    @AuraEnabled
    public String someString { get; set; }
    @AuraEnabled
    public List&amp;lt;InnerWrapper&amp;gt; someList { get; set; }
}
&lt;/code&gt;&lt;/pre&gt;
</t>
  </si>
  <si>
    <t xml:space="preserve">&lt;p&gt;I have started to use Webstorm + Illuminated Cloud for LWC developing.&lt;/p&gt;
&lt;p&gt;Every time when I try to deploy .html or .js files of LWC bundle to sandbox it takes 2-3 minutes.&lt;/p&gt;
&lt;p&gt;However deployment of Apex classes and VF pages takes 2-3 seconds.&lt;/p&gt;
&lt;p&gt;Is there any chance to speed up LWC deployment in WebStorm?&lt;/p&gt;
&lt;p&gt;Also it works quite fast in VS code.&lt;/p&gt;
</t>
  </si>
  <si>
    <t xml:space="preserve">&lt;p&gt;Hi guys&lt;br&gt;
I'm trying to get some "hardcoded" values from an apex Method, but when I write a console.log it's comming empty. 
&lt;a href="https://i.stack.imgur.com/5o5o4.png" rel="nofollow noreferrer"&gt;&lt;img src="https://i.stack.imgur.com/5o5o4.png" alt="enter image description here"&gt;&lt;/a&gt;&lt;/p&gt;
&lt;p&gt;Here's the code I'm working on: &lt;/p&gt;
&lt;pre&gt;&lt;code&gt;@wire(getValues)
wiredValues({error, data})
     if(data) {
     console.log("Data::::::",data);
     this.getVal = JSON.stringify(data);
     } else if(error){
           this.error = error;
           this.getVal = undefined;
           console.log("No values");
     }
&lt;/code&gt;&lt;/pre&gt;
&lt;p&gt;Here's my apex method(I'm trying to make kind of "fake" callout but i'm not sure if im right): &lt;/p&gt;
&lt;pre&gt;&lt;code&gt;public without sharing class getSomeValues {
       @AuraEnabled(cacheable = true)
       public static List&amp;lt;wrapVal&amp;gt; getWrapVal() {
        HttpResponse request = new HttpResponse();
        request.setBody('{"Values": ["1000", "2000", "3000", "4000", "5000"]}');
        Map&amp;lt;String, Object&amp;gt; results = (Map&amp;lt;String, Object&amp;gt;) 
        JSON.deserializeUntyped(request.getBody());
        List&amp;lt;Object&amp;gt; sumVal = (List&amp;lt;Object&amp;gt;) results.get('Values');
        List&amp;lt;wrapVal&amp;gt; newLstValues = new List&amp;lt;wrapVal&amp;gt;();
        for (Object getValues : sumVal ) {
             wrapVal newLstValue = new wrapVal();
             newLstValue.nwValue = String.valueOf(getValues);
             newLstValues.add(newLstValue);
             System.debug("getValues::::::"+ newLstValue.nwValue);
       }
        return newLstValues;
  }
  public class wrapVal {
  public String nwValue { get; set; }
  }
&lt;/code&gt;&lt;/pre&gt;
&lt;p&gt;Debug: 
&lt;a href="https://i.stack.imgur.com/2QUbp.png" rel="nofollow noreferrer"&gt;&lt;img src="https://i.stack.imgur.com/2QUbp.png" alt="enter image description here"&gt;&lt;/a&gt;&lt;/p&gt;
&lt;p&gt;So idk what i'm doing wrong, if can share with me some advice or documentation it'd be great.
Thanks&lt;/p&gt;
</t>
  </si>
  <si>
    <t xml:space="preserve">&lt;p&gt;I have developed a custom journey activity in salesforce marketing cloud based on salesforce guidelines
&lt;a href="https://developer.salesforce.com/docs/atlas.en-us.noversion.mc-app-development.meta/mc-app-development/creating-activities.htm" rel="nofollow noreferrer"&gt;https://developer.salesforce.com/docs/atlas.en-us.noversion.mc-app-development.meta/mc-app-development/creating-activities.htm&lt;/a&gt;&lt;/p&gt;
&lt;p&gt;We created a simple web app with a static HTML Page(index.html) as per specs. We coded the end points(Save, Publish, validate, stop, testsave, Execute) in a C# web API deployed to Azure App Service. We have secured both the Application and the end point with SSL. The Web API methods return a Status 200OK if successful and status 400 bad request if there is an error. For tracing purposes we are logging the web service call in a text file on the app service.&lt;/p&gt;
&lt;p&gt;Here is the config.json file for the custom activity as per marketing cloud specs.&lt;/p&gt;
&lt;pre&gt;&lt;code&gt;{
  "workflowApiVersion": "1.1",
  "metadata": {
    "icon": "images/icon.png",
    "iconSmall": "images/iconSmall.png"
  },
  "type": "RestDecision",
  "lang": {
    "en-US": {
      "name": "A custom journey activity",
      "description": "A custom Journey Builder activity to call Propensity hub."
    }
  },
  "userInterfaces": {
    "configInspector": {
      "size": "small"
    }
  },
  "arguments": {
    "execute": {
      "inArguments": [
        {
          "CampaignIdentifier": ""
        }
      ],
      "outArguments": [],
      "timeout": 99000,
      "retryCount": 1,
      "retryDelay": 50000,
      "url": "https://myUrl/api/myApp/execute"
    }
  },
  "configurationArguments": {
    "save": {
      "url": "https://myUrl/api/myApp/save"
    },
    "publish": {
      "url": "https://myUrl/api/myApp/publish"
    },
    "validate": {
      "url": "https://myUrl/api/myApp/validate"
    },
    "stop": {
      "url": "https://myUrl/api/myApp/stop"
    }
  },
  "outcomes": [
    {
      "arguments": {
        "branchResult": "OPT1"
      },
      "metaData": {
        "label": "Option 1"
      }
    },
    {
      "arguments": {
        "branchResult": "OPT2"
      },
      "metaData": {
        "label": "Option 2"
      }
    },
    {
      "arguments": {
        "branchResult": "OPT3"
      },
      "metaData": {
        "label": "Option 3"
      }
    },
    {
      "arguments": {
        "branchResult": "OPT4"
      },
      "metaData": {
        "label": "Option 4"
      }
    },
    {
      "arguments": {
        "branchResult": "OPT5"
      },
      "metaData": {
        "label": "Option 5"
      }
    },
    {
      "arguments": {
        "branchResult": "OPT6"
      },
      "metaData": {
        "label": "Option 6"
      }
    },
    {
      "arguments": {
        "branchResult": "OPT7"
      },
      "metaData": {
        "label": "Option 7"
      }
    },
    {
      "arguments": {
        "branchResult": "OPT8"
      },
      "metaData": {
        "label": "Option 8"
      }
    },
    {
      "arguments": {
        "branchResult": "OPT9"
      },
      "metaData": {
        "label": "Option 9"
      }
    },
    {
      "arguments": {
        "branchResult": "OPT10"
      },
      "metaData": {
        "label": "Option 10"
      }
    },
    {
      "arguments": {
        "branchResult": "NONE"
      },
      "metaData": {
        "label": "Option None"
      }
    }
  ]
}
&lt;/code&gt;&lt;/pre&gt;
&lt;p&gt;The custom UI developed for this journey activity host successfully in the marketing cloud journey Iframe. The configuration metadata entered is saved correctly and when the custom activity is loaded again the values are loaded correctly in Iframe. In a nutshell the UI works fine.&lt;/p&gt;
&lt;p&gt;&lt;strong&gt;However none of the web api end points are executed. If i save the journey when i click Save on journey builder the save end point(&lt;a href="https://myUrl/api/myApp/save" rel="nofollow noreferrer"&gt;https://myUrl/api/myApp/save&lt;/a&gt;) is not called(there is no log in the text file).Same with the others (I hope i am interpreting the meaning of these operation specified in marketing cloud documentation correctly.)&lt;/strong&gt;&lt;/p&gt;
&lt;p&gt;The end points are reached though when executing through Postman - i get a status of 200OK. I have used a marketing cloud example while developing this activity (&lt;a href="https://developer.salesforce.com/docs/atlas.en-us.noversion.mc-app-development.meta/mc-app-development/example-rest-activity.htm" rel="nofollow noreferrer"&gt;https://developer.salesforce.com/docs/atlas.en-us.noversion.mc-app-development.meta/mc-app-development/example-rest-activity.htm&lt;/a&gt;)&lt;/p&gt;
&lt;p&gt;Any thoughts/help would be appreciated.&lt;/p&gt;
&lt;p&gt;Thanks
Regards
Sid&lt;/p&gt;
</t>
  </si>
  <si>
    <t xml:space="preserve">&lt;p&gt;Having trouble parsing the Zoho Creator Rest API returns. Sample return results:&lt;/p&gt;
&lt;blockquote&gt;
  &lt;p&gt;{{"formname":["RestAPI",{"operation":["add",{"values":{"Name":"Gary","Basic":"10000","Hobbies":["Reading","Writing"],"DOB":"12-Jun-1980","Address":"USA","ID":89597000010897007},"status":"Success"}]}]}&lt;/p&gt;
&lt;/blockquote&gt;
&lt;p&gt;Using the code below to return a JObject in order to pull properties:&lt;/p&gt;
&lt;pre&gt;&lt;code&gt;/* send post request here */
HttpContent _content = null;
var response = this.client.PostAsync(this.PostUrl,_content).Result;  
/* parse request response here - need to record all data from return response */
string responseString = response.Content.ReadAsStringAsync().Result;
JObject result = JObject.Parse(responseString);
&lt;/code&gt;&lt;/pre&gt;
&lt;p&gt;For some reason I am not able to access any properties of the "result" object. I have tried using indexed and JToken approaches and none are returning me the values.&lt;/p&gt;
</t>
  </si>
  <si>
    <t xml:space="preserve">&lt;p&gt;How to pass List data type from  LWC @wire method to Custom Aura Method&lt;/p&gt;
</t>
  </si>
  <si>
    <t xml:space="preserve">&lt;p&gt;I am trying to integrate few of Google AUTOML API's to my system and I am always getting an error as "Service account credentials are invalid". I have tried creating multiple Private keys but none of them worked, I believe I have correctly followed the steps mentioned in - &lt;a href="https://cloud.google.com/natural-language/automl/docs/tutorial#configure_your_project_environment" rel="nofollow noreferrer"&gt;https://cloud.google.com/natural-language/automl/docs/tutorial#configure_your_project_environment&lt;/a&gt;
Can anyone support here to identify the possible root causes for this authenticaiton failure?&lt;/p&gt;
</t>
  </si>
  <si>
    <t xml:space="preserve">&lt;p&gt;I'm working on an application that needs to trigger a Python script when the user presses a button. Searching on documentation and forums, I've seen some ways that I could do it with Microsoft Power Apps or Microsoft Flow but I still have some questions. The most common answer is by using Azure Function. About that option, some questions that I couldn't find the answer:&lt;/p&gt;
&lt;ol&gt;
&lt;li&gt;Every code running with Azure Function runs on cloud?&lt;/li&gt;
&lt;li&gt;There is a way to run my program locally with PowerApps (calling a .exe, for example)?&lt;/li&gt;
&lt;li&gt;The environment where I'm executing my program is very limited to the use of cloud due to security concerns. What workarounds should I consider to accomplish my goal?&lt;/li&gt;
&lt;/ol&gt;
&lt;p&gt;Thanks in advance&lt;/p&gt;
</t>
  </si>
  <si>
    <t xml:space="preserve">&lt;p&gt;I am getting an error during the page load:&lt;/p&gt;
&lt;blockquote&gt;
  &lt;p&gt;forEach is not a function&lt;/p&gt;
&lt;/blockquote&gt;
&lt;p&gt;Please advise if you have time. Thank you for the help.&lt;/p&gt;
&lt;pre class="lang-js prettyprint-override"&gt;&lt;code&gt;handleErrors: function(component, aErrors) {
  if (typeof aErrors === 'string') {
    var error = { message: aErrors };
    aErrors = [error];
  }
  var aComponentErrors = component.get('v.errors');
  aErrors.forEach(function(error) {
    if (error.message) {
      aComponentErrors.push(error.message)
    }
    if (error.pageErrors) {
      error.pageErrors.forEach(function(pageError) {
        aComponentErrors.push(pageError.message);
      });
    }
    if (error.fieldErrors) {
      error.fieldErrors.forEach(function(oError, fieldName) {
        oError.forEach(function(errorList) {
          aComponentErrors.push("Field Error on " + fieldName + " : " + errorList.message);
        });
      });
    }
  });
  component.set('v.errors', aComponentErrors);
},
&lt;/code&gt;&lt;/pre&gt;
</t>
  </si>
  <si>
    <t xml:space="preserve">&lt;p&gt;There are three entities Idea,Department and Expected Result. A department can have multiple expected results. An idea falls under a department.The user should be able to add multiple expected results to an Idea .The option list of expected results listed in Idea's subgrid inline lookup should be based on the department of the Idea.&lt;/p&gt;
&lt;p&gt;I am developing the App using the Innovation Challenge template provided in the App list.&lt;/p&gt;
&lt;p&gt;App type: Model driven app&lt;/p&gt;
&lt;p&gt;Type of plan: Power Apps Per User Plan trial&lt;/p&gt;
</t>
  </si>
  <si>
    <t xml:space="preserve">&lt;p&gt;&lt;a href="https://i.stack.imgur.com/Kw1fb.png" rel="nofollow noreferrer"&gt;&lt;img src="https://i.stack.imgur.com/Kw1fb.png" alt="enter image description here"&gt;&lt;/a&gt;&lt;/p&gt;
&lt;p&gt;As it stands, I have a student table (where each student has a unique row) and an exam table (where each student's exam attempt has a row; the student table is one to many to the exam table).&lt;/p&gt;
&lt;p&gt;I want to see if it's possible to add a column to the students table that captures all of the student's exam attempts for a particular exam (as you see below). I was thinking this might require a for loop, but I'm not sure how to do that in QuickBase.&lt;/p&gt;
&lt;p&gt;&lt;a href="https://i.stack.imgur.com/ZbzXf.png" rel="nofollow noreferrer"&gt;&lt;img src="https://i.stack.imgur.com/ZbzXf.png" alt="enter image description here"&gt;&lt;/a&gt;&lt;/p&gt;
</t>
  </si>
  <si>
    <t xml:space="preserve">&lt;p&gt;Create a Combined Text Summary field on the Students table for each Exam type.
&lt;a href="https://i.stack.imgur.com/7YB7V.png" rel="nofollow noreferrer"&gt;&lt;img src="https://i.stack.imgur.com/7YB7V.png" alt="enter image description here"&gt;&lt;/a&gt;&lt;/p&gt;
</t>
  </si>
  <si>
    <t xml:space="preserve">&lt;p&gt;Below is the trigger  update a field on an attachment or file insert , can some one suggest a test class for this trigger?&lt;/p&gt;
&lt;p&gt;Can some one please help in writing a  @isTest class for below trigger to achieve 100 % code completion &lt;/p&gt;
&lt;pre&gt;&lt;code&gt;trigger ContentDocumentLinkTrigger on ContentDocumentLink (after insert) {
if(trigger.isAfter) {
    if(trigger.isInsert) {
        ContentDocumentLinkTriggerHandler.onAfterInsert(trigger.new);
    }
}
}
&lt;/code&gt;&lt;/pre&gt;
&lt;p&gt;here is the class&lt;/p&gt;
&lt;pre&gt;&lt;code&gt;            public  class ContentDocumentLinkTriggerHandler {
            public static void onAfterInsert(list&amp;lt;ContentDocumentLink&amp;gt; lstCntLinks) {
            set&amp;lt;Id&amp;gt; setTaskIds = new set&amp;lt;Id&amp;gt;();
            list&amp;lt;task&amp;gt; lstTask=new list&amp;lt;task&amp;gt;();
            Id recordTypeId = Schema.SObjectType.Task.getRecordTypeInfosByName().get('ERT_Task_Record_Type').getRecordTypeId();
            for(ContentDocumentLink clIterator : lstCntLinks) {  
            setTaskIds.add(clIterator.LinkedEntityId);//Set all task id            
            }
            if(!setTaskIds.isEmpty()) {
                    lstTask= [SELECT Id, Name,Attachment_Indicator__c  FROM task WHERE Id IN :setTaskIds and recordtypeid=: recordTypeId ]; //Get all the task 
                }
            for(task varTsk:  lstTask){
            varTsk.Attachment_Indicator__c=true;//Set Attachment Indicator Flag true
            }
            if(lstTask.size()&amp;gt;0){
            update lstTask; //update task
             }
            }
            }
&lt;/code&gt;&lt;/pre&gt;
&lt;p&gt;Thanks in advance.
Carolyn&lt;/p&gt;
</t>
  </si>
  <si>
    <t xml:space="preserve">&lt;h2&gt;I am sending some perameters to the third party application using rest api In one of the perameter I am sending A URL, This URL will use by third party application to send a json response after 5 or 10 min. My question is how may i create that URL for third party app that they will use to send the response.&lt;/h2&gt;
</t>
  </si>
  <si>
    <t xml:space="preserve">&lt;p&gt;If the 3rd party can send HTTP headers too you could send to them the current user's session id. If that user is API enabled (checkbox in profile/permission set) - you could write an Apex REST service that accepts POSTs. They'd call it with &lt;code&gt;Authorization: Bearer &amp;lt;session id here&amp;gt;&lt;/code&gt; and it could work very nice. This &lt;a href="https://trailhead.salesforce.com/en/content/learn/modules/apex_integration_services/apex_integration_webservices" rel="nofollow noreferrer"&gt;trailhead&lt;/a&gt; might be a good start for you. (or can you contact their developers and maybe agree to make a dedicated user in SF for them so they'd log in under their own credentials and send it back?)&lt;/p&gt;
&lt;p&gt;If they cannot send any special headers (it'd have to be unauthenticated connection to SF) - maybe you could make a Visualforce page, expose it as Site and then page's controller can do whatever you need. Maybe you already have something public facing (community?), maybe it'd be totally new... Check &lt;a href="https://developer.salesforce.com/docs/atlas.en-us.206.0.salesforce_platform_portal_implementation_guide.meta/salesforce_platform_portal_implementation_guide/sites_overview.htm" rel="nofollow noreferrer"&gt;https://developer.salesforce.com/docs/atlas.en-us.206.0.salesforce_platform_portal_implementation_guide.meta/salesforce_platform_portal_implementation_guide/sites_overview.htm&lt;/a&gt;&lt;/p&gt;
&lt;p&gt;If none of these work for you - does the url have to ping back to Salesforce. Maybe you have control over another server that can accept unauthenticated requests like that and have that one then call SF. Bit like a proxy. You could even set something up fairly easily on Heroku.&lt;/p&gt;
&lt;p&gt;Last but not least. This would be extremely stupid but if all else fails - in a sandbox enable Web-to-Case or Web-to-Lead and experiment with these. At the end of the day they give you an url you can POST to and pass a form with data. I think it'd have to be &lt;code&gt;Content-Type: application/x-www-form-urlencoded&lt;/code&gt; and if you mentioned JSON they're likely to send it as &lt;code&gt;application/json&lt;/code&gt; so might not work. If it works - you could maybe save the payload in Description field of Cases (special record type maybe?) and do something with it. I'm seriously not a fan of this.&lt;/p&gt;
</t>
  </si>
  <si>
    <t xml:space="preserve">&lt;p&gt;We are facing issue in Phone Gap app as below,
Default app is supporting Android 8, 9 &amp;amp; 10 but we require to install .APK file in Android version 6 &amp;amp; 7.
While generating the build, we tried to customize the version of &lt;strong&gt;Phone Gap CLI&lt;/strong&gt; to 6.5.0 in &lt;code&gt;config.xml&lt;/code&gt; file.
And while installing we are getting error message as: &lt;/p&gt;
&lt;blockquote&gt;
  &lt;p&gt;There was a problem paring the package. &lt;/p&gt;
&lt;/blockquote&gt;
&lt;p&gt;PFA for reference
Kindly provide a solution to make it compatible to support Android version 6 &amp;amp; 7. 
&lt;img src="https://i.stack.imgur.com/J249a.png" alt="screenshot dialog"&gt;&lt;/p&gt;
</t>
  </si>
  <si>
    <t xml:space="preserve">&lt;p&gt;I want to create three environments: Development, QA, and production for my apps in power apps.
Not sure what is best solution for this.  This app store data in sharepoint lists. Any suggestions?&lt;/p&gt;
</t>
  </si>
  <si>
    <t xml:space="preserve">&lt;p&gt;I need to identify DOM element by id or className ... in aura lightning.
I have the piece of component:
&lt;code&gt;&amp;lt;ui:inputNumber aura:id="inputWp" class="slds-input" keydown="{!c.handleInput}" updateOn="keydown" value="{!v.item.pricePerWp}" change="{!c.changePrice}"/&amp;gt;&lt;/code&gt; 
and event listener to him &lt;/p&gt;
&lt;pre&gt;&lt;code&gt;        let afterRend = this.superAfterRender();
        if(component !== 'undefined' || component !== undefined) {
            component.getElement().addEventListener('paste', (e) =&amp;gt; {
                // I want to get id or class of current element here from e value
                const toolTipDelay = 3000;
                let currentSeparator;
                if($A.get("$Locale.decimal") == ',') {
                    currentSeparator = '.';
                }
                if($A.get("$Locale.decimal") == '.') {
                    currentSeparator = ',';
                }
                if(e.clipboardData.getData('Text').includes(currentSeparator)) {
                    component.set('v.ShowToolTip', true);
                    setTimeout(() =&amp;gt; {
                        component.set('v.ShowToolTip', false);
                    }, toolTipDelay);
                    return;
                }
            });
        }
        return afterRend;
    }```
Is it possible to get current element from native js on aura lightning?
&lt;/code&gt;&lt;/pre&gt;
</t>
  </si>
  <si>
    <t xml:space="preserve">&lt;p&gt;after creat zoho meeting and get embed link : &lt;a href="https://meeting.zoho.com/meeting/register?sessionId=1056891811" rel="nofollow noreferrer"&gt;https://meeting.zoho.com/meeting/register?sessionId=1056891811&lt;/a&gt;&lt;/p&gt;
&lt;p&gt;it requier username &amp;amp; email &gt;&gt; then click regiester &lt;/p&gt;
&lt;p&gt;i'll put this link inside my wordpress website as iframe &amp;amp; i need to prefill input fileds with wordpress user &amp;amp; email ..then &gt;&gt; autoclick to regiester &lt;/p&gt;
&lt;p&gt;i'm using elemntor dynamic to auto get username &amp;amp; email for every regiesterd users &lt;/p&gt;
&lt;p&gt;any one can help me with this issue ?&lt;/p&gt;
</t>
  </si>
  <si>
    <t xml:space="preserve">&lt;p&gt;I'm trying to setup a facebook messenger channel in messaging using my scratch org. I created my scratch org enabling the following features on my definition file:&lt;/p&gt;
&lt;pre&gt;&lt;code&gt;  "features": [
    "ServiceCloud",
    "Chatbot",
    "CPQ",
    "Communities",
    "Knowledge",
    "LiveAgent",
    "LightningServiceConsole",
    "LiveMessage"
  ],
&lt;/code&gt;&lt;/pre&gt;
&lt;p&gt;I'm following the steps mention on this link &lt;a href="https://help.salesforce.com/articleView?id=livemessage_setup_facebook_messenger_channels.htm&amp;amp;type=5" rel="nofollow noreferrer"&gt;Set Up Facebook Messenger Channels in Messaging&lt;/a&gt;&lt;/p&gt;
&lt;p&gt;Unfortunately, I'm facing an error as &lt;em&gt;"You don't have any Messaging permission set licenses. Contact Salesforce to purchase some."&lt;/em&gt;. Screenshot below:&lt;/p&gt;
&lt;p&gt;&lt;a href="https://i.stack.imgur.com/k2h6a.png" rel="nofollow noreferrer"&gt;&lt;img src="https://i.stack.imgur.com/k2h6a.png" alt="enter image description here"&gt;&lt;/a&gt;&lt;/p&gt;
&lt;p&gt;Hoping that I can resolve this by creating a permission set with the steps mentioned in this &lt;a href="https://help.salesforce.com/articleView?id=messaging_create_permission_set.htm&amp;amp;type=5" rel="nofollow noreferrer"&gt;Create a Messaging Permission Set&lt;/a&gt; I started following the steps but I don't see anything the Messaging presence status as shown below:
&lt;a href="https://i.stack.imgur.com/mPgeS.png" rel="nofollow noreferrer"&gt;&lt;img src="https://i.stack.imgur.com/mPgeS.png" alt="enter image description here"&gt;&lt;/a&gt;&lt;/p&gt;
&lt;p&gt;Can anyone advise what I might be doing incorrectly? &lt;/p&gt;
&lt;p&gt;Thanks in advance :)&lt;/p&gt;
&lt;p&gt;Cheers
Sree&lt;/p&gt;
</t>
  </si>
  <si>
    <t xml:space="preserve">&lt;p&gt;I am developing the automation for salesforce, We are maintaining the code into ORG as well as in GIT.&lt;/p&gt;
&lt;p&gt;I am using Salesforce CLI, and the command used to generate code-coverage is "sfdx force:apex:test:run" which requires the code to be available in ORG.
We want the code-coverage task to be independent,
Is it possible to run the test classes locally? I got some reference on ANT tool but not sure if it will help.
I am fine with using some other programming tool as well.&lt;/p&gt;
</t>
  </si>
  <si>
    <t xml:space="preserve">&lt;p&gt;Has anyone had any joy in adding tooltips to the full calendar V4 when locker service is enabled on Salesforce?
You cannot use a 3rd party library as a proxy is returned instead of the element, so the eventRender documented method will not work.&lt;/p&gt;
&lt;pre&gt;&lt;code&gt;eventRender: function(info) {
var tooltip = new Tooltip(info.el, {
  title: info.event.extendedProps.description,
  placement: 'top',
  trigger: 'hover',
  container: 'body'
});
&lt;/code&gt;&lt;/pre&gt;
&lt;p&gt;}&lt;/p&gt;
&lt;p&gt;I have tried using the standard Salesforce helptext classes, but still with no joy.
I've tried setting the popover classes on the eventMouseEnter and eventRender but I constantly encounter the same message 'Cannot read property 'getElement' of undefined'&lt;/p&gt;
&lt;pre&gt;&lt;code&gt;eventMouseEnter: function(info){
           var tooltip = '&amp;lt;div aura:id="eleID" id="eventTooltip" class="slds-popover slds-popover_tooltip slds-nubbin_bottom-left" role="tooltip" style="position:absolute;top:-4px;left:35px"&amp;gt;' +  
                '&amp;lt;div class="slds-popover__body"&amp;gt;' + info.event.title + '&amp;lt;/div&amp;gt;' +
                '&amp;lt;/div&amp;gt;';
            console.log('Mouse entered = ' + info.event.title);
            **//Failing on the below line, with 'Cannot read property 'getElement' of 
            undefined**
            var myElement = component.find('eleID').getElement();
            console.log('My Element', myElement);
            info.el.setAttribute("aria-describedby","eventTooltip");
            info.el.parentNode.innerHTML += tooltipHtml;    
        }  
&lt;/code&gt;&lt;/pre&gt;
&lt;p&gt;Does anyone have any suggestions?
Many thanks&lt;/p&gt;
</t>
  </si>
  <si>
    <t xml:space="preserve">&lt;p&gt;I am testing Salesforce Lightning pages on Chrome using Selenium Webdriver code that's in a C# NUnit project in Visual Studio 2019. I get the Login page every time I run a test.
&lt;a href="https://i.stack.imgur.com/7viT4.jpg" rel="nofollow noreferrer"&gt;&lt;img src="https://i.stack.imgur.com/7viT4.jpg" alt="enter image description here"&gt;&lt;/a&gt;&lt;/p&gt;
&lt;p&gt;I used to get the Verification page after the login page but after I added the IP address of the Chrome browser to the list of trusted addresses  as recommended here, 
&lt;a href="https://stackoverflow.com/questions/55590030/how-to-automate-the-salesforce-login-otp-feature-using-selenium-webdriver"&gt;How to Automate the salesforce login OTP feature using selenium WebDriver?&lt;/a&gt;
the verification page is not coming up anymore.&lt;/p&gt;
&lt;p&gt;When I test Salesforce using UFT or Selenium IDE, the login page never comes up.&lt;/p&gt;
&lt;p&gt;As can be seen in the attached image, I even have the "Remember Me" checkbox checked. &lt;/p&gt;
&lt;p&gt;How can I stop the login page from coming up when I am testing Salesforce Lightning using Selenium Webdriver?&lt;/p&gt;
&lt;p&gt;Also, how can Selenium recognize Javascript popups on the page like the Allow Notifications popup in the image below?&lt;/p&gt;
&lt;p&gt;&lt;a href="https://i.stack.imgur.com/Jl3mN.jpg" rel="nofollow noreferrer"&gt;&lt;img src="https://i.stack.imgur.com/Jl3mN.jpg" alt="enter image description here"&gt;&lt;/a&gt;&lt;/p&gt;
</t>
  </si>
  <si>
    <t xml:space="preserve">&lt;p&gt;I have an issue with iframe loading the PowerApps form. The PowerApps Form has fixed heigth and width due to some reason so I want to adjust to fit the content alone in iframe.&lt;/p&gt;
&lt;p&gt;For Eg. Below content is rendered in iframe from the powerApps form and I want to reduce the below space through and query. Can you please help me.&lt;/p&gt;
&lt;p&gt;&lt;a href="https://i.stack.imgur.com/Rm3sO.png" rel="nofollow noreferrer"&gt;&lt;img src="https://i.stack.imgur.com/Rm3sO.png" alt="enter image description here"&gt;&lt;/a&gt;&lt;/p&gt;
</t>
  </si>
  <si>
    <t xml:space="preserve">&lt;p&gt;I want to create a PowerApp to display my Cosmos DB Data in a pretty way and to edit some data to send it back to the Cosmos.&lt;/p&gt;
&lt;p&gt;To get the data I use a Logic Flow. It's triggered by an PowerApp event. Afterwards I do a 'Query document V2' call and with the 'response' I want to parse it to a json:&lt;/p&gt;
&lt;p&gt;&lt;img src="https://i.stack.imgur.com/aavKl.png" alt="enter image description here"&gt; &lt;/p&gt;
&lt;p&gt;When I now try to add this flow to a button in my app, this error appears:&lt;/p&gt;
&lt;p&gt;&lt;img src="https://i.stack.imgur.com/RXiLw.png" alt="enter image description here"&gt;&lt;/p&gt;
&lt;p&gt;Is this error ocurred to someone before or have somebody another solution for my problem?&lt;/p&gt;
&lt;p&gt;Thank you already and stay healthy!&lt;/p&gt;
&lt;p&gt;With best regards
Nicolas&lt;/p&gt;
</t>
  </si>
  <si>
    <t xml:space="preserve">&lt;p&gt;&lt;a href="https://i.stack.imgur.com/EsyYb.png" rel="nofollow noreferrer"&gt;Data Image Example from Code Below&lt;/a&gt;&lt;/p&gt;
&lt;p&gt;What I am trying to do is create a pie chart to show all the expenses in a company with a final slice showing the profit (Revenue - Expenses)&lt;/p&gt;
&lt;p&gt;I have managed to get the data via a query (as per below) which shows me 3 columns, revenue, expenses and profit.&lt;/p&gt;
&lt;p&gt;What I want to do now is to merge the expenses and profit column into one so that I can create a pie chart off the data.  It might be worth noting I am using this in Zoho Analytics and therefore might be restricted but hopefully not.&lt;/p&gt;
&lt;p&gt;The data is being pulled from Xero (accounting software) and working from the structure of the table data.&lt;/p&gt;
&lt;p&gt;Add all the expenses together, and add the profit which I am currently getting the data from another column per the logic below.&lt;/p&gt;
&lt;pre&gt;&lt;code&gt;SELECT
accountTb."Reporting CodeName" as RepName,
round(ABS((journalTbRevenue."Net Amount")), 2) as Revenue,
round((journalTb."Net Amount"), 2) as Expense,
if(accountTb."Reporting CodeName"  = 'Revenue', round(ABS((journalTbRevenue."Net Amount")), 2), round((journalTb."Net Amount"), 2) * -1) as profit,
if(date(journalTbRevenue."Journal Date")  != '', date(journalTbRevenue."Journal Date"), date(journalTb."Journal Date")) as refDate
FROM  "Accounts (Xero-XXXXX Limited)" AS  accountTb
LEFT JOIN "Journals (Xero-XXXXX Limited)" AS  journalTbRevenue ON accountTb."Account ID"  = journalTbRevenue."Account ID"
AND journalTbRevenue."Account Class"  = 'REVENUE'
     AND    round(decimal(journalTbRevenue."Net Amount"))  != 0 
LEFT JOIN "Journals (Xero-XXXXX Limited)" AS  journalTb ON accountTb."Account ID"  = journalTb."Account ID"
     AND    journalTb."Account Class"  = 'EXPENSE'
AND round(decimal(journalTb."Net Amount"))  != 0  
WHERE    (journalTb."Account Class"  in ( 'EXPENSE'  )
 OR journalTbRevenue."Account Class"  in ( 'REVENUE'  ))
&lt;/code&gt;&lt;/pre&gt;
</t>
  </si>
  <si>
    <t xml:space="preserve">&lt;p&gt;I am working on cordova plugin , I have achieved functionality in native as well as cordova hybrid app for Android in Outsystems.
But When i am trying to generate build from Outsystems for iOS and installing application in iOS ,app gets crash .&lt;/p&gt;
&lt;p&gt;&lt;strong&gt;Native Code Link :&lt;/strong&gt; &lt;a href="https://drive.google.com/drive/folders/1kZrb80_sOdDytx34TPhH8MuSMX0ONyjA" rel="nofollow noreferrer"&gt;https://drive.google.com/drive/folders/1kZrb80_sOdDytx34TPhH8MuSMX0ONyjA&lt;/a&gt;   (Working)&lt;/p&gt;
&lt;p&gt;&lt;strong&gt;Hybrid Code Link :&lt;/strong&gt; &lt;a href="https://drive.google.com/drive/folders/1dgUMzBNnZJxQ9bb28hUoI5Czm2K8VpDH" rel="nofollow noreferrer"&gt;https://drive.google.com/drive/folders/1dgUMzBNnZJxQ9bb28hUoI5Czm2K8VpDH&lt;/a&gt;  (Working)&lt;/p&gt;
&lt;p&gt;&lt;strong&gt;Cordova Plugin Code Link :&lt;/strong&gt; &lt;a href="https://github.com/vviek/cordova-idnow-ios" rel="nofollow noreferrer"&gt;https://github.com/vviek/cordova-idnow-ios&lt;/a&gt; (Not Working with Outsystems)&lt;/p&gt;
&lt;p&gt;Can anyone tell me what i am doing wrong in plugin .&lt;/p&gt;
</t>
  </si>
  <si>
    <t xml:space="preserve">&lt;p&gt;I am trying to create a patient record in salesforce health cloud. I have connected to a salesforce developer account and I have been able to insert and fetch sample records and accounts using the workbench. But I couldn't find a patient resource to insert patient data to. Any help is appreciated.&lt;/p&gt;
</t>
  </si>
  <si>
    <t xml:space="preserve">&lt;p&gt;How do I get the PptxGenJS library to work in an outsystems reactive web app?
It works fine on a traditional web app but not on reactive?&lt;/p&gt;
&lt;p&gt;&lt;a href="https://gitbrent.github.io/PptxGenJS/docs/installation.html" rel="nofollow noreferrer"&gt;https://gitbrent.github.io/PptxGenJS/docs/installation.html&lt;/a&gt;&lt;/p&gt;
</t>
  </si>
  <si>
    <t xml:space="preserve">&lt;p&gt;I have a flow that stores a photo to sharepoint and then passes the url for this image to Face API preview connector in flow.&lt;/p&gt;
&lt;p&gt;I currently get a "forbidden" error, which makes sense as the face api does not have access to the sharepoint location.&lt;/p&gt;
&lt;p&gt;How do i grant the face api access to a sharepoint location to see all files in a folder?&lt;/p&gt;
</t>
  </si>
  <si>
    <t xml:space="preserve">&lt;p&gt;We are trying to integrate Uber cabs with Salesforce. I searched Appexchange but couldn't find any component from Uber to integrate to Salesforce.
Can you please share your guidance if there is any component from Uber to integrate in Salesforce lightning?
Also please let me know if you have implemented similar application for requesting , tracking, and confirming rides from Salesforce for Uber cabs, where Salesforce users and Contacts can book their rides from Salesforce application itself.
Request guidance or help from any person experienced in this.&lt;/p&gt;
&lt;p&gt;Thanks&lt;/p&gt;
</t>
  </si>
  <si>
    <t xml:space="preserve">&lt;p&gt;I have 2 custom object.&lt;/p&gt;
&lt;pre&gt;&lt;code&gt;1 - namespace__object1__c
2 - namespace__object2__c
&lt;/code&gt;&lt;/pre&gt;
&lt;p&gt;I have lookup relationship in custom object namespace__object2__c.&lt;/p&gt;
&lt;p&gt;Now i want to query id record from object2 where object1 id = (provided parameter) &lt;/p&gt;
&lt;pre&gt;&lt;code&gt;String s = 'a6T3k0000LMJcEAO';
string query = 'select ID, (select ID from namespace__object1__c where ID = :s  ) from namespace__object2__c';
SObject rObject = database.query(query);
system.debug(rObject);
&lt;/code&gt;&lt;/pre&gt;
</t>
  </si>
  <si>
    <t xml:space="preserve">&lt;p&gt;I have installed node.js and npm...but ater the installation occurs , windows powershell (administrator)did not came and  its not opening up and showing the running things.so while im running the command npm install -g WebPlatformForEmbedded/Lightning-CLI ,error logs are as follows:&lt;/p&gt;
&lt;p&gt;0 info it worked if it ends with ok
1 verbose cli [
1 verbose cli   'C:\Program Files\nodejs\node.exe',
1 verbose cli   'C:\Users\Gopika\AppData\Roaming\npm\node_modules\npm\bin\npm-cli.js',
1 verbose cli   'install',
1 verbose cli   '-g',
1 verbose cli   'WebPlatformForEmbedded/Lightning-CLI'
1 verbose cli ]
2 info using npm@6.14.5
3 info using node@v12.16.3
4 verbose npm-session 0f0e492655ef487d
5 silly install loadCurrentTree
6 silly install readGlobalPackageData
7 silly fetchPackageMetaData error for github:WebPlatformForEmbedded/Lightning-CLI Error while executing:
7 silly fetchPackageMetaData undefined ls-remote -h -t ssh://git@github.com/WebPlatformForEmbedded/Lightning-CLI.git
7 silly fetchPackageMetaData
7 silly fetchPackageMetaData
7 silly fetchPackageMetaData spawn git ENOENT
8 timing stage:rollbackFailedOptional Completed in 2ms
9 timing stage:runTopLevelLifecycles Completed in 485ms
10 verbose stack Error: spawn git ENOENT
10 verbose stack     at Process.ChildProcess._handle.onexit (internal/child_process.js:267:19)
10 verbose stack     at onErrorNT (internal/child_process.js:469:16)
10 verbose stack     at processTicksAndRejections (internal/process/task_queues.js:84:21)
11 verbose cwd C:\Users\Gopika
12 verbose Windows_NT 10.0.18362
13 verbose argv "C:\Program Files\nodejs\node.exe" "C:\Users\Gopika\AppData\Roaming\npm\node_modules\npm\bin\npm-cli.js" "install" "-g" "WebPlatformForEmbedded/Lightning-CLI"
14 verbose node v12.16.3
15 verbose npm  v6.14.5
16 error code ENOENT
17 error syscall spawn git
18 error path git
19 error errno ENOENT
20 error enoent Error while executing:
20 error enoent undefined ls-remote -h -t ssh://git@github.com/WebPlatformForEmbedded/Lightning-CLI.git
20 error enoent
20 error enoent
20 error enoent spawn git ENOENT
21 error enoent This is related to npm not being able to find a file.
22 verbose exit [ 1, true ]&lt;/p&gt;
&lt;p&gt;What can be done to make this lightning CLI work on my computer ...i have already tried reinstalling it..&lt;/p&gt;
</t>
  </si>
  <si>
    <t xml:space="preserve">&lt;p&gt;I am trying to cover my class with below code..unable to increasing coverage. 
 in class Line no. 26-37 and 50-67 are not getting covered.
someone please help me out.&lt;/p&gt;
&lt;p&gt;Class--&lt;/p&gt;
&lt;p&gt;public class UploadAttachmentController {&lt;/p&gt;
&lt;pre&gt;&lt;code&gt;public String selectedType {get;set;}
public Boolean selectedAwesomeness {get;set;}
public String description {get;set;}
private Opportunity opportunity {get;set;} 
public String fileName {get;set;}
public Blob fileBody {get;set;}
public UploadAttachmentController(ApexPages.StandardController controller) { 
    this.Opportunity = (Opportunity )controller.getRecord();
}   
// creates a new Opportunity_Attachment__c record
private Database.SaveResult saveCustomAttachment() {
    Opportunity_Attachment__c obj = new Opportunity_Attachment__c();
    obj.Opportunity__c= Opportunity.Id; 
    obj.description__c = description;
    obj.type__c = selectedType;
    obj.awesome__c = selectedAwesomeness;
    // fill out cust obj fields
    return Database.insert(obj);
}
// create an actual Attachment record with the Opportunity_Attachment__c as parent
private Database.SaveResult saveStandardAttachment(Id parentId) {
    Database.SaveResult result;
    Attachment attachment = new Attachment();
    attachment.body = this.fileBody;
    attachment.name = this.fileName;
    attachment.parentId = parentId;
    // inser the attahcment
    result = Database.insert(attachment);
    // reset the file for the view state
    fileBody = Blob.valueOf(' ');
    return result;
}
/**
* Upload process is:
*  1. Insert new Opportunity_Attachment__c record
*  2. Insert new Attachment with the new Opportunity_Attachment__c record as parent
*  3. Update the Opportunity_Attachment__c record with the ID of the new Attachment
**/
public PageReference processUpload() {
    try {
        Database.SaveResult customAttachmentResult = saveCustomAttachment();
        if (customAttachmentResult == null || !customAttachmentResult.isSuccess()) {
            ApexPages.AddMessage(new ApexPages.Message(ApexPages.Severity.ERROR, 
              'Could not save attachment.'));
            return null;
        }
        Database.SaveResult attachmentResult = saveStandardAttachment(customAttachmentResult.getId());
        if (attachmentResult == null || !attachmentResult.isSuccess()) {
            ApexPages.AddMessage(new ApexPages.Message(ApexPages.Severity.ERROR, 
              'Could not save attachment.'));            
            return null;
        } else {
            // update the custom attachment record with some attachment info
            Opportunity_Attachment__c customAttachment = [select id from opportunity_Attachment__c where id = :customAttachmentResult.getId()];
            customAttachment.name = this.fileName;
            customAttachment.Attachment__c = attachmentResult.getId();
            update customAttachment;
        }
    } catch (Exception e) {
        ApexPages.AddMessages(e);
        return null;
    }
    return new PageReference('/'+opportunity.Id);
}
public PageReference back() {
 PageReference pgRef = new PageReference('/'+ this.opportunity.Id);
 pgRef.setRedirect(true);
  return pgRef;
    //return new PageReference('/'+opportunity.Id);
}     
&lt;/code&gt;&lt;/pre&gt;
&lt;p&gt;}&lt;/p&gt;
&lt;p&gt;Test Class---&lt;/p&gt;
&lt;p&gt;@isTest
private class UploadAttachmentControllerClass {&lt;/p&gt;
&lt;p&gt;static testMethod void MyController() {&lt;/p&gt;
&lt;pre&gt;&lt;code&gt;    PageReference pageRef = new PageReference('/apex/UploadAttachment?id=');
    //PageReference pageRef = Page.UploadAttachment;
    //Test.setCurrentPage(pageRef);
    // Create new instance of a Opportunity
    Opportunity Opps = new Opportunity(Name = 'Test Opportunity',CloseDate = system.Today(),StageName = 'Prospecting',Probability= 10);
    insert Opps;
   //Opportunity_Attachment__c oppAtt = New Opportunity_Attachment__c (Name='package.xml',Attachment__c='00P6F000032l5jTUAQ',);
    // Adds the id of the inserted project to the page
    ApexPages.currentPage().getParameters().put('Id', Opps.Id);
    // Create instance of controller
    UploadAttachmentController controller = new UploadAttachmentController(new ApexPages.StandardController(Opps));
    UploadAttachmentController nullController = new UploadAttachmentController(new ApexPages.StandardController(Opps));
    // Set test fields for controller
    controller.description = 'Test Description';
    controller.fileName = 'TestName.txt';
    controller.fileBody = Blob.valueOf(' ');
   // controller.Opportunity__c = Opps.Id;
    // Set test fields for the null controller
    nullController.description = null;
    nullController.fileName = null;
    nullController.fileBody = null;
   // nullController.Opportunity__c = null; 
   controller.processUpload();
    // Test that processing an upload works as expected and then returns you to the original page
    System.assert(true, new PageReference('/' +Opps.Id) == controller.processUpload());
    // Test that processing an upload on null fields returns null
    System.assert(true, null == nullController.processUpload());
    // Test that the back button works as expected
    System.assert(true, new PageReference('/' +Opps.Id) == controller.back());
}
&lt;/code&gt;&lt;/pre&gt;
&lt;p&gt;}&lt;/p&gt;
</t>
  </si>
  <si>
    <t xml:space="preserve">&lt;p&gt;I have a data extension named 'Test-Name' which has an attribute of 'NAME' and it has a record of 'HARVS'.&lt;/p&gt;
&lt;p&gt;I have created a cloud page and I want the record of 'HARVS' to show on the smart capture form as a default value.&lt;/p&gt;
&lt;p&gt;Things I did:&lt;/p&gt;
&lt;p&gt;*Created a smart capture form and selected 'Test-Name' as a data extension. On the input code, I placed this value &lt;code&gt;%%=v(@NAME)=%%&lt;/code&gt;.&lt;/p&gt;
&lt;p&gt;*Above the smart capture form I placed this:&lt;/p&gt;
&lt;pre&gt;&lt;code&gt;%%[
Var @NAME
Set @NAME = NAME
]%%
&lt;/code&gt;&lt;/pre&gt;
&lt;p&gt;After doing a save and published the page is not running and going to an error screen.&lt;/p&gt;
&lt;p&gt;Hope you can help me on this.&lt;/p&gt;
&lt;p&gt;Note: This is not an email but a cloud page&lt;/p&gt;
&lt;p&gt;Thanks&lt;/p&gt;
</t>
  </si>
  <si>
    <t xml:space="preserve">&lt;p&gt;By default Lightning for outlook add-in storing the default values like&lt;/p&gt;
&lt;pre&gt;&lt;code&gt;&amp;lt;OfficeApp xmlns="http://schemas.microsoft.com/office/appforoffice/1.1" xmlns:xsi="http://www.w3.org/2001/XMLSchema-instance" xsi:type="MailApp"&amp;gt;
  &amp;lt;Id&amp;gt;47232a61-61ee-4318-80f8-82568651aa9f&amp;lt;/Id&amp;gt;
  &amp;lt;Version&amp;gt;1.216.0.1&amp;lt;/Version&amp;gt;
  &amp;lt;ProviderName&amp;gt;Salesforce&amp;lt;/ProviderName&amp;gt;
  &amp;lt;DefaultLocale&amp;gt;en-US&amp;lt;/DefaultLocale&amp;gt;
  &amp;lt;DisplayName DefaultValue="Salesforce" /&amp;gt;
  &amp;lt;Description DefaultValue="Work with Salesforce records directly in your email application with the Outlook integration." /&amp;gt;
  &amp;lt;IconUrl DefaultValue="https://mailapp.force.com/img/clients/mailapp/salesforce64.png" /&amp;gt;
  &amp;lt;HighResolutionIconUrl DefaultValue="https://mailapp.force.com/img/clients/mailapp/salesforce128.png" /&amp;gt;
  &amp;lt;SupportUrl DefaultValue="https://www.salesforce.com/" /&amp;gt;
  &amp;lt;AppDomains&amp;gt;
    &amp;lt;!-- mailapp domains --&amp;gt;
    &amp;lt;AppDomain&amp;gt;https://mailapp.force.com&amp;lt;/AppDomain&amp;gt;
    &amp;lt;AppDomain&amp;gt;https://test-mailapp.force.com&amp;lt;/AppDomain&amp;gt;
    &amp;lt;!-- o365 oauth domains --&amp;gt;
    &amp;lt;AppDomain&amp;gt;https://login.microsoftonline.com&amp;lt;/AppDomain&amp;gt;
    &amp;lt;AppDomain&amp;gt;https://login.windows.net&amp;lt;/AppDomain&amp;gt;
  &amp;lt;/AppDomains&amp;gt;
      &amp;lt;DesktopSettings&amp;gt;
        &amp;lt;SourceLocation DefaultValue="https://mailapp.force.com/clients/mailapp/activation" /&amp;gt;
        &amp;lt;RequestedHeight&amp;gt;400&amp;lt;/RequestedHeight&amp;gt;
      &amp;lt;/DesktopSettings&amp;gt;
    &amp;lt;/Form&amp;gt;
&lt;/code&gt;&lt;/pre&gt;
&lt;p&gt;We need to change the default values with my URL like "&lt;a href="https://myforce.com/clients/mailapp/activation" rel="nofollow noreferrer"&gt;https://myforce.com/clients/mailapp/activation&lt;/a&gt;"&lt;/p&gt;
&lt;p&gt;Please help me with this.&lt;/p&gt;
</t>
  </si>
  <si>
    <t xml:space="preserve">&lt;p&gt;I'm having an issue of data flow between three separate applications: PowerApps, Power Automate, and SQL Server. &lt;/p&gt;
&lt;p&gt;We utilize PowerApps on our production floor as a way to gather data and write back to our SQL server. I've been using the PATCH() command within PowerApps but that has proven unreliable. Sometimes it won't patch all of the data, sometimes it won't patch at all. &lt;/p&gt;
&lt;p&gt;Since then, I've switched over to calling a Flow (Power Automate) from PowerApps which, in turn, executes a stored procedure using the PowerApps data as inputs. There is a button to get into a specific order in PowerApps which has the following code: &lt;code&gt;UpdateContext({OrderSelect: ThisItem});&lt;/code&gt; From there, once the "start button" is clicked, this code is ran: &lt;code&gt;BoomsBuildStart.Run(OrderSelect.ID, "Started", 'Operator Value'.SelectedText.Value, Now());&lt;/code&gt;&lt;/p&gt;
&lt;p&gt;The &lt;code&gt;BoomsBuildStart&lt;/code&gt; procedure is very simple and is shown below:&lt;/p&gt;
&lt;pre&gt;&lt;code&gt;UPDATE [Booms DBS]
SET Status = 'Started', Operator = @operator, StartTime = @starttime
WHERE ID = @buildID
&lt;/code&gt;&lt;/pre&gt;
&lt;p&gt;The variables &lt;code&gt;@operator&lt;/code&gt;, &lt;code&gt;@starttime&lt;/code&gt;, and &lt;code&gt;@buildID&lt;/code&gt; come from the PowerApps. It seems like sometimes the flow does not run at all. It's been hard to determine whether the flow even fires or not since we have so many production operators using this at once for different builds. Could the volume of flows be impacting the success rate of firing? Has anyone else encountered this issue where a flow will not be triggered from a PowerApp?&lt;/p&gt;
&lt;p&gt;I'd also love to hear if anyone has implemented a different solution on how I can write to a SQL server from PowerApps without fail. These failures are seriously hindering data collection on our shop floor.&lt;/p&gt;
</t>
  </si>
  <si>
    <t xml:space="preserve">&lt;p&gt;I guess this is a 2-part question.&lt;/p&gt;
&lt;p&gt;I am using Postman to test the connected app I set up in a Salesforce sandbox environment. Should I be sending the request to &lt;a href="https://login.salesforce.com/services/oauth2/token" rel="nofollow noreferrer"&gt;https://login.salesforce.com/services/oauth2/token&lt;/a&gt; or &lt;a href="https://xxx--partial.lightning.force.com/services/oauth2/token" rel="nofollow noreferrer"&gt;https://xxx--partial.lightning.force.com/services/oauth2/token&lt;/a&gt;", which is our sandbox?&lt;/p&gt;
&lt;p&gt;When I send the request to &lt;a href="https://login.salesforce.com/services/oauth2/token" rel="nofollow noreferrer"&gt;https://login.salesforce.com/services/oauth2/token&lt;/a&gt; I receive an "Invalid_grant" error with a description of "authentication failure". If I change the url to "&lt;a href="https://xxx--partial.lightning.force.com/services/oauth2/token" rel="nofollow noreferrer"&gt;https://xxx--partial.lightning.force.com/services/oauth2/token&lt;/a&gt;", which is our sandbox, I get an "invalid_request" error with a description of "must use HTTP POST". Here is the url with parameters: &lt;a href="https://xxx--partial.lightning.force.com/services/oauth2/token?grant_type=password&amp;amp;client_id=clientIdHere" rel="nofollow noreferrer"&gt;https://xxx--partial.lightning.force.com/services/oauth2/token?grant_type=password&amp;amp;client_id=clientIdHere&lt;/a&gt; &amp;amp;client_secret=clientSecretHere&amp;amp;username=myEmailAddress&amp;amp;password=myPassword&amp;amp;Content-Type=application/x-www-form-urlencoded&lt;/p&gt;
&lt;p&gt;Any help is greatly appreciated.&lt;/p&gt;
&lt;p&gt;Also posted here : &lt;a href="https://salesforce.stackexchange.com/questions/307644/what-is-the-authorization-url-if-authorizing-against-a-sandbox-environment"&gt;https://salesforce.stackexchange.com/questions/307644/what-is-the-authorization-url-if-authorizing-against-a-sandbox-environment&lt;/a&gt;&lt;/p&gt;
</t>
  </si>
  <si>
    <t xml:space="preserve">&lt;p&gt;I managed to Get Records from Sales force in Logic App (Sales Force connector).
However i am not able to get the referenced objects (for. eg. Account:Name...) in that record.&lt;/p&gt;
&lt;p&gt;I read that it can be done in loops, after getting a particular record.
is there any other elegant option ?&lt;/p&gt;
&lt;p&gt;Thanks
Prabath&lt;/p&gt;
</t>
  </si>
  <si>
    <t xml:space="preserve">&lt;p&gt;I am trying to show or hide fields and their identifying static field based on if the field in Salesforce is blank or not. My IF statment is shown below:&lt;/p&gt;
&lt;pre&gt;&lt;code&gt;`{{ IF {{OPPORTUNITY_LINEITEM_CREATIVE_SIZES}} &amp;lt;&amp;gt; “” “Creative Sizes: {{OPPORTUNITY_LINEITEM_CREATIVE_SIZES}}” “” }}`
&lt;/code&gt;&lt;/pre&gt;
&lt;p&gt;&lt;a href="https://i.stack.imgur.com/h5oY5.png" rel="nofollow noreferrer"&gt;Image of what the entire block looks like.&lt;/a&gt;&lt;/p&gt;
&lt;p&gt;Unfortunately even if the "Creative Sizes" field is blank it will still pull in the bolded static text identifier. Please help! I've been trying different things for almost 4 hours now and I'm going insane!&lt;/p&gt;
</t>
  </si>
  <si>
    <t xml:space="preserve">&lt;p&gt;Could you please guide me how to make the wrapper class object reactive in LWC js. &lt;/p&gt;
&lt;p&gt;I believe that @track properties are reactive but when I change the value of any property in &lt;code&gt;this.coreAttributes&lt;/code&gt; js object, its not reflective in on &lt;code&gt;Save&lt;/code&gt; button click&lt;/p&gt;
&lt;p&gt;&lt;strong&gt;Js, Apex, Html file are given below&lt;/strong&gt;&lt;/p&gt;
&lt;pre&gt;&lt;code&gt;
    import { LightningElement, track, api } from "lwc";
    import queryCoreAttributes from "@salesforce/apex/P1PlantInfoPromptSolar.queryCoreAttributes";
    export default class P1PlantInfoPromptSolar extends LightningElement {
    @track coreAttributes;
    connectedCallback() {
        queryCoreAttributes()
        .then(result =&amp;gt; {
          this.coreAttributes = JSON.parse(result);
        }) 
        .catch({
        });
        this.promptSpecificAttributes = {
          noOfBlocks:"",
          flatHierarchy:false,
          drivePlus:false
        };
      }
    saveP1PlantInfoPromptMetadataHandler(){
        console.log(' prompt specific att -&amp;gt; '+ JSON.stringify(this.coreAttributes));
      }
    }```
    -----------------------------------------------------------------------------------------
    **HTML file**
    ```&amp;lt;template for:each={coreAttributes} for:item="coreAttribute"&amp;gt;
                  &amp;lt;tr key={coreAttribute.key}&amp;gt;
                    &amp;lt;th&amp;gt;{coreAttribute.attributeHeader}&amp;lt;/th&amp;gt;
                    &amp;lt;td&amp;gt;
                      &amp;lt;template if:false={coreAttribute.isPicklist}&amp;gt;
                        &amp;lt;input type={coreAttribute.attributeDataType} name={coreAttribute.attributeHeader}
                         value={coreAttribute.attributeValue}/&amp;gt;
                      &amp;lt;/template&amp;gt;
                      &amp;lt;template if:true={coreAttribute.isPicklist}&amp;gt;
                        &amp;lt;select size="1" name={coreAttribute.attributeHeader}&amp;gt;
                          &amp;lt;option value="None"&amp;gt;--None--&amp;lt;/option&amp;gt;
                          &amp;lt;template for:each={coreAttribute.picklistValues} for:item="attributePickValues"&amp;gt;
                            &amp;lt;option key={coreAttribute.key} value={coreAttribute.attributeValue}&amp;gt;{attributePickValues}&amp;lt;/option&amp;gt;
                          &amp;lt;/template&amp;gt;
                        &amp;lt;/select&amp;gt;
                      &amp;lt;/template&amp;gt;
                    &amp;lt;/td&amp;gt;
                  &amp;lt;/tr&amp;gt;
    &amp;lt;lightning-button
            class="slds-m-left_small"
            variant="brand"
            label="Save"
            title="Save"
            onclick={saveP1PlantInfoPromptMetadataHandler}
          &amp;gt;&amp;lt;/lightning-button&amp;gt;
                &amp;lt;/template&amp;gt;```
    ---------------------------------------------------------------------------------------------------------
    Apex class
    ```public with sharing class P1PlantInfoPromptSolar {
    @AuraEnabled(cacheable=true)
        public static String queryCoreAttributes() {
            List&amp;lt;Core_Attribute__c&amp;gt; coreAttributesList = new List&amp;lt;Core_Attribute__c&amp;gt;();
            Map&amp;lt;Id,Set&amp;lt;String&amp;gt;&amp;gt; picklistValuesToPicklistMasterMap = new Map&amp;lt;Id,Set&amp;lt;String&amp;gt;&amp;gt;();
            coreAttributesList = [SELECT Id, Name, Data_Type__c, Type__c, Picklist_Master__c 
                FROM Core_Attribute__c WHERE Base_Asset_Name__c IN (SELECT Id FROM Base_Asset_Template__c WHERE Name = 'Base PV Plant') 
                ORDER BY Name ASC];
            picklistValuesToPicklistMasterMap = Utils.getPicklistValues(); 
            System.debug(' picklistValuesToPicklistMasterMap '+ picklistValuesToPicklistMasterMap);
            List&amp;lt;coreAttributesWrapper&amp;gt; coreAttributesWrapperList = new List&amp;lt;coreAttributesWrapper&amp;gt;();
            for(Core_Attribute__c coreAttribute : coreAttributesList){
                coreAttributesWrapper coreAttWrapper = new coreAttributesWrapper();
                coreAttWrapper.attributeHeader = coreAttribute.Name;
                coreAttWrapper.attributeDataType = coreAttribute.Data_Type__c.toLowerCase();
                coreAttWrapper.picklistValues = (coreAttribute.Data_Type__c == 'Picklist') ? picklistValuesToPicklistMasterMap.get(coreAttribute.Picklist_Master__c): null;
                coreAttWrapper.isPicklist = (coreAttribute.Data_Type__c == 'Picklist');
                coreAttWrapper.attributeValue = '';
                coreAttributesWrapperList.add(coreAttWrapper);
            }
            System.debug(' core Att '+ coreAttributesWrapperList);
            return JSON.serialize(coreAttributesWrapperList);
        }
        public class coreAttributesWrapper{
            public String attributeHeader;
            public String attributeDataType;
            public Set&amp;lt;String&amp;gt; picklistValues;
            public boolean isPicklist;
            public String attributeValue;
        }
    }```
&lt;/code&gt;&lt;/pre&gt;
</t>
  </si>
  <si>
    <t xml:space="preserve">&lt;p&gt;This works, this is the value of the BrowseGallery1 Items....&lt;/p&gt;
&lt;pre&gt;&lt;code&gt; SortByColumns(Filter([@'ExternalContacts'],
    StartsWith(Company.Value,SearchInput.Text)||SearchInput.Text in 'Display Name'),**"Title"**,
If(SortDescending1,Ascending,Descending))
&lt;/code&gt;&lt;/pre&gt;
&lt;p&gt;Instead of title, I want to sort by the value of the Company. Now, company is a &lt;strong&gt;lookup list&lt;/strong&gt; and in the filter I have to do a special entry of Company.Value for it to work... &lt;/p&gt;
&lt;p&gt;I really want to sortbycolumns "Company.Value" but everytime I do that, there's no data. I tried ...
simply ,Company, and ,"Company", and ,"Company.Value", and ,Company.Value, and every version produces no data. What am I doing wrong?&lt;/p&gt;
</t>
  </si>
  <si>
    <t xml:space="preserve">&lt;p&gt;I am sometimes engaged in content writing and I don't understand the differencce between PowerApps and Power Apps. I see most writers using 'PowerApps' while Microsoft uses 'Power Apps'. Which word is contextually correct?&lt;/p&gt;
</t>
  </si>
  <si>
    <t xml:space="preserve">&lt;p&gt;I am new to powerapps and building a powerapps to match a word document. So far so good, except i am having trouble where i have a large text field on one side and i have to fit multiple fields on right hand side like the picture below&lt;a href="https://i.stack.imgur.com/Z7BMr.png" rel="nofollow noreferrer"&gt;&lt;img src="https://i.stack.imgur.com/Z7BMr.png" alt="Picture with an example"&gt;&lt;/a&gt;&lt;/p&gt;
&lt;p&gt;whenever i try to fit multiple fields, the one single field takes as much space as the field on the left hand side. Even if you have some kind of link that explains it further on how to do it, i am happy with that&lt;/p&gt;
</t>
  </si>
  <si>
    <t xml:space="preserve">&lt;pre&gt;&lt;code&gt; public List&amp;lt;SelectOption&amp;gt; getYearList(){
    Integer year =  Date.Today().year();
    String s1=string.valueof(year).right(2);
    Integer Year1= Integer.valueof(s1);
    List&amp;lt;SelectOption&amp;gt; YearListOptions = new List&amp;lt;SelectOption&amp;gt;();
    YearListOptions .add(new SelectOption('','YY'));
    for(Integer i=Year1;i&amp;lt;=Year1+8;i++)
    {
       string j=string.valueof(i);
        YearListOptions .add(new SelectOption(j,j));
    }
    return YearListOptions ;
}
&lt;/code&gt;&lt;/pre&gt;
&lt;p&gt;I tried but Getting error like AuraEnabled methods do not support return type of List&lt;/p&gt;
</t>
  </si>
  <si>
    <t xml:space="preserve">&lt;p&gt;I have an interesting use case.&lt;/p&gt;
&lt;p&gt;I want to open a LWC component in a new tab in a Lightning Console App on-click of a link which is in another tab.&lt;/p&gt;
&lt;p&gt;Now, the obvious choice would be to try the Workspace api. But apparently it is not supported in Lighting Web component. &lt;/p&gt;
&lt;ol&gt;
&lt;li&gt;&lt;p&gt;And the link which we are clicking is placed in a LWC components which is again embedded in VF PAGE.&lt;/p&gt;&lt;/li&gt;
&lt;li&gt;&lt;p&gt;the component that we want to open in a new tab is Embedded in Lighting App.&lt;/p&gt;&lt;/li&gt;
&lt;/ol&gt;
&lt;p&gt;Final Question - When we click '1' Can we do '2' in a new Tab ? &lt;/p&gt;
&lt;p&gt;Any help would be appreciated.&lt;/p&gt;
&lt;p&gt;Thanks - S&lt;/p&gt;
</t>
  </si>
  <si>
    <t xml:space="preserve">&lt;p&gt;I have a Apex method which returns the list of wrapper class as JSON string&lt;/p&gt;
&lt;p&gt;having LWC js controller to call the method in &lt;code&gt;connnectedCallback()&lt;/code&gt; and the wrapper list is assigned to a property &lt;code&gt;this.coreAttributes&lt;/code&gt; which is show in &lt;code&gt;html&lt;/code&gt; page using basic html tags along with other property defined in LWC &lt;code&gt;noOfBlocks&lt;/code&gt;, &lt;code&gt;faltHierarchy&lt;/code&gt;, and one more. code given below. &lt;/p&gt;
&lt;p&gt;When I enter some value in &lt;code&gt;coreAttribute's&lt;/code&gt; related input filed and enter some value in &lt;code&gt;noOfBlocks&lt;/code&gt; input field, the value entered in the &lt;code&gt;coreAttribute&lt;/code&gt; related fields are gone. please check the attached gif and help me to resolve this.&lt;/p&gt;
&lt;p&gt;Image : &lt;a href="https://easyupload.io/g1h772" rel="nofollow noreferrer"&gt;https://easyupload.io/g1h772&lt;/a&gt;&lt;/p&gt;
&lt;pre&gt;&lt;code&gt;@AuraEnabled(cacheable=true)
    public static String queryCoreAttributes() {
        List&amp;lt;Core_Attribute__c&amp;gt; coreAttributesList = new List&amp;lt;Core_Attribute__c&amp;gt;();
        Map&amp;lt;Id,List&amp;lt;String&amp;gt;&amp;gt; picklistValuesToPicklistMasterMap = new Map&amp;lt;Id,List&amp;lt;String&amp;gt;&amp;gt;();
        coreAttributesList = [SELECT Id, Name, Data_Type__c, Type__c, Picklist_Master__c 
            FROM Core_Attribute__c WHERE Base_Asset_Name__c IN (SELECT Id FROM Base_Asset_Template__c WHERE Name = 'Base PV Plant') 
            ORDER BY Name ASC];
        picklistValuesToPicklistMasterMap = Utils.getPicklistValues(); 
        System.debug(' picklistValuesToPicklistMasterMap '+ picklistValuesToPicklistMasterMap);
        List&amp;lt;coreAttributesWrapper&amp;gt; coreAttributesWrapperList = new List&amp;lt;coreAttributesWrapper&amp;gt;();
        for(Core_Attribute__c coreAttribute : coreAttributesList){
            coreAttributesWrapper coreAttWrapper = new coreAttributesWrapper();
            coreAttWrapper.attributeHeader = coreAttribute.Name;
            coreAttWrapper.attributeDataType = coreAttribute.Data_Type__c.toLowerCase();
            coreAttWrapper.picklistValues = (coreAttribute.Data_Type__c == 'Picklist') ? picklistValuesToPicklistMasterMap.get(coreAttribute.Picklist_Master__c): null;
            coreAttWrapper.isPicklist = (coreAttribute.Data_Type__c == 'Picklist');
            coreAttWrapper.attributeValue = '';
            coreAttributesWrapperList.add(coreAttWrapper);
        }
        System.debug(' core Att '+ coreAttributesWrapperList);
        return JSON.serialize(coreAttributesWrapperList);
    }
&lt;/code&gt;&lt;/pre&gt;
&lt;p&gt;JS&lt;/p&gt;
&lt;pre&gt;&lt;code&gt;import { LightningElement, track, api } from "lwc";
import getPlantAssetRecord from "@salesforce/apex/P1PlantInfoPromptSolar.queryPlantAssetRecord";
import queryCoreAttributes from "@salesforce/apex/P1PlantInfoPromptSolar.queryCoreAttributes";
import saveP1PlantInfoPromptMetadata from "@salesforce/apex/P1PlantInfoPromptSolar.saveP1PlantInfoPromptMetadata";
export default class P1PlantInfoPromptSolar extends LightningElement {
  @api plantAssetId='';
  @track plantAssetDetail;
  @track coreAttributes;
  @track noOfBlocks='';
  @track flatHierarchy=false;
  @track drivePlus=false;
  @track promptSpecificAttributes;
connectedCallback() {
    console.log(' connected callback ');
    getPlantAssetRecord({
        recordId: 'a060p000001hGLxAAM',
    })
    .then(result =&amp;gt; {
      this.plantAssetDetail = result;
    })
    .catch(error =&amp;gt; {
      this.error = error;
    });
    queryCoreAttributes()
    .then(result =&amp;gt; {
      console.log(' result ' + result);
      console.log(' JSON result ' + JSON.parse(result));
      this.coreAttributes = JSON.parse(result);
    }) 
    .catch(error =&amp;gt; {
      this.error = error;
    });
  }
inputTagValueChangeHandler(event){
    console.log(' test '+ JSON.stringify(this.coreAttributes));
    console.log(' value -&amp;gt; '+ event.target.value + ' name -&amp;gt; ' + event.target.name);
    if(event.target.name === 'Blocks') this.noOfBlocks = event.target.value;
    if(event.target.name === 'Flat Hierarchy') this.flatHierarchy = event.target.value;
    if(event.target.name === 'Drive+') this.drivePlus = event.target.value; 
  }
&lt;/code&gt;&lt;/pre&gt;
&lt;p&gt;HTML&lt;/p&gt;
&lt;pre&gt;&lt;code&gt;
    &amp;lt;tr data-row="1"&amp;gt;
                  &amp;lt;th&amp;gt;# Blocks&amp;lt;/th&amp;gt;
                  &amp;lt;td&amp;gt;&amp;lt;input type="number" name="Blocks" 
                    value={noOfBlocks} onchange={inputTagValueChangeHandler}/&amp;gt;&amp;lt;/td&amp;gt;
                &amp;lt;/tr&amp;gt;
                &amp;lt;tr data-row="2"&amp;gt;
                  &amp;lt;th&amp;gt;Flat Hierarchy&amp;lt;/th&amp;gt;
                  &amp;lt;td&amp;gt;&amp;lt;input type="checkbox" name="Flat Hierarchy" 
                    value={flatHierarchy} onchange={inputTagValueChangeHandler}/&amp;gt;&amp;lt;/td&amp;gt;
                &amp;lt;/tr&amp;gt;
                &amp;lt;tr data-row="2"&amp;gt;
                  &amp;lt;th&amp;gt;Drive+&amp;lt;/th&amp;gt;
                  &amp;lt;td&amp;gt;&amp;lt;input type="checkbox" name="Drive+" 
                    value={drivePlus} onchange={inputTagValueChangeHandler}/&amp;gt;&amp;lt;/td&amp;gt;
                &amp;lt;/tr&amp;gt;
    &amp;lt;template for:each={coreAttributes} for:item="coreAttribute"&amp;gt;
                  &amp;lt;tr key={coreAttribute.key}&amp;gt;
                    &amp;lt;th&amp;gt;{coreAttribute.attributeHeader}&amp;lt;/th&amp;gt;
                    &amp;lt;td&amp;gt;
                      &amp;lt;template if:false={coreAttribute.isPicklist}&amp;gt;
                        &amp;lt;input type={coreAttribute.attributeDataType} name={coreAttribute.attributeHeader}
                         value={coreAttribute.attributeValue}/&amp;gt;
                      &amp;lt;/template&amp;gt;
                      &amp;lt;template if:true={coreAttribute.isPicklist}&amp;gt;
                        &amp;lt;select size="1" name={coreAttribute.attributeHeader}&amp;gt;
                          &amp;lt;option value="None"&amp;gt;--None--&amp;lt;/option&amp;gt;
                          &amp;lt;template for:each={coreAttribute.picklistValues} for:item="attributePickValues"&amp;gt;
                            &amp;lt;option key={coreAttribute.key} value={coreAttribute.attributeValue}&amp;gt;{attributePickValues}&amp;lt;/option&amp;gt;
                          &amp;lt;/template&amp;gt;
                        &amp;lt;/select&amp;gt;
                      &amp;lt;/template&amp;gt;
                    &amp;lt;/td&amp;gt;
                  &amp;lt;/tr&amp;gt;
                &amp;lt;/template&amp;gt;
&lt;/code&gt;&lt;/pre&gt;
</t>
  </si>
  <si>
    <t xml:space="preserve">&lt;p&gt;I have one List Screen in which my items have the ID in Sharepoint as a Subtitle. I want to search by all: Title, Subtitle and Body. The problem is that when I try to search by the ID everything goes blank.
I attach the formulas I used in case any of you can help me figure out how to solve it.&lt;/p&gt;
&lt;p&gt;&lt;strong&gt;Search(my_SP_List, TextSearchBox1.Text, "a", "b", "ID")&lt;/strong&gt;&lt;/p&gt;
&lt;p&gt;The thing is that when I have the formula like this &lt;strong&gt;Search(my_SP_List, TextSearchBox1.Text, "a", "b")&lt;/strong&gt; it works, but not with the ID from Sharepoint: &lt;/p&gt;
&lt;p&gt;Thank you very much for your time.&lt;/p&gt;
</t>
  </si>
  <si>
    <t xml:space="preserve">&lt;p&gt;I have the requirement to display map in Salesforce lightning. I have got the locations mapped in &lt;code&gt;lightning:map&lt;/code&gt;, and &lt;code&gt;onclick&lt;/code&gt; of the location icon a description appears. Here, I want a link inside the description of the location. The problem here is, it understands only HTML and Javascript but not salesforce lightning code. Here is a simple example:&lt;/p&gt;
&lt;pre&gt;&lt;code&gt;&amp;lt;aura:component&amp;gt;
    &amp;lt;!-- attributes --&amp;gt;
    &amp;lt;aura:attribute name="mapMarkers" type="Object"/&amp;gt;
    &amp;lt;aura:attribute name="center" type="Object" /&amp;gt;
    &amp;lt;aura:attribute name="markersTitle" type="String" /&amp;gt;
    &amp;lt;aura:attribute name="showFooter" type="Boolean" /&amp;gt;
    &amp;lt;aura:attribute name="selectedMarkerValue" type="String" default="SF1" /&amp;gt;
    &amp;lt;aura:handler name="init" value="{! this }" action="{! c.init }"/&amp;gt;
    &amp;lt;lightning:map
                   mapMarkers="{! v.mapMarkers }"
                   showFooter="{ !v.showFooter }" 
                   onmarkerselect="{!c.handleMarkerSelect}"
                   selectedMarkerValue="{!v.selectedMarkerValue}"
                   listView="hidden"
                   markersTitle="{! v.markersTitle }"&amp;gt;
    &amp;lt;/lightning:map&amp;gt;
&amp;lt;/aura:component&amp;gt;
&lt;/code&gt;&lt;/pre&gt;
&lt;p&gt;Controller:&lt;/p&gt;
&lt;pre&gt;&lt;code&gt;({
    init: function (cmp, event, helper) {
        cmp.set('v.mapMarkers', [{
            location: {
                Street: '415 Mission St',
                City: 'San Francisco',
                State: 'CA'
            },
            title: 'Salesforce Tower',
            description: 'San Francisco\'s tallest building&amp;lt;br&amp;gt;&amp;lt;b onclick="{!c.goToSomeComponent(cmp, event, helper)}"&amp;gt;Detail&amp;lt;/b&amp;gt;'
        }]);
        cmp.set('v.markersTitle', 'Salesforce locations in United States');
        cmp.set('v.showFooter', true);
    },
    handleMarkerSelect: function(component, event, helper) {
        var selectedAccountId = event.getParam("selectedMarkerValue");
    },
    goToSomeComponent: function(component, event, helper) {
        alert('Controler');
        // Navigate code 
    }   
});
&lt;/code&gt;&lt;/pre&gt;
&lt;p&gt;In the description, I have added bold tag onclick of it should call goToSomeComponent(). 
This gives me following error:&lt;/p&gt;
&lt;pre&gt;&lt;code&gt;Uncaught ReferenceError: c is not defined
    at HTMLElement.onclick (mapsloader?resource=primitiveMap&amp;amp;version=224:1)
onclick @ mapsloader?resource=primitiveMap&amp;amp;version=224:1
&lt;/code&gt;&lt;/pre&gt;
&lt;p&gt;What is the way to call the lightning controller methods from HTML/Javascript code?&lt;/p&gt;
&lt;p&gt;I'm fine if the entire description box has a click event instead adding a link inside the description. &lt;/p&gt;
</t>
  </si>
  <si>
    <t xml:space="preserve">&lt;p&gt;someone help me. I'm stuck with passing the value on onchange lightning select to flow builder.
I have a flow builder name '&lt;strong&gt;Get Selected Value&lt;/strong&gt;' with 1 Screen elements see attached image below.
&lt;a href="https://i.stack.imgur.com/BuWHg.png" rel="nofollow noreferrer"&gt;&lt;img src="https://i.stack.imgur.com/BuWHg.png" alt="enter image description here"&gt;&lt;/a&gt;
Inside of Screen I call my lightning component named 'SelectAccountComponent'. The values under lightning select are already placed dynamically, I pulled the record to display in the Select Box, I have this lightning controller &lt;strong&gt;onChangeValue&lt;/strong&gt;. Upon running it display the console log successfully.&lt;/p&gt;
&lt;pre&gt;&lt;code&gt;onChangeValue : function(component,event,helper){
  var acc= event.getSource().get("v.value");
  var flow = component.find('flowData');
  component.set('v.selectedAccount',acc);
  console.log('acc: ' + acc);
}
&lt;/code&gt;&lt;/pre&gt;
&lt;p&gt;My Goal is I want to pass the selectedAccount to my flow builder and get the value to my custom Apex Code after hitting the finish button.&lt;/p&gt;
&lt;p&gt;Any Suggestion how will I do that?&lt;/p&gt;
</t>
  </si>
  <si>
    <t xml:space="preserve">&lt;p&gt;I'm developing a PowerApp that connects to a SQL DB. I'm trying to follow good software practice and have separate dev, test, and production environments. Following Microsoft advice I've developed in a solution and will use the solution as the unit of deployment. I've set up different DBs in dev, test, and production. I've created my PowerApp in dev and connected to the dev SQL DB. I've exported my solution as &lt;em&gt;managed&lt;/em&gt; from dev. I've then imported my solution into test. The imported solution tells me I have to edit my app to add the connection back in. How do I do this to connect to the test environment DB?&lt;/p&gt;
</t>
  </si>
  <si>
    <t xml:space="preserve">&lt;p&gt;Hi again dear stackoverflowers!&lt;/p&gt;
&lt;p&gt;I have one column in Sharepoint for an ID number (say that the number is 29) and another column that for that ID holds different subIDs (29.1, 29.2, 29.3, etc.). &lt;/p&gt;
&lt;p&gt;What I need is that my PowerApp looks up into the Sharepoint list and takes the maximum subID number associated with the ID given, and automatically sums 0.1, because I do not want people to introduce two equal subIDs. &lt;/p&gt;
&lt;p&gt;I'll give you the formula I tried (but the problem is that &lt;strong&gt;StartsWith is for text and Max is for numbers)&lt;/strong&gt;, so if you have any ideas about how can it be solved or you have &lt;strong&gt;any function that works with both text and numbers&lt;/strong&gt; I would really appreciate it:&lt;/p&gt;
&lt;p&gt;&lt;code&gt;LookUp(my_list.'Prueba', StartsWith('Prueba' , DataCardValue9_2.Text), Max('Prueba')+0.1)&lt;/code&gt;&lt;/p&gt;
&lt;p&gt;Another thing I tried was to &lt;strong&gt;nest LookUp functions&lt;/strong&gt;, but that did not work either, do you know if &lt;strong&gt;that can be done?&lt;/strong&gt; &lt;/p&gt;
&lt;p&gt;&lt;code&gt;LookUp(my_list, Prueba = DataCardValue9_2.Text + 0.3 , Max(Prueba) + 0.1) &amp;amp; LookUp(my_list, Prueba = DataCardValue9_2.Text + 0.2 , Max(Prueba) + 0.1) &amp;amp; LookUp(my_list, Prueba = DataCardValue9_2.Text + 0.1 , Max(Prueba) + 0.1)&lt;/code&gt; &lt;/p&gt;
&lt;p&gt;&lt;strong&gt;Thank you very much&lt;/strong&gt; for your time and help.&lt;/p&gt;
</t>
  </si>
  <si>
    <t xml:space="preserve">&lt;p&gt;I'm looking for a quick example of how to read an Environment Variable in a PowerApp. &lt;a href="https://docs.microsoft.com/en-gb/powerapps/maker/common-data-service/environmentvariables" rel="nofollow noreferrer"&gt;https://docs.microsoft.com/en-gb/powerapps/maker/common-data-service/environmentvariables&lt;/a&gt;&lt;/p&gt;
&lt;p&gt;I've set the variable in my environment. How do I simply read that in a PowerApp and display the current value in a text label?&lt;/p&gt;
</t>
  </si>
  <si>
    <t xml:space="preserve">&lt;p&gt;I have a Lightning Web Component with 2 private properties. One property is reactive via track, and the second is non-reactive (not decorated).&lt;/p&gt;
&lt;p&gt;This is the HTML file:&lt;/p&gt;
&lt;pre class="lang-html prettyprint-override"&gt;&lt;code&gt;&amp;lt;template&amp;gt;
    &amp;lt;table style="background: white;"&amp;gt;
        &amp;lt;tr&amp;gt;
            &amp;lt;td&amp;gt;
                Reactive Private Property:
                &amp;lt;lightning-input type="text" onchange={reactiveHandler}&amp;gt;&amp;lt;/lightning-input&amp;gt;
                Value: {reactiveProperty}
            &amp;lt;/td&amp;gt;
        &amp;lt;/tr&amp;gt;
        &amp;lt;tr&amp;gt;
            &amp;lt;td&amp;gt;
                Nont-Reactive Private Property:
                &amp;lt;lightning-input type="text" onchange={nonReactiveHandler}&amp;gt;&amp;lt;/lightning-input&amp;gt;
                Value: {nonReactiveProperty}
            &amp;lt;/td&amp;gt;
        &amp;lt;/tr&amp;gt;
    &amp;lt;/table&amp;gt;
&amp;lt;/template&amp;gt;
&lt;/code&gt;&lt;/pre&gt;
&lt;p&gt;This is the JS file:&lt;/p&gt;
&lt;pre class="lang-js prettyprint-override"&gt;&lt;code&gt;import { LightningElement, track } from 'lwc';
export default class ReactiveAndNonReactiveProperties extends LightningElement {
  @track reactiveProperty;
  nonReactiveProperty;
  reactiveHandler(event) {
    this.reactiveProperty = event.target.value;
  }
  nonReactiveHandler(event) {
    this.nonReactiveProperty = event.target.value;
  }
}
&lt;/code&gt;&lt;/pre&gt;
&lt;p&gt;As you can see, only one property is decorated with @track. However, when I type something in the input text of the non-reactive property, it is still rendered on the screen, which should not happen until I change the value in the input text of the reactive property.&lt;/p&gt;
</t>
  </si>
  <si>
    <t>Id(orig)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</si>
</sst>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theme="1"/>
      <name val="Calibri"/>
    </font>
    <font>
      <u/>
      <color rgb="FF0000FF"/>
    </font>
    <font>
      <u/>
      <color rgb="FF00FFFF"/>
    </font>
    <font>
      <color rgb="FF00FFFF"/>
      <name val="Calibri"/>
    </font>
    <font>
      <color theme="1"/>
      <name val="Arial"/>
    </font>
    <font>
      <color rgb="FF0000FF"/>
      <name val="Calibri"/>
    </font>
    <font>
      <u/>
      <color rgb="FF0000FF"/>
    </font>
    <font>
      <sz val="11.0"/>
      <color rgb="FF000000"/>
      <name val="Calibri"/>
    </font>
  </fonts>
  <fills count="3">
    <fill>
      <patternFill patternType="none"/>
    </fill>
    <fill>
      <patternFill patternType="lightGray"/>
    </fill>
    <fill>
      <patternFill patternType="solid">
        <fgColor rgb="FFFF0000"/>
        <bgColor rgb="FFFF00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0"/>
    </xf>
    <xf borderId="0" fillId="0" fontId="1" numFmtId="0" xfId="0" applyAlignment="1" applyFont="1">
      <alignment horizontal="center"/>
    </xf>
    <xf borderId="0" fillId="0" fontId="2" numFmtId="0" xfId="0" applyFont="1"/>
    <xf borderId="0" fillId="0" fontId="3" numFmtId="0" xfId="0" applyFont="1"/>
    <xf borderId="0" fillId="0" fontId="4" numFmtId="0" xfId="0" applyAlignment="1" applyFont="1">
      <alignment shrinkToFit="0" wrapText="0"/>
    </xf>
    <xf borderId="0" fillId="0" fontId="4" numFmtId="0" xfId="0" applyAlignment="1" applyFont="1">
      <alignment horizontal="center"/>
    </xf>
    <xf borderId="0" fillId="0" fontId="4" numFmtId="0" xfId="0" applyFont="1"/>
    <xf borderId="0" fillId="0" fontId="5" numFmtId="0" xfId="0" applyAlignment="1" applyFont="1">
      <alignment shrinkToFit="0" vertical="bottom" wrapText="0"/>
    </xf>
    <xf borderId="0" fillId="0" fontId="6" numFmtId="0" xfId="0" applyAlignment="1" applyFont="1">
      <alignment shrinkToFit="0" wrapText="0"/>
    </xf>
    <xf borderId="0" fillId="0" fontId="6" numFmtId="0" xfId="0" applyAlignment="1" applyFont="1">
      <alignment horizontal="center"/>
    </xf>
    <xf borderId="0" fillId="0" fontId="6" numFmtId="0" xfId="0" applyFont="1"/>
    <xf borderId="0" fillId="2" fontId="7" numFmtId="0" xfId="0" applyFill="1" applyFont="1"/>
    <xf borderId="0" fillId="2" fontId="1" numFmtId="0" xfId="0" applyAlignment="1" applyFont="1">
      <alignment shrinkToFit="0" wrapText="0"/>
    </xf>
    <xf borderId="0" fillId="2" fontId="1" numFmtId="0" xfId="0" applyAlignment="1" applyFont="1">
      <alignment horizontal="center"/>
    </xf>
    <xf borderId="0" fillId="2" fontId="1" numFmtId="0" xfId="0" applyFont="1"/>
    <xf borderId="0" fillId="0" fontId="1" numFmtId="0" xfId="0" applyFont="1"/>
    <xf quotePrefix="1" borderId="0" fillId="0" fontId="1" numFmtId="0" xfId="0" applyAlignment="1" applyFont="1">
      <alignment shrinkToFit="0" wrapText="0"/>
    </xf>
    <xf borderId="0" fillId="0" fontId="5" numFmtId="0" xfId="0" applyAlignment="1" applyFont="1">
      <alignment vertical="bottom"/>
    </xf>
    <xf borderId="0" fillId="0" fontId="8" numFmtId="0" xfId="0" applyAlignment="1" applyFont="1">
      <alignment horizontal="righ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43.0"/>
    <col customWidth="1" min="3" max="3" width="14.14"/>
    <col customWidth="1" min="4" max="4" width="11.0"/>
    <col customWidth="1" min="5" max="5" width="16.43"/>
    <col customWidth="1" min="6" max="6" width="17.86"/>
    <col customWidth="1" min="7" max="7" width="34.14"/>
    <col customWidth="1" min="8" max="8" width="18.71"/>
    <col customWidth="1" min="9" max="9" width="19.14"/>
    <col customWidth="1" min="10" max="10" width="19.57"/>
  </cols>
  <sheetData>
    <row r="1" ht="15.75" customHeight="1">
      <c r="A1" s="1" t="s">
        <v>0</v>
      </c>
      <c r="B1" s="2" t="s">
        <v>1</v>
      </c>
      <c r="C1" s="3" t="s">
        <v>2</v>
      </c>
      <c r="D1" s="3" t="s">
        <v>3</v>
      </c>
      <c r="E1" s="2" t="s">
        <v>4</v>
      </c>
      <c r="F1" s="2" t="s">
        <v>5</v>
      </c>
      <c r="G1" s="2" t="s">
        <v>6</v>
      </c>
      <c r="H1" s="2" t="s">
        <v>7</v>
      </c>
      <c r="I1" s="2" t="s">
        <v>8</v>
      </c>
      <c r="J1" s="2" t="s">
        <v>9</v>
      </c>
    </row>
    <row r="2" ht="15.75" customHeight="1">
      <c r="A2" s="4" t="str">
        <f>HYPERLINK("https://stackoverflow.com/q/9391137", "9391137")</f>
        <v>9391137</v>
      </c>
      <c r="B2" s="2" t="s">
        <v>10</v>
      </c>
      <c r="C2" s="3">
        <v>15.0</v>
      </c>
      <c r="D2" s="3">
        <v>39930.0</v>
      </c>
      <c r="E2" s="2" t="s">
        <v>11</v>
      </c>
      <c r="F2" s="2" t="s">
        <v>12</v>
      </c>
      <c r="G2" s="2"/>
      <c r="I2" s="2"/>
      <c r="J2" s="2"/>
    </row>
    <row r="3" ht="15.75" customHeight="1">
      <c r="A3" s="4" t="str">
        <f>HYPERLINK("https://stackoverflow.com/q/45955538", "45955538")</f>
        <v>45955538</v>
      </c>
      <c r="B3" s="2" t="s">
        <v>13</v>
      </c>
      <c r="C3" s="3">
        <v>8.0</v>
      </c>
      <c r="D3" s="3">
        <v>36486.0</v>
      </c>
      <c r="E3" s="2" t="s">
        <v>11</v>
      </c>
      <c r="F3" s="2" t="s">
        <v>14</v>
      </c>
      <c r="G3" s="2"/>
      <c r="H3" s="2"/>
      <c r="I3" s="2"/>
      <c r="J3" s="2"/>
    </row>
    <row r="4" ht="15.75" customHeight="1">
      <c r="A4" s="4" t="str">
        <f>HYPERLINK("https://stackoverflow.com/q/40159662", "40159662")</f>
        <v>40159662</v>
      </c>
      <c r="B4" s="2" t="s">
        <v>15</v>
      </c>
      <c r="C4" s="3">
        <v>0.0</v>
      </c>
      <c r="D4" s="3">
        <v>21873.0</v>
      </c>
      <c r="E4" s="2" t="s">
        <v>11</v>
      </c>
      <c r="F4" s="2" t="s">
        <v>16</v>
      </c>
      <c r="G4" s="2"/>
      <c r="I4" s="2"/>
      <c r="J4" s="2"/>
    </row>
    <row r="5" ht="15.75" customHeight="1">
      <c r="A5" s="4" t="str">
        <f>HYPERLINK("https://stackoverflow.com/q/12412269", "12412269")</f>
        <v>12412269</v>
      </c>
      <c r="B5" s="2" t="s">
        <v>17</v>
      </c>
      <c r="C5" s="3"/>
      <c r="D5" s="3">
        <v>21172.0</v>
      </c>
      <c r="E5" s="2" t="s">
        <v>11</v>
      </c>
      <c r="F5" s="2" t="s">
        <v>18</v>
      </c>
      <c r="G5" s="2"/>
      <c r="H5" s="2"/>
      <c r="I5" s="2"/>
      <c r="J5" s="2"/>
    </row>
    <row r="6" ht="15.75" customHeight="1">
      <c r="A6" s="4" t="str">
        <f>HYPERLINK("https://stackoverflow.com/q/3016015", "3016015")</f>
        <v>3016015</v>
      </c>
      <c r="B6" s="2" t="s">
        <v>19</v>
      </c>
      <c r="C6" s="3">
        <v>3.0</v>
      </c>
      <c r="D6" s="3">
        <v>20409.0</v>
      </c>
      <c r="E6" s="2" t="s">
        <v>20</v>
      </c>
      <c r="F6" s="2" t="s">
        <v>21</v>
      </c>
      <c r="G6" s="2"/>
      <c r="I6" s="2"/>
      <c r="J6" s="2"/>
    </row>
    <row r="7" ht="15.75" customHeight="1">
      <c r="A7" s="5" t="str">
        <f>HYPERLINK("https://stackoverflow.com/q/23234021", "23234021")</f>
        <v>23234021</v>
      </c>
      <c r="B7" s="6" t="s">
        <v>22</v>
      </c>
      <c r="C7" s="7">
        <v>2.0</v>
      </c>
      <c r="D7" s="7">
        <v>20112.0</v>
      </c>
      <c r="E7" s="6"/>
      <c r="F7" s="6" t="s">
        <v>23</v>
      </c>
      <c r="G7" s="6"/>
      <c r="I7" s="6"/>
      <c r="J7" s="6"/>
      <c r="K7" s="8"/>
      <c r="L7" s="8"/>
    </row>
    <row r="8" ht="15.75" customHeight="1">
      <c r="A8" s="4" t="str">
        <f>HYPERLINK("https://stackoverflow.com/q/37196287", "37196287")</f>
        <v>37196287</v>
      </c>
      <c r="B8" s="2" t="s">
        <v>24</v>
      </c>
      <c r="C8" s="3">
        <v>2.0</v>
      </c>
      <c r="D8" s="3">
        <v>19535.0</v>
      </c>
      <c r="E8" s="2" t="s">
        <v>11</v>
      </c>
      <c r="F8" s="2" t="s">
        <v>25</v>
      </c>
      <c r="G8" s="2"/>
      <c r="I8" s="2"/>
      <c r="J8" s="2"/>
    </row>
    <row r="9" ht="15.75" customHeight="1">
      <c r="A9" s="4" t="str">
        <f>HYPERLINK("https://stackoverflow.com/q/39232599", "39232599")</f>
        <v>39232599</v>
      </c>
      <c r="B9" s="2" t="s">
        <v>26</v>
      </c>
      <c r="C9" s="3">
        <v>3.0</v>
      </c>
      <c r="D9" s="3">
        <v>19132.0</v>
      </c>
      <c r="E9" s="2" t="s">
        <v>11</v>
      </c>
      <c r="F9" s="2" t="s">
        <v>25</v>
      </c>
      <c r="G9" s="2"/>
      <c r="I9" s="2"/>
      <c r="J9" s="2"/>
    </row>
    <row r="10" ht="15.75" customHeight="1">
      <c r="A10" s="4" t="str">
        <f>HYPERLINK("https://stackoverflow.com/q/34341952", "34341952")</f>
        <v>34341952</v>
      </c>
      <c r="B10" s="2" t="s">
        <v>27</v>
      </c>
      <c r="C10" s="3"/>
      <c r="D10" s="3">
        <v>15964.0</v>
      </c>
      <c r="E10" s="2" t="s">
        <v>11</v>
      </c>
      <c r="F10" s="2" t="s">
        <v>28</v>
      </c>
      <c r="G10" s="2"/>
      <c r="H10" s="2"/>
      <c r="I10" s="2"/>
      <c r="J10" s="2"/>
    </row>
    <row r="11" ht="15.75" customHeight="1">
      <c r="A11" s="4" t="str">
        <f>HYPERLINK("https://stackoverflow.com/q/9168994", "9168994")</f>
        <v>9168994</v>
      </c>
      <c r="B11" s="2" t="s">
        <v>29</v>
      </c>
      <c r="C11" s="3">
        <v>2.0</v>
      </c>
      <c r="D11" s="3">
        <v>14718.0</v>
      </c>
      <c r="E11" s="9" t="s">
        <v>11</v>
      </c>
      <c r="F11" s="2" t="s">
        <v>30</v>
      </c>
      <c r="G11" s="2"/>
      <c r="I11" s="2"/>
      <c r="J11" s="2"/>
    </row>
    <row r="12" ht="15.75" customHeight="1">
      <c r="A12" s="4" t="str">
        <f>HYPERLINK("https://stackoverflow.com/q/17126323", "17126323")</f>
        <v>17126323</v>
      </c>
      <c r="B12" s="2" t="s">
        <v>31</v>
      </c>
      <c r="C12" s="3"/>
      <c r="D12" s="3">
        <v>12468.0</v>
      </c>
      <c r="E12" s="2" t="s">
        <v>11</v>
      </c>
      <c r="F12" s="2" t="s">
        <v>12</v>
      </c>
      <c r="G12" s="2"/>
      <c r="H12" s="2"/>
      <c r="I12" s="2"/>
      <c r="J12" s="2"/>
    </row>
    <row r="13" ht="15.75" customHeight="1">
      <c r="A13" s="4" t="str">
        <f>HYPERLINK("https://stackoverflow.com/q/44233707", "44233707")</f>
        <v>44233707</v>
      </c>
      <c r="B13" s="2" t="s">
        <v>32</v>
      </c>
      <c r="C13" s="3">
        <v>1.0</v>
      </c>
      <c r="D13" s="3">
        <v>12439.0</v>
      </c>
      <c r="E13" s="2" t="s">
        <v>11</v>
      </c>
      <c r="F13" s="2" t="s">
        <v>25</v>
      </c>
      <c r="G13" s="2"/>
      <c r="H13" s="2"/>
      <c r="I13" s="2"/>
      <c r="J13" s="2"/>
    </row>
    <row r="14" ht="15.75" customHeight="1">
      <c r="A14" s="4" t="str">
        <f>HYPERLINK("https://stackoverflow.com/q/9959449", "9959449")</f>
        <v>9959449</v>
      </c>
      <c r="B14" s="2" t="s">
        <v>33</v>
      </c>
      <c r="C14" s="3"/>
      <c r="D14" s="3">
        <v>12389.0</v>
      </c>
      <c r="E14" s="2" t="s">
        <v>11</v>
      </c>
      <c r="F14" s="2" t="s">
        <v>34</v>
      </c>
      <c r="G14" s="2" t="s">
        <v>35</v>
      </c>
      <c r="I14" s="2"/>
      <c r="J14" s="2"/>
    </row>
    <row r="15" ht="15.75" customHeight="1">
      <c r="A15" s="5" t="str">
        <f>HYPERLINK("https://stackoverflow.com/q/18335697", "18335697")</f>
        <v>18335697</v>
      </c>
      <c r="B15" s="6" t="s">
        <v>36</v>
      </c>
      <c r="C15" s="7">
        <v>7.0</v>
      </c>
      <c r="D15" s="7">
        <v>11811.0</v>
      </c>
      <c r="E15" s="6"/>
      <c r="F15" s="6" t="s">
        <v>23</v>
      </c>
      <c r="G15" s="6"/>
      <c r="H15" s="6"/>
      <c r="I15" s="6"/>
      <c r="J15" s="6"/>
      <c r="K15" s="8"/>
      <c r="L15" s="8"/>
    </row>
    <row r="16" ht="15.75" customHeight="1">
      <c r="A16" s="4" t="str">
        <f>HYPERLINK("https://stackoverflow.com/q/52704291", "52704291")</f>
        <v>52704291</v>
      </c>
      <c r="B16" s="2" t="s">
        <v>37</v>
      </c>
      <c r="C16" s="3"/>
      <c r="D16" s="3">
        <v>11776.0</v>
      </c>
      <c r="E16" s="2" t="s">
        <v>11</v>
      </c>
      <c r="F16" s="2" t="s">
        <v>38</v>
      </c>
      <c r="G16" s="2"/>
      <c r="H16" s="2"/>
      <c r="I16" s="2"/>
      <c r="J16" s="2"/>
    </row>
    <row r="17" ht="15.75" customHeight="1">
      <c r="A17" s="4" t="str">
        <f>HYPERLINK("https://stackoverflow.com/q/39490200", "39490200")</f>
        <v>39490200</v>
      </c>
      <c r="B17" s="2" t="s">
        <v>39</v>
      </c>
      <c r="C17" s="3"/>
      <c r="D17" s="3">
        <v>10721.0</v>
      </c>
      <c r="E17" s="2" t="s">
        <v>11</v>
      </c>
      <c r="F17" s="2" t="s">
        <v>16</v>
      </c>
      <c r="G17" s="2"/>
      <c r="H17" s="2"/>
      <c r="I17" s="2"/>
      <c r="J17" s="2"/>
    </row>
    <row r="18" ht="15.75" customHeight="1">
      <c r="A18" s="4" t="str">
        <f>HYPERLINK("https://stackoverflow.com/q/39488461", "39488461")</f>
        <v>39488461</v>
      </c>
      <c r="B18" s="2" t="s">
        <v>40</v>
      </c>
      <c r="C18" s="3"/>
      <c r="D18" s="3">
        <v>9531.0</v>
      </c>
      <c r="E18" s="2" t="s">
        <v>11</v>
      </c>
      <c r="F18" s="2" t="s">
        <v>16</v>
      </c>
      <c r="G18" s="2"/>
      <c r="H18" s="2"/>
      <c r="I18" s="2"/>
      <c r="J18" s="2"/>
    </row>
    <row r="19" ht="15.75" customHeight="1">
      <c r="A19" s="4" t="str">
        <f>HYPERLINK("https://stackoverflow.com/q/50447594", "50447594")</f>
        <v>50447594</v>
      </c>
      <c r="B19" s="2" t="s">
        <v>41</v>
      </c>
      <c r="C19" s="3">
        <v>1.0</v>
      </c>
      <c r="D19" s="3">
        <v>9211.0</v>
      </c>
      <c r="E19" s="2" t="s">
        <v>11</v>
      </c>
      <c r="F19" s="2" t="s">
        <v>25</v>
      </c>
      <c r="G19" s="2"/>
      <c r="H19" s="2"/>
      <c r="I19" s="2"/>
      <c r="J19" s="2"/>
    </row>
    <row r="20" ht="15.75" customHeight="1">
      <c r="A20" s="4" t="str">
        <f>HYPERLINK("https://stackoverflow.com/q/51443599", "51443599")</f>
        <v>51443599</v>
      </c>
      <c r="B20" s="2" t="s">
        <v>42</v>
      </c>
      <c r="C20" s="3"/>
      <c r="D20" s="3">
        <v>8627.0</v>
      </c>
      <c r="E20" s="2" t="s">
        <v>11</v>
      </c>
      <c r="F20" s="2" t="s">
        <v>12</v>
      </c>
      <c r="G20" s="2"/>
      <c r="H20" s="2"/>
      <c r="I20" s="2"/>
      <c r="J20" s="2"/>
    </row>
    <row r="21" ht="15.75" customHeight="1">
      <c r="A21" s="4" t="str">
        <f>HYPERLINK("https://stackoverflow.com/q/26655087", "26655087")</f>
        <v>26655087</v>
      </c>
      <c r="B21" s="10" t="s">
        <v>43</v>
      </c>
      <c r="C21" s="11">
        <v>1.0</v>
      </c>
      <c r="D21" s="11">
        <v>8252.0</v>
      </c>
      <c r="E21" s="10" t="s">
        <v>11</v>
      </c>
      <c r="F21" s="10" t="s">
        <v>44</v>
      </c>
      <c r="G21" s="10"/>
      <c r="H21" s="10"/>
      <c r="I21" s="10"/>
      <c r="J21" s="10"/>
      <c r="K21" s="12"/>
      <c r="L21" s="12"/>
    </row>
    <row r="22" ht="15.75" customHeight="1">
      <c r="A22" s="4" t="str">
        <f>HYPERLINK("https://stackoverflow.com/q/16001298", "16001298")</f>
        <v>16001298</v>
      </c>
      <c r="B22" s="2" t="s">
        <v>45</v>
      </c>
      <c r="C22" s="3"/>
      <c r="D22" s="3">
        <v>8245.0</v>
      </c>
      <c r="E22" s="2"/>
      <c r="F22" s="2" t="s">
        <v>23</v>
      </c>
      <c r="G22" s="2"/>
      <c r="H22" s="2"/>
      <c r="I22" s="2"/>
      <c r="J22" s="2"/>
    </row>
    <row r="23" ht="15.75" customHeight="1">
      <c r="A23" s="4" t="str">
        <f>HYPERLINK("https://stackoverflow.com/q/37816734", "37816734")</f>
        <v>37816734</v>
      </c>
      <c r="B23" s="2" t="s">
        <v>46</v>
      </c>
      <c r="C23" s="3">
        <v>1.0</v>
      </c>
      <c r="D23" s="3">
        <v>8237.0</v>
      </c>
      <c r="E23" s="2" t="s">
        <v>11</v>
      </c>
      <c r="F23" s="2" t="s">
        <v>25</v>
      </c>
      <c r="G23" s="2"/>
      <c r="H23" s="2"/>
      <c r="I23" s="2"/>
      <c r="J23" s="2"/>
    </row>
    <row r="24" ht="15.75" customHeight="1">
      <c r="A24" s="4" t="str">
        <f>HYPERLINK("https://stackoverflow.com/q/34179466", "34179466")</f>
        <v>34179466</v>
      </c>
      <c r="B24" s="2" t="s">
        <v>47</v>
      </c>
      <c r="C24" s="3"/>
      <c r="D24" s="3">
        <v>8061.0</v>
      </c>
      <c r="E24" s="2" t="s">
        <v>11</v>
      </c>
      <c r="F24" s="2" t="s">
        <v>12</v>
      </c>
      <c r="G24" s="2"/>
      <c r="H24" s="2"/>
      <c r="I24" s="2"/>
      <c r="J24" s="2"/>
    </row>
    <row r="25" ht="15.75" customHeight="1">
      <c r="A25" s="4" t="str">
        <f>HYPERLINK("https://stackoverflow.com/q/56796657", "56796657")</f>
        <v>56796657</v>
      </c>
      <c r="B25" s="2" t="s">
        <v>48</v>
      </c>
      <c r="C25" s="3"/>
      <c r="D25" s="3">
        <v>7999.0</v>
      </c>
      <c r="E25" s="2" t="s">
        <v>11</v>
      </c>
      <c r="F25" s="2" t="s">
        <v>49</v>
      </c>
      <c r="G25" s="2"/>
      <c r="H25" s="2"/>
      <c r="I25" s="2"/>
      <c r="J25" s="2"/>
    </row>
    <row r="26" ht="15.75" customHeight="1">
      <c r="A26" s="4" t="str">
        <f>HYPERLINK("https://stackoverflow.com/q/46636237", "46636237")</f>
        <v>46636237</v>
      </c>
      <c r="B26" s="2" t="s">
        <v>50</v>
      </c>
      <c r="C26" s="3"/>
      <c r="D26" s="3">
        <v>7679.0</v>
      </c>
      <c r="E26" s="2" t="s">
        <v>11</v>
      </c>
      <c r="F26" s="2" t="s">
        <v>16</v>
      </c>
      <c r="G26" s="2"/>
      <c r="H26" s="2"/>
      <c r="I26" s="2"/>
      <c r="J26" s="2"/>
    </row>
    <row r="27" ht="15.75" customHeight="1">
      <c r="A27" s="4" t="str">
        <f>HYPERLINK("https://stackoverflow.com/q/16819801", "16819801")</f>
        <v>16819801</v>
      </c>
      <c r="B27" s="2" t="s">
        <v>51</v>
      </c>
      <c r="C27" s="3">
        <v>2.0</v>
      </c>
      <c r="D27" s="3">
        <v>7562.0</v>
      </c>
      <c r="E27" s="2"/>
      <c r="F27" s="2" t="s">
        <v>23</v>
      </c>
      <c r="G27" s="2"/>
      <c r="H27" s="2"/>
      <c r="I27" s="2"/>
      <c r="J27" s="2"/>
    </row>
    <row r="28" ht="15.75" customHeight="1">
      <c r="A28" s="4" t="str">
        <f>HYPERLINK("https://stackoverflow.com/q/39493708", "39493708")</f>
        <v>39493708</v>
      </c>
      <c r="B28" s="2" t="s">
        <v>52</v>
      </c>
      <c r="C28" s="3"/>
      <c r="D28" s="3">
        <v>7151.0</v>
      </c>
      <c r="E28" s="2" t="s">
        <v>11</v>
      </c>
      <c r="F28" s="2" t="s">
        <v>18</v>
      </c>
      <c r="G28" s="2"/>
      <c r="H28" s="2"/>
      <c r="I28" s="2"/>
      <c r="J28" s="2"/>
    </row>
    <row r="29" ht="15.75" customHeight="1">
      <c r="A29" s="4" t="str">
        <f>HYPERLINK("https://stackoverflow.com/q/16617053", "16617053")</f>
        <v>16617053</v>
      </c>
      <c r="B29" s="2" t="s">
        <v>53</v>
      </c>
      <c r="C29" s="3"/>
      <c r="D29" s="3">
        <v>6965.0</v>
      </c>
      <c r="E29" s="2" t="s">
        <v>11</v>
      </c>
      <c r="F29" s="2" t="s">
        <v>12</v>
      </c>
      <c r="G29" s="2"/>
      <c r="H29" s="2"/>
      <c r="I29" s="2"/>
      <c r="J29" s="2"/>
    </row>
    <row r="30" ht="15.75" customHeight="1">
      <c r="A30" s="4" t="str">
        <f>HYPERLINK("https://stackoverflow.com/q/49033921", "49033921")</f>
        <v>49033921</v>
      </c>
      <c r="B30" s="2" t="s">
        <v>54</v>
      </c>
      <c r="C30" s="3"/>
      <c r="D30" s="3">
        <v>6949.0</v>
      </c>
      <c r="E30" s="2" t="s">
        <v>11</v>
      </c>
      <c r="F30" s="2" t="s">
        <v>25</v>
      </c>
      <c r="G30" s="2"/>
      <c r="H30" s="2"/>
      <c r="I30" s="2"/>
      <c r="J30" s="2"/>
    </row>
    <row r="31" ht="15.75" customHeight="1">
      <c r="A31" s="4" t="str">
        <f>HYPERLINK("https://stackoverflow.com/q/44131065", "44131065")</f>
        <v>44131065</v>
      </c>
      <c r="B31" s="2" t="s">
        <v>55</v>
      </c>
      <c r="C31" s="3">
        <v>1.0</v>
      </c>
      <c r="D31" s="3">
        <v>6909.0</v>
      </c>
      <c r="E31" s="2" t="s">
        <v>11</v>
      </c>
      <c r="F31" s="2" t="s">
        <v>56</v>
      </c>
      <c r="G31" s="2"/>
      <c r="H31" s="2"/>
      <c r="I31" s="2"/>
      <c r="J31" s="2"/>
    </row>
    <row r="32" ht="15.75" customHeight="1">
      <c r="A32" s="4" t="str">
        <f>HYPERLINK("https://stackoverflow.com/q/50444796", "50444796")</f>
        <v>50444796</v>
      </c>
      <c r="B32" s="2" t="s">
        <v>57</v>
      </c>
      <c r="C32" s="3"/>
      <c r="D32" s="3">
        <v>6876.0</v>
      </c>
      <c r="E32" s="2" t="s">
        <v>11</v>
      </c>
      <c r="F32" s="2" t="s">
        <v>25</v>
      </c>
      <c r="G32" s="2"/>
      <c r="H32" s="2"/>
      <c r="I32" s="2"/>
      <c r="J32" s="2"/>
    </row>
    <row r="33" ht="15.75" customHeight="1">
      <c r="A33" s="4" t="str">
        <f>HYPERLINK("https://stackoverflow.com/q/22562925", "22562925")</f>
        <v>22562925</v>
      </c>
      <c r="B33" s="2" t="s">
        <v>58</v>
      </c>
      <c r="C33" s="3"/>
      <c r="D33" s="3">
        <v>6852.0</v>
      </c>
      <c r="E33" s="2" t="s">
        <v>59</v>
      </c>
      <c r="F33" s="2" t="s">
        <v>21</v>
      </c>
      <c r="G33" s="2"/>
      <c r="H33" s="2"/>
      <c r="I33" s="2"/>
      <c r="J33" s="2"/>
    </row>
    <row r="34" ht="15.75" customHeight="1">
      <c r="A34" s="4" t="str">
        <f>HYPERLINK("https://stackoverflow.com/q/48439073", "48439073")</f>
        <v>48439073</v>
      </c>
      <c r="B34" s="2" t="s">
        <v>60</v>
      </c>
      <c r="C34" s="3">
        <v>1.0</v>
      </c>
      <c r="D34" s="3">
        <v>6376.0</v>
      </c>
      <c r="E34" s="2" t="s">
        <v>11</v>
      </c>
      <c r="F34" s="2" t="s">
        <v>25</v>
      </c>
      <c r="G34" s="2"/>
      <c r="H34" s="2"/>
      <c r="I34" s="2"/>
      <c r="J34" s="2"/>
    </row>
    <row r="35" ht="15.75" customHeight="1">
      <c r="A35" s="4" t="str">
        <f>HYPERLINK("https://stackoverflow.com/q/30295763", "30295763")</f>
        <v>30295763</v>
      </c>
      <c r="B35" s="2" t="s">
        <v>61</v>
      </c>
      <c r="C35" s="3"/>
      <c r="D35" s="3">
        <v>6194.0</v>
      </c>
      <c r="E35" s="2"/>
      <c r="F35" s="2" t="s">
        <v>23</v>
      </c>
      <c r="G35" s="2"/>
      <c r="H35" s="2"/>
      <c r="I35" s="2"/>
      <c r="J35" s="2"/>
    </row>
    <row r="36" ht="15.75" customHeight="1">
      <c r="A36" s="4" t="str">
        <f>HYPERLINK("https://stackoverflow.com/q/54925179", "54925179")</f>
        <v>54925179</v>
      </c>
      <c r="B36" s="2" t="s">
        <v>62</v>
      </c>
      <c r="C36" s="3"/>
      <c r="D36" s="3">
        <v>6126.0</v>
      </c>
      <c r="E36" s="2" t="s">
        <v>11</v>
      </c>
      <c r="F36" s="2" t="s">
        <v>25</v>
      </c>
      <c r="G36" s="2"/>
      <c r="H36" s="2"/>
      <c r="I36" s="2"/>
      <c r="J36" s="2"/>
    </row>
    <row r="37" ht="15.75" customHeight="1">
      <c r="A37" s="4" t="str">
        <f>HYPERLINK("https://stackoverflow.com/q/16200946", "16200946")</f>
        <v>16200946</v>
      </c>
      <c r="B37" s="2" t="s">
        <v>63</v>
      </c>
      <c r="C37" s="3"/>
      <c r="D37" s="3">
        <v>6042.0</v>
      </c>
      <c r="E37" s="2" t="s">
        <v>11</v>
      </c>
      <c r="F37" s="2" t="s">
        <v>18</v>
      </c>
      <c r="G37" s="2"/>
      <c r="H37" s="2"/>
      <c r="I37" s="2"/>
      <c r="J37" s="2"/>
    </row>
    <row r="38" ht="15.75" customHeight="1">
      <c r="A38" s="4" t="str">
        <f>HYPERLINK("https://stackoverflow.com/q/8640940", "8640940")</f>
        <v>8640940</v>
      </c>
      <c r="B38" s="2" t="s">
        <v>64</v>
      </c>
      <c r="C38" s="3">
        <v>2.0</v>
      </c>
      <c r="D38" s="3">
        <v>6008.0</v>
      </c>
      <c r="E38" s="2"/>
      <c r="F38" s="2" t="s">
        <v>23</v>
      </c>
      <c r="G38" s="2"/>
      <c r="H38" s="2"/>
      <c r="I38" s="2"/>
      <c r="J38" s="2"/>
    </row>
    <row r="39" ht="15.75" customHeight="1">
      <c r="A39" s="4" t="str">
        <f>HYPERLINK("https://stackoverflow.com/q/12004748", "12004748")</f>
        <v>12004748</v>
      </c>
      <c r="B39" s="2" t="s">
        <v>65</v>
      </c>
      <c r="C39" s="3">
        <v>2.0</v>
      </c>
      <c r="D39" s="3">
        <v>6006.0</v>
      </c>
      <c r="E39" s="2" t="s">
        <v>20</v>
      </c>
      <c r="F39" s="2" t="s">
        <v>21</v>
      </c>
      <c r="G39" s="2"/>
      <c r="H39" s="2"/>
      <c r="I39" s="2"/>
      <c r="J39" s="2"/>
    </row>
    <row r="40" ht="15.75" customHeight="1">
      <c r="A40" s="4" t="str">
        <f>HYPERLINK("https://stackoverflow.com/q/49006215", "49006215")</f>
        <v>49006215</v>
      </c>
      <c r="B40" s="2" t="s">
        <v>66</v>
      </c>
      <c r="C40" s="3"/>
      <c r="D40" s="3">
        <v>5959.0</v>
      </c>
      <c r="E40" s="2" t="s">
        <v>11</v>
      </c>
      <c r="F40" s="2" t="s">
        <v>67</v>
      </c>
      <c r="G40" s="2"/>
      <c r="H40" s="2"/>
      <c r="I40" s="2"/>
      <c r="J40" s="2"/>
    </row>
    <row r="41" ht="15.75" customHeight="1">
      <c r="A41" s="4" t="str">
        <f>HYPERLINK("https://stackoverflow.com/q/24808967", "24808967")</f>
        <v>24808967</v>
      </c>
      <c r="B41" s="2" t="s">
        <v>68</v>
      </c>
      <c r="C41" s="3">
        <v>1.0</v>
      </c>
      <c r="D41" s="3">
        <v>5925.0</v>
      </c>
      <c r="E41" s="2" t="s">
        <v>11</v>
      </c>
      <c r="F41" s="2" t="s">
        <v>25</v>
      </c>
      <c r="G41" s="2"/>
      <c r="H41" s="2"/>
      <c r="I41" s="2"/>
      <c r="J41" s="2"/>
    </row>
    <row r="42" ht="15.75" customHeight="1">
      <c r="A42" s="4" t="str">
        <f>HYPERLINK("https://stackoverflow.com/q/43725028", "43725028")</f>
        <v>43725028</v>
      </c>
      <c r="B42" s="2" t="s">
        <v>69</v>
      </c>
      <c r="C42" s="3"/>
      <c r="D42" s="3">
        <v>5744.0</v>
      </c>
      <c r="E42" s="2" t="s">
        <v>11</v>
      </c>
      <c r="F42" s="2" t="s">
        <v>56</v>
      </c>
      <c r="G42" s="2"/>
      <c r="H42" s="2"/>
      <c r="I42" s="2"/>
      <c r="J42" s="2"/>
    </row>
    <row r="43" ht="15.75" customHeight="1">
      <c r="A43" s="4" t="str">
        <f>HYPERLINK("https://stackoverflow.com/q/43535377", "43535377")</f>
        <v>43535377</v>
      </c>
      <c r="B43" s="2" t="s">
        <v>70</v>
      </c>
      <c r="C43" s="3"/>
      <c r="D43" s="3">
        <v>5718.0</v>
      </c>
      <c r="E43" s="2" t="s">
        <v>11</v>
      </c>
      <c r="F43" s="2" t="s">
        <v>25</v>
      </c>
      <c r="G43" s="2"/>
      <c r="H43" s="2"/>
      <c r="I43" s="2"/>
      <c r="J43" s="2"/>
    </row>
    <row r="44" ht="15.75" customHeight="1">
      <c r="A44" s="4" t="str">
        <f>HYPERLINK("https://stackoverflow.com/q/38951765", "38951765")</f>
        <v>38951765</v>
      </c>
      <c r="B44" s="2" t="s">
        <v>71</v>
      </c>
      <c r="C44" s="3">
        <v>2.0</v>
      </c>
      <c r="D44" s="3">
        <v>5689.0</v>
      </c>
      <c r="E44" s="2" t="s">
        <v>72</v>
      </c>
      <c r="F44" s="2" t="s">
        <v>73</v>
      </c>
      <c r="G44" s="2"/>
      <c r="H44" s="2"/>
      <c r="I44" s="2"/>
      <c r="J44" s="2"/>
    </row>
    <row r="45" ht="15.75" customHeight="1">
      <c r="A45" s="4" t="str">
        <f>HYPERLINK("https://stackoverflow.com/q/11513122", "11513122")</f>
        <v>11513122</v>
      </c>
      <c r="B45" s="2" t="s">
        <v>74</v>
      </c>
      <c r="C45" s="3">
        <v>1.0</v>
      </c>
      <c r="D45" s="3">
        <v>5412.0</v>
      </c>
      <c r="E45" s="2" t="s">
        <v>11</v>
      </c>
      <c r="F45" s="2" t="s">
        <v>21</v>
      </c>
      <c r="G45" s="2"/>
      <c r="H45" s="2"/>
      <c r="I45" s="2"/>
      <c r="J45" s="2"/>
    </row>
    <row r="46" ht="15.75" customHeight="1">
      <c r="A46" s="4" t="str">
        <f>HYPERLINK("https://stackoverflow.com/q/13991036", "13991036")</f>
        <v>13991036</v>
      </c>
      <c r="B46" s="2" t="s">
        <v>75</v>
      </c>
      <c r="C46" s="3"/>
      <c r="D46" s="3">
        <v>5387.0</v>
      </c>
      <c r="E46" s="2" t="s">
        <v>11</v>
      </c>
      <c r="F46" s="2" t="s">
        <v>21</v>
      </c>
      <c r="G46" s="2"/>
      <c r="H46" s="2"/>
      <c r="I46" s="2"/>
      <c r="J46" s="2"/>
    </row>
    <row r="47" ht="15.75" customHeight="1">
      <c r="A47" s="4" t="str">
        <f>HYPERLINK("https://stackoverflow.com/q/44565423", "44565423")</f>
        <v>44565423</v>
      </c>
      <c r="B47" s="2" t="s">
        <v>76</v>
      </c>
      <c r="C47" s="3"/>
      <c r="D47" s="3">
        <v>5347.0</v>
      </c>
      <c r="E47" s="2" t="s">
        <v>11</v>
      </c>
      <c r="F47" s="2" t="s">
        <v>25</v>
      </c>
      <c r="G47" s="2"/>
      <c r="H47" s="2"/>
      <c r="I47" s="2"/>
      <c r="J47" s="2"/>
    </row>
    <row r="48" ht="15.75" customHeight="1">
      <c r="A48" s="4" t="str">
        <f>HYPERLINK("https://stackoverflow.com/q/41002487", "41002487")</f>
        <v>41002487</v>
      </c>
      <c r="B48" s="2" t="s">
        <v>77</v>
      </c>
      <c r="C48" s="3"/>
      <c r="D48" s="3">
        <v>5130.0</v>
      </c>
      <c r="E48" s="2" t="s">
        <v>11</v>
      </c>
      <c r="F48" s="2" t="s">
        <v>25</v>
      </c>
      <c r="G48" s="2"/>
      <c r="H48" s="2"/>
      <c r="I48" s="2"/>
      <c r="J48" s="2"/>
    </row>
    <row r="49" ht="15.75" customHeight="1">
      <c r="A49" s="4" t="str">
        <f>HYPERLINK("https://stackoverflow.com/q/10170940", "10170940")</f>
        <v>10170940</v>
      </c>
      <c r="B49" s="2" t="s">
        <v>78</v>
      </c>
      <c r="C49" s="3">
        <v>1.0</v>
      </c>
      <c r="D49" s="3">
        <v>5120.0</v>
      </c>
      <c r="E49" s="2" t="s">
        <v>59</v>
      </c>
      <c r="F49" s="2" t="s">
        <v>21</v>
      </c>
      <c r="G49" s="2"/>
      <c r="H49" s="2"/>
      <c r="I49" s="2"/>
      <c r="J49" s="2"/>
    </row>
    <row r="50" ht="15.75" customHeight="1">
      <c r="A50" s="4" t="str">
        <f>HYPERLINK("https://stackoverflow.com/q/45483554", "45483554")</f>
        <v>45483554</v>
      </c>
      <c r="B50" s="2" t="s">
        <v>79</v>
      </c>
      <c r="C50" s="3"/>
      <c r="D50" s="3">
        <v>5048.0</v>
      </c>
      <c r="E50" s="2" t="s">
        <v>11</v>
      </c>
      <c r="F50" s="2" t="s">
        <v>25</v>
      </c>
      <c r="G50" s="2"/>
      <c r="H50" s="2"/>
      <c r="I50" s="2"/>
      <c r="J50" s="2"/>
    </row>
    <row r="51" ht="15.75" customHeight="1">
      <c r="A51" s="4" t="str">
        <f>HYPERLINK("https://stackoverflow.com/q/37481142", "37481142")</f>
        <v>37481142</v>
      </c>
      <c r="B51" s="2" t="s">
        <v>80</v>
      </c>
      <c r="C51" s="3"/>
      <c r="D51" s="3">
        <v>5031.0</v>
      </c>
      <c r="E51" s="2" t="s">
        <v>11</v>
      </c>
      <c r="F51" s="2" t="s">
        <v>25</v>
      </c>
      <c r="G51" s="2"/>
      <c r="H51" s="2"/>
      <c r="I51" s="2"/>
      <c r="J51" s="2"/>
    </row>
    <row r="52" ht="15.75" customHeight="1">
      <c r="A52" s="4" t="str">
        <f>HYPERLINK("https://stackoverflow.com/q/13834716", "13834716")</f>
        <v>13834716</v>
      </c>
      <c r="B52" s="2" t="s">
        <v>81</v>
      </c>
      <c r="C52" s="3">
        <v>2.0</v>
      </c>
      <c r="D52" s="3">
        <v>4988.0</v>
      </c>
      <c r="E52" s="2"/>
      <c r="F52" s="2" t="s">
        <v>23</v>
      </c>
      <c r="G52" s="2"/>
      <c r="H52" s="2"/>
      <c r="I52" s="2"/>
      <c r="J52" s="2"/>
    </row>
    <row r="53" ht="15.75" customHeight="1">
      <c r="A53" s="4" t="str">
        <f>HYPERLINK("https://stackoverflow.com/q/47803698", "47803698")</f>
        <v>47803698</v>
      </c>
      <c r="B53" s="2" t="s">
        <v>82</v>
      </c>
      <c r="C53" s="3"/>
      <c r="D53" s="3">
        <v>4950.0</v>
      </c>
      <c r="E53" s="2" t="s">
        <v>11</v>
      </c>
      <c r="F53" s="2" t="s">
        <v>67</v>
      </c>
      <c r="G53" s="2"/>
      <c r="H53" s="2"/>
      <c r="I53" s="2"/>
      <c r="J53" s="2"/>
    </row>
    <row r="54" ht="15.75" customHeight="1">
      <c r="A54" s="4" t="str">
        <f>HYPERLINK("https://stackoverflow.com/q/50775621", "50775621")</f>
        <v>50775621</v>
      </c>
      <c r="B54" s="2" t="s">
        <v>83</v>
      </c>
      <c r="C54" s="3">
        <v>1.0</v>
      </c>
      <c r="D54" s="3">
        <v>4863.0</v>
      </c>
      <c r="E54" s="2" t="s">
        <v>11</v>
      </c>
      <c r="F54" s="2" t="s">
        <v>84</v>
      </c>
      <c r="G54" s="2"/>
      <c r="H54" s="2"/>
      <c r="I54" s="2"/>
      <c r="J54" s="2"/>
    </row>
    <row r="55" ht="15.75" customHeight="1">
      <c r="A55" s="13" t="str">
        <f>HYPERLINK("https://stackoverflow.com/q/48001643", "48001643")</f>
        <v>48001643</v>
      </c>
      <c r="B55" s="14" t="s">
        <v>85</v>
      </c>
      <c r="C55" s="15"/>
      <c r="D55" s="15">
        <v>4826.0</v>
      </c>
      <c r="E55" s="14" t="s">
        <v>86</v>
      </c>
      <c r="F55" s="14" t="s">
        <v>87</v>
      </c>
      <c r="G55" s="14"/>
      <c r="H55" s="14"/>
      <c r="I55" s="14"/>
      <c r="J55" s="14"/>
      <c r="K55" s="16"/>
      <c r="L55" s="16"/>
    </row>
    <row r="56" ht="15.75" customHeight="1">
      <c r="A56" s="4" t="str">
        <f>HYPERLINK("https://stackoverflow.com/q/48611208", "48611208")</f>
        <v>48611208</v>
      </c>
      <c r="B56" s="2" t="s">
        <v>88</v>
      </c>
      <c r="C56" s="3"/>
      <c r="D56" s="3">
        <v>4748.0</v>
      </c>
      <c r="E56" s="2" t="s">
        <v>11</v>
      </c>
      <c r="F56" s="2" t="s">
        <v>18</v>
      </c>
      <c r="G56" s="2"/>
      <c r="H56" s="2"/>
      <c r="I56" s="2"/>
      <c r="J56" s="2"/>
    </row>
    <row r="57" ht="15.75" customHeight="1">
      <c r="A57" s="4" t="str">
        <f>HYPERLINK("https://stackoverflow.com/q/52764400", "52764400")</f>
        <v>52764400</v>
      </c>
      <c r="B57" s="2" t="s">
        <v>89</v>
      </c>
      <c r="C57" s="3"/>
      <c r="D57" s="3">
        <v>4690.0</v>
      </c>
      <c r="E57" s="2" t="s">
        <v>11</v>
      </c>
      <c r="F57" s="2" t="s">
        <v>84</v>
      </c>
      <c r="G57" s="2"/>
      <c r="H57" s="2"/>
      <c r="I57" s="2"/>
      <c r="J57" s="2"/>
    </row>
    <row r="58" ht="15.75" customHeight="1">
      <c r="A58" s="4" t="str">
        <f>HYPERLINK("https://stackoverflow.com/q/20437820", "20437820")</f>
        <v>20437820</v>
      </c>
      <c r="B58" s="2" t="s">
        <v>90</v>
      </c>
      <c r="C58" s="3"/>
      <c r="D58" s="3">
        <v>4502.0</v>
      </c>
      <c r="E58" s="2" t="s">
        <v>11</v>
      </c>
      <c r="F58" s="2" t="s">
        <v>25</v>
      </c>
      <c r="G58" s="2"/>
      <c r="H58" s="2"/>
      <c r="I58" s="2"/>
      <c r="J58" s="2"/>
    </row>
    <row r="59" ht="15.75" customHeight="1">
      <c r="A59" s="4" t="str">
        <f>HYPERLINK("https://stackoverflow.com/q/45772221", "45772221")</f>
        <v>45772221</v>
      </c>
      <c r="B59" s="2" t="s">
        <v>91</v>
      </c>
      <c r="C59" s="3"/>
      <c r="D59" s="3">
        <v>4496.0</v>
      </c>
      <c r="E59" s="2"/>
      <c r="F59" s="2" t="s">
        <v>23</v>
      </c>
      <c r="G59" s="2"/>
      <c r="H59" s="2"/>
      <c r="I59" s="2"/>
      <c r="J59" s="2"/>
    </row>
    <row r="60" ht="15.75" customHeight="1">
      <c r="A60" s="4" t="str">
        <f>HYPERLINK("https://stackoverflow.com/q/50415065", "50415065")</f>
        <v>50415065</v>
      </c>
      <c r="B60" s="2" t="s">
        <v>92</v>
      </c>
      <c r="C60" s="3"/>
      <c r="D60" s="3">
        <v>4481.0</v>
      </c>
      <c r="E60" s="2" t="s">
        <v>11</v>
      </c>
      <c r="F60" s="2" t="s">
        <v>25</v>
      </c>
      <c r="G60" s="2"/>
      <c r="H60" s="2"/>
      <c r="I60" s="2"/>
      <c r="J60" s="2"/>
    </row>
    <row r="61" ht="15.75" customHeight="1">
      <c r="A61" s="4" t="str">
        <f>HYPERLINK("https://stackoverflow.com/q/51050661", "51050661")</f>
        <v>51050661</v>
      </c>
      <c r="B61" s="2" t="s">
        <v>93</v>
      </c>
      <c r="C61" s="3"/>
      <c r="D61" s="3">
        <v>4462.0</v>
      </c>
      <c r="E61" s="2" t="s">
        <v>11</v>
      </c>
      <c r="F61" s="2" t="s">
        <v>14</v>
      </c>
      <c r="G61" s="2"/>
      <c r="H61" s="2"/>
      <c r="I61" s="2"/>
      <c r="J61" s="2"/>
    </row>
    <row r="62" ht="15.75" customHeight="1">
      <c r="A62" s="4" t="str">
        <f>HYPERLINK("https://stackoverflow.com/q/44242378", "44242378")</f>
        <v>44242378</v>
      </c>
      <c r="B62" s="2" t="s">
        <v>94</v>
      </c>
      <c r="C62" s="3"/>
      <c r="D62" s="3">
        <v>4441.0</v>
      </c>
      <c r="E62" s="2" t="s">
        <v>11</v>
      </c>
      <c r="F62" s="2" t="s">
        <v>25</v>
      </c>
      <c r="G62" s="2"/>
      <c r="H62" s="2"/>
      <c r="I62" s="2"/>
      <c r="J62" s="2"/>
    </row>
    <row r="63" ht="15.75" customHeight="1">
      <c r="A63" s="4" t="str">
        <f>HYPERLINK("https://stackoverflow.com/q/24450595", "24450595")</f>
        <v>24450595</v>
      </c>
      <c r="B63" s="2" t="s">
        <v>95</v>
      </c>
      <c r="C63" s="3"/>
      <c r="D63" s="3">
        <v>4330.0</v>
      </c>
      <c r="E63" s="2" t="s">
        <v>11</v>
      </c>
      <c r="F63" s="2" t="s">
        <v>49</v>
      </c>
      <c r="G63" s="2"/>
      <c r="H63" s="2"/>
      <c r="I63" s="2"/>
      <c r="J63" s="2"/>
    </row>
    <row r="64" ht="15.75" customHeight="1">
      <c r="A64" s="4" t="str">
        <f>HYPERLINK("https://stackoverflow.com/q/47189669", "47189669")</f>
        <v>47189669</v>
      </c>
      <c r="B64" s="2" t="s">
        <v>96</v>
      </c>
      <c r="C64" s="3"/>
      <c r="D64" s="3">
        <v>4323.0</v>
      </c>
      <c r="E64" s="2" t="s">
        <v>11</v>
      </c>
      <c r="F64" s="2" t="s">
        <v>14</v>
      </c>
      <c r="G64" s="2"/>
      <c r="H64" s="2"/>
      <c r="I64" s="2"/>
      <c r="J64" s="2"/>
    </row>
    <row r="65" ht="15.75" customHeight="1">
      <c r="A65" s="4" t="str">
        <f>HYPERLINK("https://stackoverflow.com/q/12242168", "12242168")</f>
        <v>12242168</v>
      </c>
      <c r="B65" s="2" t="s">
        <v>97</v>
      </c>
      <c r="C65" s="3"/>
      <c r="D65" s="3">
        <v>4303.0</v>
      </c>
      <c r="E65" s="2" t="s">
        <v>11</v>
      </c>
      <c r="F65" s="2" t="s">
        <v>12</v>
      </c>
      <c r="G65" s="2"/>
      <c r="H65" s="2"/>
      <c r="I65" s="2"/>
      <c r="J65" s="2"/>
    </row>
    <row r="66" ht="15.75" customHeight="1">
      <c r="A66" s="4" t="str">
        <f>HYPERLINK("https://stackoverflow.com/q/48646795", "48646795")</f>
        <v>48646795</v>
      </c>
      <c r="B66" s="2" t="s">
        <v>98</v>
      </c>
      <c r="C66" s="3">
        <v>1.0</v>
      </c>
      <c r="D66" s="3">
        <v>4302.0</v>
      </c>
      <c r="E66" s="2" t="s">
        <v>11</v>
      </c>
      <c r="F66" s="2" t="s">
        <v>25</v>
      </c>
      <c r="G66" s="2"/>
      <c r="H66" s="2"/>
      <c r="I66" s="2"/>
      <c r="J66" s="2"/>
    </row>
    <row r="67" ht="15.75" customHeight="1">
      <c r="A67" s="4" t="str">
        <f>HYPERLINK("https://stackoverflow.com/q/51171853", "51171853")</f>
        <v>51171853</v>
      </c>
      <c r="B67" s="2" t="s">
        <v>99</v>
      </c>
      <c r="C67" s="3"/>
      <c r="D67" s="3">
        <v>4196.0</v>
      </c>
      <c r="E67" s="2" t="s">
        <v>11</v>
      </c>
      <c r="F67" s="2" t="s">
        <v>56</v>
      </c>
      <c r="G67" s="2"/>
      <c r="H67" s="2"/>
      <c r="I67" s="2"/>
      <c r="J67" s="2"/>
    </row>
    <row r="68" ht="15.75" customHeight="1">
      <c r="A68" s="4" t="str">
        <f>HYPERLINK("https://stackoverflow.com/q/17886545", "17886545")</f>
        <v>17886545</v>
      </c>
      <c r="B68" s="2" t="s">
        <v>100</v>
      </c>
      <c r="C68" s="3">
        <v>1.0</v>
      </c>
      <c r="D68" s="3">
        <v>4176.0</v>
      </c>
      <c r="E68" s="2" t="s">
        <v>11</v>
      </c>
      <c r="F68" s="2" t="s">
        <v>18</v>
      </c>
      <c r="G68" s="2"/>
      <c r="H68" s="2"/>
      <c r="I68" s="2"/>
      <c r="J68" s="2"/>
    </row>
    <row r="69" ht="15.75" customHeight="1">
      <c r="A69" s="4" t="str">
        <f>HYPERLINK("https://stackoverflow.com/q/48119162", "48119162")</f>
        <v>48119162</v>
      </c>
      <c r="B69" s="2" t="s">
        <v>101</v>
      </c>
      <c r="C69" s="3"/>
      <c r="D69" s="3">
        <v>4174.0</v>
      </c>
      <c r="E69" s="2" t="s">
        <v>11</v>
      </c>
      <c r="F69" s="2" t="s">
        <v>18</v>
      </c>
      <c r="G69" s="2" t="s">
        <v>25</v>
      </c>
      <c r="H69" s="2"/>
      <c r="I69" s="2"/>
      <c r="J69" s="2"/>
    </row>
    <row r="70" ht="15.75" customHeight="1">
      <c r="A70" s="4" t="str">
        <f>HYPERLINK("https://stackoverflow.com/q/53286917", "53286917")</f>
        <v>53286917</v>
      </c>
      <c r="B70" s="2" t="s">
        <v>102</v>
      </c>
      <c r="C70" s="3"/>
      <c r="D70" s="3">
        <v>4174.0</v>
      </c>
      <c r="E70" s="2" t="s">
        <v>11</v>
      </c>
      <c r="F70" s="2" t="s">
        <v>25</v>
      </c>
      <c r="G70" s="2" t="s">
        <v>34</v>
      </c>
      <c r="H70" s="2"/>
      <c r="I70" s="2"/>
      <c r="J70" s="2"/>
    </row>
    <row r="71" ht="15.75" customHeight="1">
      <c r="A71" s="4" t="str">
        <f>HYPERLINK("https://stackoverflow.com/q/47258899", "47258899")</f>
        <v>47258899</v>
      </c>
      <c r="B71" s="2" t="s">
        <v>103</v>
      </c>
      <c r="C71" s="3">
        <v>1.0</v>
      </c>
      <c r="D71" s="3">
        <v>4145.0</v>
      </c>
      <c r="E71" s="2"/>
      <c r="F71" s="2"/>
      <c r="G71" s="2"/>
      <c r="H71" s="2"/>
      <c r="I71" s="2"/>
      <c r="J71" s="2"/>
    </row>
    <row r="72" ht="15.75" customHeight="1">
      <c r="A72" s="4" t="str">
        <f>HYPERLINK("https://stackoverflow.com/q/8067099", "8067099")</f>
        <v>8067099</v>
      </c>
      <c r="B72" s="2" t="s">
        <v>104</v>
      </c>
      <c r="C72" s="3"/>
      <c r="D72" s="3">
        <v>4143.0</v>
      </c>
      <c r="E72" s="2" t="s">
        <v>11</v>
      </c>
      <c r="F72" s="2" t="s">
        <v>25</v>
      </c>
      <c r="G72" s="2"/>
      <c r="H72" s="2"/>
      <c r="I72" s="2"/>
      <c r="J72" s="2"/>
    </row>
    <row r="73" ht="15.75" customHeight="1">
      <c r="A73" s="4" t="str">
        <f>HYPERLINK("https://stackoverflow.com/q/29386945", "29386945")</f>
        <v>29386945</v>
      </c>
      <c r="B73" s="2" t="s">
        <v>105</v>
      </c>
      <c r="C73" s="3">
        <v>1.0</v>
      </c>
      <c r="D73" s="3">
        <v>4045.0</v>
      </c>
      <c r="E73" s="2" t="s">
        <v>11</v>
      </c>
      <c r="F73" s="2" t="s">
        <v>25</v>
      </c>
      <c r="G73" s="2"/>
      <c r="H73" s="2"/>
      <c r="I73" s="2"/>
      <c r="J73" s="2"/>
    </row>
    <row r="74" ht="15.75" customHeight="1">
      <c r="A74" s="4" t="str">
        <f>HYPERLINK("https://stackoverflow.com/q/43096166", "43096166")</f>
        <v>43096166</v>
      </c>
      <c r="B74" s="2" t="s">
        <v>106</v>
      </c>
      <c r="C74" s="3"/>
      <c r="D74" s="3">
        <v>3888.0</v>
      </c>
      <c r="E74" s="2" t="s">
        <v>11</v>
      </c>
      <c r="F74" s="2" t="s">
        <v>18</v>
      </c>
      <c r="G74" s="2"/>
      <c r="H74" s="2"/>
      <c r="I74" s="2"/>
      <c r="J74" s="2"/>
    </row>
    <row r="75" ht="15.75" customHeight="1">
      <c r="A75" s="4" t="str">
        <f>HYPERLINK("https://stackoverflow.com/q/45442784", "45442784")</f>
        <v>45442784</v>
      </c>
      <c r="B75" s="2" t="s">
        <v>107</v>
      </c>
      <c r="C75" s="3"/>
      <c r="D75" s="3">
        <v>3880.0</v>
      </c>
      <c r="E75" s="2" t="s">
        <v>11</v>
      </c>
      <c r="F75" s="2" t="s">
        <v>18</v>
      </c>
      <c r="G75" s="2"/>
      <c r="H75" s="2"/>
      <c r="I75" s="2"/>
      <c r="J75" s="2"/>
    </row>
    <row r="76" ht="15.75" customHeight="1">
      <c r="A76" s="4" t="str">
        <f>HYPERLINK("https://stackoverflow.com/q/13767870", "13767870")</f>
        <v>13767870</v>
      </c>
      <c r="B76" s="2" t="s">
        <v>108</v>
      </c>
      <c r="C76" s="3"/>
      <c r="D76" s="3">
        <v>3836.0</v>
      </c>
      <c r="E76" s="2"/>
      <c r="F76" s="2"/>
      <c r="G76" s="2"/>
      <c r="H76" s="2"/>
      <c r="I76" s="2"/>
      <c r="J76" s="2"/>
    </row>
    <row r="77" ht="15.75" customHeight="1">
      <c r="A77" s="4" t="str">
        <f>HYPERLINK("https://stackoverflow.com/q/57261342", "57261342")</f>
        <v>57261342</v>
      </c>
      <c r="B77" s="2" t="s">
        <v>109</v>
      </c>
      <c r="C77" s="3"/>
      <c r="D77" s="3">
        <v>3809.0</v>
      </c>
      <c r="E77" s="2"/>
      <c r="F77" s="2"/>
      <c r="G77" s="2"/>
      <c r="H77" s="2"/>
      <c r="I77" s="2"/>
      <c r="J77" s="2"/>
    </row>
    <row r="78" ht="15.75" customHeight="1">
      <c r="A78" s="4" t="str">
        <f>HYPERLINK("https://stackoverflow.com/q/1258834", "1258834")</f>
        <v>1258834</v>
      </c>
      <c r="B78" s="2" t="s">
        <v>110</v>
      </c>
      <c r="C78" s="3">
        <v>1.0</v>
      </c>
      <c r="D78" s="3">
        <v>3802.0</v>
      </c>
      <c r="E78" s="2" t="s">
        <v>11</v>
      </c>
      <c r="F78" s="2" t="s">
        <v>25</v>
      </c>
      <c r="G78" s="2" t="s">
        <v>35</v>
      </c>
      <c r="H78" s="2"/>
      <c r="I78" s="2"/>
      <c r="J78" s="2" t="s">
        <v>111</v>
      </c>
    </row>
    <row r="79" ht="15.75" customHeight="1">
      <c r="A79" s="4" t="str">
        <f>HYPERLINK("https://stackoverflow.com/q/43261170", "43261170")</f>
        <v>43261170</v>
      </c>
      <c r="B79" s="2" t="s">
        <v>112</v>
      </c>
      <c r="C79" s="3"/>
      <c r="D79" s="3">
        <v>3783.0</v>
      </c>
      <c r="E79" s="2"/>
      <c r="F79" s="2"/>
      <c r="G79" s="2"/>
      <c r="H79" s="2"/>
      <c r="I79" s="2"/>
      <c r="J79" s="2"/>
    </row>
    <row r="80" ht="15.75" customHeight="1">
      <c r="A80" s="4" t="str">
        <f>HYPERLINK("https://stackoverflow.com/q/21178560", "21178560")</f>
        <v>21178560</v>
      </c>
      <c r="B80" s="2" t="s">
        <v>113</v>
      </c>
      <c r="C80" s="3">
        <v>0.0</v>
      </c>
      <c r="D80" s="3">
        <v>3773.0</v>
      </c>
      <c r="E80" s="2"/>
      <c r="F80" s="2"/>
      <c r="G80" s="2"/>
      <c r="H80" s="2"/>
      <c r="I80" s="2"/>
      <c r="J80" s="2"/>
    </row>
    <row r="81" ht="15.75" customHeight="1">
      <c r="A81" s="4" t="str">
        <f>HYPERLINK("https://stackoverflow.com/q/3578981", "3578981")</f>
        <v>3578981</v>
      </c>
      <c r="B81" s="2" t="s">
        <v>114</v>
      </c>
      <c r="C81" s="3">
        <v>3.0</v>
      </c>
      <c r="D81" s="3">
        <v>3767.0</v>
      </c>
      <c r="E81" s="2"/>
      <c r="F81" s="2"/>
      <c r="G81" s="2"/>
      <c r="H81" s="2"/>
      <c r="I81" s="2"/>
      <c r="J81" s="2"/>
    </row>
    <row r="82" ht="15.75" customHeight="1">
      <c r="A82" s="4" t="str">
        <f>HYPERLINK("https://stackoverflow.com/q/55366951", "55366951")</f>
        <v>55366951</v>
      </c>
      <c r="B82" s="2" t="s">
        <v>115</v>
      </c>
      <c r="C82" s="3"/>
      <c r="D82" s="3">
        <v>3621.0</v>
      </c>
      <c r="E82" s="2" t="s">
        <v>11</v>
      </c>
      <c r="F82" s="2" t="s">
        <v>67</v>
      </c>
      <c r="G82" s="2" t="s">
        <v>34</v>
      </c>
      <c r="H82" s="2"/>
      <c r="I82" s="2"/>
      <c r="J82" s="2"/>
    </row>
    <row r="83" ht="15.75" customHeight="1">
      <c r="A83" s="4" t="str">
        <f>HYPERLINK("https://stackoverflow.com/q/49670353", "49670353")</f>
        <v>49670353</v>
      </c>
      <c r="B83" s="2" t="s">
        <v>116</v>
      </c>
      <c r="C83" s="3">
        <v>1.0</v>
      </c>
      <c r="D83" s="3">
        <v>3619.0</v>
      </c>
      <c r="E83" s="2"/>
      <c r="F83" s="2"/>
      <c r="G83" s="2"/>
      <c r="H83" s="2"/>
      <c r="I83" s="2"/>
      <c r="J83" s="2"/>
    </row>
    <row r="84" ht="15.75" customHeight="1">
      <c r="A84" s="4" t="str">
        <f>HYPERLINK("https://stackoverflow.com/q/16930202", "16930202")</f>
        <v>16930202</v>
      </c>
      <c r="B84" s="2" t="s">
        <v>117</v>
      </c>
      <c r="C84" s="3"/>
      <c r="D84" s="3">
        <v>3596.0</v>
      </c>
      <c r="E84" s="2" t="s">
        <v>11</v>
      </c>
      <c r="F84" s="2" t="s">
        <v>25</v>
      </c>
      <c r="G84" s="2"/>
      <c r="H84" s="2"/>
      <c r="I84" s="2"/>
      <c r="J84" s="2"/>
    </row>
    <row r="85" ht="15.75" customHeight="1">
      <c r="A85" s="4" t="str">
        <f>HYPERLINK("https://stackoverflow.com/q/43480568", "43480568")</f>
        <v>43480568</v>
      </c>
      <c r="B85" s="2" t="s">
        <v>118</v>
      </c>
      <c r="C85" s="3"/>
      <c r="D85" s="3">
        <v>3575.0</v>
      </c>
      <c r="E85" s="2" t="s">
        <v>11</v>
      </c>
      <c r="F85" s="2" t="s">
        <v>16</v>
      </c>
      <c r="G85" s="2"/>
      <c r="H85" s="2"/>
      <c r="I85" s="2"/>
      <c r="J85" s="2"/>
    </row>
    <row r="86" ht="15.75" customHeight="1">
      <c r="A86" s="4" t="str">
        <f>HYPERLINK("https://stackoverflow.com/q/43655581", "43655581")</f>
        <v>43655581</v>
      </c>
      <c r="B86" s="2" t="s">
        <v>119</v>
      </c>
      <c r="C86" s="3"/>
      <c r="D86" s="3">
        <v>3514.0</v>
      </c>
      <c r="E86" s="2" t="s">
        <v>11</v>
      </c>
      <c r="F86" s="2" t="s">
        <v>67</v>
      </c>
      <c r="G86" s="2"/>
      <c r="H86" s="2"/>
      <c r="I86" s="2"/>
      <c r="J86" s="2"/>
    </row>
    <row r="87" ht="15.75" customHeight="1">
      <c r="A87" s="4" t="str">
        <f>HYPERLINK("https://stackoverflow.com/q/18368258", "18368258")</f>
        <v>18368258</v>
      </c>
      <c r="B87" s="2" t="s">
        <v>120</v>
      </c>
      <c r="C87" s="3"/>
      <c r="D87" s="3">
        <v>3472.0</v>
      </c>
      <c r="E87" s="2"/>
      <c r="F87" s="2"/>
      <c r="G87" s="2"/>
      <c r="H87" s="2"/>
      <c r="I87" s="2"/>
      <c r="J87" s="2"/>
    </row>
    <row r="88" ht="15.75" customHeight="1">
      <c r="A88" s="4" t="str">
        <f>HYPERLINK("https://stackoverflow.com/q/17758355", "17758355")</f>
        <v>17758355</v>
      </c>
      <c r="B88" s="2" t="s">
        <v>121</v>
      </c>
      <c r="C88" s="3"/>
      <c r="D88" s="3">
        <v>3444.0</v>
      </c>
      <c r="E88" s="2"/>
      <c r="F88" s="2"/>
      <c r="G88" s="2"/>
      <c r="H88" s="2"/>
      <c r="I88" s="2"/>
      <c r="J88" s="2"/>
    </row>
    <row r="89" ht="15.75" customHeight="1">
      <c r="A89" s="4" t="str">
        <f>HYPERLINK("https://stackoverflow.com/q/48897493", "48897493")</f>
        <v>48897493</v>
      </c>
      <c r="B89" s="2" t="s">
        <v>122</v>
      </c>
      <c r="C89" s="3"/>
      <c r="D89" s="3">
        <v>3440.0</v>
      </c>
      <c r="E89" s="2"/>
      <c r="F89" s="2"/>
      <c r="G89" s="2"/>
      <c r="H89" s="2"/>
      <c r="I89" s="2"/>
      <c r="J89" s="2"/>
    </row>
    <row r="90" ht="15.75" customHeight="1">
      <c r="A90" s="4" t="str">
        <f>HYPERLINK("https://stackoverflow.com/q/19495048", "19495048")</f>
        <v>19495048</v>
      </c>
      <c r="B90" s="2" t="s">
        <v>123</v>
      </c>
      <c r="C90" s="3"/>
      <c r="D90" s="3">
        <v>3421.0</v>
      </c>
      <c r="E90" s="2"/>
      <c r="F90" s="2"/>
      <c r="G90" s="2"/>
      <c r="H90" s="2"/>
      <c r="I90" s="2"/>
      <c r="J90" s="2"/>
    </row>
    <row r="91" ht="15.75" customHeight="1">
      <c r="A91" s="4" t="str">
        <f>HYPERLINK("https://stackoverflow.com/q/48439782", "48439782")</f>
        <v>48439782</v>
      </c>
      <c r="B91" s="2" t="s">
        <v>124</v>
      </c>
      <c r="C91" s="3"/>
      <c r="D91" s="3">
        <v>3392.0</v>
      </c>
      <c r="E91" s="2"/>
      <c r="F91" s="2"/>
      <c r="G91" s="2"/>
      <c r="H91" s="2"/>
      <c r="I91" s="2"/>
      <c r="J91" s="2"/>
    </row>
    <row r="92" ht="15.75" customHeight="1">
      <c r="A92" s="4" t="str">
        <f>HYPERLINK("https://stackoverflow.com/q/7304006", "7304006")</f>
        <v>7304006</v>
      </c>
      <c r="B92" s="2" t="s">
        <v>125</v>
      </c>
      <c r="C92" s="3"/>
      <c r="D92" s="3">
        <v>3381.0</v>
      </c>
      <c r="E92" s="2" t="s">
        <v>11</v>
      </c>
      <c r="F92" s="2" t="s">
        <v>35</v>
      </c>
      <c r="G92" s="2" t="s">
        <v>18</v>
      </c>
      <c r="H92" s="2"/>
      <c r="I92" s="2"/>
      <c r="J92" s="2"/>
    </row>
    <row r="93" ht="15.75" customHeight="1">
      <c r="A93" s="4" t="str">
        <f>HYPERLINK("https://stackoverflow.com/q/45834435", "45834435")</f>
        <v>45834435</v>
      </c>
      <c r="B93" s="2" t="s">
        <v>126</v>
      </c>
      <c r="C93" s="3">
        <v>1.0</v>
      </c>
      <c r="D93" s="3">
        <v>3370.0</v>
      </c>
      <c r="E93" s="2" t="s">
        <v>11</v>
      </c>
      <c r="F93" s="2" t="s">
        <v>25</v>
      </c>
      <c r="G93" s="2"/>
      <c r="H93" s="2"/>
      <c r="I93" s="2"/>
      <c r="J93" s="2"/>
    </row>
    <row r="94" ht="15.75" customHeight="1">
      <c r="A94" s="4" t="str">
        <f>HYPERLINK("https://stackoverflow.com/q/53750539", "53750539")</f>
        <v>53750539</v>
      </c>
      <c r="B94" s="2" t="s">
        <v>127</v>
      </c>
      <c r="C94" s="3"/>
      <c r="D94" s="3">
        <v>3360.0</v>
      </c>
      <c r="E94" s="2"/>
      <c r="F94" s="2"/>
      <c r="G94" s="2"/>
      <c r="H94" s="2"/>
      <c r="I94" s="2"/>
      <c r="J94" s="2"/>
    </row>
    <row r="95" ht="15.75" customHeight="1">
      <c r="A95" s="4" t="str">
        <f>HYPERLINK("https://stackoverflow.com/q/23665466", "23665466")</f>
        <v>23665466</v>
      </c>
      <c r="B95" s="2" t="s">
        <v>128</v>
      </c>
      <c r="C95" s="3"/>
      <c r="D95" s="3">
        <v>3351.0</v>
      </c>
      <c r="E95" s="2"/>
      <c r="F95" s="2"/>
      <c r="G95" s="2"/>
      <c r="H95" s="2"/>
      <c r="I95" s="2"/>
      <c r="J95" s="2"/>
    </row>
    <row r="96" ht="15.75" customHeight="1">
      <c r="A96" s="4" t="str">
        <f>HYPERLINK("https://stackoverflow.com/q/52529279", "52529279")</f>
        <v>52529279</v>
      </c>
      <c r="B96" s="2" t="s">
        <v>129</v>
      </c>
      <c r="C96" s="3"/>
      <c r="D96" s="3">
        <v>3324.0</v>
      </c>
      <c r="E96" s="2"/>
      <c r="F96" s="2"/>
      <c r="G96" s="2"/>
      <c r="H96" s="2"/>
      <c r="I96" s="2"/>
      <c r="J96" s="2"/>
    </row>
    <row r="97" ht="15.75" customHeight="1">
      <c r="A97" s="4" t="str">
        <f>HYPERLINK("https://stackoverflow.com/q/37837215", "37837215")</f>
        <v>37837215</v>
      </c>
      <c r="B97" s="2" t="s">
        <v>130</v>
      </c>
      <c r="C97" s="3"/>
      <c r="D97" s="3">
        <v>3291.0</v>
      </c>
      <c r="E97" s="2"/>
      <c r="F97" s="2"/>
      <c r="G97" s="2"/>
      <c r="H97" s="2"/>
      <c r="I97" s="2"/>
      <c r="J97" s="2"/>
    </row>
    <row r="98" ht="15.75" customHeight="1">
      <c r="A98" s="4" t="str">
        <f>HYPERLINK("https://stackoverflow.com/q/544097", "544097")</f>
        <v>544097</v>
      </c>
      <c r="B98" s="2" t="s">
        <v>131</v>
      </c>
      <c r="C98" s="3">
        <v>1.0</v>
      </c>
      <c r="D98" s="3">
        <v>3207.0</v>
      </c>
      <c r="E98" s="2"/>
      <c r="F98" s="2"/>
      <c r="G98" s="2"/>
      <c r="H98" s="2"/>
      <c r="I98" s="2"/>
      <c r="J98" s="2"/>
    </row>
    <row r="99" ht="15.75" customHeight="1">
      <c r="A99" s="4" t="str">
        <f>HYPERLINK("https://stackoverflow.com/q/42900540", "42900540")</f>
        <v>42900540</v>
      </c>
      <c r="B99" s="2" t="s">
        <v>132</v>
      </c>
      <c r="C99" s="3"/>
      <c r="D99" s="3">
        <v>3197.0</v>
      </c>
      <c r="E99" s="2" t="s">
        <v>11</v>
      </c>
      <c r="F99" s="2" t="s">
        <v>25</v>
      </c>
      <c r="G99" s="2"/>
      <c r="H99" s="2"/>
      <c r="I99" s="2"/>
      <c r="J99" s="2"/>
    </row>
    <row r="100" ht="15.75" customHeight="1">
      <c r="A100" s="4" t="str">
        <f>HYPERLINK("https://stackoverflow.com/q/50116681", "50116681")</f>
        <v>50116681</v>
      </c>
      <c r="B100" s="2" t="s">
        <v>133</v>
      </c>
      <c r="C100" s="3"/>
      <c r="D100" s="3">
        <v>3180.0</v>
      </c>
      <c r="E100" s="2"/>
      <c r="F100" s="2"/>
      <c r="G100" s="2"/>
      <c r="H100" s="2"/>
      <c r="I100" s="2"/>
      <c r="J100" s="2"/>
    </row>
    <row r="101" ht="15.75" customHeight="1">
      <c r="A101" s="4" t="str">
        <f>HYPERLINK("https://stackoverflow.com/q/8522884", "8522884")</f>
        <v>8522884</v>
      </c>
      <c r="B101" s="2" t="s">
        <v>134</v>
      </c>
      <c r="C101" s="3"/>
      <c r="D101" s="3">
        <v>3176.0</v>
      </c>
      <c r="E101" s="2"/>
      <c r="F101" s="2" t="s">
        <v>23</v>
      </c>
      <c r="G101" s="2"/>
      <c r="H101" s="2"/>
      <c r="I101" s="2"/>
      <c r="J101" s="2"/>
    </row>
    <row r="102" ht="15.75" customHeight="1">
      <c r="A102" s="4" t="str">
        <f>HYPERLINK("https://stackoverflow.com/q/45933300", "45933300")</f>
        <v>45933300</v>
      </c>
      <c r="B102" s="2" t="s">
        <v>135</v>
      </c>
      <c r="C102" s="3"/>
      <c r="D102" s="3">
        <v>3160.0</v>
      </c>
      <c r="E102" s="2"/>
      <c r="F102" s="2"/>
      <c r="G102" s="2"/>
      <c r="H102" s="2"/>
      <c r="I102" s="2"/>
      <c r="J102" s="2"/>
    </row>
    <row r="103" ht="15.75" customHeight="1">
      <c r="A103" s="4" t="str">
        <f>HYPERLINK("https://stackoverflow.com/q/44903106", "44903106")</f>
        <v>44903106</v>
      </c>
      <c r="B103" s="2" t="s">
        <v>136</v>
      </c>
      <c r="C103" s="3">
        <v>1.0</v>
      </c>
      <c r="D103" s="3">
        <v>3029.0</v>
      </c>
      <c r="E103" s="2"/>
      <c r="F103" s="2"/>
      <c r="G103" s="2"/>
      <c r="H103" s="2"/>
      <c r="I103" s="2"/>
      <c r="J103" s="2"/>
    </row>
    <row r="104" ht="15.75" customHeight="1">
      <c r="A104" s="4" t="str">
        <f>HYPERLINK("https://stackoverflow.com/q/32791968", "32791968")</f>
        <v>32791968</v>
      </c>
      <c r="B104" s="2" t="s">
        <v>137</v>
      </c>
      <c r="C104" s="3"/>
      <c r="D104" s="3">
        <v>2918.0</v>
      </c>
      <c r="E104" s="2"/>
      <c r="F104" s="2"/>
      <c r="G104" s="2"/>
      <c r="H104" s="2"/>
      <c r="I104" s="2"/>
      <c r="J104" s="2"/>
    </row>
    <row r="105" ht="15.75" customHeight="1">
      <c r="A105" s="4" t="str">
        <f>HYPERLINK("https://stackoverflow.com/q/41935351", "41935351")</f>
        <v>41935351</v>
      </c>
      <c r="B105" s="2" t="s">
        <v>138</v>
      </c>
      <c r="C105" s="3"/>
      <c r="D105" s="3">
        <v>2905.0</v>
      </c>
      <c r="E105" s="2" t="s">
        <v>11</v>
      </c>
      <c r="F105" s="2" t="s">
        <v>56</v>
      </c>
      <c r="G105" s="2"/>
      <c r="H105" s="2"/>
      <c r="I105" s="2"/>
      <c r="J105" s="2"/>
    </row>
    <row r="106" ht="15.75" customHeight="1">
      <c r="A106" s="4" t="str">
        <f>HYPERLINK("https://stackoverflow.com/q/41063794", "41063794")</f>
        <v>41063794</v>
      </c>
      <c r="B106" s="2" t="s">
        <v>139</v>
      </c>
      <c r="C106" s="3"/>
      <c r="D106" s="3">
        <v>2899.0</v>
      </c>
      <c r="E106" s="2"/>
      <c r="F106" s="2"/>
      <c r="G106" s="2"/>
      <c r="H106" s="2"/>
      <c r="I106" s="2"/>
      <c r="J106" s="2"/>
    </row>
    <row r="107" ht="15.75" customHeight="1">
      <c r="A107" s="4" t="str">
        <f>HYPERLINK("https://stackoverflow.com/q/57008985", "57008985")</f>
        <v>57008985</v>
      </c>
      <c r="B107" s="2" t="s">
        <v>140</v>
      </c>
      <c r="C107" s="3"/>
      <c r="D107" s="3">
        <v>2898.0</v>
      </c>
      <c r="E107" s="2"/>
      <c r="F107" s="2"/>
      <c r="G107" s="2"/>
      <c r="H107" s="2"/>
      <c r="I107" s="2"/>
      <c r="J107" s="2"/>
    </row>
    <row r="108" ht="15.75" customHeight="1">
      <c r="A108" s="4" t="str">
        <f>HYPERLINK("https://stackoverflow.com/q/51499885", "51499885")</f>
        <v>51499885</v>
      </c>
      <c r="B108" s="2" t="s">
        <v>141</v>
      </c>
      <c r="C108" s="3"/>
      <c r="D108" s="3">
        <v>2869.0</v>
      </c>
      <c r="E108" s="2"/>
      <c r="F108" s="2"/>
      <c r="G108" s="2"/>
      <c r="H108" s="2"/>
      <c r="I108" s="2"/>
      <c r="J108" s="2"/>
    </row>
    <row r="109" ht="15.75" customHeight="1">
      <c r="A109" s="4" t="str">
        <f>HYPERLINK("https://stackoverflow.com/q/41806580", "41806580")</f>
        <v>41806580</v>
      </c>
      <c r="B109" s="2" t="s">
        <v>142</v>
      </c>
      <c r="C109" s="3"/>
      <c r="D109" s="3">
        <v>2824.0</v>
      </c>
      <c r="E109" s="2" t="s">
        <v>11</v>
      </c>
      <c r="F109" s="2" t="s">
        <v>56</v>
      </c>
      <c r="G109" s="2" t="s">
        <v>25</v>
      </c>
      <c r="H109" s="2"/>
      <c r="I109" s="2"/>
      <c r="J109" s="2"/>
    </row>
    <row r="110" ht="15.75" customHeight="1">
      <c r="A110" s="4" t="str">
        <f>HYPERLINK("https://stackoverflow.com/q/48556498", "48556498")</f>
        <v>48556498</v>
      </c>
      <c r="B110" s="2" t="s">
        <v>143</v>
      </c>
      <c r="C110" s="3"/>
      <c r="D110" s="3">
        <v>2803.0</v>
      </c>
      <c r="E110" s="2"/>
      <c r="F110" s="2"/>
      <c r="G110" s="2"/>
      <c r="H110" s="2"/>
      <c r="I110" s="2"/>
      <c r="J110" s="2"/>
    </row>
    <row r="111" ht="15.75" customHeight="1">
      <c r="A111" s="4" t="str">
        <f>HYPERLINK("https://stackoverflow.com/q/55805996", "55805996")</f>
        <v>55805996</v>
      </c>
      <c r="B111" s="2" t="s">
        <v>144</v>
      </c>
      <c r="C111" s="3"/>
      <c r="D111" s="3">
        <v>2801.0</v>
      </c>
      <c r="E111" s="2"/>
      <c r="F111" s="2"/>
      <c r="G111" s="2"/>
      <c r="H111" s="2"/>
      <c r="I111" s="2"/>
      <c r="J111" s="2"/>
    </row>
    <row r="112" ht="15.75" customHeight="1">
      <c r="A112" s="4" t="str">
        <f>HYPERLINK("https://stackoverflow.com/q/23813639", "23813639")</f>
        <v>23813639</v>
      </c>
      <c r="B112" s="2" t="s">
        <v>145</v>
      </c>
      <c r="C112" s="3"/>
      <c r="D112" s="3">
        <v>2795.0</v>
      </c>
      <c r="E112" s="2"/>
      <c r="F112" s="2"/>
      <c r="G112" s="2"/>
      <c r="H112" s="2"/>
      <c r="I112" s="2"/>
      <c r="J112" s="2"/>
    </row>
    <row r="113" ht="15.75" customHeight="1">
      <c r="A113" s="4" t="str">
        <f>HYPERLINK("https://stackoverflow.com/q/52288990", "52288990")</f>
        <v>52288990</v>
      </c>
      <c r="B113" s="2" t="s">
        <v>146</v>
      </c>
      <c r="C113" s="3"/>
      <c r="D113" s="3">
        <v>2795.0</v>
      </c>
      <c r="E113" s="2"/>
      <c r="F113" s="2"/>
      <c r="G113" s="2"/>
      <c r="H113" s="2"/>
      <c r="I113" s="2"/>
      <c r="J113" s="2"/>
    </row>
    <row r="114" ht="15.75" customHeight="1">
      <c r="A114" s="4" t="str">
        <f>HYPERLINK("https://stackoverflow.com/q/50167772", "50167772")</f>
        <v>50167772</v>
      </c>
      <c r="B114" s="2" t="s">
        <v>147</v>
      </c>
      <c r="C114" s="3"/>
      <c r="D114" s="3">
        <v>2783.0</v>
      </c>
      <c r="E114" s="2"/>
      <c r="F114" s="2"/>
      <c r="G114" s="2"/>
      <c r="H114" s="2"/>
      <c r="I114" s="2"/>
      <c r="J114" s="2"/>
    </row>
    <row r="115" ht="15.75" customHeight="1">
      <c r="A115" s="4" t="str">
        <f>HYPERLINK("https://stackoverflow.com/q/50628776", "50628776")</f>
        <v>50628776</v>
      </c>
      <c r="B115" s="2" t="s">
        <v>148</v>
      </c>
      <c r="C115" s="3"/>
      <c r="D115" s="3">
        <v>2768.0</v>
      </c>
      <c r="E115" s="2"/>
      <c r="F115" s="2"/>
      <c r="G115" s="2"/>
      <c r="H115" s="2"/>
      <c r="I115" s="2"/>
      <c r="J115" s="2"/>
    </row>
    <row r="116" ht="15.75" customHeight="1">
      <c r="A116" s="4" t="str">
        <f>HYPERLINK("https://stackoverflow.com/q/32380983", "32380983")</f>
        <v>32380983</v>
      </c>
      <c r="B116" s="2" t="s">
        <v>149</v>
      </c>
      <c r="C116" s="3">
        <v>0.0</v>
      </c>
      <c r="D116" s="3">
        <v>2767.0</v>
      </c>
      <c r="E116" s="2"/>
      <c r="F116" s="2"/>
      <c r="G116" s="2"/>
      <c r="H116" s="2"/>
      <c r="I116" s="2"/>
      <c r="J116" s="2"/>
    </row>
    <row r="117" ht="15.75" customHeight="1">
      <c r="A117" s="4" t="str">
        <f>HYPERLINK("https://stackoverflow.com/q/29623135", "29623135")</f>
        <v>29623135</v>
      </c>
      <c r="B117" s="2" t="s">
        <v>150</v>
      </c>
      <c r="C117" s="3">
        <v>1.0</v>
      </c>
      <c r="D117" s="3">
        <v>2765.0</v>
      </c>
      <c r="E117" s="2"/>
      <c r="F117" s="2"/>
      <c r="G117" s="2"/>
      <c r="H117" s="2"/>
      <c r="I117" s="2"/>
      <c r="J117" s="2"/>
    </row>
    <row r="118" ht="15.75" customHeight="1">
      <c r="A118" s="4" t="str">
        <f>HYPERLINK("https://stackoverflow.com/q/57528695", "57528695")</f>
        <v>57528695</v>
      </c>
      <c r="B118" s="2" t="s">
        <v>151</v>
      </c>
      <c r="C118" s="3"/>
      <c r="D118" s="3">
        <v>2757.0</v>
      </c>
      <c r="E118" s="2"/>
      <c r="F118" s="2"/>
      <c r="G118" s="2"/>
      <c r="H118" s="2"/>
      <c r="I118" s="2"/>
      <c r="J118" s="2"/>
    </row>
    <row r="119" ht="15.75" customHeight="1">
      <c r="A119" s="4" t="str">
        <f>HYPERLINK("https://stackoverflow.com/q/49692206", "49692206")</f>
        <v>49692206</v>
      </c>
      <c r="B119" s="2" t="s">
        <v>152</v>
      </c>
      <c r="C119" s="3"/>
      <c r="D119" s="3">
        <v>2752.0</v>
      </c>
      <c r="E119" s="2"/>
      <c r="F119" s="2"/>
      <c r="G119" s="2"/>
      <c r="H119" s="2"/>
      <c r="I119" s="2"/>
      <c r="J119" s="2"/>
    </row>
    <row r="120" ht="15.75" customHeight="1">
      <c r="A120" s="4" t="str">
        <f>HYPERLINK("https://stackoverflow.com/q/51973751", "51973751")</f>
        <v>51973751</v>
      </c>
      <c r="B120" s="2" t="s">
        <v>153</v>
      </c>
      <c r="C120" s="3">
        <v>1.0</v>
      </c>
      <c r="D120" s="3">
        <v>2739.0</v>
      </c>
      <c r="E120" s="2"/>
      <c r="F120" s="2"/>
      <c r="G120" s="2"/>
      <c r="H120" s="2"/>
      <c r="I120" s="2"/>
      <c r="J120" s="2"/>
    </row>
    <row r="121" ht="15.75" customHeight="1">
      <c r="A121" s="4" t="str">
        <f>HYPERLINK("https://stackoverflow.com/q/51092787", "51092787")</f>
        <v>51092787</v>
      </c>
      <c r="B121" s="2" t="s">
        <v>154</v>
      </c>
      <c r="C121" s="3">
        <v>1.0</v>
      </c>
      <c r="D121" s="3">
        <v>2731.0</v>
      </c>
      <c r="E121" s="2"/>
      <c r="F121" s="2"/>
      <c r="G121" s="2"/>
      <c r="H121" s="2"/>
      <c r="I121" s="2"/>
      <c r="J121" s="2"/>
    </row>
    <row r="122" ht="15.75" customHeight="1">
      <c r="A122" s="4" t="str">
        <f>HYPERLINK("https://stackoverflow.com/q/51151926", "51151926")</f>
        <v>51151926</v>
      </c>
      <c r="B122" s="2" t="s">
        <v>155</v>
      </c>
      <c r="C122" s="3"/>
      <c r="D122" s="3">
        <v>2708.0</v>
      </c>
      <c r="E122" s="2"/>
      <c r="F122" s="2"/>
      <c r="G122" s="2"/>
      <c r="H122" s="2"/>
      <c r="I122" s="2"/>
      <c r="J122" s="2"/>
    </row>
    <row r="123" ht="15.75" customHeight="1">
      <c r="A123" s="4" t="str">
        <f>HYPERLINK("https://stackoverflow.com/q/46303370", "46303370")</f>
        <v>46303370</v>
      </c>
      <c r="B123" s="2" t="s">
        <v>156</v>
      </c>
      <c r="C123" s="3"/>
      <c r="D123" s="3">
        <v>2706.0</v>
      </c>
      <c r="E123" s="2" t="s">
        <v>11</v>
      </c>
      <c r="F123" s="2" t="s">
        <v>67</v>
      </c>
      <c r="G123" s="2"/>
      <c r="H123" s="2"/>
      <c r="I123" s="2"/>
      <c r="J123" s="2"/>
    </row>
    <row r="124" ht="15.75" customHeight="1">
      <c r="A124" s="4" t="str">
        <f>HYPERLINK("https://stackoverflow.com/q/33048763", "33048763")</f>
        <v>33048763</v>
      </c>
      <c r="B124" s="2" t="s">
        <v>157</v>
      </c>
      <c r="C124" s="3"/>
      <c r="D124" s="3">
        <v>2702.0</v>
      </c>
      <c r="E124" s="2"/>
      <c r="F124" s="2"/>
      <c r="G124" s="2"/>
      <c r="H124" s="2"/>
      <c r="I124" s="2"/>
      <c r="J124" s="2"/>
    </row>
    <row r="125" ht="15.75" customHeight="1">
      <c r="A125" s="4" t="str">
        <f>HYPERLINK("https://stackoverflow.com/q/56028910", "56028910")</f>
        <v>56028910</v>
      </c>
      <c r="B125" s="2" t="s">
        <v>158</v>
      </c>
      <c r="C125" s="3"/>
      <c r="D125" s="3">
        <v>2682.0</v>
      </c>
      <c r="E125" s="2"/>
      <c r="F125" s="2"/>
      <c r="G125" s="2"/>
      <c r="H125" s="2"/>
      <c r="I125" s="2"/>
      <c r="J125" s="2"/>
    </row>
    <row r="126" ht="15.75" customHeight="1">
      <c r="A126" s="4" t="str">
        <f>HYPERLINK("https://stackoverflow.com/q/43261740", "43261740")</f>
        <v>43261740</v>
      </c>
      <c r="B126" s="2" t="s">
        <v>159</v>
      </c>
      <c r="C126" s="3"/>
      <c r="D126" s="3">
        <v>2678.0</v>
      </c>
      <c r="E126" s="2" t="s">
        <v>11</v>
      </c>
      <c r="F126" s="2" t="s">
        <v>16</v>
      </c>
      <c r="G126" s="2"/>
      <c r="H126" s="2"/>
      <c r="I126" s="2"/>
      <c r="J126" s="2"/>
    </row>
    <row r="127" ht="15.75" customHeight="1">
      <c r="A127" s="4" t="str">
        <f>HYPERLINK("https://stackoverflow.com/q/38759959", "38759959")</f>
        <v>38759959</v>
      </c>
      <c r="B127" s="2" t="s">
        <v>160</v>
      </c>
      <c r="C127" s="3">
        <v>0.0</v>
      </c>
      <c r="D127" s="3">
        <v>2664.0</v>
      </c>
      <c r="E127" s="2"/>
      <c r="F127" s="2"/>
      <c r="G127" s="2"/>
      <c r="H127" s="2"/>
      <c r="I127" s="2"/>
      <c r="J127" s="2"/>
    </row>
    <row r="128" ht="15.75" customHeight="1">
      <c r="A128" s="4" t="str">
        <f>HYPERLINK("https://stackoverflow.com/q/13929746", "13929746")</f>
        <v>13929746</v>
      </c>
      <c r="B128" s="2" t="s">
        <v>161</v>
      </c>
      <c r="C128" s="3"/>
      <c r="D128" s="3">
        <v>2658.0</v>
      </c>
      <c r="E128" s="2"/>
      <c r="F128" s="2"/>
      <c r="G128" s="2"/>
      <c r="H128" s="2"/>
      <c r="I128" s="2"/>
      <c r="J128" s="2"/>
    </row>
    <row r="129" ht="15.75" customHeight="1">
      <c r="A129" s="4" t="str">
        <f>HYPERLINK("https://stackoverflow.com/q/1236439", "1236439")</f>
        <v>1236439</v>
      </c>
      <c r="B129" s="2" t="s">
        <v>162</v>
      </c>
      <c r="C129" s="3">
        <v>1.0</v>
      </c>
      <c r="D129" s="3">
        <v>2655.0</v>
      </c>
      <c r="E129" s="2" t="s">
        <v>11</v>
      </c>
      <c r="F129" s="2" t="s">
        <v>67</v>
      </c>
      <c r="G129" s="2" t="s">
        <v>38</v>
      </c>
      <c r="H129" s="2"/>
      <c r="I129" s="2"/>
      <c r="J129" s="2" t="s">
        <v>163</v>
      </c>
    </row>
    <row r="130" ht="15.75" customHeight="1">
      <c r="A130" s="4" t="str">
        <f>HYPERLINK("https://stackoverflow.com/q/50980779", "50980779")</f>
        <v>50980779</v>
      </c>
      <c r="B130" s="2" t="s">
        <v>164</v>
      </c>
      <c r="C130" s="3"/>
      <c r="D130" s="3">
        <v>2646.0</v>
      </c>
      <c r="E130" s="2"/>
      <c r="F130" s="2"/>
      <c r="G130" s="2"/>
      <c r="H130" s="2"/>
      <c r="I130" s="2"/>
      <c r="J130" s="2"/>
    </row>
    <row r="131" ht="15.75" customHeight="1">
      <c r="A131" s="4" t="str">
        <f>HYPERLINK("https://stackoverflow.com/q/15919715", "15919715")</f>
        <v>15919715</v>
      </c>
      <c r="B131" s="2" t="s">
        <v>165</v>
      </c>
      <c r="C131" s="3">
        <v>1.0</v>
      </c>
      <c r="D131" s="3">
        <v>2644.0</v>
      </c>
      <c r="E131" s="2"/>
      <c r="F131" s="2"/>
      <c r="G131" s="2"/>
      <c r="H131" s="2"/>
      <c r="I131" s="2"/>
      <c r="J131" s="2"/>
    </row>
    <row r="132" ht="15.75" customHeight="1">
      <c r="A132" s="4" t="str">
        <f>HYPERLINK("https://stackoverflow.com/q/32667656", "32667656")</f>
        <v>32667656</v>
      </c>
      <c r="B132" s="2" t="s">
        <v>166</v>
      </c>
      <c r="C132" s="3">
        <v>0.0</v>
      </c>
      <c r="D132" s="3">
        <v>2637.0</v>
      </c>
      <c r="E132" s="2"/>
      <c r="F132" s="2"/>
      <c r="G132" s="2"/>
      <c r="H132" s="2"/>
      <c r="I132" s="2"/>
      <c r="J132" s="2"/>
    </row>
    <row r="133" ht="15.75" customHeight="1">
      <c r="A133" s="4" t="str">
        <f>HYPERLINK("https://stackoverflow.com/q/22611025", "22611025")</f>
        <v>22611025</v>
      </c>
      <c r="B133" s="2" t="s">
        <v>167</v>
      </c>
      <c r="C133" s="3"/>
      <c r="D133" s="3">
        <v>2599.0</v>
      </c>
      <c r="E133" s="2"/>
      <c r="F133" s="2"/>
      <c r="G133" s="2"/>
      <c r="H133" s="2"/>
      <c r="I133" s="2"/>
      <c r="J133" s="2"/>
    </row>
    <row r="134" ht="15.75" customHeight="1">
      <c r="A134" s="4" t="str">
        <f>HYPERLINK("https://stackoverflow.com/q/51352265", "51352265")</f>
        <v>51352265</v>
      </c>
      <c r="B134" s="2" t="s">
        <v>168</v>
      </c>
      <c r="C134" s="3"/>
      <c r="D134" s="3">
        <v>2597.0</v>
      </c>
      <c r="E134" s="2" t="s">
        <v>11</v>
      </c>
      <c r="F134" s="2" t="s">
        <v>12</v>
      </c>
      <c r="G134" s="2"/>
      <c r="H134" s="2"/>
      <c r="I134" s="2"/>
      <c r="J134" s="2"/>
    </row>
    <row r="135" ht="15.75" customHeight="1">
      <c r="A135" s="4" t="str">
        <f>HYPERLINK("https://stackoverflow.com/q/31838520", "31838520")</f>
        <v>31838520</v>
      </c>
      <c r="B135" s="2" t="s">
        <v>169</v>
      </c>
      <c r="C135" s="3"/>
      <c r="D135" s="3">
        <v>2577.0</v>
      </c>
      <c r="E135" s="2"/>
      <c r="F135" s="2"/>
      <c r="G135" s="2"/>
      <c r="H135" s="2"/>
      <c r="I135" s="2"/>
      <c r="J135" s="2"/>
    </row>
    <row r="136" ht="15.75" customHeight="1">
      <c r="A136" s="4" t="str">
        <f>HYPERLINK("https://stackoverflow.com/q/23073453", "23073453")</f>
        <v>23073453</v>
      </c>
      <c r="B136" s="2" t="s">
        <v>170</v>
      </c>
      <c r="C136" s="3">
        <v>2.0</v>
      </c>
      <c r="D136" s="3">
        <v>2557.0</v>
      </c>
      <c r="E136" s="2"/>
      <c r="F136" s="2"/>
      <c r="G136" s="2"/>
      <c r="H136" s="2"/>
      <c r="I136" s="2"/>
      <c r="J136" s="2"/>
    </row>
    <row r="137" ht="15.75" customHeight="1">
      <c r="A137" s="4" t="str">
        <f>HYPERLINK("https://stackoverflow.com/q/41883521", "41883521")</f>
        <v>41883521</v>
      </c>
      <c r="B137" s="2" t="s">
        <v>171</v>
      </c>
      <c r="C137" s="3"/>
      <c r="D137" s="3">
        <v>2553.0</v>
      </c>
      <c r="E137" s="2" t="s">
        <v>11</v>
      </c>
      <c r="F137" s="2" t="s">
        <v>44</v>
      </c>
      <c r="G137" s="2" t="s">
        <v>38</v>
      </c>
      <c r="H137" s="2"/>
      <c r="I137" s="2"/>
      <c r="J137" s="2"/>
    </row>
    <row r="138" ht="15.75" customHeight="1">
      <c r="A138" s="4" t="str">
        <f>HYPERLINK("https://stackoverflow.com/q/38136654", "38136654")</f>
        <v>38136654</v>
      </c>
      <c r="B138" s="2" t="s">
        <v>172</v>
      </c>
      <c r="C138" s="3"/>
      <c r="D138" s="3">
        <v>2545.0</v>
      </c>
      <c r="E138" s="2"/>
      <c r="F138" s="2"/>
      <c r="G138" s="2"/>
      <c r="H138" s="2"/>
      <c r="I138" s="2"/>
      <c r="J138" s="2"/>
    </row>
    <row r="139" ht="15.75" customHeight="1">
      <c r="A139" s="4" t="str">
        <f>HYPERLINK("https://stackoverflow.com/q/51817025", "51817025")</f>
        <v>51817025</v>
      </c>
      <c r="B139" s="2" t="s">
        <v>173</v>
      </c>
      <c r="C139" s="3">
        <v>0.0</v>
      </c>
      <c r="D139" s="3">
        <v>2541.0</v>
      </c>
      <c r="E139" s="2"/>
      <c r="F139" s="2"/>
      <c r="G139" s="2"/>
      <c r="H139" s="2"/>
      <c r="I139" s="2"/>
      <c r="J139" s="2"/>
    </row>
    <row r="140" ht="15.75" customHeight="1">
      <c r="A140" s="4" t="str">
        <f>HYPERLINK("https://stackoverflow.com/q/49669653", "49669653")</f>
        <v>49669653</v>
      </c>
      <c r="B140" s="2" t="s">
        <v>174</v>
      </c>
      <c r="C140" s="3">
        <v>1.0</v>
      </c>
      <c r="D140" s="3">
        <v>2534.0</v>
      </c>
      <c r="E140" s="2"/>
      <c r="F140" s="2"/>
      <c r="G140" s="2"/>
      <c r="H140" s="2"/>
      <c r="I140" s="2"/>
      <c r="J140" s="2"/>
    </row>
    <row r="141" ht="15.75" customHeight="1">
      <c r="A141" s="4" t="str">
        <f>HYPERLINK("https://stackoverflow.com/q/53095373", "53095373")</f>
        <v>53095373</v>
      </c>
      <c r="B141" s="2" t="s">
        <v>175</v>
      </c>
      <c r="C141" s="3"/>
      <c r="D141" s="3">
        <v>2533.0</v>
      </c>
      <c r="E141" s="2"/>
      <c r="F141" s="2"/>
      <c r="G141" s="2"/>
      <c r="H141" s="2"/>
      <c r="I141" s="2"/>
      <c r="J141" s="2"/>
    </row>
    <row r="142" ht="15.75" customHeight="1">
      <c r="A142" s="4" t="str">
        <f>HYPERLINK("https://stackoverflow.com/q/26848897", "26848897")</f>
        <v>26848897</v>
      </c>
      <c r="B142" s="2" t="s">
        <v>176</v>
      </c>
      <c r="C142" s="3"/>
      <c r="D142" s="3">
        <v>2519.0</v>
      </c>
      <c r="E142" s="2"/>
      <c r="F142" s="2"/>
      <c r="G142" s="2"/>
      <c r="H142" s="2"/>
      <c r="I142" s="2"/>
      <c r="J142" s="2"/>
    </row>
    <row r="143" ht="15.75" customHeight="1">
      <c r="A143" s="4" t="str">
        <f>HYPERLINK("https://stackoverflow.com/q/51820368", "51820368")</f>
        <v>51820368</v>
      </c>
      <c r="B143" s="2" t="s">
        <v>177</v>
      </c>
      <c r="C143" s="3"/>
      <c r="D143" s="3">
        <v>2510.0</v>
      </c>
      <c r="E143" s="2"/>
      <c r="F143" s="2"/>
      <c r="G143" s="2"/>
      <c r="H143" s="2"/>
      <c r="I143" s="2"/>
      <c r="J143" s="2"/>
    </row>
    <row r="144" ht="15.75" customHeight="1">
      <c r="A144" s="4" t="str">
        <f>HYPERLINK("https://stackoverflow.com/q/10215293", "10215293")</f>
        <v>10215293</v>
      </c>
      <c r="B144" s="2" t="s">
        <v>178</v>
      </c>
      <c r="C144" s="3"/>
      <c r="D144" s="3">
        <v>2499.0</v>
      </c>
      <c r="E144" s="2"/>
      <c r="F144" s="2"/>
      <c r="G144" s="2"/>
      <c r="H144" s="2"/>
      <c r="I144" s="2"/>
      <c r="J144" s="2"/>
    </row>
    <row r="145" ht="15.75" customHeight="1">
      <c r="A145" s="4" t="str">
        <f>HYPERLINK("https://stackoverflow.com/q/29658339", "29658339")</f>
        <v>29658339</v>
      </c>
      <c r="B145" s="2" t="s">
        <v>179</v>
      </c>
      <c r="C145" s="3"/>
      <c r="D145" s="3">
        <v>2487.0</v>
      </c>
      <c r="E145" s="2"/>
      <c r="F145" s="2"/>
      <c r="G145" s="2"/>
      <c r="H145" s="2"/>
      <c r="I145" s="2"/>
      <c r="J145" s="2"/>
    </row>
    <row r="146" ht="15.75" customHeight="1">
      <c r="A146" s="4" t="str">
        <f>HYPERLINK("https://stackoverflow.com/q/10247749", "10247749")</f>
        <v>10247749</v>
      </c>
      <c r="B146" s="2" t="s">
        <v>180</v>
      </c>
      <c r="C146" s="3"/>
      <c r="D146" s="3">
        <v>2485.0</v>
      </c>
      <c r="E146" s="2"/>
      <c r="F146" s="2"/>
      <c r="G146" s="2"/>
      <c r="H146" s="2"/>
      <c r="I146" s="2"/>
      <c r="J146" s="2"/>
    </row>
    <row r="147" ht="15.75" customHeight="1">
      <c r="A147" s="4" t="str">
        <f>HYPERLINK("https://stackoverflow.com/q/53606563", "53606563")</f>
        <v>53606563</v>
      </c>
      <c r="B147" s="2" t="s">
        <v>181</v>
      </c>
      <c r="C147" s="3"/>
      <c r="D147" s="3">
        <v>2484.0</v>
      </c>
      <c r="E147" s="2"/>
      <c r="F147" s="2"/>
      <c r="G147" s="2"/>
      <c r="H147" s="2"/>
      <c r="I147" s="2"/>
      <c r="J147" s="2"/>
    </row>
    <row r="148" ht="15.75" customHeight="1">
      <c r="A148" s="4" t="str">
        <f>HYPERLINK("https://stackoverflow.com/q/52762374", "52762374")</f>
        <v>52762374</v>
      </c>
      <c r="B148" s="2" t="s">
        <v>182</v>
      </c>
      <c r="C148" s="3"/>
      <c r="D148" s="3">
        <v>2471.0</v>
      </c>
      <c r="E148" s="2" t="s">
        <v>86</v>
      </c>
      <c r="F148" s="2" t="s">
        <v>183</v>
      </c>
      <c r="G148" s="2"/>
      <c r="H148" s="2"/>
      <c r="I148" s="2"/>
      <c r="J148" s="2"/>
    </row>
    <row r="149" ht="15.75" customHeight="1">
      <c r="A149" s="4" t="str">
        <f>HYPERLINK("https://stackoverflow.com/q/31725790", "31725790")</f>
        <v>31725790</v>
      </c>
      <c r="B149" s="2" t="s">
        <v>184</v>
      </c>
      <c r="C149" s="3"/>
      <c r="D149" s="3">
        <v>2463.0</v>
      </c>
      <c r="E149" s="2"/>
      <c r="F149" s="2"/>
      <c r="G149" s="2"/>
      <c r="H149" s="2"/>
      <c r="I149" s="2"/>
      <c r="J149" s="2"/>
    </row>
    <row r="150" ht="15.75" customHeight="1">
      <c r="A150" s="4" t="str">
        <f>HYPERLINK("https://stackoverflow.com/q/52058813", "52058813")</f>
        <v>52058813</v>
      </c>
      <c r="B150" s="2" t="s">
        <v>185</v>
      </c>
      <c r="C150" s="3"/>
      <c r="D150" s="3">
        <v>2460.0</v>
      </c>
      <c r="E150" s="2"/>
      <c r="F150" s="2"/>
      <c r="G150" s="2"/>
      <c r="H150" s="2"/>
      <c r="I150" s="2"/>
      <c r="J150" s="2"/>
    </row>
    <row r="151" ht="15.75" customHeight="1">
      <c r="A151" s="4" t="str">
        <f>HYPERLINK("https://stackoverflow.com/q/31545374", "31545374")</f>
        <v>31545374</v>
      </c>
      <c r="B151" s="2" t="s">
        <v>186</v>
      </c>
      <c r="C151" s="3">
        <v>1.0</v>
      </c>
      <c r="D151" s="3">
        <v>2456.0</v>
      </c>
      <c r="E151" s="2"/>
      <c r="F151" s="2"/>
      <c r="G151" s="2"/>
      <c r="H151" s="2"/>
      <c r="I151" s="2"/>
      <c r="J151" s="2"/>
    </row>
    <row r="152" ht="15.75" customHeight="1">
      <c r="A152" s="4" t="str">
        <f>HYPERLINK("https://stackoverflow.com/q/41484050", "41484050")</f>
        <v>41484050</v>
      </c>
      <c r="B152" s="2" t="s">
        <v>187</v>
      </c>
      <c r="C152" s="3"/>
      <c r="D152" s="3">
        <v>2454.0</v>
      </c>
      <c r="E152" s="2" t="s">
        <v>11</v>
      </c>
      <c r="F152" s="2" t="s">
        <v>34</v>
      </c>
      <c r="G152" s="2"/>
      <c r="H152" s="2"/>
      <c r="I152" s="2"/>
      <c r="J152" s="2"/>
    </row>
    <row r="153" ht="15.75" customHeight="1">
      <c r="A153" s="4" t="str">
        <f>HYPERLINK("https://stackoverflow.com/q/32247953", "32247953")</f>
        <v>32247953</v>
      </c>
      <c r="B153" s="2" t="s">
        <v>188</v>
      </c>
      <c r="C153" s="3"/>
      <c r="D153" s="3">
        <v>2439.0</v>
      </c>
      <c r="E153" s="2"/>
      <c r="F153" s="2"/>
      <c r="G153" s="2"/>
      <c r="H153" s="2"/>
      <c r="I153" s="2"/>
      <c r="J153" s="2"/>
    </row>
    <row r="154" ht="15.75" customHeight="1">
      <c r="A154" s="4" t="str">
        <f>HYPERLINK("https://stackoverflow.com/q/34823823", "34823823")</f>
        <v>34823823</v>
      </c>
      <c r="B154" s="2" t="s">
        <v>189</v>
      </c>
      <c r="C154" s="3"/>
      <c r="D154" s="3">
        <v>2418.0</v>
      </c>
      <c r="E154" s="2"/>
      <c r="F154" s="2"/>
      <c r="G154" s="2"/>
      <c r="H154" s="2"/>
      <c r="I154" s="2"/>
      <c r="J154" s="2"/>
    </row>
    <row r="155" ht="15.75" customHeight="1">
      <c r="A155" s="4" t="str">
        <f>HYPERLINK("https://stackoverflow.com/q/37945129", "37945129")</f>
        <v>37945129</v>
      </c>
      <c r="B155" s="2" t="s">
        <v>190</v>
      </c>
      <c r="C155" s="3"/>
      <c r="D155" s="3">
        <v>2404.0</v>
      </c>
      <c r="E155" s="2"/>
      <c r="F155" s="2"/>
      <c r="G155" s="2"/>
      <c r="H155" s="2"/>
      <c r="I155" s="2"/>
      <c r="J155" s="2"/>
    </row>
    <row r="156" ht="15.75" customHeight="1">
      <c r="A156" s="4" t="str">
        <f>HYPERLINK("https://stackoverflow.com/q/53506323", "53506323")</f>
        <v>53506323</v>
      </c>
      <c r="B156" s="2" t="s">
        <v>191</v>
      </c>
      <c r="C156" s="3"/>
      <c r="D156" s="3">
        <v>2395.0</v>
      </c>
      <c r="E156" s="2"/>
      <c r="F156" s="2"/>
      <c r="G156" s="2"/>
      <c r="H156" s="2"/>
      <c r="I156" s="2"/>
      <c r="J156" s="2"/>
    </row>
    <row r="157" ht="15.75" customHeight="1">
      <c r="A157" s="4" t="str">
        <f>HYPERLINK("https://stackoverflow.com/q/52052148", "52052148")</f>
        <v>52052148</v>
      </c>
      <c r="B157" s="2" t="s">
        <v>192</v>
      </c>
      <c r="C157" s="3">
        <v>1.0</v>
      </c>
      <c r="D157" s="3">
        <v>2385.0</v>
      </c>
      <c r="E157" s="2"/>
      <c r="F157" s="2"/>
      <c r="G157" s="2"/>
      <c r="H157" s="2"/>
      <c r="I157" s="2"/>
      <c r="J157" s="2"/>
    </row>
    <row r="158" ht="15.75" customHeight="1">
      <c r="A158" s="4" t="str">
        <f>HYPERLINK("https://stackoverflow.com/q/41438021", "41438021")</f>
        <v>41438021</v>
      </c>
      <c r="B158" s="2" t="s">
        <v>193</v>
      </c>
      <c r="C158" s="3"/>
      <c r="D158" s="3">
        <v>2377.0</v>
      </c>
      <c r="E158" s="2" t="s">
        <v>11</v>
      </c>
      <c r="F158" s="2" t="s">
        <v>194</v>
      </c>
      <c r="G158" s="2"/>
      <c r="H158" s="2"/>
      <c r="I158" s="2"/>
      <c r="J158" s="2"/>
    </row>
    <row r="159" ht="15.75" customHeight="1">
      <c r="A159" s="4" t="str">
        <f>HYPERLINK("https://stackoverflow.com/q/34596332", "34596332")</f>
        <v>34596332</v>
      </c>
      <c r="B159" s="2" t="s">
        <v>195</v>
      </c>
      <c r="C159" s="3"/>
      <c r="D159" s="3">
        <v>2376.0</v>
      </c>
      <c r="E159" s="2"/>
      <c r="F159" s="2"/>
      <c r="G159" s="2"/>
      <c r="H159" s="2"/>
      <c r="I159" s="2"/>
      <c r="J159" s="2"/>
    </row>
    <row r="160" ht="15.75" customHeight="1">
      <c r="A160" s="4" t="str">
        <f>HYPERLINK("https://stackoverflow.com/q/8430696", "8430696")</f>
        <v>8430696</v>
      </c>
      <c r="B160" s="2" t="s">
        <v>196</v>
      </c>
      <c r="C160" s="3"/>
      <c r="D160" s="3">
        <v>2369.0</v>
      </c>
      <c r="E160" s="9" t="s">
        <v>11</v>
      </c>
      <c r="F160" s="2" t="s">
        <v>30</v>
      </c>
      <c r="G160" s="2"/>
      <c r="H160" s="2"/>
      <c r="I160" s="2"/>
      <c r="J160" s="2"/>
    </row>
    <row r="161" ht="15.75" customHeight="1">
      <c r="A161" s="4" t="str">
        <f>HYPERLINK("https://stackoverflow.com/q/45310234", "45310234")</f>
        <v>45310234</v>
      </c>
      <c r="B161" s="2" t="s">
        <v>197</v>
      </c>
      <c r="C161" s="3"/>
      <c r="D161" s="3">
        <v>2355.0</v>
      </c>
      <c r="E161" s="2" t="s">
        <v>11</v>
      </c>
      <c r="F161" s="2" t="s">
        <v>44</v>
      </c>
      <c r="G161" s="2"/>
      <c r="H161" s="2"/>
      <c r="I161" s="2"/>
      <c r="J161" s="2"/>
    </row>
    <row r="162" ht="15.75" customHeight="1">
      <c r="A162" s="4" t="str">
        <f>HYPERLINK("https://stackoverflow.com/q/55009565", "55009565")</f>
        <v>55009565</v>
      </c>
      <c r="B162" s="2" t="s">
        <v>198</v>
      </c>
      <c r="C162" s="3"/>
      <c r="D162" s="3">
        <v>2345.0</v>
      </c>
      <c r="E162" s="2" t="s">
        <v>11</v>
      </c>
      <c r="F162" s="2" t="s">
        <v>25</v>
      </c>
      <c r="G162" s="2"/>
      <c r="H162" s="2"/>
      <c r="I162" s="2"/>
      <c r="J162" s="2"/>
    </row>
    <row r="163" ht="15.75" customHeight="1">
      <c r="A163" s="4" t="str">
        <f>HYPERLINK("https://stackoverflow.com/q/20628669", "20628669")</f>
        <v>20628669</v>
      </c>
      <c r="B163" s="2" t="s">
        <v>199</v>
      </c>
      <c r="C163" s="3"/>
      <c r="D163" s="3">
        <v>2335.0</v>
      </c>
      <c r="E163" s="2"/>
      <c r="F163" s="2"/>
      <c r="G163" s="2"/>
      <c r="H163" s="2"/>
      <c r="I163" s="2"/>
      <c r="J163" s="2"/>
    </row>
    <row r="164" ht="15.75" customHeight="1">
      <c r="A164" s="4" t="str">
        <f>HYPERLINK("https://stackoverflow.com/q/50104914", "50104914")</f>
        <v>50104914</v>
      </c>
      <c r="B164" s="2" t="s">
        <v>200</v>
      </c>
      <c r="C164" s="3">
        <v>0.0</v>
      </c>
      <c r="D164" s="3">
        <v>2332.0</v>
      </c>
      <c r="E164" s="2"/>
      <c r="F164" s="2"/>
      <c r="G164" s="2"/>
      <c r="H164" s="2"/>
      <c r="I164" s="2"/>
      <c r="J164" s="2"/>
    </row>
    <row r="165" ht="15.75" customHeight="1">
      <c r="A165" s="4" t="str">
        <f>HYPERLINK("https://stackoverflow.com/q/55135069", "55135069")</f>
        <v>55135069</v>
      </c>
      <c r="B165" s="2" t="s">
        <v>201</v>
      </c>
      <c r="C165" s="3">
        <v>2.0</v>
      </c>
      <c r="D165" s="3">
        <v>2325.0</v>
      </c>
      <c r="E165" s="2"/>
      <c r="F165" s="2"/>
      <c r="G165" s="2"/>
      <c r="H165" s="2"/>
      <c r="I165" s="2"/>
      <c r="J165" s="2"/>
    </row>
    <row r="166" ht="15.75" customHeight="1">
      <c r="A166" s="4" t="str">
        <f>HYPERLINK("https://stackoverflow.com/q/10476572", "10476572")</f>
        <v>10476572</v>
      </c>
      <c r="B166" s="2" t="s">
        <v>202</v>
      </c>
      <c r="C166" s="3"/>
      <c r="D166" s="3">
        <v>2320.0</v>
      </c>
      <c r="E166" s="2"/>
      <c r="F166" s="2"/>
      <c r="G166" s="2"/>
      <c r="H166" s="2"/>
      <c r="I166" s="2"/>
      <c r="J166" s="2"/>
    </row>
    <row r="167" ht="15.75" customHeight="1">
      <c r="A167" s="4" t="str">
        <f>HYPERLINK("https://stackoverflow.com/q/48287957", "48287957")</f>
        <v>48287957</v>
      </c>
      <c r="B167" s="2" t="s">
        <v>203</v>
      </c>
      <c r="C167" s="3">
        <v>6.0</v>
      </c>
      <c r="D167" s="3">
        <v>2301.0</v>
      </c>
      <c r="E167" s="2"/>
      <c r="F167" s="2"/>
      <c r="G167" s="2"/>
      <c r="H167" s="2"/>
      <c r="I167" s="2"/>
      <c r="J167" s="2"/>
    </row>
    <row r="168" ht="15.75" customHeight="1">
      <c r="A168" s="4" t="str">
        <f>HYPERLINK("https://stackoverflow.com/q/51764889", "51764889")</f>
        <v>51764889</v>
      </c>
      <c r="B168" s="2" t="s">
        <v>204</v>
      </c>
      <c r="C168" s="3">
        <v>0.0</v>
      </c>
      <c r="D168" s="3">
        <v>2297.0</v>
      </c>
      <c r="E168" s="2"/>
      <c r="F168" s="2"/>
      <c r="G168" s="2"/>
      <c r="H168" s="2"/>
      <c r="I168" s="2"/>
      <c r="J168" s="2"/>
    </row>
    <row r="169" ht="15.75" customHeight="1">
      <c r="A169" s="4" t="str">
        <f>HYPERLINK("https://stackoverflow.com/q/51674308", "51674308")</f>
        <v>51674308</v>
      </c>
      <c r="B169" s="2" t="s">
        <v>205</v>
      </c>
      <c r="C169" s="3"/>
      <c r="D169" s="3">
        <v>2293.0</v>
      </c>
      <c r="E169" s="2"/>
      <c r="F169" s="2"/>
      <c r="G169" s="2"/>
      <c r="H169" s="2"/>
      <c r="I169" s="2"/>
      <c r="J169" s="2"/>
    </row>
    <row r="170" ht="15.75" customHeight="1">
      <c r="A170" s="4" t="str">
        <f>HYPERLINK("https://stackoverflow.com/q/43752772", "43752772")</f>
        <v>43752772</v>
      </c>
      <c r="B170" s="2" t="s">
        <v>206</v>
      </c>
      <c r="C170" s="3"/>
      <c r="D170" s="3">
        <v>2279.0</v>
      </c>
      <c r="E170" s="2" t="s">
        <v>11</v>
      </c>
      <c r="F170" s="2" t="s">
        <v>73</v>
      </c>
      <c r="G170" s="2"/>
      <c r="H170" s="2"/>
      <c r="I170" s="2"/>
      <c r="J170" s="2"/>
    </row>
    <row r="171" ht="15.75" customHeight="1">
      <c r="A171" s="4" t="str">
        <f>HYPERLINK("https://stackoverflow.com/q/50757567", "50757567")</f>
        <v>50757567</v>
      </c>
      <c r="B171" s="2" t="s">
        <v>207</v>
      </c>
      <c r="C171" s="3"/>
      <c r="D171" s="3">
        <v>2273.0</v>
      </c>
      <c r="E171" s="2"/>
      <c r="F171" s="2"/>
      <c r="G171" s="2"/>
      <c r="H171" s="2"/>
      <c r="I171" s="2"/>
      <c r="J171" s="2"/>
    </row>
    <row r="172" ht="15.75" customHeight="1">
      <c r="A172" s="4" t="str">
        <f>HYPERLINK("https://stackoverflow.com/q/22156204", "22156204")</f>
        <v>22156204</v>
      </c>
      <c r="B172" s="2" t="s">
        <v>208</v>
      </c>
      <c r="C172" s="3"/>
      <c r="D172" s="3">
        <v>2264.0</v>
      </c>
      <c r="E172" s="2"/>
      <c r="F172" s="2"/>
      <c r="G172" s="2"/>
      <c r="H172" s="2"/>
      <c r="I172" s="2"/>
      <c r="J172" s="2"/>
    </row>
    <row r="173" ht="15.75" customHeight="1">
      <c r="A173" s="4" t="str">
        <f>HYPERLINK("https://stackoverflow.com/q/54906295", "54906295")</f>
        <v>54906295</v>
      </c>
      <c r="B173" s="2" t="s">
        <v>209</v>
      </c>
      <c r="C173" s="3"/>
      <c r="D173" s="3">
        <v>2257.0</v>
      </c>
      <c r="E173" s="2" t="s">
        <v>86</v>
      </c>
      <c r="F173" s="2" t="s">
        <v>87</v>
      </c>
      <c r="G173" s="2"/>
      <c r="H173" s="2"/>
      <c r="I173" s="2"/>
      <c r="J173" s="2"/>
    </row>
    <row r="174" ht="15.75" customHeight="1">
      <c r="A174" s="4" t="str">
        <f>HYPERLINK("https://stackoverflow.com/q/51157469", "51157469")</f>
        <v>51157469</v>
      </c>
      <c r="B174" s="2" t="s">
        <v>210</v>
      </c>
      <c r="C174" s="3"/>
      <c r="D174" s="3">
        <v>2253.0</v>
      </c>
      <c r="E174" s="2"/>
      <c r="F174" s="2"/>
      <c r="G174" s="2"/>
      <c r="H174" s="2"/>
      <c r="I174" s="2"/>
      <c r="J174" s="2"/>
    </row>
    <row r="175" ht="15.75" customHeight="1">
      <c r="A175" s="4" t="str">
        <f>HYPERLINK("https://stackoverflow.com/q/51076243", "51076243")</f>
        <v>51076243</v>
      </c>
      <c r="B175" s="2" t="s">
        <v>211</v>
      </c>
      <c r="C175" s="3"/>
      <c r="D175" s="3">
        <v>2245.0</v>
      </c>
      <c r="E175" s="2"/>
      <c r="F175" s="2"/>
      <c r="G175" s="2"/>
      <c r="H175" s="2"/>
      <c r="I175" s="2"/>
      <c r="J175" s="2"/>
    </row>
    <row r="176" ht="15.75" customHeight="1">
      <c r="A176" s="4" t="str">
        <f>HYPERLINK("https://stackoverflow.com/q/56659832", "56659832")</f>
        <v>56659832</v>
      </c>
      <c r="B176" s="2" t="s">
        <v>212</v>
      </c>
      <c r="C176" s="3"/>
      <c r="D176" s="3">
        <v>2244.0</v>
      </c>
      <c r="E176" s="2"/>
      <c r="F176" s="2"/>
      <c r="G176" s="2"/>
      <c r="H176" s="2"/>
      <c r="I176" s="2"/>
      <c r="J176" s="2"/>
    </row>
    <row r="177" ht="15.75" customHeight="1">
      <c r="A177" s="4" t="str">
        <f>HYPERLINK("https://stackoverflow.com/q/7839597", "7839597")</f>
        <v>7839597</v>
      </c>
      <c r="B177" s="2" t="s">
        <v>213</v>
      </c>
      <c r="C177" s="3"/>
      <c r="D177" s="3">
        <v>2237.0</v>
      </c>
      <c r="E177" s="2" t="s">
        <v>11</v>
      </c>
      <c r="F177" s="2" t="s">
        <v>21</v>
      </c>
      <c r="G177" s="2"/>
      <c r="H177" s="2"/>
      <c r="I177" s="2"/>
      <c r="J177" s="2"/>
    </row>
    <row r="178" ht="15.75" customHeight="1">
      <c r="A178" s="4" t="str">
        <f>HYPERLINK("https://stackoverflow.com/q/45511290", "45511290")</f>
        <v>45511290</v>
      </c>
      <c r="B178" s="2" t="s">
        <v>214</v>
      </c>
      <c r="C178" s="3"/>
      <c r="D178" s="3">
        <v>2234.0</v>
      </c>
      <c r="E178" s="2"/>
      <c r="F178" s="2"/>
      <c r="G178" s="2"/>
      <c r="H178" s="2"/>
      <c r="I178" s="2"/>
      <c r="J178" s="2"/>
    </row>
    <row r="179" ht="15.75" customHeight="1">
      <c r="A179" s="4" t="str">
        <f>HYPERLINK("https://stackoverflow.com/q/17273496", "17273496")</f>
        <v>17273496</v>
      </c>
      <c r="B179" s="2" t="s">
        <v>215</v>
      </c>
      <c r="C179" s="3"/>
      <c r="D179" s="3">
        <v>2229.0</v>
      </c>
      <c r="E179" s="2"/>
      <c r="F179" s="2"/>
      <c r="G179" s="2"/>
      <c r="H179" s="2"/>
      <c r="I179" s="2"/>
      <c r="J179" s="2"/>
    </row>
    <row r="180" ht="15.75" customHeight="1">
      <c r="A180" s="4" t="str">
        <f>HYPERLINK("https://stackoverflow.com/q/21473504", "21473504")</f>
        <v>21473504</v>
      </c>
      <c r="B180" s="2" t="s">
        <v>216</v>
      </c>
      <c r="C180" s="3">
        <v>1.0</v>
      </c>
      <c r="D180" s="3">
        <v>2207.0</v>
      </c>
      <c r="E180" s="2"/>
      <c r="F180" s="2"/>
      <c r="G180" s="2"/>
      <c r="H180" s="2"/>
      <c r="I180" s="2"/>
      <c r="J180" s="2"/>
    </row>
    <row r="181" ht="15.75" customHeight="1">
      <c r="A181" s="4" t="str">
        <f>HYPERLINK("https://stackoverflow.com/q/53737720", "53737720")</f>
        <v>53737720</v>
      </c>
      <c r="B181" s="2" t="s">
        <v>217</v>
      </c>
      <c r="C181" s="3"/>
      <c r="D181" s="3">
        <v>2202.0</v>
      </c>
      <c r="E181" s="2"/>
      <c r="F181" s="2"/>
      <c r="G181" s="2"/>
      <c r="H181" s="2"/>
      <c r="I181" s="2"/>
      <c r="J181" s="2"/>
    </row>
    <row r="182" ht="15.75" customHeight="1">
      <c r="A182" s="4" t="str">
        <f>HYPERLINK("https://stackoverflow.com/q/41577382", "41577382")</f>
        <v>41577382</v>
      </c>
      <c r="B182" s="2" t="s">
        <v>218</v>
      </c>
      <c r="C182" s="3">
        <v>1.0</v>
      </c>
      <c r="D182" s="3">
        <v>2199.0</v>
      </c>
      <c r="E182" s="2" t="s">
        <v>11</v>
      </c>
      <c r="F182" s="2" t="s">
        <v>21</v>
      </c>
      <c r="G182" s="2"/>
      <c r="H182" s="2"/>
      <c r="I182" s="2"/>
      <c r="J182" s="2"/>
    </row>
    <row r="183" ht="15.75" customHeight="1">
      <c r="A183" s="4" t="str">
        <f>HYPERLINK("https://stackoverflow.com/q/46974480", "46974480")</f>
        <v>46974480</v>
      </c>
      <c r="B183" s="2" t="s">
        <v>219</v>
      </c>
      <c r="C183" s="3"/>
      <c r="D183" s="3">
        <v>2194.0</v>
      </c>
      <c r="E183" s="9" t="s">
        <v>11</v>
      </c>
      <c r="F183" s="2" t="s">
        <v>16</v>
      </c>
      <c r="G183" s="2"/>
      <c r="H183" s="2"/>
      <c r="I183" s="2"/>
      <c r="J183" s="2"/>
    </row>
    <row r="184" ht="15.75" customHeight="1">
      <c r="A184" s="4" t="str">
        <f>HYPERLINK("https://stackoverflow.com/q/53586428", "53586428")</f>
        <v>53586428</v>
      </c>
      <c r="B184" s="2" t="s">
        <v>220</v>
      </c>
      <c r="C184" s="3"/>
      <c r="D184" s="3">
        <v>2192.0</v>
      </c>
      <c r="E184" s="2"/>
      <c r="F184" s="2"/>
      <c r="G184" s="2"/>
      <c r="H184" s="2"/>
      <c r="I184" s="2"/>
      <c r="J184" s="2"/>
    </row>
    <row r="185" ht="15.75" customHeight="1">
      <c r="A185" s="4" t="str">
        <f>HYPERLINK("https://stackoverflow.com/q/12729100", "12729100")</f>
        <v>12729100</v>
      </c>
      <c r="B185" s="2" t="s">
        <v>221</v>
      </c>
      <c r="C185" s="3"/>
      <c r="D185" s="3">
        <v>2181.0</v>
      </c>
      <c r="E185" s="2"/>
      <c r="F185" s="2"/>
      <c r="G185" s="2"/>
      <c r="H185" s="2"/>
      <c r="I185" s="2"/>
      <c r="J185" s="2"/>
    </row>
    <row r="186" ht="15.75" customHeight="1">
      <c r="A186" s="4" t="str">
        <f>HYPERLINK("https://stackoverflow.com/q/16911661", "16911661")</f>
        <v>16911661</v>
      </c>
      <c r="B186" s="2" t="s">
        <v>222</v>
      </c>
      <c r="C186" s="3"/>
      <c r="D186" s="3">
        <v>2169.0</v>
      </c>
      <c r="E186" s="2"/>
      <c r="F186" s="2"/>
      <c r="G186" s="2"/>
      <c r="H186" s="2"/>
      <c r="I186" s="2"/>
      <c r="J186" s="2"/>
    </row>
    <row r="187" ht="15.75" customHeight="1">
      <c r="A187" s="4" t="str">
        <f>HYPERLINK("https://stackoverflow.com/q/15763574", "15763574")</f>
        <v>15763574</v>
      </c>
      <c r="B187" s="2" t="s">
        <v>223</v>
      </c>
      <c r="C187" s="3"/>
      <c r="D187" s="3">
        <v>2153.0</v>
      </c>
      <c r="E187" s="2"/>
      <c r="F187" s="2"/>
      <c r="G187" s="2"/>
      <c r="H187" s="2"/>
      <c r="I187" s="2"/>
      <c r="J187" s="2"/>
    </row>
    <row r="188" ht="15.75" customHeight="1">
      <c r="A188" s="4" t="str">
        <f>HYPERLINK("https://stackoverflow.com/q/46001148", "46001148")</f>
        <v>46001148</v>
      </c>
      <c r="B188" s="2" t="s">
        <v>224</v>
      </c>
      <c r="C188" s="3"/>
      <c r="D188" s="3">
        <v>2140.0</v>
      </c>
      <c r="E188" s="2"/>
      <c r="F188" s="2"/>
      <c r="G188" s="2"/>
      <c r="H188" s="2"/>
      <c r="I188" s="2"/>
      <c r="J188" s="2"/>
    </row>
    <row r="189" ht="15.75" customHeight="1">
      <c r="A189" s="4" t="str">
        <f>HYPERLINK("https://stackoverflow.com/q/42020377", "42020377")</f>
        <v>42020377</v>
      </c>
      <c r="B189" s="2" t="s">
        <v>225</v>
      </c>
      <c r="C189" s="3"/>
      <c r="D189" s="3">
        <v>2132.0</v>
      </c>
      <c r="E189" s="2" t="s">
        <v>11</v>
      </c>
      <c r="F189" s="2" t="s">
        <v>30</v>
      </c>
      <c r="G189" s="2"/>
      <c r="H189" s="2"/>
      <c r="I189" s="2"/>
      <c r="J189" s="2"/>
    </row>
    <row r="190" ht="15.75" customHeight="1">
      <c r="A190" s="4" t="str">
        <f>HYPERLINK("https://stackoverflow.com/q/51730232", "51730232")</f>
        <v>51730232</v>
      </c>
      <c r="B190" s="2" t="s">
        <v>226</v>
      </c>
      <c r="C190" s="3"/>
      <c r="D190" s="3">
        <v>2128.0</v>
      </c>
      <c r="E190" s="2"/>
      <c r="F190" s="2"/>
      <c r="G190" s="2"/>
      <c r="H190" s="2"/>
      <c r="I190" s="2"/>
      <c r="J190" s="2"/>
    </row>
    <row r="191" ht="15.75" customHeight="1">
      <c r="A191" s="4" t="str">
        <f>HYPERLINK("https://stackoverflow.com/q/49675462", "49675462")</f>
        <v>49675462</v>
      </c>
      <c r="B191" s="2" t="s">
        <v>227</v>
      </c>
      <c r="C191" s="3"/>
      <c r="D191" s="3">
        <v>2123.0</v>
      </c>
      <c r="E191" s="2"/>
      <c r="F191" s="2"/>
      <c r="G191" s="2"/>
      <c r="H191" s="2"/>
      <c r="I191" s="2"/>
      <c r="J191" s="2"/>
    </row>
    <row r="192" ht="15.75" customHeight="1">
      <c r="A192" s="4" t="str">
        <f>HYPERLINK("https://stackoverflow.com/q/57984097", "57984097")</f>
        <v>57984097</v>
      </c>
      <c r="B192" s="2" t="s">
        <v>228</v>
      </c>
      <c r="C192" s="3"/>
      <c r="D192" s="3">
        <v>2120.0</v>
      </c>
      <c r="E192" s="2"/>
      <c r="F192" s="2"/>
      <c r="G192" s="2"/>
      <c r="H192" s="2"/>
      <c r="I192" s="2"/>
      <c r="J192" s="2"/>
    </row>
    <row r="193" ht="15.75" customHeight="1">
      <c r="A193" s="4" t="str">
        <f>HYPERLINK("https://stackoverflow.com/q/48672445", "48672445")</f>
        <v>48672445</v>
      </c>
      <c r="B193" s="2" t="s">
        <v>229</v>
      </c>
      <c r="C193" s="3">
        <v>0.0</v>
      </c>
      <c r="D193" s="3">
        <v>2119.0</v>
      </c>
      <c r="E193" s="2"/>
      <c r="F193" s="2"/>
      <c r="G193" s="2"/>
      <c r="H193" s="2"/>
      <c r="I193" s="2"/>
      <c r="J193" s="2"/>
    </row>
    <row r="194" ht="15.75" customHeight="1">
      <c r="A194" s="4" t="str">
        <f>HYPERLINK("https://stackoverflow.com/q/49659166", "49659166")</f>
        <v>49659166</v>
      </c>
      <c r="B194" s="2" t="s">
        <v>230</v>
      </c>
      <c r="C194" s="3"/>
      <c r="D194" s="3">
        <v>2116.0</v>
      </c>
      <c r="E194" s="2"/>
      <c r="F194" s="2"/>
      <c r="G194" s="2"/>
      <c r="H194" s="2"/>
      <c r="I194" s="2"/>
      <c r="J194" s="2"/>
    </row>
    <row r="195" ht="15.75" customHeight="1">
      <c r="A195" s="4" t="str">
        <f>HYPERLINK("https://stackoverflow.com/q/42912565", "42912565")</f>
        <v>42912565</v>
      </c>
      <c r="B195" s="2" t="s">
        <v>231</v>
      </c>
      <c r="C195" s="3"/>
      <c r="D195" s="3">
        <v>2111.0</v>
      </c>
      <c r="E195" s="2" t="s">
        <v>11</v>
      </c>
      <c r="F195" s="2" t="s">
        <v>25</v>
      </c>
      <c r="G195" s="2"/>
      <c r="H195" s="2"/>
      <c r="I195" s="2"/>
      <c r="J195" s="2"/>
    </row>
    <row r="196" ht="15.75" customHeight="1">
      <c r="A196" s="4" t="str">
        <f>HYPERLINK("https://stackoverflow.com/q/48601226", "48601226")</f>
        <v>48601226</v>
      </c>
      <c r="B196" s="2" t="s">
        <v>232</v>
      </c>
      <c r="C196" s="3"/>
      <c r="D196" s="3">
        <v>2110.0</v>
      </c>
      <c r="E196" s="2"/>
      <c r="F196" s="2"/>
      <c r="G196" s="2"/>
      <c r="H196" s="2"/>
      <c r="I196" s="2"/>
      <c r="J196" s="2"/>
    </row>
    <row r="197" ht="15.75" customHeight="1">
      <c r="A197" s="4" t="str">
        <f>HYPERLINK("https://stackoverflow.com/q/326366", "326366")</f>
        <v>326366</v>
      </c>
      <c r="B197" s="2" t="s">
        <v>233</v>
      </c>
      <c r="C197" s="3"/>
      <c r="D197" s="3">
        <v>2106.0</v>
      </c>
      <c r="E197" s="2" t="s">
        <v>20</v>
      </c>
      <c r="F197" s="2" t="s">
        <v>21</v>
      </c>
      <c r="G197" s="2"/>
      <c r="H197" s="2"/>
      <c r="I197" s="2"/>
      <c r="J197" s="2"/>
    </row>
    <row r="198" ht="15.75" customHeight="1">
      <c r="A198" s="4" t="str">
        <f>HYPERLINK("https://stackoverflow.com/q/55168898", "55168898")</f>
        <v>55168898</v>
      </c>
      <c r="B198" s="2" t="s">
        <v>234</v>
      </c>
      <c r="C198" s="3"/>
      <c r="D198" s="3">
        <v>2097.0</v>
      </c>
      <c r="E198" s="2" t="s">
        <v>11</v>
      </c>
      <c r="F198" s="2" t="s">
        <v>67</v>
      </c>
      <c r="G198" s="2"/>
      <c r="H198" s="2"/>
      <c r="I198" s="2"/>
      <c r="J198" s="2"/>
    </row>
    <row r="199" ht="15.75" customHeight="1">
      <c r="A199" s="4" t="str">
        <f>HYPERLINK("https://stackoverflow.com/q/13085151", "13085151")</f>
        <v>13085151</v>
      </c>
      <c r="B199" s="2" t="s">
        <v>235</v>
      </c>
      <c r="C199" s="3"/>
      <c r="D199" s="3">
        <v>2095.0</v>
      </c>
      <c r="E199" s="2"/>
      <c r="F199" s="2"/>
      <c r="G199" s="2"/>
      <c r="H199" s="2"/>
      <c r="I199" s="2"/>
      <c r="J199" s="2"/>
    </row>
    <row r="200" ht="15.75" customHeight="1">
      <c r="A200" s="4" t="str">
        <f>HYPERLINK("https://stackoverflow.com/q/48813443", "48813443")</f>
        <v>48813443</v>
      </c>
      <c r="B200" s="2" t="s">
        <v>236</v>
      </c>
      <c r="C200" s="3"/>
      <c r="D200" s="3">
        <v>2082.0</v>
      </c>
      <c r="E200" s="2"/>
      <c r="F200" s="2"/>
      <c r="G200" s="2"/>
      <c r="H200" s="2"/>
      <c r="I200" s="2"/>
      <c r="J200" s="2"/>
    </row>
    <row r="201" ht="15.75" customHeight="1">
      <c r="A201" s="4" t="str">
        <f>HYPERLINK("https://stackoverflow.com/q/8005085", "8005085")</f>
        <v>8005085</v>
      </c>
      <c r="B201" s="2" t="s">
        <v>237</v>
      </c>
      <c r="C201" s="3">
        <v>1.0</v>
      </c>
      <c r="D201" s="3">
        <v>2072.0</v>
      </c>
      <c r="E201" s="2" t="s">
        <v>11</v>
      </c>
      <c r="F201" s="2" t="s">
        <v>12</v>
      </c>
      <c r="G201" s="2"/>
      <c r="H201" s="2"/>
      <c r="I201" s="2"/>
      <c r="J201" s="2"/>
    </row>
    <row r="202" ht="15.75" customHeight="1">
      <c r="A202" s="4" t="str">
        <f>HYPERLINK("https://stackoverflow.com/q/22008343", "22008343")</f>
        <v>22008343</v>
      </c>
      <c r="B202" s="2" t="s">
        <v>238</v>
      </c>
      <c r="C202" s="3"/>
      <c r="D202" s="3">
        <v>2072.0</v>
      </c>
      <c r="E202" s="2"/>
      <c r="F202" s="2"/>
      <c r="G202" s="2"/>
      <c r="H202" s="2"/>
      <c r="I202" s="2"/>
      <c r="J202" s="2"/>
    </row>
    <row r="203" ht="15.75" customHeight="1">
      <c r="A203" s="4" t="str">
        <f>HYPERLINK("https://stackoverflow.com/q/22377933", "22377933")</f>
        <v>22377933</v>
      </c>
      <c r="B203" s="2" t="s">
        <v>239</v>
      </c>
      <c r="C203" s="3"/>
      <c r="D203" s="3">
        <v>2066.0</v>
      </c>
      <c r="E203" s="2"/>
      <c r="F203" s="2"/>
      <c r="G203" s="2"/>
      <c r="H203" s="2"/>
      <c r="I203" s="2"/>
      <c r="J203" s="2"/>
    </row>
    <row r="204" ht="15.75" customHeight="1">
      <c r="A204" s="4" t="str">
        <f>HYPERLINK("https://stackoverflow.com/q/14598065", "14598065")</f>
        <v>14598065</v>
      </c>
      <c r="B204" s="2" t="s">
        <v>240</v>
      </c>
      <c r="C204" s="3"/>
      <c r="D204" s="3">
        <v>2064.0</v>
      </c>
      <c r="E204" s="2"/>
      <c r="F204" s="2"/>
      <c r="G204" s="2"/>
      <c r="H204" s="2"/>
      <c r="I204" s="2"/>
      <c r="J204" s="2"/>
    </row>
    <row r="205" ht="15.75" customHeight="1">
      <c r="A205" s="4" t="str">
        <f>HYPERLINK("https://stackoverflow.com/q/51104084", "51104084")</f>
        <v>51104084</v>
      </c>
      <c r="B205" s="2" t="s">
        <v>241</v>
      </c>
      <c r="C205" s="3"/>
      <c r="D205" s="3">
        <v>2039.0</v>
      </c>
      <c r="E205" s="2"/>
      <c r="F205" s="2"/>
      <c r="G205" s="2"/>
      <c r="H205" s="2"/>
      <c r="I205" s="2"/>
      <c r="J205" s="2"/>
    </row>
    <row r="206" ht="15.75" customHeight="1">
      <c r="A206" s="4" t="str">
        <f>HYPERLINK("https://stackoverflow.com/q/46067552", "46067552")</f>
        <v>46067552</v>
      </c>
      <c r="B206" s="2" t="s">
        <v>242</v>
      </c>
      <c r="C206" s="3"/>
      <c r="D206" s="3">
        <v>2032.0</v>
      </c>
      <c r="E206" s="2" t="s">
        <v>11</v>
      </c>
      <c r="F206" s="2" t="s">
        <v>12</v>
      </c>
      <c r="G206" s="2"/>
      <c r="H206" s="2"/>
      <c r="I206" s="2"/>
      <c r="J206" s="2"/>
    </row>
    <row r="207" ht="15.75" customHeight="1">
      <c r="A207" s="4" t="str">
        <f>HYPERLINK("https://stackoverflow.com/q/20287085", "20287085")</f>
        <v>20287085</v>
      </c>
      <c r="B207" s="2" t="s">
        <v>243</v>
      </c>
      <c r="C207" s="3"/>
      <c r="D207" s="3">
        <v>2015.0</v>
      </c>
      <c r="E207" s="2"/>
      <c r="F207" s="2"/>
      <c r="G207" s="2"/>
      <c r="H207" s="2"/>
      <c r="I207" s="2"/>
      <c r="J207" s="2"/>
    </row>
    <row r="208" ht="15.75" customHeight="1">
      <c r="A208" s="4" t="str">
        <f>HYPERLINK("https://stackoverflow.com/q/32698744", "32698744")</f>
        <v>32698744</v>
      </c>
      <c r="B208" s="2" t="s">
        <v>244</v>
      </c>
      <c r="C208" s="3">
        <v>2.0</v>
      </c>
      <c r="D208" s="3">
        <v>2004.0</v>
      </c>
      <c r="E208" s="2"/>
      <c r="F208" s="2"/>
      <c r="G208" s="2"/>
      <c r="H208" s="2"/>
      <c r="I208" s="2"/>
      <c r="J208" s="2"/>
    </row>
    <row r="209" ht="15.75" customHeight="1">
      <c r="A209" s="4" t="str">
        <f>HYPERLINK("https://stackoverflow.com/q/44727285", "44727285")</f>
        <v>44727285</v>
      </c>
      <c r="B209" s="2" t="s">
        <v>245</v>
      </c>
      <c r="C209" s="3">
        <v>1.0</v>
      </c>
      <c r="D209" s="3">
        <v>1998.0</v>
      </c>
      <c r="E209" s="2"/>
      <c r="F209" s="2"/>
      <c r="G209" s="2"/>
      <c r="H209" s="2"/>
      <c r="I209" s="2"/>
      <c r="J209" s="2"/>
    </row>
    <row r="210" ht="15.75" customHeight="1">
      <c r="A210" s="4" t="str">
        <f>HYPERLINK("https://stackoverflow.com/q/3906522", "3906522")</f>
        <v>3906522</v>
      </c>
      <c r="B210" s="2" t="s">
        <v>246</v>
      </c>
      <c r="C210" s="3">
        <v>1.0</v>
      </c>
      <c r="D210" s="3">
        <v>1974.0</v>
      </c>
      <c r="E210" s="2" t="s">
        <v>11</v>
      </c>
      <c r="F210" s="2" t="s">
        <v>25</v>
      </c>
      <c r="G210" s="2"/>
      <c r="H210" s="2"/>
      <c r="I210" s="2"/>
      <c r="J210" s="2"/>
    </row>
    <row r="211" ht="15.75" customHeight="1">
      <c r="A211" s="4" t="str">
        <f>HYPERLINK("https://stackoverflow.com/q/9766725", "9766725")</f>
        <v>9766725</v>
      </c>
      <c r="B211" s="2" t="s">
        <v>247</v>
      </c>
      <c r="C211" s="3"/>
      <c r="D211" s="3">
        <v>1973.0</v>
      </c>
      <c r="E211" s="2"/>
      <c r="F211" s="2"/>
      <c r="G211" s="2"/>
      <c r="H211" s="2"/>
      <c r="I211" s="2"/>
      <c r="J211" s="2"/>
    </row>
    <row r="212" ht="15.75" customHeight="1">
      <c r="A212" s="4" t="str">
        <f>HYPERLINK("https://stackoverflow.com/q/36528140", "36528140")</f>
        <v>36528140</v>
      </c>
      <c r="B212" s="2" t="s">
        <v>248</v>
      </c>
      <c r="C212" s="3">
        <v>2.0</v>
      </c>
      <c r="D212" s="3">
        <v>1958.0</v>
      </c>
      <c r="E212" s="2"/>
      <c r="F212" s="2"/>
      <c r="G212" s="2"/>
      <c r="H212" s="2"/>
      <c r="I212" s="2"/>
      <c r="J212" s="2"/>
    </row>
    <row r="213" ht="15.75" customHeight="1">
      <c r="A213" s="4" t="str">
        <f>HYPERLINK("https://stackoverflow.com/q/52917737", "52917737")</f>
        <v>52917737</v>
      </c>
      <c r="B213" s="2" t="s">
        <v>249</v>
      </c>
      <c r="C213" s="3"/>
      <c r="D213" s="3">
        <v>1955.0</v>
      </c>
      <c r="E213" s="2"/>
      <c r="F213" s="2"/>
      <c r="G213" s="2"/>
      <c r="H213" s="2"/>
      <c r="I213" s="2"/>
      <c r="J213" s="2"/>
    </row>
    <row r="214" ht="15.75" customHeight="1">
      <c r="A214" s="4" t="str">
        <f>HYPERLINK("https://stackoverflow.com/q/46065546", "46065546")</f>
        <v>46065546</v>
      </c>
      <c r="B214" s="2" t="s">
        <v>250</v>
      </c>
      <c r="C214" s="3"/>
      <c r="D214" s="3">
        <v>1944.0</v>
      </c>
      <c r="E214" s="2"/>
      <c r="F214" s="2"/>
      <c r="G214" s="2"/>
      <c r="H214" s="2"/>
      <c r="I214" s="2"/>
      <c r="J214" s="2"/>
    </row>
    <row r="215" ht="15.75" customHeight="1">
      <c r="A215" s="4" t="str">
        <f>HYPERLINK("https://stackoverflow.com/q/11352675", "11352675")</f>
        <v>11352675</v>
      </c>
      <c r="B215" s="2" t="s">
        <v>251</v>
      </c>
      <c r="C215" s="3"/>
      <c r="D215" s="3">
        <v>1931.0</v>
      </c>
      <c r="E215" s="2"/>
      <c r="F215" s="2"/>
      <c r="G215" s="2"/>
      <c r="H215" s="2"/>
      <c r="I215" s="2"/>
      <c r="J215" s="2"/>
    </row>
    <row r="216" ht="15.75" customHeight="1">
      <c r="A216" s="4" t="str">
        <f>HYPERLINK("https://stackoverflow.com/q/25801442", "25801442")</f>
        <v>25801442</v>
      </c>
      <c r="B216" s="2" t="s">
        <v>252</v>
      </c>
      <c r="C216" s="3"/>
      <c r="D216" s="3">
        <v>1930.0</v>
      </c>
      <c r="E216" s="2"/>
      <c r="F216" s="2"/>
      <c r="G216" s="2"/>
      <c r="H216" s="2"/>
      <c r="I216" s="2"/>
      <c r="J216" s="2"/>
    </row>
    <row r="217" ht="15.75" customHeight="1">
      <c r="A217" s="4" t="str">
        <f>HYPERLINK("https://stackoverflow.com/q/42530654", "42530654")</f>
        <v>42530654</v>
      </c>
      <c r="B217" s="2" t="s">
        <v>253</v>
      </c>
      <c r="C217" s="3">
        <v>4.0</v>
      </c>
      <c r="D217" s="3">
        <v>1927.0</v>
      </c>
      <c r="E217" s="2" t="s">
        <v>11</v>
      </c>
      <c r="F217" s="2" t="s">
        <v>14</v>
      </c>
      <c r="G217" s="2"/>
      <c r="H217" s="2"/>
      <c r="I217" s="2"/>
      <c r="J217" s="2"/>
    </row>
    <row r="218" ht="15.75" customHeight="1">
      <c r="A218" s="4" t="str">
        <f>HYPERLINK("https://stackoverflow.com/q/45954124", "45954124")</f>
        <v>45954124</v>
      </c>
      <c r="B218" s="2" t="s">
        <v>254</v>
      </c>
      <c r="C218" s="3"/>
      <c r="D218" s="3">
        <v>1920.0</v>
      </c>
      <c r="E218" s="2"/>
      <c r="F218" s="2"/>
      <c r="G218" s="2"/>
      <c r="H218" s="2"/>
      <c r="I218" s="2"/>
      <c r="J218" s="2"/>
    </row>
    <row r="219" ht="15.75" customHeight="1">
      <c r="A219" s="4" t="str">
        <f>HYPERLINK("https://stackoverflow.com/q/23135039", "23135039")</f>
        <v>23135039</v>
      </c>
      <c r="B219" s="2" t="s">
        <v>255</v>
      </c>
      <c r="C219" s="3"/>
      <c r="D219" s="3">
        <v>1918.0</v>
      </c>
      <c r="E219" s="2"/>
      <c r="F219" s="2"/>
      <c r="G219" s="2"/>
      <c r="H219" s="2"/>
      <c r="I219" s="2"/>
      <c r="J219" s="2"/>
    </row>
    <row r="220" ht="15.75" customHeight="1">
      <c r="A220" s="4" t="str">
        <f>HYPERLINK("https://stackoverflow.com/q/54121067", "54121067")</f>
        <v>54121067</v>
      </c>
      <c r="B220" s="2" t="s">
        <v>256</v>
      </c>
      <c r="C220" s="3"/>
      <c r="D220" s="3">
        <v>1911.0</v>
      </c>
      <c r="E220" s="2"/>
      <c r="F220" s="2"/>
      <c r="G220" s="2"/>
      <c r="H220" s="2"/>
      <c r="I220" s="2"/>
      <c r="J220" s="2"/>
    </row>
    <row r="221" ht="15.75" customHeight="1">
      <c r="A221" s="4" t="str">
        <f>HYPERLINK("https://stackoverflow.com/q/41679881", "41679881")</f>
        <v>41679881</v>
      </c>
      <c r="B221" s="2" t="s">
        <v>257</v>
      </c>
      <c r="C221" s="3">
        <v>1.0</v>
      </c>
      <c r="D221" s="3">
        <v>1905.0</v>
      </c>
      <c r="E221" s="2" t="s">
        <v>59</v>
      </c>
      <c r="F221" s="2" t="s">
        <v>28</v>
      </c>
      <c r="G221" s="2"/>
      <c r="H221" s="2"/>
      <c r="I221" s="2"/>
      <c r="J221" s="2"/>
    </row>
    <row r="222" ht="15.75" customHeight="1">
      <c r="A222" s="4" t="str">
        <f>HYPERLINK("https://stackoverflow.com/q/25436947", "25436947")</f>
        <v>25436947</v>
      </c>
      <c r="B222" s="2" t="s">
        <v>258</v>
      </c>
      <c r="C222" s="3"/>
      <c r="D222" s="3">
        <v>1902.0</v>
      </c>
      <c r="E222" s="2"/>
      <c r="F222" s="2"/>
      <c r="G222" s="2"/>
      <c r="H222" s="2"/>
      <c r="I222" s="2"/>
      <c r="J222" s="2"/>
    </row>
    <row r="223" ht="15.75" customHeight="1">
      <c r="A223" s="4" t="str">
        <f>HYPERLINK("https://stackoverflow.com/q/42121564", "42121564")</f>
        <v>42121564</v>
      </c>
      <c r="B223" s="2" t="s">
        <v>259</v>
      </c>
      <c r="C223" s="3">
        <v>1.0</v>
      </c>
      <c r="D223" s="3">
        <v>1901.0</v>
      </c>
      <c r="E223" s="2" t="s">
        <v>11</v>
      </c>
      <c r="F223" s="2" t="s">
        <v>67</v>
      </c>
      <c r="G223" s="2"/>
      <c r="H223" s="2"/>
      <c r="I223" s="2"/>
      <c r="J223" s="2"/>
    </row>
    <row r="224" ht="15.75" customHeight="1">
      <c r="A224" s="4" t="str">
        <f>HYPERLINK("https://stackoverflow.com/q/50561808", "50561808")</f>
        <v>50561808</v>
      </c>
      <c r="B224" s="2" t="s">
        <v>260</v>
      </c>
      <c r="C224" s="3"/>
      <c r="D224" s="3">
        <v>1895.0</v>
      </c>
      <c r="E224" s="2"/>
      <c r="F224" s="2"/>
      <c r="G224" s="2"/>
      <c r="H224" s="2"/>
      <c r="I224" s="2"/>
      <c r="J224" s="2"/>
    </row>
    <row r="225" ht="15.75" customHeight="1">
      <c r="A225" s="4" t="str">
        <f>HYPERLINK("https://stackoverflow.com/q/57523823", "57523823")</f>
        <v>57523823</v>
      </c>
      <c r="B225" s="2" t="s">
        <v>261</v>
      </c>
      <c r="C225" s="3"/>
      <c r="D225" s="3">
        <v>1895.0</v>
      </c>
      <c r="E225" s="2"/>
      <c r="F225" s="2"/>
      <c r="G225" s="2"/>
      <c r="H225" s="2"/>
      <c r="I225" s="2"/>
      <c r="J225" s="2"/>
    </row>
    <row r="226" ht="15.75" customHeight="1">
      <c r="A226" s="4" t="str">
        <f>HYPERLINK("https://stackoverflow.com/q/43549104", "43549104")</f>
        <v>43549104</v>
      </c>
      <c r="B226" s="2" t="s">
        <v>262</v>
      </c>
      <c r="C226" s="3"/>
      <c r="D226" s="3">
        <v>1891.0</v>
      </c>
      <c r="E226" s="2" t="s">
        <v>11</v>
      </c>
      <c r="F226" s="2" t="s">
        <v>263</v>
      </c>
      <c r="G226" s="2"/>
      <c r="H226" s="2"/>
      <c r="I226" s="2"/>
      <c r="J226" s="2"/>
    </row>
    <row r="227" ht="15.75" customHeight="1">
      <c r="A227" s="4" t="str">
        <f>HYPERLINK("https://stackoverflow.com/q/46703013", "46703013")</f>
        <v>46703013</v>
      </c>
      <c r="B227" s="2" t="s">
        <v>264</v>
      </c>
      <c r="C227" s="3"/>
      <c r="D227" s="3">
        <v>1889.0</v>
      </c>
      <c r="E227" s="2" t="s">
        <v>11</v>
      </c>
      <c r="F227" s="2" t="s">
        <v>18</v>
      </c>
      <c r="G227" s="2" t="s">
        <v>44</v>
      </c>
      <c r="H227" s="2"/>
      <c r="I227" s="2"/>
      <c r="J227" s="2"/>
    </row>
    <row r="228" ht="15.75" customHeight="1">
      <c r="A228" s="4" t="str">
        <f>HYPERLINK("https://stackoverflow.com/q/33401059", "33401059")</f>
        <v>33401059</v>
      </c>
      <c r="B228" s="2" t="s">
        <v>265</v>
      </c>
      <c r="C228" s="3">
        <v>1.0</v>
      </c>
      <c r="D228" s="3">
        <v>1869.0</v>
      </c>
      <c r="E228" s="2"/>
      <c r="F228" s="2"/>
      <c r="G228" s="2"/>
      <c r="H228" s="2"/>
      <c r="I228" s="2"/>
      <c r="J228" s="2"/>
    </row>
    <row r="229" ht="15.75" customHeight="1">
      <c r="A229" s="4" t="str">
        <f>HYPERLINK("https://stackoverflow.com/q/47732539", "47732539")</f>
        <v>47732539</v>
      </c>
      <c r="B229" s="2" t="s">
        <v>266</v>
      </c>
      <c r="C229" s="3">
        <v>0.0</v>
      </c>
      <c r="D229" s="3">
        <v>1868.0</v>
      </c>
      <c r="E229" s="2" t="s">
        <v>11</v>
      </c>
      <c r="F229" s="2" t="s">
        <v>18</v>
      </c>
      <c r="G229" s="2"/>
      <c r="H229" s="2"/>
      <c r="I229" s="2"/>
      <c r="J229" s="2"/>
    </row>
    <row r="230" ht="15.75" customHeight="1">
      <c r="A230" s="4" t="str">
        <f>HYPERLINK("https://stackoverflow.com/q/49553459", "49553459")</f>
        <v>49553459</v>
      </c>
      <c r="B230" s="2" t="s">
        <v>267</v>
      </c>
      <c r="C230" s="3"/>
      <c r="D230" s="3">
        <v>1862.0</v>
      </c>
      <c r="E230" s="2"/>
      <c r="F230" s="2"/>
      <c r="G230" s="2"/>
      <c r="H230" s="2"/>
      <c r="I230" s="2"/>
      <c r="J230" s="2"/>
    </row>
    <row r="231" ht="15.75" customHeight="1">
      <c r="A231" s="4" t="str">
        <f>HYPERLINK("https://stackoverflow.com/q/23062636", "23062636")</f>
        <v>23062636</v>
      </c>
      <c r="B231" s="2" t="s">
        <v>268</v>
      </c>
      <c r="C231" s="3">
        <v>1.0</v>
      </c>
      <c r="D231" s="3">
        <v>1861.0</v>
      </c>
      <c r="E231" s="2" t="s">
        <v>11</v>
      </c>
      <c r="F231" s="2" t="s">
        <v>67</v>
      </c>
      <c r="G231" s="2"/>
      <c r="H231" s="2"/>
      <c r="I231" s="2"/>
      <c r="J231" s="2"/>
    </row>
    <row r="232" ht="15.75" customHeight="1">
      <c r="A232" s="4" t="str">
        <f>HYPERLINK("https://stackoverflow.com/q/51737007", "51737007")</f>
        <v>51737007</v>
      </c>
      <c r="B232" s="2" t="s">
        <v>269</v>
      </c>
      <c r="C232" s="3"/>
      <c r="D232" s="3">
        <v>1851.0</v>
      </c>
      <c r="E232" s="2" t="s">
        <v>11</v>
      </c>
      <c r="F232" s="2" t="s">
        <v>183</v>
      </c>
      <c r="G232" s="2"/>
      <c r="H232" s="2"/>
      <c r="I232" s="2"/>
      <c r="J232" s="2"/>
    </row>
    <row r="233" ht="15.75" customHeight="1">
      <c r="A233" s="4" t="str">
        <f>HYPERLINK("https://stackoverflow.com/q/56717423", "56717423")</f>
        <v>56717423</v>
      </c>
      <c r="B233" s="2" t="s">
        <v>270</v>
      </c>
      <c r="C233" s="3"/>
      <c r="D233" s="3">
        <v>1845.0</v>
      </c>
      <c r="E233" s="2" t="s">
        <v>11</v>
      </c>
      <c r="F233" s="2" t="s">
        <v>67</v>
      </c>
      <c r="G233" s="2"/>
      <c r="H233" s="2"/>
      <c r="I233" s="2"/>
      <c r="J233" s="2"/>
    </row>
    <row r="234" ht="15.75" customHeight="1">
      <c r="A234" s="4" t="str">
        <f>HYPERLINK("https://stackoverflow.com/q/23984516", "23984516")</f>
        <v>23984516</v>
      </c>
      <c r="B234" s="2" t="s">
        <v>271</v>
      </c>
      <c r="C234" s="3">
        <v>2.0</v>
      </c>
      <c r="D234" s="3">
        <v>1844.0</v>
      </c>
      <c r="E234" s="2" t="s">
        <v>11</v>
      </c>
      <c r="F234" s="2" t="s">
        <v>272</v>
      </c>
      <c r="G234" s="2"/>
      <c r="H234" s="2"/>
      <c r="I234" s="2"/>
      <c r="J234" s="2"/>
    </row>
    <row r="235" ht="15.75" customHeight="1">
      <c r="A235" s="4" t="str">
        <f>HYPERLINK("https://stackoverflow.com/q/10923870", "10923870")</f>
        <v>10923870</v>
      </c>
      <c r="B235" s="2" t="s">
        <v>273</v>
      </c>
      <c r="C235" s="3"/>
      <c r="D235" s="3">
        <v>1838.0</v>
      </c>
      <c r="E235" s="2" t="s">
        <v>11</v>
      </c>
      <c r="F235" s="2" t="s">
        <v>18</v>
      </c>
      <c r="G235" s="2"/>
      <c r="H235" s="2"/>
      <c r="I235" s="2"/>
      <c r="J235" s="2"/>
    </row>
    <row r="236" ht="15.75" customHeight="1">
      <c r="A236" s="4" t="str">
        <f>HYPERLINK("https://stackoverflow.com/q/12507134", "12507134")</f>
        <v>12507134</v>
      </c>
      <c r="B236" s="2" t="s">
        <v>274</v>
      </c>
      <c r="C236" s="3"/>
      <c r="D236" s="3">
        <v>1838.0</v>
      </c>
      <c r="E236" s="2" t="s">
        <v>11</v>
      </c>
      <c r="F236" s="2" t="s">
        <v>44</v>
      </c>
      <c r="G236" s="2"/>
      <c r="H236" s="2"/>
      <c r="I236" s="2"/>
      <c r="J236" s="2"/>
    </row>
    <row r="237" ht="15.75" customHeight="1">
      <c r="A237" s="4" t="str">
        <f>HYPERLINK("https://stackoverflow.com/q/54906258", "54906258")</f>
        <v>54906258</v>
      </c>
      <c r="B237" s="2" t="s">
        <v>275</v>
      </c>
      <c r="C237" s="3">
        <v>1.0</v>
      </c>
      <c r="D237" s="3">
        <v>1829.0</v>
      </c>
      <c r="E237" s="2" t="s">
        <v>11</v>
      </c>
      <c r="F237" s="2" t="s">
        <v>44</v>
      </c>
      <c r="G237" s="2"/>
      <c r="H237" s="2"/>
      <c r="I237" s="2"/>
      <c r="J237" s="2"/>
    </row>
    <row r="238" ht="15.75" customHeight="1">
      <c r="A238" s="4" t="str">
        <f>HYPERLINK("https://stackoverflow.com/q/31052944", "31052944")</f>
        <v>31052944</v>
      </c>
      <c r="B238" s="2" t="s">
        <v>276</v>
      </c>
      <c r="C238" s="3"/>
      <c r="D238" s="3">
        <v>1814.0</v>
      </c>
      <c r="E238" s="2" t="s">
        <v>11</v>
      </c>
      <c r="F238" s="2" t="s">
        <v>30</v>
      </c>
      <c r="G238" s="2"/>
      <c r="H238" s="2"/>
      <c r="I238" s="2"/>
      <c r="J238" s="2"/>
    </row>
    <row r="239" ht="15.75" customHeight="1">
      <c r="A239" s="4" t="str">
        <f>HYPERLINK("https://stackoverflow.com/q/46088465", "46088465")</f>
        <v>46088465</v>
      </c>
      <c r="B239" s="2" t="s">
        <v>277</v>
      </c>
      <c r="C239" s="3">
        <v>2.0</v>
      </c>
      <c r="D239" s="3">
        <v>1813.0</v>
      </c>
      <c r="E239" s="2" t="s">
        <v>11</v>
      </c>
      <c r="F239" s="2" t="s">
        <v>67</v>
      </c>
      <c r="G239" s="2"/>
      <c r="H239" s="2"/>
      <c r="I239" s="2"/>
      <c r="J239" s="2"/>
    </row>
    <row r="240" ht="15.75" customHeight="1">
      <c r="A240" s="4" t="str">
        <f>HYPERLINK("https://stackoverflow.com/q/12559029", "12559029")</f>
        <v>12559029</v>
      </c>
      <c r="B240" s="2" t="s">
        <v>278</v>
      </c>
      <c r="C240" s="3"/>
      <c r="D240" s="3">
        <v>1813.0</v>
      </c>
      <c r="E240" s="2" t="s">
        <v>11</v>
      </c>
      <c r="F240" s="2" t="s">
        <v>25</v>
      </c>
      <c r="G240" s="2"/>
      <c r="H240" s="2"/>
      <c r="I240" s="2"/>
      <c r="J240" s="2"/>
    </row>
    <row r="241" ht="15.75" customHeight="1">
      <c r="A241" s="4" t="str">
        <f>HYPERLINK("https://stackoverflow.com/q/51351353", "51351353")</f>
        <v>51351353</v>
      </c>
      <c r="B241" s="2" t="s">
        <v>279</v>
      </c>
      <c r="C241" s="3">
        <v>1.0</v>
      </c>
      <c r="D241" s="3">
        <v>1807.0</v>
      </c>
      <c r="E241" s="2" t="s">
        <v>11</v>
      </c>
      <c r="F241" s="2" t="s">
        <v>18</v>
      </c>
      <c r="G241" s="2"/>
      <c r="H241" s="2"/>
      <c r="I241" s="2"/>
      <c r="J241" s="2"/>
    </row>
    <row r="242" ht="15.75" customHeight="1">
      <c r="A242" s="4" t="str">
        <f>HYPERLINK("https://stackoverflow.com/q/30193726", "30193726")</f>
        <v>30193726</v>
      </c>
      <c r="B242" s="2" t="s">
        <v>280</v>
      </c>
      <c r="C242" s="3"/>
      <c r="D242" s="3">
        <v>1806.0</v>
      </c>
      <c r="E242" s="2" t="s">
        <v>11</v>
      </c>
      <c r="F242" s="2" t="s">
        <v>67</v>
      </c>
      <c r="G242" s="2"/>
      <c r="H242" s="2"/>
      <c r="I242" s="2"/>
      <c r="J242" s="2"/>
    </row>
    <row r="243" ht="15.75" customHeight="1">
      <c r="A243" s="4" t="str">
        <f>HYPERLINK("https://stackoverflow.com/q/46314967", "46314967")</f>
        <v>46314967</v>
      </c>
      <c r="B243" s="2" t="s">
        <v>281</v>
      </c>
      <c r="C243" s="3"/>
      <c r="D243" s="3">
        <v>1805.0</v>
      </c>
      <c r="E243" s="2" t="s">
        <v>59</v>
      </c>
      <c r="F243" s="2" t="s">
        <v>25</v>
      </c>
      <c r="G243" s="2"/>
      <c r="H243" s="2"/>
      <c r="I243" s="2"/>
      <c r="J243" s="2"/>
    </row>
    <row r="244" ht="15.75" customHeight="1">
      <c r="A244" s="4" t="str">
        <f>HYPERLINK("https://stackoverflow.com/q/46422037", "46422037")</f>
        <v>46422037</v>
      </c>
      <c r="B244" s="2" t="s">
        <v>282</v>
      </c>
      <c r="C244" s="3"/>
      <c r="D244" s="3">
        <v>1803.0</v>
      </c>
      <c r="E244" s="9" t="s">
        <v>11</v>
      </c>
      <c r="F244" s="2" t="s">
        <v>16</v>
      </c>
      <c r="G244" s="2"/>
      <c r="H244" s="2"/>
      <c r="I244" s="2"/>
      <c r="J244" s="2"/>
    </row>
    <row r="245" ht="15.75" customHeight="1">
      <c r="A245" s="4" t="str">
        <f>HYPERLINK("https://stackoverflow.com/q/51580416", "51580416")</f>
        <v>51580416</v>
      </c>
      <c r="B245" s="2" t="s">
        <v>283</v>
      </c>
      <c r="C245" s="3"/>
      <c r="D245" s="3">
        <v>1800.0</v>
      </c>
      <c r="E245" s="2" t="s">
        <v>11</v>
      </c>
      <c r="F245" s="2" t="s">
        <v>25</v>
      </c>
      <c r="G245" s="2"/>
      <c r="H245" s="2"/>
      <c r="I245" s="2"/>
      <c r="J245" s="2"/>
    </row>
    <row r="246" ht="15.75" customHeight="1">
      <c r="A246" s="4" t="str">
        <f>HYPERLINK("https://stackoverflow.com/q/54868399", "54868399")</f>
        <v>54868399</v>
      </c>
      <c r="B246" s="2" t="s">
        <v>284</v>
      </c>
      <c r="C246" s="3">
        <v>0.0</v>
      </c>
      <c r="D246" s="3">
        <v>1796.0</v>
      </c>
      <c r="E246" s="2" t="s">
        <v>11</v>
      </c>
      <c r="F246" s="2" t="s">
        <v>18</v>
      </c>
      <c r="G246" s="2"/>
      <c r="H246" s="2"/>
      <c r="I246" s="2"/>
      <c r="J246" s="2"/>
    </row>
    <row r="247" ht="15.75" customHeight="1">
      <c r="A247" s="4" t="str">
        <f>HYPERLINK("https://stackoverflow.com/q/46171283", "46171283")</f>
        <v>46171283</v>
      </c>
      <c r="B247" s="2" t="s">
        <v>285</v>
      </c>
      <c r="C247" s="3">
        <v>1.0</v>
      </c>
      <c r="D247" s="3">
        <v>1793.0</v>
      </c>
      <c r="E247" s="2" t="s">
        <v>11</v>
      </c>
      <c r="F247" s="2" t="s">
        <v>73</v>
      </c>
      <c r="G247" s="2"/>
      <c r="H247" s="2"/>
      <c r="I247" s="2"/>
      <c r="J247" s="2"/>
    </row>
    <row r="248" ht="15.75" customHeight="1">
      <c r="A248" s="4" t="str">
        <f>HYPERLINK("https://stackoverflow.com/q/34963112", "34963112")</f>
        <v>34963112</v>
      </c>
      <c r="B248" s="2" t="s">
        <v>286</v>
      </c>
      <c r="C248" s="3">
        <v>2.0</v>
      </c>
      <c r="D248" s="3">
        <v>1786.0</v>
      </c>
      <c r="E248" s="2" t="s">
        <v>11</v>
      </c>
      <c r="F248" s="2" t="s">
        <v>73</v>
      </c>
      <c r="G248" s="2"/>
      <c r="H248" s="2"/>
      <c r="I248" s="2"/>
      <c r="J248" s="2"/>
    </row>
    <row r="249" ht="15.75" customHeight="1">
      <c r="A249" s="4" t="str">
        <f>HYPERLINK("https://stackoverflow.com/q/47084869", "47084869")</f>
        <v>47084869</v>
      </c>
      <c r="B249" s="2" t="s">
        <v>287</v>
      </c>
      <c r="C249" s="3">
        <v>1.0</v>
      </c>
      <c r="D249" s="3">
        <v>1756.0</v>
      </c>
      <c r="E249" s="2" t="s">
        <v>11</v>
      </c>
      <c r="F249" s="2" t="s">
        <v>67</v>
      </c>
      <c r="G249" s="2"/>
      <c r="H249" s="2"/>
      <c r="I249" s="2"/>
      <c r="J249" s="2"/>
    </row>
    <row r="250" ht="15.75" customHeight="1">
      <c r="A250" s="4" t="str">
        <f>HYPERLINK("https://stackoverflow.com/q/18440385", "18440385")</f>
        <v>18440385</v>
      </c>
      <c r="B250" s="2" t="s">
        <v>288</v>
      </c>
      <c r="C250" s="3">
        <v>2.0</v>
      </c>
      <c r="D250" s="3">
        <v>1755.0</v>
      </c>
      <c r="E250" s="2" t="s">
        <v>11</v>
      </c>
      <c r="F250" s="2" t="s">
        <v>28</v>
      </c>
      <c r="G250" s="2"/>
      <c r="H250" s="2"/>
      <c r="I250" s="2"/>
      <c r="J250" s="2"/>
    </row>
    <row r="251" ht="15.75" customHeight="1">
      <c r="A251" s="4" t="str">
        <f>HYPERLINK("https://stackoverflow.com/q/44375912", "44375912")</f>
        <v>44375912</v>
      </c>
      <c r="B251" s="2" t="s">
        <v>289</v>
      </c>
      <c r="C251" s="3"/>
      <c r="D251" s="3">
        <v>1755.0</v>
      </c>
      <c r="E251" s="2" t="s">
        <v>11</v>
      </c>
      <c r="F251" s="2" t="s">
        <v>30</v>
      </c>
      <c r="G251" s="2"/>
      <c r="H251" s="2"/>
      <c r="I251" s="2"/>
      <c r="J251" s="2"/>
    </row>
    <row r="252" ht="15.75" customHeight="1">
      <c r="A252" s="4" t="str">
        <f>HYPERLINK("https://stackoverflow.com/q/10557731", "10557731")</f>
        <v>10557731</v>
      </c>
      <c r="B252" s="2" t="s">
        <v>290</v>
      </c>
      <c r="C252" s="3"/>
      <c r="D252" s="3">
        <v>1753.0</v>
      </c>
      <c r="E252" s="2" t="s">
        <v>11</v>
      </c>
      <c r="F252" s="2" t="s">
        <v>18</v>
      </c>
      <c r="G252" s="2"/>
      <c r="H252" s="2"/>
      <c r="I252" s="2"/>
      <c r="J252" s="2"/>
    </row>
    <row r="253" ht="15.75" customHeight="1">
      <c r="A253" s="4" t="str">
        <f>HYPERLINK("https://stackoverflow.com/q/34292278", "34292278")</f>
        <v>34292278</v>
      </c>
      <c r="B253" s="2" t="s">
        <v>291</v>
      </c>
      <c r="C253" s="3"/>
      <c r="D253" s="3">
        <v>1750.0</v>
      </c>
      <c r="E253" s="2" t="s">
        <v>11</v>
      </c>
      <c r="F253" s="2" t="s">
        <v>67</v>
      </c>
      <c r="G253" s="2"/>
      <c r="H253" s="2"/>
      <c r="I253" s="2"/>
      <c r="J253" s="2"/>
    </row>
    <row r="254" ht="15.75" customHeight="1">
      <c r="A254" s="4" t="str">
        <f>HYPERLINK("https://stackoverflow.com/q/41542609", "41542609")</f>
        <v>41542609</v>
      </c>
      <c r="B254" s="2" t="s">
        <v>292</v>
      </c>
      <c r="C254" s="3"/>
      <c r="D254" s="3">
        <v>1750.0</v>
      </c>
      <c r="E254" s="2" t="s">
        <v>11</v>
      </c>
      <c r="F254" s="2" t="s">
        <v>30</v>
      </c>
      <c r="G254" s="2"/>
      <c r="H254" s="2"/>
      <c r="I254" s="2"/>
      <c r="J254" s="2"/>
    </row>
    <row r="255" ht="15.75" customHeight="1">
      <c r="A255" s="4" t="str">
        <f>HYPERLINK("https://stackoverflow.com/q/42024359", "42024359")</f>
        <v>42024359</v>
      </c>
      <c r="B255" s="2" t="s">
        <v>293</v>
      </c>
      <c r="C255" s="3">
        <v>1.0</v>
      </c>
      <c r="D255" s="3">
        <v>1736.0</v>
      </c>
      <c r="E255" s="2" t="s">
        <v>11</v>
      </c>
      <c r="F255" s="2" t="s">
        <v>38</v>
      </c>
      <c r="G255" s="2" t="s">
        <v>18</v>
      </c>
      <c r="H255" s="2"/>
      <c r="I255" s="2"/>
      <c r="J255" s="2"/>
    </row>
    <row r="256" ht="15.75" customHeight="1">
      <c r="A256" s="4" t="str">
        <f>HYPERLINK("https://stackoverflow.com/q/16152727", "16152727")</f>
        <v>16152727</v>
      </c>
      <c r="B256" s="2" t="s">
        <v>294</v>
      </c>
      <c r="C256" s="3"/>
      <c r="D256" s="3">
        <v>1729.0</v>
      </c>
      <c r="E256" s="2"/>
      <c r="F256" s="2" t="s">
        <v>23</v>
      </c>
      <c r="G256" s="2"/>
      <c r="H256" s="2"/>
      <c r="I256" s="2"/>
      <c r="J256" s="2"/>
    </row>
    <row r="257" ht="15.75" customHeight="1">
      <c r="A257" s="4" t="str">
        <f>HYPERLINK("https://stackoverflow.com/q/4432075", "4432075")</f>
        <v>4432075</v>
      </c>
      <c r="B257" s="2" t="s">
        <v>295</v>
      </c>
      <c r="C257" s="3">
        <v>1.0</v>
      </c>
      <c r="D257" s="3">
        <v>1728.0</v>
      </c>
      <c r="E257" s="2" t="s">
        <v>11</v>
      </c>
      <c r="F257" s="2" t="s">
        <v>12</v>
      </c>
      <c r="G257" s="2"/>
      <c r="H257" s="2"/>
      <c r="I257" s="2"/>
      <c r="J257" s="2"/>
    </row>
    <row r="258" ht="15.75" customHeight="1">
      <c r="A258" s="4" t="str">
        <f>HYPERLINK("https://stackoverflow.com/q/51980747", "51980747")</f>
        <v>51980747</v>
      </c>
      <c r="B258" s="2" t="s">
        <v>296</v>
      </c>
      <c r="C258" s="3"/>
      <c r="D258" s="3">
        <v>1727.0</v>
      </c>
      <c r="E258" s="2"/>
      <c r="F258" s="2"/>
      <c r="G258" s="2"/>
      <c r="H258" s="2"/>
      <c r="I258" s="2"/>
      <c r="J258" s="2"/>
    </row>
    <row r="259" ht="15.75" customHeight="1">
      <c r="A259" s="4" t="str">
        <f>HYPERLINK("https://stackoverflow.com/q/43529651", "43529651")</f>
        <v>43529651</v>
      </c>
      <c r="B259" s="2" t="s">
        <v>297</v>
      </c>
      <c r="C259" s="3"/>
      <c r="D259" s="3">
        <v>1708.0</v>
      </c>
      <c r="E259" s="2" t="s">
        <v>11</v>
      </c>
      <c r="F259" s="2" t="s">
        <v>21</v>
      </c>
      <c r="G259" s="2"/>
      <c r="H259" s="2"/>
      <c r="I259" s="2"/>
      <c r="J259" s="2"/>
    </row>
    <row r="260" ht="15.75" customHeight="1">
      <c r="A260" s="4" t="str">
        <f>HYPERLINK("https://stackoverflow.com/q/22887879", "22887879")</f>
        <v>22887879</v>
      </c>
      <c r="B260" s="2" t="s">
        <v>298</v>
      </c>
      <c r="C260" s="3"/>
      <c r="D260" s="3">
        <v>1708.0</v>
      </c>
      <c r="E260" s="2"/>
      <c r="F260" s="2"/>
      <c r="G260" s="2"/>
      <c r="H260" s="2"/>
      <c r="I260" s="2"/>
      <c r="J260" s="2"/>
    </row>
    <row r="261" ht="15.75" customHeight="1">
      <c r="A261" s="4" t="str">
        <f>HYPERLINK("https://stackoverflow.com/q/38968308", "38968308")</f>
        <v>38968308</v>
      </c>
      <c r="B261" s="2" t="s">
        <v>299</v>
      </c>
      <c r="C261" s="3"/>
      <c r="D261" s="3">
        <v>1706.0</v>
      </c>
      <c r="E261" s="2"/>
      <c r="F261" s="2"/>
      <c r="G261" s="2"/>
      <c r="H261" s="2"/>
      <c r="I261" s="2"/>
      <c r="J261" s="2"/>
    </row>
    <row r="262" ht="15.75" customHeight="1">
      <c r="A262" s="4" t="str">
        <f>HYPERLINK("https://stackoverflow.com/q/52443062", "52443062")</f>
        <v>52443062</v>
      </c>
      <c r="B262" s="2" t="s">
        <v>300</v>
      </c>
      <c r="C262" s="3"/>
      <c r="D262" s="3">
        <v>1701.0</v>
      </c>
      <c r="E262" s="2"/>
      <c r="F262" s="2"/>
      <c r="G262" s="2"/>
      <c r="H262" s="2"/>
      <c r="I262" s="2"/>
      <c r="J262" s="2"/>
    </row>
    <row r="263" ht="15.75" customHeight="1">
      <c r="A263" s="4" t="str">
        <f>HYPERLINK("https://stackoverflow.com/q/52424944", "52424944")</f>
        <v>52424944</v>
      </c>
      <c r="B263" s="2" t="s">
        <v>301</v>
      </c>
      <c r="C263" s="3"/>
      <c r="D263" s="3">
        <v>1699.0</v>
      </c>
      <c r="E263" s="2"/>
      <c r="F263" s="2"/>
      <c r="G263" s="2"/>
      <c r="H263" s="2"/>
      <c r="I263" s="2"/>
      <c r="J263" s="2"/>
    </row>
    <row r="264" ht="15.75" customHeight="1">
      <c r="A264" s="4" t="str">
        <f>HYPERLINK("https://stackoverflow.com/q/56700759", "56700759")</f>
        <v>56700759</v>
      </c>
      <c r="B264" s="2" t="s">
        <v>302</v>
      </c>
      <c r="C264" s="3"/>
      <c r="D264" s="3">
        <v>1699.0</v>
      </c>
      <c r="E264" s="2"/>
      <c r="F264" s="2"/>
      <c r="G264" s="2"/>
      <c r="H264" s="2"/>
      <c r="I264" s="2"/>
      <c r="J264" s="2"/>
    </row>
    <row r="265" ht="15.75" customHeight="1">
      <c r="A265" s="4" t="str">
        <f>HYPERLINK("https://stackoverflow.com/q/59212486", "59212486")</f>
        <v>59212486</v>
      </c>
      <c r="B265" s="2" t="s">
        <v>303</v>
      </c>
      <c r="C265" s="3">
        <v>1.0</v>
      </c>
      <c r="D265" s="3">
        <v>1697.0</v>
      </c>
      <c r="E265" s="2"/>
      <c r="F265" s="2"/>
      <c r="G265" s="2"/>
      <c r="H265" s="2"/>
      <c r="I265" s="2"/>
      <c r="J265" s="2"/>
    </row>
    <row r="266" ht="15.75" customHeight="1">
      <c r="A266" s="4" t="str">
        <f>HYPERLINK("https://stackoverflow.com/q/35742554", "35742554")</f>
        <v>35742554</v>
      </c>
      <c r="B266" s="2" t="s">
        <v>304</v>
      </c>
      <c r="C266" s="3"/>
      <c r="D266" s="3">
        <v>1696.0</v>
      </c>
      <c r="E266" s="2"/>
      <c r="F266" s="2"/>
      <c r="G266" s="2"/>
      <c r="H266" s="2"/>
      <c r="I266" s="2"/>
      <c r="J266" s="2"/>
    </row>
    <row r="267" ht="15.75" customHeight="1">
      <c r="A267" s="4" t="str">
        <f>HYPERLINK("https://stackoverflow.com/q/37521245", "37521245")</f>
        <v>37521245</v>
      </c>
      <c r="B267" s="2" t="s">
        <v>305</v>
      </c>
      <c r="C267" s="3"/>
      <c r="D267" s="3">
        <v>1683.0</v>
      </c>
      <c r="E267" s="2"/>
      <c r="F267" s="2"/>
      <c r="G267" s="2"/>
      <c r="H267" s="2"/>
      <c r="I267" s="2"/>
      <c r="J267" s="2"/>
    </row>
    <row r="268" ht="15.75" customHeight="1">
      <c r="A268" s="4" t="str">
        <f>HYPERLINK("https://stackoverflow.com/q/20693110", "20693110")</f>
        <v>20693110</v>
      </c>
      <c r="B268" s="2" t="s">
        <v>306</v>
      </c>
      <c r="C268" s="3">
        <v>0.0</v>
      </c>
      <c r="D268" s="3">
        <v>1674.0</v>
      </c>
      <c r="E268" s="2"/>
      <c r="F268" s="2"/>
      <c r="G268" s="2"/>
      <c r="H268" s="2"/>
      <c r="I268" s="2"/>
      <c r="J268" s="2"/>
    </row>
    <row r="269" ht="15.75" customHeight="1">
      <c r="A269" s="4" t="str">
        <f>HYPERLINK("https://stackoverflow.com/q/13825378", "13825378")</f>
        <v>13825378</v>
      </c>
      <c r="B269" s="2" t="s">
        <v>307</v>
      </c>
      <c r="C269" s="3"/>
      <c r="D269" s="3">
        <v>1670.0</v>
      </c>
      <c r="E269" s="2"/>
      <c r="F269" s="2"/>
      <c r="G269" s="2"/>
      <c r="H269" s="2"/>
      <c r="I269" s="2"/>
      <c r="J269" s="2"/>
    </row>
    <row r="270" ht="15.75" customHeight="1">
      <c r="A270" s="4" t="str">
        <f>HYPERLINK("https://stackoverflow.com/q/7048854", "7048854")</f>
        <v>7048854</v>
      </c>
      <c r="B270" s="2" t="s">
        <v>308</v>
      </c>
      <c r="C270" s="3">
        <v>2.0</v>
      </c>
      <c r="D270" s="3">
        <v>1669.0</v>
      </c>
      <c r="E270" s="2" t="s">
        <v>11</v>
      </c>
      <c r="F270" s="2" t="s">
        <v>25</v>
      </c>
      <c r="G270" s="2" t="s">
        <v>12</v>
      </c>
      <c r="H270" s="2"/>
      <c r="I270" s="2"/>
      <c r="J270" s="2"/>
    </row>
    <row r="271" ht="15.75" customHeight="1">
      <c r="A271" s="4" t="str">
        <f>HYPERLINK("https://stackoverflow.com/q/38320665", "38320665")</f>
        <v>38320665</v>
      </c>
      <c r="B271" s="2" t="s">
        <v>309</v>
      </c>
      <c r="C271" s="3">
        <v>0.0</v>
      </c>
      <c r="D271" s="3">
        <v>1666.0</v>
      </c>
      <c r="E271" s="2"/>
      <c r="F271" s="2"/>
      <c r="G271" s="2"/>
      <c r="H271" s="2"/>
      <c r="I271" s="2"/>
      <c r="J271" s="2"/>
    </row>
    <row r="272" ht="15.75" customHeight="1">
      <c r="A272" s="4" t="str">
        <f>HYPERLINK("https://stackoverflow.com/q/56183981", "56183981")</f>
        <v>56183981</v>
      </c>
      <c r="B272" s="2" t="s">
        <v>310</v>
      </c>
      <c r="C272" s="3"/>
      <c r="D272" s="3">
        <v>1661.0</v>
      </c>
      <c r="E272" s="2"/>
      <c r="F272" s="2"/>
      <c r="G272" s="2"/>
      <c r="H272" s="2"/>
      <c r="I272" s="2"/>
      <c r="J272" s="2"/>
    </row>
    <row r="273" ht="15.75" customHeight="1">
      <c r="A273" s="4" t="str">
        <f>HYPERLINK("https://stackoverflow.com/q/54143408", "54143408")</f>
        <v>54143408</v>
      </c>
      <c r="B273" s="2" t="s">
        <v>311</v>
      </c>
      <c r="C273" s="3"/>
      <c r="D273" s="3">
        <v>1659.0</v>
      </c>
      <c r="E273" s="2"/>
      <c r="F273" s="2"/>
      <c r="G273" s="2"/>
      <c r="H273" s="2"/>
      <c r="I273" s="2"/>
      <c r="J273" s="2"/>
    </row>
    <row r="274" ht="15.75" customHeight="1">
      <c r="A274" s="4" t="str">
        <f>HYPERLINK("https://stackoverflow.com/q/17934697", "17934697")</f>
        <v>17934697</v>
      </c>
      <c r="B274" s="2" t="s">
        <v>312</v>
      </c>
      <c r="C274" s="3"/>
      <c r="D274" s="3">
        <v>1640.0</v>
      </c>
      <c r="E274" s="2"/>
      <c r="F274" s="2"/>
      <c r="G274" s="2"/>
      <c r="H274" s="2"/>
      <c r="I274" s="2"/>
      <c r="J274" s="2"/>
    </row>
    <row r="275" ht="15.75" customHeight="1">
      <c r="A275" s="4" t="str">
        <f>HYPERLINK("https://stackoverflow.com/q/53843585", "53843585")</f>
        <v>53843585</v>
      </c>
      <c r="B275" s="2" t="s">
        <v>313</v>
      </c>
      <c r="C275" s="3"/>
      <c r="D275" s="3">
        <v>1639.0</v>
      </c>
      <c r="E275" s="2" t="s">
        <v>11</v>
      </c>
      <c r="F275" s="2" t="s">
        <v>12</v>
      </c>
      <c r="G275" s="2"/>
      <c r="H275" s="2"/>
      <c r="I275" s="2"/>
      <c r="J275" s="2"/>
    </row>
    <row r="276" ht="15.75" customHeight="1">
      <c r="A276" s="4" t="str">
        <f>HYPERLINK("https://stackoverflow.com/q/31914821", "31914821")</f>
        <v>31914821</v>
      </c>
      <c r="B276" s="2" t="s">
        <v>314</v>
      </c>
      <c r="C276" s="3"/>
      <c r="D276" s="3">
        <v>1637.0</v>
      </c>
      <c r="E276" s="2"/>
      <c r="F276" s="2"/>
      <c r="G276" s="2"/>
      <c r="H276" s="2"/>
      <c r="I276" s="2"/>
      <c r="J276" s="2"/>
    </row>
    <row r="277" ht="15.75" customHeight="1">
      <c r="A277" s="4" t="str">
        <f>HYPERLINK("https://stackoverflow.com/q/47432384", "47432384")</f>
        <v>47432384</v>
      </c>
      <c r="B277" s="2" t="s">
        <v>315</v>
      </c>
      <c r="C277" s="3"/>
      <c r="D277" s="3">
        <v>1636.0</v>
      </c>
      <c r="E277" s="9" t="s">
        <v>11</v>
      </c>
      <c r="F277" s="2" t="s">
        <v>16</v>
      </c>
      <c r="G277" s="2"/>
      <c r="H277" s="2"/>
      <c r="I277" s="2"/>
      <c r="J277" s="2"/>
    </row>
    <row r="278" ht="15.75" customHeight="1">
      <c r="A278" s="4" t="str">
        <f>HYPERLINK("https://stackoverflow.com/q/39895345", "39895345")</f>
        <v>39895345</v>
      </c>
      <c r="B278" s="2" t="s">
        <v>316</v>
      </c>
      <c r="C278" s="3">
        <v>1.0</v>
      </c>
      <c r="D278" s="3">
        <v>1631.0</v>
      </c>
      <c r="E278" s="2"/>
      <c r="F278" s="2"/>
      <c r="G278" s="2"/>
      <c r="H278" s="2"/>
      <c r="I278" s="2"/>
      <c r="J278" s="2"/>
    </row>
    <row r="279" ht="15.75" customHeight="1">
      <c r="A279" s="4" t="str">
        <f>HYPERLINK("https://stackoverflow.com/q/2022549", "2022549")</f>
        <v>2022549</v>
      </c>
      <c r="B279" s="2" t="s">
        <v>317</v>
      </c>
      <c r="C279" s="3">
        <v>0.0</v>
      </c>
      <c r="D279" s="3">
        <v>1627.0</v>
      </c>
      <c r="E279" s="2" t="s">
        <v>11</v>
      </c>
      <c r="F279" s="2" t="s">
        <v>12</v>
      </c>
      <c r="G279" s="2"/>
      <c r="H279" s="2"/>
      <c r="I279" s="2"/>
      <c r="J279" s="2"/>
    </row>
    <row r="280" ht="15.75" customHeight="1">
      <c r="A280" s="4" t="str">
        <f>HYPERLINK("https://stackoverflow.com/q/46612266", "46612266")</f>
        <v>46612266</v>
      </c>
      <c r="B280" s="2" t="s">
        <v>318</v>
      </c>
      <c r="C280" s="3"/>
      <c r="D280" s="3">
        <v>1624.0</v>
      </c>
      <c r="E280" s="2" t="s">
        <v>11</v>
      </c>
      <c r="F280" s="2" t="s">
        <v>30</v>
      </c>
      <c r="G280" s="2"/>
      <c r="H280" s="2"/>
      <c r="I280" s="2"/>
      <c r="J280" s="2"/>
    </row>
    <row r="281" ht="15.75" customHeight="1">
      <c r="A281" s="4" t="str">
        <f>HYPERLINK("https://stackoverflow.com/q/48865565", "48865565")</f>
        <v>48865565</v>
      </c>
      <c r="B281" s="2" t="s">
        <v>319</v>
      </c>
      <c r="C281" s="3"/>
      <c r="D281" s="3">
        <v>1623.0</v>
      </c>
      <c r="E281" s="2"/>
      <c r="F281" s="2"/>
      <c r="G281" s="2"/>
      <c r="H281" s="2"/>
      <c r="I281" s="2"/>
      <c r="J281" s="2"/>
    </row>
    <row r="282" ht="15.75" customHeight="1">
      <c r="A282" s="4" t="str">
        <f>HYPERLINK("https://stackoverflow.com/q/50823383", "50823383")</f>
        <v>50823383</v>
      </c>
      <c r="B282" s="2" t="s">
        <v>320</v>
      </c>
      <c r="C282" s="3"/>
      <c r="D282" s="3">
        <v>1623.0</v>
      </c>
      <c r="E282" s="2"/>
      <c r="F282" s="2"/>
      <c r="G282" s="2"/>
      <c r="H282" s="2"/>
      <c r="I282" s="2"/>
      <c r="J282" s="2"/>
    </row>
    <row r="283" ht="15.75" customHeight="1">
      <c r="A283" s="4" t="str">
        <f>HYPERLINK("https://stackoverflow.com/q/51666283", "51666283")</f>
        <v>51666283</v>
      </c>
      <c r="B283" s="2" t="s">
        <v>321</v>
      </c>
      <c r="C283" s="3"/>
      <c r="D283" s="3">
        <v>1621.0</v>
      </c>
      <c r="E283" s="2"/>
      <c r="F283" s="2"/>
      <c r="G283" s="2"/>
      <c r="H283" s="2"/>
      <c r="I283" s="2"/>
      <c r="J283" s="2"/>
    </row>
    <row r="284" ht="15.75" customHeight="1">
      <c r="A284" s="4" t="str">
        <f>HYPERLINK("https://stackoverflow.com/q/56166973", "56166973")</f>
        <v>56166973</v>
      </c>
      <c r="B284" s="2" t="s">
        <v>322</v>
      </c>
      <c r="C284" s="3"/>
      <c r="D284" s="3">
        <v>1603.0</v>
      </c>
      <c r="E284" s="2"/>
      <c r="F284" s="2"/>
      <c r="G284" s="2"/>
      <c r="H284" s="2"/>
      <c r="I284" s="2"/>
      <c r="J284" s="2"/>
    </row>
    <row r="285" ht="15.75" customHeight="1">
      <c r="A285" s="4" t="str">
        <f>HYPERLINK("https://stackoverflow.com/q/13267422", "13267422")</f>
        <v>13267422</v>
      </c>
      <c r="B285" s="2" t="s">
        <v>323</v>
      </c>
      <c r="C285" s="3"/>
      <c r="D285" s="3">
        <v>1600.0</v>
      </c>
      <c r="E285" s="2"/>
      <c r="F285" s="2"/>
      <c r="G285" s="2"/>
      <c r="H285" s="2"/>
      <c r="I285" s="2"/>
      <c r="J285" s="2"/>
    </row>
    <row r="286" ht="15.75" customHeight="1">
      <c r="A286" s="4" t="str">
        <f>HYPERLINK("https://stackoverflow.com/q/10919857", "10919857")</f>
        <v>10919857</v>
      </c>
      <c r="B286" s="2" t="s">
        <v>324</v>
      </c>
      <c r="C286" s="3"/>
      <c r="D286" s="3">
        <v>1596.0</v>
      </c>
      <c r="E286" s="2"/>
      <c r="F286" s="2"/>
      <c r="G286" s="2"/>
      <c r="H286" s="2"/>
      <c r="I286" s="2"/>
      <c r="J286" s="2"/>
    </row>
    <row r="287" ht="15.75" customHeight="1">
      <c r="A287" s="4" t="str">
        <f>HYPERLINK("https://stackoverflow.com/q/10784169", "10784169")</f>
        <v>10784169</v>
      </c>
      <c r="B287" s="2" t="s">
        <v>325</v>
      </c>
      <c r="C287" s="3"/>
      <c r="D287" s="3">
        <v>1590.0</v>
      </c>
      <c r="E287" s="2"/>
      <c r="F287" s="2"/>
      <c r="G287" s="2"/>
      <c r="H287" s="2"/>
      <c r="I287" s="2"/>
      <c r="J287" s="2"/>
    </row>
    <row r="288" ht="15.75" customHeight="1">
      <c r="A288" s="4" t="str">
        <f>HYPERLINK("https://stackoverflow.com/q/44050836", "44050836")</f>
        <v>44050836</v>
      </c>
      <c r="B288" s="2" t="s">
        <v>326</v>
      </c>
      <c r="C288" s="3"/>
      <c r="D288" s="3">
        <v>1576.0</v>
      </c>
      <c r="E288" s="2" t="s">
        <v>11</v>
      </c>
      <c r="F288" s="2" t="s">
        <v>25</v>
      </c>
      <c r="G288" s="2" t="s">
        <v>49</v>
      </c>
      <c r="H288" s="2"/>
      <c r="I288" s="2"/>
      <c r="J288" s="2"/>
    </row>
    <row r="289" ht="15.75" customHeight="1">
      <c r="A289" s="4" t="str">
        <f>HYPERLINK("https://stackoverflow.com/q/27223147", "27223147")</f>
        <v>27223147</v>
      </c>
      <c r="B289" s="2" t="s">
        <v>327</v>
      </c>
      <c r="C289" s="3"/>
      <c r="D289" s="3">
        <v>1576.0</v>
      </c>
      <c r="E289" s="2"/>
      <c r="F289" s="2"/>
      <c r="G289" s="2"/>
      <c r="H289" s="2"/>
      <c r="I289" s="2"/>
      <c r="J289" s="2"/>
    </row>
    <row r="290" ht="15.75" customHeight="1">
      <c r="A290" s="4" t="str">
        <f>HYPERLINK("https://stackoverflow.com/q/34085695", "34085695")</f>
        <v>34085695</v>
      </c>
      <c r="B290" s="2" t="s">
        <v>328</v>
      </c>
      <c r="C290" s="3"/>
      <c r="D290" s="3">
        <v>1575.0</v>
      </c>
      <c r="E290" s="2"/>
      <c r="F290" s="2"/>
      <c r="G290" s="2"/>
      <c r="H290" s="2"/>
      <c r="I290" s="2"/>
      <c r="J290" s="2"/>
    </row>
    <row r="291" ht="15.75" customHeight="1">
      <c r="A291" s="4" t="str">
        <f>HYPERLINK("https://stackoverflow.com/q/52890757", "52890757")</f>
        <v>52890757</v>
      </c>
      <c r="B291" s="2" t="s">
        <v>329</v>
      </c>
      <c r="C291" s="3">
        <v>1.0</v>
      </c>
      <c r="D291" s="3">
        <v>1570.0</v>
      </c>
      <c r="E291" s="2"/>
      <c r="F291" s="2"/>
      <c r="G291" s="2"/>
      <c r="H291" s="2"/>
      <c r="I291" s="2"/>
      <c r="J291" s="2"/>
    </row>
    <row r="292" ht="15.75" customHeight="1">
      <c r="A292" s="4" t="str">
        <f>HYPERLINK("https://stackoverflow.com/q/51512628", "51512628")</f>
        <v>51512628</v>
      </c>
      <c r="B292" s="2" t="s">
        <v>330</v>
      </c>
      <c r="C292" s="3">
        <v>0.0</v>
      </c>
      <c r="D292" s="3">
        <v>1567.0</v>
      </c>
      <c r="E292" s="2"/>
      <c r="F292" s="2"/>
      <c r="G292" s="2"/>
      <c r="H292" s="2"/>
      <c r="I292" s="2"/>
      <c r="J292" s="2"/>
    </row>
    <row r="293" ht="15.75" customHeight="1">
      <c r="A293" s="4" t="str">
        <f>HYPERLINK("https://stackoverflow.com/q/11698968", "11698968")</f>
        <v>11698968</v>
      </c>
      <c r="B293" s="2" t="s">
        <v>331</v>
      </c>
      <c r="C293" s="3">
        <v>2.0</v>
      </c>
      <c r="D293" s="3">
        <v>1565.0</v>
      </c>
      <c r="E293" s="2"/>
      <c r="F293" s="2"/>
      <c r="G293" s="2"/>
      <c r="H293" s="2"/>
      <c r="I293" s="2"/>
      <c r="J293" s="2"/>
    </row>
    <row r="294" ht="15.75" customHeight="1">
      <c r="A294" s="4" t="str">
        <f>HYPERLINK("https://stackoverflow.com/q/48158928", "48158928")</f>
        <v>48158928</v>
      </c>
      <c r="B294" s="2" t="s">
        <v>332</v>
      </c>
      <c r="C294" s="3"/>
      <c r="D294" s="3">
        <v>1556.0</v>
      </c>
      <c r="E294" s="2" t="s">
        <v>11</v>
      </c>
      <c r="F294" s="2" t="s">
        <v>18</v>
      </c>
      <c r="G294" s="2"/>
      <c r="H294" s="2"/>
      <c r="I294" s="2"/>
      <c r="J294" s="2"/>
    </row>
    <row r="295" ht="15.75" customHeight="1">
      <c r="A295" s="4" t="str">
        <f>HYPERLINK("https://stackoverflow.com/q/41291090", "41291090")</f>
        <v>41291090</v>
      </c>
      <c r="B295" s="2" t="s">
        <v>333</v>
      </c>
      <c r="C295" s="3"/>
      <c r="D295" s="3">
        <v>1556.0</v>
      </c>
      <c r="E295" s="2"/>
      <c r="F295" s="2"/>
      <c r="G295" s="2"/>
      <c r="H295" s="2"/>
      <c r="I295" s="2"/>
      <c r="J295" s="2"/>
    </row>
    <row r="296" ht="15.75" customHeight="1">
      <c r="A296" s="4" t="str">
        <f>HYPERLINK("https://stackoverflow.com/q/18096689", "18096689")</f>
        <v>18096689</v>
      </c>
      <c r="B296" s="2" t="s">
        <v>334</v>
      </c>
      <c r="C296" s="3"/>
      <c r="D296" s="3">
        <v>1553.0</v>
      </c>
      <c r="E296" s="2"/>
      <c r="F296" s="2"/>
      <c r="G296" s="2"/>
      <c r="H296" s="2"/>
      <c r="I296" s="2"/>
      <c r="J296" s="2"/>
    </row>
    <row r="297" ht="15.75" customHeight="1">
      <c r="A297" s="4" t="str">
        <f>HYPERLINK("https://stackoverflow.com/q/18933749", "18933749")</f>
        <v>18933749</v>
      </c>
      <c r="B297" s="2" t="s">
        <v>335</v>
      </c>
      <c r="C297" s="3"/>
      <c r="D297" s="3">
        <v>1547.0</v>
      </c>
      <c r="E297" s="2"/>
      <c r="F297" s="2"/>
      <c r="G297" s="2"/>
      <c r="H297" s="2"/>
      <c r="I297" s="2"/>
      <c r="J297" s="2"/>
    </row>
    <row r="298" ht="15.75" customHeight="1">
      <c r="A298" s="4" t="str">
        <f>HYPERLINK("https://stackoverflow.com/q/42169656", "42169656")</f>
        <v>42169656</v>
      </c>
      <c r="B298" s="2" t="s">
        <v>336</v>
      </c>
      <c r="C298" s="3"/>
      <c r="D298" s="3">
        <v>1546.0</v>
      </c>
      <c r="E298" s="2" t="s">
        <v>11</v>
      </c>
      <c r="F298" s="2" t="s">
        <v>14</v>
      </c>
      <c r="G298" s="2"/>
      <c r="H298" s="2"/>
      <c r="I298" s="2"/>
      <c r="J298" s="2"/>
    </row>
    <row r="299" ht="15.75" customHeight="1">
      <c r="A299" s="4" t="str">
        <f>HYPERLINK("https://stackoverflow.com/q/48997601", "48997601")</f>
        <v>48997601</v>
      </c>
      <c r="B299" s="2" t="s">
        <v>337</v>
      </c>
      <c r="C299" s="3">
        <v>1.0</v>
      </c>
      <c r="D299" s="3">
        <v>1543.0</v>
      </c>
      <c r="E299" s="2"/>
      <c r="F299" s="2"/>
      <c r="G299" s="2"/>
      <c r="H299" s="2"/>
      <c r="I299" s="2"/>
      <c r="J299" s="2"/>
    </row>
    <row r="300" ht="15.75" customHeight="1">
      <c r="A300" s="4" t="str">
        <f>HYPERLINK("https://stackoverflow.com/q/50502923", "50502923")</f>
        <v>50502923</v>
      </c>
      <c r="B300" s="2" t="s">
        <v>338</v>
      </c>
      <c r="C300" s="3">
        <v>1.0</v>
      </c>
      <c r="D300" s="3">
        <v>1543.0</v>
      </c>
      <c r="E300" s="2"/>
      <c r="F300" s="2"/>
      <c r="G300" s="2"/>
      <c r="H300" s="2"/>
      <c r="I300" s="2"/>
      <c r="J300" s="2"/>
    </row>
    <row r="301" ht="15.75" customHeight="1">
      <c r="A301" s="4" t="str">
        <f>HYPERLINK("https://stackoverflow.com/q/54751381", "54751381")</f>
        <v>54751381</v>
      </c>
      <c r="B301" s="2" t="s">
        <v>339</v>
      </c>
      <c r="C301" s="3"/>
      <c r="D301" s="3">
        <v>1543.0</v>
      </c>
      <c r="E301" s="2" t="s">
        <v>11</v>
      </c>
      <c r="F301" s="2" t="s">
        <v>25</v>
      </c>
      <c r="G301" s="2"/>
      <c r="H301" s="2"/>
      <c r="I301" s="2"/>
      <c r="J301" s="2"/>
    </row>
    <row r="302" ht="15.75" customHeight="1">
      <c r="A302" s="4" t="str">
        <f>HYPERLINK("https://stackoverflow.com/q/47437912", "47437912")</f>
        <v>47437912</v>
      </c>
      <c r="B302" s="2" t="s">
        <v>340</v>
      </c>
      <c r="C302" s="3">
        <v>1.0</v>
      </c>
      <c r="D302" s="3">
        <v>1526.0</v>
      </c>
      <c r="E302" s="2" t="s">
        <v>11</v>
      </c>
      <c r="F302" s="2" t="s">
        <v>25</v>
      </c>
      <c r="G302" s="2"/>
      <c r="H302" s="2"/>
      <c r="I302" s="2"/>
      <c r="J302" s="2"/>
    </row>
    <row r="303" ht="15.75" customHeight="1">
      <c r="A303" s="4" t="str">
        <f>HYPERLINK("https://stackoverflow.com/q/25971699", "25971699")</f>
        <v>25971699</v>
      </c>
      <c r="B303" s="2" t="s">
        <v>341</v>
      </c>
      <c r="C303" s="3"/>
      <c r="D303" s="3">
        <v>1519.0</v>
      </c>
      <c r="E303" s="2"/>
      <c r="F303" s="2"/>
      <c r="G303" s="2"/>
      <c r="H303" s="2"/>
      <c r="I303" s="2"/>
      <c r="J303" s="2"/>
    </row>
    <row r="304" ht="15.75" customHeight="1">
      <c r="A304" s="4" t="str">
        <f>HYPERLINK("https://stackoverflow.com/q/21492201", "21492201")</f>
        <v>21492201</v>
      </c>
      <c r="B304" s="2" t="s">
        <v>342</v>
      </c>
      <c r="C304" s="3">
        <v>1.0</v>
      </c>
      <c r="D304" s="3">
        <v>1516.0</v>
      </c>
      <c r="E304" s="2"/>
      <c r="F304" s="2"/>
      <c r="G304" s="2"/>
      <c r="H304" s="2"/>
      <c r="I304" s="2"/>
      <c r="J304" s="2"/>
    </row>
    <row r="305" ht="15.75" customHeight="1">
      <c r="A305" s="4" t="str">
        <f>HYPERLINK("https://stackoverflow.com/q/50326508", "50326508")</f>
        <v>50326508</v>
      </c>
      <c r="B305" s="2" t="s">
        <v>343</v>
      </c>
      <c r="C305" s="3">
        <v>1.0</v>
      </c>
      <c r="D305" s="3">
        <v>1516.0</v>
      </c>
      <c r="E305" s="2"/>
      <c r="F305" s="2"/>
      <c r="G305" s="2"/>
      <c r="H305" s="2"/>
      <c r="I305" s="2"/>
      <c r="J305" s="2"/>
    </row>
    <row r="306" ht="15.75" customHeight="1">
      <c r="A306" s="4" t="str">
        <f>HYPERLINK("https://stackoverflow.com/q/16045596", "16045596")</f>
        <v>16045596</v>
      </c>
      <c r="B306" s="2" t="s">
        <v>344</v>
      </c>
      <c r="C306" s="3"/>
      <c r="D306" s="3">
        <v>1512.0</v>
      </c>
      <c r="E306" s="2"/>
      <c r="F306" s="2"/>
      <c r="G306" s="2"/>
      <c r="H306" s="2"/>
      <c r="I306" s="2"/>
      <c r="J306" s="2"/>
    </row>
    <row r="307" ht="15.75" customHeight="1">
      <c r="A307" s="4" t="str">
        <f>HYPERLINK("https://stackoverflow.com/q/44416531", "44416531")</f>
        <v>44416531</v>
      </c>
      <c r="B307" s="2" t="s">
        <v>345</v>
      </c>
      <c r="C307" s="3">
        <v>0.0</v>
      </c>
      <c r="D307" s="3">
        <v>1500.0</v>
      </c>
      <c r="E307" s="2"/>
      <c r="F307" s="2"/>
      <c r="G307" s="2"/>
      <c r="H307" s="2"/>
      <c r="I307" s="2"/>
      <c r="J307" s="2"/>
    </row>
    <row r="308" ht="15.75" customHeight="1">
      <c r="A308" s="4" t="str">
        <f>HYPERLINK("https://stackoverflow.com/q/50862637", "50862637")</f>
        <v>50862637</v>
      </c>
      <c r="B308" s="2" t="s">
        <v>346</v>
      </c>
      <c r="C308" s="3"/>
      <c r="D308" s="3">
        <v>1487.0</v>
      </c>
      <c r="E308" s="2"/>
      <c r="F308" s="2"/>
      <c r="G308" s="2"/>
      <c r="H308" s="2"/>
      <c r="I308" s="2"/>
      <c r="J308" s="2"/>
    </row>
    <row r="309" ht="15.75" customHeight="1">
      <c r="A309" s="4" t="str">
        <f>HYPERLINK("https://stackoverflow.com/q/56118080", "56118080")</f>
        <v>56118080</v>
      </c>
      <c r="B309" s="2" t="s">
        <v>347</v>
      </c>
      <c r="C309" s="3"/>
      <c r="D309" s="3">
        <v>1485.0</v>
      </c>
      <c r="E309" s="2"/>
      <c r="F309" s="2"/>
      <c r="G309" s="2"/>
      <c r="H309" s="2"/>
      <c r="I309" s="2"/>
      <c r="J309" s="2"/>
    </row>
    <row r="310" ht="15.75" customHeight="1">
      <c r="A310" s="4" t="str">
        <f>HYPERLINK("https://stackoverflow.com/q/47336062", "47336062")</f>
        <v>47336062</v>
      </c>
      <c r="B310" s="2" t="s">
        <v>348</v>
      </c>
      <c r="C310" s="3"/>
      <c r="D310" s="3">
        <v>1483.0</v>
      </c>
      <c r="E310" s="2" t="s">
        <v>11</v>
      </c>
      <c r="F310" s="2" t="s">
        <v>56</v>
      </c>
      <c r="G310" s="2"/>
      <c r="H310" s="2"/>
      <c r="I310" s="2"/>
      <c r="J310" s="2"/>
    </row>
    <row r="311" ht="15.75" customHeight="1">
      <c r="A311" s="4" t="str">
        <f>HYPERLINK("https://stackoverflow.com/q/56159595", "56159595")</f>
        <v>56159595</v>
      </c>
      <c r="B311" s="2" t="s">
        <v>349</v>
      </c>
      <c r="C311" s="3"/>
      <c r="D311" s="3">
        <v>1480.0</v>
      </c>
      <c r="E311" s="2"/>
      <c r="F311" s="2"/>
      <c r="G311" s="2"/>
      <c r="H311" s="2"/>
      <c r="I311" s="2"/>
      <c r="J311" s="2"/>
    </row>
    <row r="312" ht="15.75" customHeight="1">
      <c r="A312" s="4" t="str">
        <f>HYPERLINK("https://stackoverflow.com/q/20183529", "20183529")</f>
        <v>20183529</v>
      </c>
      <c r="B312" s="2" t="s">
        <v>350</v>
      </c>
      <c r="C312" s="3"/>
      <c r="D312" s="3">
        <v>1470.0</v>
      </c>
      <c r="E312" s="2"/>
      <c r="F312" s="2"/>
      <c r="G312" s="2"/>
      <c r="H312" s="2"/>
      <c r="I312" s="2"/>
      <c r="J312" s="2"/>
    </row>
    <row r="313" ht="15.75" customHeight="1">
      <c r="A313" s="4" t="str">
        <f>HYPERLINK("https://stackoverflow.com/q/54346725", "54346725")</f>
        <v>54346725</v>
      </c>
      <c r="B313" s="2" t="s">
        <v>351</v>
      </c>
      <c r="C313" s="3">
        <v>1.0</v>
      </c>
      <c r="D313" s="3">
        <v>1468.0</v>
      </c>
      <c r="E313" s="2" t="s">
        <v>11</v>
      </c>
      <c r="F313" s="2" t="s">
        <v>25</v>
      </c>
      <c r="G313" s="2"/>
      <c r="H313" s="2"/>
      <c r="I313" s="2"/>
      <c r="J313" s="2"/>
    </row>
    <row r="314" ht="15.75" customHeight="1">
      <c r="A314" s="4" t="str">
        <f>HYPERLINK("https://stackoverflow.com/q/56958772", "56958772")</f>
        <v>56958772</v>
      </c>
      <c r="B314" s="2" t="s">
        <v>352</v>
      </c>
      <c r="C314" s="3"/>
      <c r="D314" s="3">
        <v>1465.0</v>
      </c>
      <c r="E314" s="2"/>
      <c r="F314" s="2"/>
      <c r="G314" s="2"/>
      <c r="H314" s="2"/>
      <c r="I314" s="2"/>
      <c r="J314" s="2"/>
    </row>
    <row r="315" ht="15.75" customHeight="1">
      <c r="A315" s="4" t="str">
        <f>HYPERLINK("https://stackoverflow.com/q/51870216", "51870216")</f>
        <v>51870216</v>
      </c>
      <c r="B315" s="2" t="s">
        <v>353</v>
      </c>
      <c r="C315" s="3"/>
      <c r="D315" s="3">
        <v>1461.0</v>
      </c>
      <c r="E315" s="2"/>
      <c r="F315" s="2"/>
      <c r="G315" s="2"/>
      <c r="H315" s="2"/>
      <c r="I315" s="2"/>
      <c r="J315" s="2"/>
    </row>
    <row r="316" ht="15.75" customHeight="1">
      <c r="A316" s="4" t="str">
        <f>HYPERLINK("https://stackoverflow.com/q/51142087", "51142087")</f>
        <v>51142087</v>
      </c>
      <c r="B316" s="2" t="s">
        <v>354</v>
      </c>
      <c r="C316" s="3">
        <v>2.0</v>
      </c>
      <c r="D316" s="3">
        <v>1453.0</v>
      </c>
      <c r="E316" s="2"/>
      <c r="F316" s="2"/>
      <c r="G316" s="2"/>
      <c r="H316" s="2"/>
      <c r="I316" s="2"/>
      <c r="J316" s="2"/>
    </row>
    <row r="317" ht="15.75" customHeight="1">
      <c r="A317" s="4" t="str">
        <f>HYPERLINK("https://stackoverflow.com/q/2566385", "2566385")</f>
        <v>2566385</v>
      </c>
      <c r="B317" s="2" t="s">
        <v>355</v>
      </c>
      <c r="C317" s="3"/>
      <c r="D317" s="3">
        <v>1453.0</v>
      </c>
      <c r="E317" s="2"/>
      <c r="F317" s="2"/>
      <c r="G317" s="2"/>
      <c r="H317" s="2"/>
      <c r="I317" s="2"/>
      <c r="J317" s="2"/>
    </row>
    <row r="318" ht="15.75" customHeight="1">
      <c r="A318" s="4" t="str">
        <f>HYPERLINK("https://stackoverflow.com/q/20089789", "20089789")</f>
        <v>20089789</v>
      </c>
      <c r="B318" s="2" t="s">
        <v>356</v>
      </c>
      <c r="C318" s="3">
        <v>1.0</v>
      </c>
      <c r="D318" s="3">
        <v>1451.0</v>
      </c>
      <c r="E318" s="2"/>
      <c r="F318" s="2"/>
      <c r="G318" s="2"/>
      <c r="H318" s="2"/>
      <c r="I318" s="2"/>
      <c r="J318" s="2"/>
    </row>
    <row r="319" ht="15.75" customHeight="1">
      <c r="A319" s="4" t="str">
        <f>HYPERLINK("https://stackoverflow.com/q/56580338", "56580338")</f>
        <v>56580338</v>
      </c>
      <c r="B319" s="2" t="s">
        <v>357</v>
      </c>
      <c r="C319" s="3"/>
      <c r="D319" s="3">
        <v>1451.0</v>
      </c>
      <c r="E319" s="2"/>
      <c r="F319" s="2"/>
      <c r="G319" s="2"/>
      <c r="H319" s="2"/>
      <c r="I319" s="2"/>
      <c r="J319" s="2"/>
    </row>
    <row r="320" ht="15.75" customHeight="1">
      <c r="A320" s="4" t="str">
        <f>HYPERLINK("https://stackoverflow.com/q/42053998", "42053998")</f>
        <v>42053998</v>
      </c>
      <c r="B320" s="2" t="s">
        <v>358</v>
      </c>
      <c r="C320" s="3"/>
      <c r="D320" s="3">
        <v>1449.0</v>
      </c>
      <c r="E320" s="2" t="s">
        <v>11</v>
      </c>
      <c r="F320" s="2" t="s">
        <v>34</v>
      </c>
      <c r="G320" s="2" t="s">
        <v>25</v>
      </c>
      <c r="H320" s="2"/>
      <c r="I320" s="2"/>
      <c r="J320" s="2"/>
    </row>
    <row r="321" ht="15.75" customHeight="1">
      <c r="A321" s="4" t="str">
        <f>HYPERLINK("https://stackoverflow.com/q/16567269", "16567269")</f>
        <v>16567269</v>
      </c>
      <c r="B321" s="2" t="s">
        <v>359</v>
      </c>
      <c r="C321" s="3"/>
      <c r="D321" s="3">
        <v>1445.0</v>
      </c>
      <c r="E321" s="2"/>
      <c r="F321" s="2"/>
      <c r="G321" s="2"/>
      <c r="H321" s="2"/>
      <c r="I321" s="2"/>
      <c r="J321" s="2"/>
    </row>
    <row r="322" ht="15.75" customHeight="1">
      <c r="A322" s="4" t="str">
        <f>HYPERLINK("https://stackoverflow.com/q/48466362", "48466362")</f>
        <v>48466362</v>
      </c>
      <c r="B322" s="2" t="s">
        <v>360</v>
      </c>
      <c r="C322" s="3">
        <v>0.0</v>
      </c>
      <c r="D322" s="3">
        <v>1440.0</v>
      </c>
      <c r="E322" s="2"/>
      <c r="F322" s="2"/>
      <c r="G322" s="2"/>
      <c r="H322" s="2"/>
      <c r="I322" s="2"/>
      <c r="J322" s="2"/>
    </row>
    <row r="323" ht="15.75" customHeight="1">
      <c r="A323" s="4" t="str">
        <f>HYPERLINK("https://stackoverflow.com/q/55726611", "55726611")</f>
        <v>55726611</v>
      </c>
      <c r="B323" s="2" t="s">
        <v>361</v>
      </c>
      <c r="C323" s="3"/>
      <c r="D323" s="3">
        <v>1440.0</v>
      </c>
      <c r="E323" s="2"/>
      <c r="F323" s="2"/>
      <c r="G323" s="2"/>
      <c r="H323" s="2"/>
      <c r="I323" s="2"/>
      <c r="J323" s="2"/>
    </row>
    <row r="324" ht="15.75" customHeight="1">
      <c r="A324" s="4" t="str">
        <f>HYPERLINK("https://stackoverflow.com/q/50584594", "50584594")</f>
        <v>50584594</v>
      </c>
      <c r="B324" s="2" t="s">
        <v>362</v>
      </c>
      <c r="C324" s="3"/>
      <c r="D324" s="3">
        <v>1437.0</v>
      </c>
      <c r="E324" s="2"/>
      <c r="F324" s="2"/>
      <c r="G324" s="2"/>
      <c r="H324" s="2"/>
      <c r="I324" s="2"/>
      <c r="J324" s="2"/>
    </row>
    <row r="325" ht="15.75" customHeight="1">
      <c r="A325" s="4" t="str">
        <f>HYPERLINK("https://stackoverflow.com/q/22563944", "22563944")</f>
        <v>22563944</v>
      </c>
      <c r="B325" s="2" t="s">
        <v>363</v>
      </c>
      <c r="C325" s="3">
        <v>1.0</v>
      </c>
      <c r="D325" s="3">
        <v>1436.0</v>
      </c>
      <c r="E325" s="2"/>
      <c r="F325" s="2"/>
      <c r="G325" s="2"/>
      <c r="H325" s="2"/>
      <c r="I325" s="2"/>
      <c r="J325" s="2"/>
    </row>
    <row r="326" ht="15.75" customHeight="1">
      <c r="A326" s="4" t="str">
        <f>HYPERLINK("https://stackoverflow.com/q/48089860", "48089860")</f>
        <v>48089860</v>
      </c>
      <c r="B326" s="2" t="s">
        <v>364</v>
      </c>
      <c r="C326" s="3"/>
      <c r="D326" s="3">
        <v>1432.0</v>
      </c>
      <c r="E326" s="2" t="s">
        <v>11</v>
      </c>
      <c r="F326" s="2" t="s">
        <v>18</v>
      </c>
      <c r="G326" s="2"/>
      <c r="H326" s="2"/>
      <c r="I326" s="2"/>
      <c r="J326" s="2"/>
    </row>
    <row r="327" ht="15.75" customHeight="1">
      <c r="A327" s="4" t="str">
        <f>HYPERLINK("https://stackoverflow.com/q/45731288", "45731288")</f>
        <v>45731288</v>
      </c>
      <c r="B327" s="2" t="s">
        <v>365</v>
      </c>
      <c r="C327" s="3"/>
      <c r="D327" s="3">
        <v>1421.0</v>
      </c>
      <c r="E327" s="2"/>
      <c r="F327" s="2"/>
      <c r="G327" s="2"/>
      <c r="H327" s="2"/>
      <c r="I327" s="2"/>
      <c r="J327" s="2"/>
    </row>
    <row r="328" ht="15.75" customHeight="1">
      <c r="A328" s="4" t="str">
        <f>HYPERLINK("https://stackoverflow.com/q/41036556", "41036556")</f>
        <v>41036556</v>
      </c>
      <c r="B328" s="2" t="s">
        <v>366</v>
      </c>
      <c r="C328" s="3"/>
      <c r="D328" s="3">
        <v>1420.0</v>
      </c>
      <c r="E328" s="2"/>
      <c r="F328" s="2"/>
      <c r="G328" s="2"/>
      <c r="H328" s="2"/>
      <c r="I328" s="2"/>
      <c r="J328" s="2"/>
    </row>
    <row r="329" ht="15.75" customHeight="1">
      <c r="A329" s="4" t="str">
        <f>HYPERLINK("https://stackoverflow.com/q/49763535", "49763535")</f>
        <v>49763535</v>
      </c>
      <c r="B329" s="2" t="s">
        <v>367</v>
      </c>
      <c r="C329" s="3">
        <v>2.0</v>
      </c>
      <c r="D329" s="3">
        <v>1410.0</v>
      </c>
      <c r="E329" s="2"/>
      <c r="F329" s="2"/>
      <c r="G329" s="2"/>
      <c r="H329" s="2"/>
      <c r="I329" s="2"/>
      <c r="J329" s="2"/>
    </row>
    <row r="330" ht="15.75" customHeight="1">
      <c r="A330" s="4" t="str">
        <f>HYPERLINK("https://stackoverflow.com/q/51700472", "51700472")</f>
        <v>51700472</v>
      </c>
      <c r="B330" s="2" t="s">
        <v>368</v>
      </c>
      <c r="C330" s="3"/>
      <c r="D330" s="3">
        <v>1406.0</v>
      </c>
      <c r="E330" s="2"/>
      <c r="F330" s="2"/>
      <c r="G330" s="2"/>
      <c r="H330" s="2"/>
      <c r="I330" s="2"/>
      <c r="J330" s="2"/>
    </row>
    <row r="331" ht="15.75" customHeight="1">
      <c r="A331" s="4" t="str">
        <f>HYPERLINK("https://stackoverflow.com/q/42254535", "42254535")</f>
        <v>42254535</v>
      </c>
      <c r="B331" s="2" t="s">
        <v>369</v>
      </c>
      <c r="C331" s="3"/>
      <c r="D331" s="3">
        <v>1403.0</v>
      </c>
      <c r="E331" s="2" t="s">
        <v>11</v>
      </c>
      <c r="F331" s="2" t="s">
        <v>25</v>
      </c>
      <c r="G331" s="2"/>
      <c r="H331" s="2"/>
      <c r="I331" s="2"/>
      <c r="J331" s="2"/>
    </row>
    <row r="332" ht="15.75" customHeight="1">
      <c r="A332" s="4" t="str">
        <f>HYPERLINK("https://stackoverflow.com/q/40233484", "40233484")</f>
        <v>40233484</v>
      </c>
      <c r="B332" s="2" t="s">
        <v>370</v>
      </c>
      <c r="C332" s="3">
        <v>1.0</v>
      </c>
      <c r="D332" s="3">
        <v>1394.0</v>
      </c>
      <c r="E332" s="2"/>
      <c r="F332" s="2"/>
      <c r="G332" s="2"/>
      <c r="H332" s="2"/>
      <c r="I332" s="2"/>
      <c r="J332" s="2"/>
    </row>
    <row r="333" ht="15.75" customHeight="1">
      <c r="A333" s="4" t="str">
        <f>HYPERLINK("https://stackoverflow.com/q/56190648", "56190648")</f>
        <v>56190648</v>
      </c>
      <c r="B333" s="2" t="s">
        <v>371</v>
      </c>
      <c r="C333" s="3"/>
      <c r="D333" s="3">
        <v>1390.0</v>
      </c>
      <c r="E333" s="2"/>
      <c r="F333" s="2"/>
      <c r="G333" s="2"/>
      <c r="H333" s="2"/>
      <c r="I333" s="2"/>
      <c r="J333" s="2"/>
    </row>
    <row r="334" ht="15.75" customHeight="1">
      <c r="A334" s="4" t="str">
        <f>HYPERLINK("https://stackoverflow.com/q/20738551", "20738551")</f>
        <v>20738551</v>
      </c>
      <c r="B334" s="2" t="s">
        <v>372</v>
      </c>
      <c r="C334" s="3"/>
      <c r="D334" s="3">
        <v>1381.0</v>
      </c>
      <c r="E334" s="2"/>
      <c r="F334" s="2"/>
      <c r="G334" s="2"/>
      <c r="H334" s="2"/>
      <c r="I334" s="2"/>
      <c r="J334" s="2"/>
    </row>
    <row r="335" ht="15.75" customHeight="1">
      <c r="A335" s="4" t="str">
        <f>HYPERLINK("https://stackoverflow.com/q/57927698", "57927698")</f>
        <v>57927698</v>
      </c>
      <c r="B335" s="2" t="s">
        <v>373</v>
      </c>
      <c r="C335" s="3"/>
      <c r="D335" s="3">
        <v>1376.0</v>
      </c>
      <c r="E335" s="2"/>
      <c r="F335" s="2"/>
      <c r="G335" s="2"/>
      <c r="H335" s="2"/>
      <c r="I335" s="2"/>
      <c r="J335" s="2"/>
    </row>
    <row r="336" ht="15.75" customHeight="1">
      <c r="A336" s="4" t="str">
        <f>HYPERLINK("https://stackoverflow.com/q/10898993", "10898993")</f>
        <v>10898993</v>
      </c>
      <c r="B336" s="2" t="s">
        <v>374</v>
      </c>
      <c r="C336" s="3"/>
      <c r="D336" s="3">
        <v>1375.0</v>
      </c>
      <c r="E336" s="2"/>
      <c r="F336" s="2"/>
      <c r="G336" s="2"/>
      <c r="H336" s="2"/>
      <c r="I336" s="2"/>
      <c r="J336" s="2"/>
    </row>
    <row r="337" ht="15.75" customHeight="1">
      <c r="A337" s="4" t="str">
        <f>HYPERLINK("https://stackoverflow.com/q/47737631", "47737631")</f>
        <v>47737631</v>
      </c>
      <c r="B337" s="2" t="s">
        <v>375</v>
      </c>
      <c r="C337" s="3"/>
      <c r="D337" s="3">
        <v>1363.0</v>
      </c>
      <c r="E337" s="2" t="s">
        <v>11</v>
      </c>
      <c r="F337" s="2" t="s">
        <v>25</v>
      </c>
      <c r="G337" s="2"/>
      <c r="H337" s="2"/>
      <c r="I337" s="2"/>
      <c r="J337" s="2"/>
    </row>
    <row r="338" ht="15.75" customHeight="1">
      <c r="A338" s="4" t="str">
        <f>HYPERLINK("https://stackoverflow.com/q/9076585", "9076585")</f>
        <v>9076585</v>
      </c>
      <c r="B338" s="2" t="s">
        <v>376</v>
      </c>
      <c r="C338" s="3"/>
      <c r="D338" s="3">
        <v>1357.0</v>
      </c>
      <c r="E338" s="2" t="s">
        <v>11</v>
      </c>
      <c r="F338" s="2" t="s">
        <v>25</v>
      </c>
      <c r="G338" s="2" t="s">
        <v>35</v>
      </c>
      <c r="H338" s="2"/>
      <c r="I338" s="2"/>
      <c r="J338" s="2"/>
    </row>
    <row r="339" ht="15.75" customHeight="1">
      <c r="A339" s="4" t="str">
        <f>HYPERLINK("https://stackoverflow.com/q/53108026", "53108026")</f>
        <v>53108026</v>
      </c>
      <c r="B339" s="2" t="s">
        <v>377</v>
      </c>
      <c r="C339" s="3"/>
      <c r="D339" s="3">
        <v>1355.0</v>
      </c>
      <c r="E339" s="2"/>
      <c r="F339" s="2"/>
      <c r="G339" s="2"/>
      <c r="H339" s="2"/>
      <c r="I339" s="2"/>
      <c r="J339" s="2"/>
    </row>
    <row r="340" ht="15.75" customHeight="1">
      <c r="A340" s="4" t="str">
        <f>HYPERLINK("https://stackoverflow.com/q/50322178", "50322178")</f>
        <v>50322178</v>
      </c>
      <c r="B340" s="2" t="s">
        <v>378</v>
      </c>
      <c r="C340" s="3"/>
      <c r="D340" s="3">
        <v>1352.0</v>
      </c>
      <c r="E340" s="2"/>
      <c r="F340" s="2"/>
      <c r="G340" s="2"/>
      <c r="H340" s="2"/>
      <c r="I340" s="2"/>
      <c r="J340" s="2"/>
    </row>
    <row r="341" ht="15.75" customHeight="1">
      <c r="A341" s="4" t="str">
        <f>HYPERLINK("https://stackoverflow.com/q/43995641", "43995641")</f>
        <v>43995641</v>
      </c>
      <c r="B341" s="2" t="s">
        <v>379</v>
      </c>
      <c r="C341" s="3"/>
      <c r="D341" s="3">
        <v>1345.0</v>
      </c>
      <c r="E341" s="2" t="s">
        <v>59</v>
      </c>
      <c r="F341" s="2" t="s">
        <v>21</v>
      </c>
      <c r="G341" s="2"/>
      <c r="H341" s="2"/>
      <c r="I341" s="2"/>
      <c r="J341" s="2"/>
    </row>
    <row r="342" ht="15.75" customHeight="1">
      <c r="A342" s="4" t="str">
        <f>HYPERLINK("https://stackoverflow.com/q/43924709", "43924709")</f>
        <v>43924709</v>
      </c>
      <c r="B342" s="2" t="s">
        <v>380</v>
      </c>
      <c r="C342" s="3"/>
      <c r="D342" s="3">
        <v>1344.0</v>
      </c>
      <c r="E342" s="2" t="s">
        <v>59</v>
      </c>
      <c r="F342" s="2" t="s">
        <v>21</v>
      </c>
      <c r="G342" s="2" t="s">
        <v>28</v>
      </c>
      <c r="H342" s="2"/>
      <c r="I342" s="2"/>
      <c r="J342" s="2"/>
    </row>
    <row r="343" ht="15.75" customHeight="1">
      <c r="A343" s="4" t="str">
        <f>HYPERLINK("https://stackoverflow.com/q/44638137", "44638137")</f>
        <v>44638137</v>
      </c>
      <c r="B343" s="2" t="s">
        <v>381</v>
      </c>
      <c r="C343" s="3"/>
      <c r="D343" s="3">
        <v>1340.0</v>
      </c>
      <c r="E343" s="2"/>
      <c r="F343" s="2"/>
      <c r="G343" s="2"/>
      <c r="H343" s="2"/>
      <c r="I343" s="2"/>
      <c r="J343" s="2"/>
    </row>
    <row r="344" ht="15.75" customHeight="1">
      <c r="A344" s="4" t="str">
        <f>HYPERLINK("https://stackoverflow.com/q/42996482", "42996482")</f>
        <v>42996482</v>
      </c>
      <c r="B344" s="2" t="s">
        <v>382</v>
      </c>
      <c r="C344" s="3"/>
      <c r="D344" s="3">
        <v>1339.0</v>
      </c>
      <c r="E344" s="2" t="s">
        <v>11</v>
      </c>
      <c r="F344" s="2" t="s">
        <v>21</v>
      </c>
      <c r="G344" s="2"/>
      <c r="H344" s="2"/>
      <c r="I344" s="2"/>
      <c r="J344" s="2"/>
    </row>
    <row r="345" ht="15.75" customHeight="1">
      <c r="A345" s="4" t="str">
        <f>HYPERLINK("https://stackoverflow.com/q/56781753", "56781753")</f>
        <v>56781753</v>
      </c>
      <c r="B345" s="2" t="s">
        <v>383</v>
      </c>
      <c r="C345" s="3"/>
      <c r="D345" s="3">
        <v>1339.0</v>
      </c>
      <c r="E345" s="2"/>
      <c r="F345" s="2"/>
      <c r="G345" s="2"/>
      <c r="H345" s="2"/>
      <c r="I345" s="2"/>
      <c r="J345" s="2"/>
    </row>
    <row r="346" ht="15.75" customHeight="1">
      <c r="A346" s="4" t="str">
        <f>HYPERLINK("https://stackoverflow.com/q/18234790", "18234790")</f>
        <v>18234790</v>
      </c>
      <c r="B346" s="2" t="s">
        <v>384</v>
      </c>
      <c r="C346" s="3">
        <v>2.0</v>
      </c>
      <c r="D346" s="3">
        <v>1332.0</v>
      </c>
      <c r="E346" s="2"/>
      <c r="F346" s="2"/>
      <c r="G346" s="2"/>
      <c r="H346" s="2"/>
      <c r="I346" s="2"/>
      <c r="J346" s="2"/>
    </row>
    <row r="347" ht="15.75" customHeight="1">
      <c r="A347" s="4" t="str">
        <f>HYPERLINK("https://stackoverflow.com/q/42705379", "42705379")</f>
        <v>42705379</v>
      </c>
      <c r="B347" s="2" t="s">
        <v>385</v>
      </c>
      <c r="C347" s="3"/>
      <c r="D347" s="3">
        <v>1331.0</v>
      </c>
      <c r="E347" s="2" t="s">
        <v>11</v>
      </c>
      <c r="F347" s="2" t="s">
        <v>25</v>
      </c>
      <c r="G347" s="2"/>
      <c r="H347" s="2"/>
      <c r="I347" s="2"/>
      <c r="J347" s="2"/>
    </row>
    <row r="348" ht="15.75" customHeight="1">
      <c r="A348" s="4" t="str">
        <f>HYPERLINK("https://stackoverflow.com/q/34510911", "34510911")</f>
        <v>34510911</v>
      </c>
      <c r="B348" s="2" t="s">
        <v>386</v>
      </c>
      <c r="C348" s="3">
        <v>1.0</v>
      </c>
      <c r="D348" s="3">
        <v>1327.0</v>
      </c>
      <c r="E348" s="2" t="s">
        <v>11</v>
      </c>
      <c r="F348" s="2" t="s">
        <v>12</v>
      </c>
      <c r="G348" s="2"/>
      <c r="H348" s="2"/>
      <c r="I348" s="2"/>
      <c r="J348" s="2"/>
    </row>
    <row r="349" ht="15.75" customHeight="1">
      <c r="A349" s="4" t="str">
        <f>HYPERLINK("https://stackoverflow.com/q/46945536", "46945536")</f>
        <v>46945536</v>
      </c>
      <c r="B349" s="2" t="s">
        <v>387</v>
      </c>
      <c r="C349" s="3"/>
      <c r="D349" s="3">
        <v>1323.0</v>
      </c>
      <c r="E349" s="2" t="s">
        <v>11</v>
      </c>
      <c r="F349" s="2" t="s">
        <v>56</v>
      </c>
      <c r="G349" s="2"/>
      <c r="H349" s="2"/>
      <c r="I349" s="2"/>
      <c r="J349" s="2"/>
    </row>
    <row r="350" ht="15.75" customHeight="1">
      <c r="A350" s="4" t="str">
        <f>HYPERLINK("https://stackoverflow.com/q/57802832", "57802832")</f>
        <v>57802832</v>
      </c>
      <c r="B350" s="2" t="s">
        <v>388</v>
      </c>
      <c r="C350" s="3"/>
      <c r="D350" s="3">
        <v>1321.0</v>
      </c>
      <c r="E350" s="2"/>
      <c r="F350" s="2"/>
      <c r="G350" s="2"/>
      <c r="H350" s="2"/>
      <c r="I350" s="2"/>
      <c r="J350" s="2"/>
    </row>
    <row r="351" ht="15.75" customHeight="1">
      <c r="A351" s="4" t="str">
        <f>HYPERLINK("https://stackoverflow.com/q/56876401", "56876401")</f>
        <v>56876401</v>
      </c>
      <c r="B351" s="2" t="s">
        <v>389</v>
      </c>
      <c r="C351" s="3">
        <v>1.0</v>
      </c>
      <c r="D351" s="3">
        <v>1319.0</v>
      </c>
      <c r="E351" s="2"/>
      <c r="F351" s="2"/>
      <c r="G351" s="2"/>
      <c r="H351" s="2"/>
      <c r="I351" s="2"/>
      <c r="J351" s="2"/>
    </row>
    <row r="352" ht="15.75" customHeight="1">
      <c r="A352" s="4" t="str">
        <f>HYPERLINK("https://stackoverflow.com/q/46606062", "46606062")</f>
        <v>46606062</v>
      </c>
      <c r="B352" s="2" t="s">
        <v>390</v>
      </c>
      <c r="C352" s="3">
        <v>0.0</v>
      </c>
      <c r="D352" s="3">
        <v>1319.0</v>
      </c>
      <c r="E352" s="2" t="s">
        <v>11</v>
      </c>
      <c r="F352" s="2" t="s">
        <v>30</v>
      </c>
      <c r="G352" s="2"/>
      <c r="H352" s="2"/>
      <c r="I352" s="2"/>
      <c r="J352" s="2"/>
    </row>
    <row r="353" ht="15.75" customHeight="1">
      <c r="A353" s="4" t="str">
        <f>HYPERLINK("https://stackoverflow.com/q/51480081", "51480081")</f>
        <v>51480081</v>
      </c>
      <c r="B353" s="2" t="s">
        <v>391</v>
      </c>
      <c r="C353" s="3">
        <v>1.0</v>
      </c>
      <c r="D353" s="3">
        <v>1316.0</v>
      </c>
      <c r="E353" s="2"/>
      <c r="F353" s="2"/>
      <c r="G353" s="2"/>
      <c r="H353" s="2"/>
      <c r="I353" s="2"/>
      <c r="J353" s="2"/>
    </row>
    <row r="354" ht="15.75" customHeight="1">
      <c r="A354" s="4" t="str">
        <f>HYPERLINK("https://stackoverflow.com/q/57558625", "57558625")</f>
        <v>57558625</v>
      </c>
      <c r="B354" s="2" t="s">
        <v>392</v>
      </c>
      <c r="C354" s="3">
        <v>1.0</v>
      </c>
      <c r="D354" s="3">
        <v>1315.0</v>
      </c>
      <c r="E354" s="2"/>
      <c r="F354" s="2"/>
      <c r="G354" s="2"/>
      <c r="H354" s="2"/>
      <c r="I354" s="2"/>
      <c r="J354" s="2"/>
    </row>
    <row r="355" ht="15.75" customHeight="1">
      <c r="A355" s="4" t="str">
        <f>HYPERLINK("https://stackoverflow.com/q/2615337", "2615337")</f>
        <v>2615337</v>
      </c>
      <c r="B355" s="2" t="s">
        <v>393</v>
      </c>
      <c r="C355" s="3"/>
      <c r="D355" s="3">
        <v>1315.0</v>
      </c>
      <c r="E355" s="2"/>
      <c r="F355" s="2"/>
      <c r="G355" s="2"/>
      <c r="H355" s="2"/>
      <c r="I355" s="2"/>
      <c r="J355" s="2"/>
    </row>
    <row r="356" ht="15.75" customHeight="1">
      <c r="A356" s="4" t="str">
        <f>HYPERLINK("https://stackoverflow.com/q/49042255", "49042255")</f>
        <v>49042255</v>
      </c>
      <c r="B356" s="2" t="s">
        <v>394</v>
      </c>
      <c r="C356" s="3">
        <v>4.0</v>
      </c>
      <c r="D356" s="3">
        <v>1313.0</v>
      </c>
      <c r="E356" s="2"/>
      <c r="F356" s="2"/>
      <c r="G356" s="2"/>
      <c r="H356" s="2"/>
      <c r="I356" s="2"/>
      <c r="J356" s="2"/>
    </row>
    <row r="357" ht="15.75" customHeight="1">
      <c r="A357" s="4" t="str">
        <f>HYPERLINK("https://stackoverflow.com/q/49444662", "49444662")</f>
        <v>49444662</v>
      </c>
      <c r="B357" s="2" t="s">
        <v>395</v>
      </c>
      <c r="C357" s="3"/>
      <c r="D357" s="3">
        <v>1310.0</v>
      </c>
      <c r="E357" s="2"/>
      <c r="F357" s="2"/>
      <c r="G357" s="2"/>
      <c r="H357" s="2"/>
      <c r="I357" s="2"/>
      <c r="J357" s="2"/>
    </row>
    <row r="358" ht="15.75" customHeight="1">
      <c r="A358" s="4" t="str">
        <f>HYPERLINK("https://stackoverflow.com/q/26043809", "26043809")</f>
        <v>26043809</v>
      </c>
      <c r="B358" s="2" t="s">
        <v>396</v>
      </c>
      <c r="C358" s="3"/>
      <c r="D358" s="3">
        <v>1309.0</v>
      </c>
      <c r="E358" s="2"/>
      <c r="F358" s="2"/>
      <c r="G358" s="2"/>
      <c r="H358" s="2"/>
      <c r="I358" s="2"/>
      <c r="J358" s="2"/>
    </row>
    <row r="359" ht="15.75" customHeight="1">
      <c r="A359" s="4" t="str">
        <f>HYPERLINK("https://stackoverflow.com/q/49400625", "49400625")</f>
        <v>49400625</v>
      </c>
      <c r="B359" s="2" t="s">
        <v>397</v>
      </c>
      <c r="C359" s="3"/>
      <c r="D359" s="3">
        <v>1309.0</v>
      </c>
      <c r="E359" s="2"/>
      <c r="F359" s="2"/>
      <c r="G359" s="2"/>
      <c r="H359" s="2"/>
      <c r="I359" s="2"/>
      <c r="J359" s="2"/>
    </row>
    <row r="360" ht="15.75" customHeight="1">
      <c r="A360" s="4" t="str">
        <f>HYPERLINK("https://stackoverflow.com/q/58839197", "58839197")</f>
        <v>58839197</v>
      </c>
      <c r="B360" s="2" t="s">
        <v>398</v>
      </c>
      <c r="C360" s="3">
        <v>1.0</v>
      </c>
      <c r="D360" s="3">
        <v>1308.0</v>
      </c>
      <c r="E360" s="2"/>
      <c r="F360" s="2"/>
      <c r="G360" s="2"/>
      <c r="H360" s="2"/>
      <c r="I360" s="2"/>
      <c r="J360" s="2"/>
    </row>
    <row r="361" ht="15.75" customHeight="1">
      <c r="A361" s="4" t="str">
        <f>HYPERLINK("https://stackoverflow.com/q/35609644", "35609644")</f>
        <v>35609644</v>
      </c>
      <c r="B361" s="2" t="s">
        <v>399</v>
      </c>
      <c r="C361" s="3"/>
      <c r="D361" s="3">
        <v>1306.0</v>
      </c>
      <c r="E361" s="2" t="s">
        <v>11</v>
      </c>
      <c r="F361" s="2" t="s">
        <v>67</v>
      </c>
      <c r="G361" s="2"/>
      <c r="H361" s="2"/>
      <c r="I361" s="2"/>
      <c r="J361" s="2"/>
    </row>
    <row r="362" ht="15.75" customHeight="1">
      <c r="A362" s="4" t="str">
        <f>HYPERLINK("https://stackoverflow.com/q/42148587", "42148587")</f>
        <v>42148587</v>
      </c>
      <c r="B362" s="2" t="s">
        <v>400</v>
      </c>
      <c r="C362" s="3"/>
      <c r="D362" s="3">
        <v>1305.0</v>
      </c>
      <c r="E362" s="2" t="s">
        <v>11</v>
      </c>
      <c r="F362" s="2" t="s">
        <v>14</v>
      </c>
      <c r="G362" s="2"/>
      <c r="H362" s="2"/>
      <c r="I362" s="2"/>
      <c r="J362" s="2"/>
    </row>
    <row r="363" ht="15.75" customHeight="1">
      <c r="A363" s="4" t="str">
        <f>HYPERLINK("https://stackoverflow.com/q/48452352", "48452352")</f>
        <v>48452352</v>
      </c>
      <c r="B363" s="2" t="s">
        <v>401</v>
      </c>
      <c r="C363" s="3"/>
      <c r="D363" s="3">
        <v>1300.0</v>
      </c>
      <c r="E363" s="2"/>
      <c r="F363" s="2"/>
      <c r="G363" s="2"/>
      <c r="H363" s="2"/>
      <c r="I363" s="2"/>
      <c r="J363" s="2"/>
    </row>
    <row r="364" ht="15.75" customHeight="1">
      <c r="A364" s="4" t="str">
        <f>HYPERLINK("https://stackoverflow.com/q/12504547", "12504547")</f>
        <v>12504547</v>
      </c>
      <c r="B364" s="2" t="s">
        <v>402</v>
      </c>
      <c r="C364" s="3">
        <v>1.0</v>
      </c>
      <c r="D364" s="3">
        <v>1298.0</v>
      </c>
      <c r="E364" s="2"/>
      <c r="F364" s="2"/>
      <c r="G364" s="2"/>
      <c r="H364" s="2"/>
      <c r="I364" s="2"/>
      <c r="J364" s="2"/>
    </row>
    <row r="365" ht="15.75" customHeight="1">
      <c r="A365" s="4" t="str">
        <f>HYPERLINK("https://stackoverflow.com/q/45662481", "45662481")</f>
        <v>45662481</v>
      </c>
      <c r="B365" s="2" t="s">
        <v>403</v>
      </c>
      <c r="C365" s="3"/>
      <c r="D365" s="3">
        <v>1295.0</v>
      </c>
      <c r="E365" s="2"/>
      <c r="F365" s="2"/>
      <c r="G365" s="2"/>
      <c r="H365" s="2"/>
      <c r="I365" s="2"/>
      <c r="J365" s="2"/>
    </row>
    <row r="366" ht="15.75" customHeight="1">
      <c r="A366" s="4" t="str">
        <f>HYPERLINK("https://stackoverflow.com/q/6580311", "6580311")</f>
        <v>6580311</v>
      </c>
      <c r="B366" s="2" t="s">
        <v>404</v>
      </c>
      <c r="C366" s="3"/>
      <c r="D366" s="3">
        <v>1295.0</v>
      </c>
      <c r="E366" s="2"/>
      <c r="F366" s="2"/>
      <c r="G366" s="2"/>
      <c r="H366" s="2"/>
      <c r="I366" s="2"/>
      <c r="J366" s="2"/>
    </row>
    <row r="367" ht="15.75" customHeight="1">
      <c r="A367" s="4" t="str">
        <f>HYPERLINK("https://stackoverflow.com/q/42388942", "42388942")</f>
        <v>42388942</v>
      </c>
      <c r="B367" s="2" t="s">
        <v>405</v>
      </c>
      <c r="C367" s="3"/>
      <c r="D367" s="3">
        <v>1294.0</v>
      </c>
      <c r="E367" s="2" t="s">
        <v>11</v>
      </c>
      <c r="F367" s="2" t="s">
        <v>67</v>
      </c>
      <c r="G367" s="2"/>
      <c r="H367" s="2"/>
      <c r="I367" s="2"/>
      <c r="J367" s="2"/>
    </row>
    <row r="368" ht="15.75" customHeight="1">
      <c r="A368" s="4" t="str">
        <f>HYPERLINK("https://stackoverflow.com/q/52673505", "52673505")</f>
        <v>52673505</v>
      </c>
      <c r="B368" s="2" t="s">
        <v>406</v>
      </c>
      <c r="C368" s="3"/>
      <c r="D368" s="3">
        <v>1293.0</v>
      </c>
      <c r="E368" s="2"/>
      <c r="F368" s="2"/>
      <c r="G368" s="2"/>
      <c r="H368" s="2"/>
      <c r="I368" s="2"/>
      <c r="J368" s="2"/>
    </row>
    <row r="369" ht="15.75" customHeight="1">
      <c r="A369" s="4" t="str">
        <f>HYPERLINK("https://stackoverflow.com/q/46250017", "46250017")</f>
        <v>46250017</v>
      </c>
      <c r="B369" s="2" t="s">
        <v>407</v>
      </c>
      <c r="C369" s="3"/>
      <c r="D369" s="3">
        <v>1292.0</v>
      </c>
      <c r="E369" s="2" t="s">
        <v>11</v>
      </c>
      <c r="F369" s="2" t="s">
        <v>25</v>
      </c>
      <c r="G369" s="2"/>
      <c r="H369" s="2"/>
      <c r="I369" s="2"/>
      <c r="J369" s="2"/>
    </row>
    <row r="370" ht="15.75" customHeight="1">
      <c r="A370" s="4" t="str">
        <f>HYPERLINK("https://stackoverflow.com/q/45672938", "45672938")</f>
        <v>45672938</v>
      </c>
      <c r="B370" s="2" t="s">
        <v>408</v>
      </c>
      <c r="C370" s="3"/>
      <c r="D370" s="3">
        <v>1291.0</v>
      </c>
      <c r="E370" s="2"/>
      <c r="F370" s="2"/>
      <c r="G370" s="2"/>
      <c r="H370" s="2"/>
      <c r="I370" s="2"/>
      <c r="J370" s="2"/>
    </row>
    <row r="371" ht="15.75" customHeight="1">
      <c r="A371" s="4" t="str">
        <f>HYPERLINK("https://stackoverflow.com/q/42672196", "42672196")</f>
        <v>42672196</v>
      </c>
      <c r="B371" s="2" t="s">
        <v>409</v>
      </c>
      <c r="C371" s="3">
        <v>1.0</v>
      </c>
      <c r="D371" s="3">
        <v>1288.0</v>
      </c>
      <c r="E371" s="2" t="s">
        <v>11</v>
      </c>
      <c r="F371" s="2" t="s">
        <v>25</v>
      </c>
      <c r="G371" s="2"/>
      <c r="H371" s="2"/>
      <c r="I371" s="2"/>
      <c r="J371" s="2"/>
    </row>
    <row r="372" ht="15.75" customHeight="1">
      <c r="A372" s="4" t="str">
        <f>HYPERLINK("https://stackoverflow.com/q/52406269", "52406269")</f>
        <v>52406269</v>
      </c>
      <c r="B372" s="2" t="s">
        <v>410</v>
      </c>
      <c r="C372" s="3"/>
      <c r="D372" s="3">
        <v>1284.0</v>
      </c>
      <c r="E372" s="2"/>
      <c r="F372" s="2"/>
      <c r="G372" s="2"/>
      <c r="H372" s="2"/>
      <c r="I372" s="2"/>
      <c r="J372" s="2"/>
    </row>
    <row r="373" ht="15.75" customHeight="1">
      <c r="A373" s="4" t="str">
        <f>HYPERLINK("https://stackoverflow.com/q/42647054", "42647054")</f>
        <v>42647054</v>
      </c>
      <c r="B373" s="2" t="s">
        <v>411</v>
      </c>
      <c r="C373" s="3">
        <v>1.0</v>
      </c>
      <c r="D373" s="3">
        <v>1283.0</v>
      </c>
      <c r="E373" s="2" t="s">
        <v>59</v>
      </c>
      <c r="F373" s="2" t="s">
        <v>30</v>
      </c>
      <c r="G373" s="2"/>
      <c r="H373" s="2"/>
      <c r="I373" s="2"/>
      <c r="J373" s="2"/>
    </row>
    <row r="374" ht="15.75" customHeight="1">
      <c r="A374" s="4" t="str">
        <f>HYPERLINK("https://stackoverflow.com/q/43876357", "43876357")</f>
        <v>43876357</v>
      </c>
      <c r="B374" s="2" t="s">
        <v>412</v>
      </c>
      <c r="C374" s="3"/>
      <c r="D374" s="3">
        <v>1281.0</v>
      </c>
      <c r="E374" s="2" t="s">
        <v>11</v>
      </c>
      <c r="F374" s="2" t="s">
        <v>49</v>
      </c>
      <c r="G374" s="2"/>
      <c r="H374" s="2"/>
      <c r="I374" s="2"/>
      <c r="J374" s="2"/>
    </row>
    <row r="375" ht="15.75" customHeight="1">
      <c r="A375" s="4" t="str">
        <f>HYPERLINK("https://stackoverflow.com/q/51178290", "51178290")</f>
        <v>51178290</v>
      </c>
      <c r="B375" s="2" t="s">
        <v>413</v>
      </c>
      <c r="C375" s="3"/>
      <c r="D375" s="3">
        <v>1278.0</v>
      </c>
      <c r="E375" s="2"/>
      <c r="F375" s="2"/>
      <c r="G375" s="2"/>
      <c r="H375" s="2"/>
      <c r="I375" s="2"/>
      <c r="J375" s="2"/>
    </row>
    <row r="376" ht="15.75" customHeight="1">
      <c r="A376" s="4" t="str">
        <f>HYPERLINK("https://stackoverflow.com/q/45967361", "45967361")</f>
        <v>45967361</v>
      </c>
      <c r="B376" s="2" t="s">
        <v>414</v>
      </c>
      <c r="C376" s="3"/>
      <c r="D376" s="3">
        <v>1277.0</v>
      </c>
      <c r="E376" s="2"/>
      <c r="F376" s="2"/>
      <c r="G376" s="2"/>
      <c r="H376" s="2"/>
      <c r="I376" s="2"/>
      <c r="J376" s="2"/>
    </row>
    <row r="377" ht="15.75" customHeight="1">
      <c r="A377" s="4" t="str">
        <f>HYPERLINK("https://stackoverflow.com/q/32706271", "32706271")</f>
        <v>32706271</v>
      </c>
      <c r="B377" s="2" t="s">
        <v>415</v>
      </c>
      <c r="C377" s="3"/>
      <c r="D377" s="3">
        <v>1275.0</v>
      </c>
      <c r="E377" s="2"/>
      <c r="F377" s="2"/>
      <c r="G377" s="2"/>
      <c r="H377" s="2"/>
      <c r="I377" s="2"/>
      <c r="J377" s="2"/>
    </row>
    <row r="378" ht="15.75" customHeight="1">
      <c r="A378" s="4" t="str">
        <f>HYPERLINK("https://stackoverflow.com/q/39386670", "39386670")</f>
        <v>39386670</v>
      </c>
      <c r="B378" s="2" t="s">
        <v>416</v>
      </c>
      <c r="C378" s="3"/>
      <c r="D378" s="3">
        <v>1269.0</v>
      </c>
      <c r="E378" s="2"/>
      <c r="F378" s="2"/>
      <c r="G378" s="2"/>
      <c r="H378" s="2"/>
      <c r="I378" s="2"/>
      <c r="J378" s="2"/>
    </row>
    <row r="379" ht="15.75" customHeight="1">
      <c r="A379" s="4" t="str">
        <f>HYPERLINK("https://stackoverflow.com/q/44950507", "44950507")</f>
        <v>44950507</v>
      </c>
      <c r="B379" s="2" t="s">
        <v>417</v>
      </c>
      <c r="C379" s="3"/>
      <c r="D379" s="3">
        <v>1268.0</v>
      </c>
      <c r="E379" s="2"/>
      <c r="F379" s="2"/>
      <c r="G379" s="2"/>
      <c r="H379" s="2"/>
      <c r="I379" s="2"/>
      <c r="J379" s="2"/>
    </row>
    <row r="380" ht="15.75" customHeight="1">
      <c r="A380" s="4" t="str">
        <f>HYPERLINK("https://stackoverflow.com/q/980932", "980932")</f>
        <v>980932</v>
      </c>
      <c r="B380" s="2" t="s">
        <v>418</v>
      </c>
      <c r="C380" s="3">
        <v>1.0</v>
      </c>
      <c r="D380" s="3">
        <v>1263.0</v>
      </c>
      <c r="E380" s="2" t="s">
        <v>11</v>
      </c>
      <c r="F380" s="2" t="s">
        <v>35</v>
      </c>
      <c r="G380" s="2" t="s">
        <v>18</v>
      </c>
      <c r="H380" s="2"/>
      <c r="I380" s="2"/>
      <c r="J380" s="2"/>
    </row>
    <row r="381" ht="15.75" customHeight="1">
      <c r="A381" s="4" t="str">
        <f>HYPERLINK("https://stackoverflow.com/q/32662381", "32662381")</f>
        <v>32662381</v>
      </c>
      <c r="B381" s="2" t="s">
        <v>419</v>
      </c>
      <c r="C381" s="3"/>
      <c r="D381" s="3">
        <v>1263.0</v>
      </c>
      <c r="E381" s="2"/>
      <c r="F381" s="2"/>
      <c r="G381" s="2"/>
      <c r="H381" s="2"/>
      <c r="I381" s="2"/>
      <c r="J381" s="2"/>
    </row>
    <row r="382" ht="15.75" customHeight="1">
      <c r="A382" s="4" t="str">
        <f>HYPERLINK("https://stackoverflow.com/q/44419262", "44419262")</f>
        <v>44419262</v>
      </c>
      <c r="B382" s="2" t="s">
        <v>420</v>
      </c>
      <c r="C382" s="3"/>
      <c r="D382" s="3">
        <v>1262.0</v>
      </c>
      <c r="E382" s="2"/>
      <c r="F382" s="2"/>
      <c r="G382" s="2"/>
      <c r="H382" s="2"/>
      <c r="I382" s="2"/>
      <c r="J382" s="2"/>
    </row>
    <row r="383" ht="15.75" customHeight="1">
      <c r="A383" s="4" t="str">
        <f>HYPERLINK("https://stackoverflow.com/q/58473686", "58473686")</f>
        <v>58473686</v>
      </c>
      <c r="B383" s="2" t="s">
        <v>421</v>
      </c>
      <c r="C383" s="3">
        <v>1.0</v>
      </c>
      <c r="D383" s="3">
        <v>1258.0</v>
      </c>
      <c r="E383" s="2"/>
      <c r="F383" s="2"/>
      <c r="G383" s="2"/>
      <c r="H383" s="2"/>
      <c r="I383" s="2"/>
      <c r="J383" s="2"/>
    </row>
    <row r="384" ht="15.75" customHeight="1">
      <c r="A384" s="4" t="str">
        <f>HYPERLINK("https://stackoverflow.com/q/30404878", "30404878")</f>
        <v>30404878</v>
      </c>
      <c r="B384" s="2" t="s">
        <v>422</v>
      </c>
      <c r="C384" s="3"/>
      <c r="D384" s="3">
        <v>1256.0</v>
      </c>
      <c r="E384" s="2"/>
      <c r="F384" s="2"/>
      <c r="G384" s="2"/>
      <c r="H384" s="2"/>
      <c r="I384" s="2"/>
      <c r="J384" s="2"/>
    </row>
    <row r="385" ht="15.75" customHeight="1">
      <c r="A385" s="4" t="str">
        <f>HYPERLINK("https://stackoverflow.com/q/58289430", "58289430")</f>
        <v>58289430</v>
      </c>
      <c r="B385" s="2" t="s">
        <v>423</v>
      </c>
      <c r="C385" s="3"/>
      <c r="D385" s="3">
        <v>1256.0</v>
      </c>
      <c r="E385" s="2"/>
      <c r="F385" s="2"/>
      <c r="G385" s="2"/>
      <c r="H385" s="2"/>
      <c r="I385" s="2"/>
      <c r="J385" s="2"/>
    </row>
    <row r="386" ht="15.75" customHeight="1">
      <c r="A386" s="4" t="str">
        <f>HYPERLINK("https://stackoverflow.com/q/58942442", "58942442")</f>
        <v>58942442</v>
      </c>
      <c r="B386" s="2" t="s">
        <v>424</v>
      </c>
      <c r="C386" s="3"/>
      <c r="D386" s="3">
        <v>1256.0</v>
      </c>
      <c r="E386" s="2"/>
      <c r="F386" s="2"/>
      <c r="G386" s="2"/>
      <c r="H386" s="2"/>
      <c r="I386" s="2"/>
      <c r="J386" s="2"/>
    </row>
    <row r="387" ht="15.75" customHeight="1">
      <c r="A387" s="4" t="str">
        <f>HYPERLINK("https://stackoverflow.com/q/34515865", "34515865")</f>
        <v>34515865</v>
      </c>
      <c r="B387" s="2" t="s">
        <v>425</v>
      </c>
      <c r="C387" s="3"/>
      <c r="D387" s="3">
        <v>1253.0</v>
      </c>
      <c r="E387" s="2"/>
      <c r="F387" s="2"/>
      <c r="G387" s="2"/>
      <c r="H387" s="2"/>
      <c r="I387" s="2"/>
      <c r="J387" s="2"/>
    </row>
    <row r="388" ht="15.75" customHeight="1">
      <c r="A388" s="4" t="str">
        <f>HYPERLINK("https://stackoverflow.com/q/34814468", "34814468")</f>
        <v>34814468</v>
      </c>
      <c r="B388" s="2" t="s">
        <v>426</v>
      </c>
      <c r="C388" s="3">
        <v>1.0</v>
      </c>
      <c r="D388" s="3">
        <v>1242.0</v>
      </c>
      <c r="E388" s="2"/>
      <c r="F388" s="2"/>
      <c r="G388" s="2"/>
      <c r="H388" s="2"/>
      <c r="I388" s="2"/>
      <c r="J388" s="2"/>
    </row>
    <row r="389" ht="15.75" customHeight="1">
      <c r="A389" s="4" t="str">
        <f>HYPERLINK("https://stackoverflow.com/q/52772128", "52772128")</f>
        <v>52772128</v>
      </c>
      <c r="B389" s="2" t="s">
        <v>427</v>
      </c>
      <c r="C389" s="3"/>
      <c r="D389" s="3">
        <v>1242.0</v>
      </c>
      <c r="E389" s="2"/>
      <c r="F389" s="2"/>
      <c r="G389" s="2"/>
      <c r="H389" s="2"/>
      <c r="I389" s="2"/>
      <c r="J389" s="2"/>
    </row>
    <row r="390" ht="15.75" customHeight="1">
      <c r="A390" s="4" t="str">
        <f>HYPERLINK("https://stackoverflow.com/q/55537720", "55537720")</f>
        <v>55537720</v>
      </c>
      <c r="B390" s="2" t="s">
        <v>428</v>
      </c>
      <c r="C390" s="3"/>
      <c r="D390" s="3">
        <v>1239.0</v>
      </c>
      <c r="E390" s="2" t="s">
        <v>11</v>
      </c>
      <c r="F390" s="2" t="s">
        <v>67</v>
      </c>
      <c r="G390" s="2"/>
      <c r="H390" s="2"/>
      <c r="I390" s="2"/>
      <c r="J390" s="2"/>
    </row>
    <row r="391" ht="15.75" customHeight="1">
      <c r="A391" s="4" t="str">
        <f>HYPERLINK("https://stackoverflow.com/q/43007141", "43007141")</f>
        <v>43007141</v>
      </c>
      <c r="B391" s="2" t="s">
        <v>429</v>
      </c>
      <c r="C391" s="3">
        <v>1.0</v>
      </c>
      <c r="D391" s="3">
        <v>1238.0</v>
      </c>
      <c r="E391" s="2" t="s">
        <v>11</v>
      </c>
      <c r="F391" s="2" t="s">
        <v>25</v>
      </c>
      <c r="G391" s="2"/>
      <c r="H391" s="2"/>
      <c r="I391" s="2"/>
      <c r="J391" s="2"/>
    </row>
    <row r="392" ht="15.75" customHeight="1">
      <c r="A392" s="4" t="str">
        <f>HYPERLINK("https://stackoverflow.com/q/22145868", "22145868")</f>
        <v>22145868</v>
      </c>
      <c r="B392" s="2" t="s">
        <v>430</v>
      </c>
      <c r="C392" s="3"/>
      <c r="D392" s="3">
        <v>1238.0</v>
      </c>
      <c r="E392" s="2"/>
      <c r="F392" s="2"/>
      <c r="G392" s="2"/>
      <c r="H392" s="2"/>
      <c r="I392" s="2"/>
      <c r="J392" s="2"/>
    </row>
    <row r="393" ht="15.75" customHeight="1">
      <c r="A393" s="4" t="str">
        <f>HYPERLINK("https://stackoverflow.com/q/47802967", "47802967")</f>
        <v>47802967</v>
      </c>
      <c r="B393" s="2" t="s">
        <v>431</v>
      </c>
      <c r="C393" s="3"/>
      <c r="D393" s="3">
        <v>1237.0</v>
      </c>
      <c r="E393" s="2" t="s">
        <v>11</v>
      </c>
      <c r="F393" s="2" t="s">
        <v>12</v>
      </c>
      <c r="G393" s="2" t="s">
        <v>25</v>
      </c>
      <c r="H393" s="2"/>
      <c r="I393" s="2"/>
      <c r="J393" s="2"/>
    </row>
    <row r="394" ht="15.75" customHeight="1">
      <c r="A394" s="4" t="str">
        <f>HYPERLINK("https://stackoverflow.com/q/29800320", "29800320")</f>
        <v>29800320</v>
      </c>
      <c r="B394" s="2" t="s">
        <v>432</v>
      </c>
      <c r="C394" s="3"/>
      <c r="D394" s="3">
        <v>1237.0</v>
      </c>
      <c r="E394" s="2"/>
      <c r="F394" s="2"/>
      <c r="G394" s="2"/>
      <c r="H394" s="2"/>
      <c r="I394" s="2"/>
      <c r="J394" s="2"/>
    </row>
    <row r="395" ht="15.75" customHeight="1">
      <c r="A395" s="4" t="str">
        <f>HYPERLINK("https://stackoverflow.com/q/4556252", "4556252")</f>
        <v>4556252</v>
      </c>
      <c r="B395" s="2" t="s">
        <v>433</v>
      </c>
      <c r="C395" s="3"/>
      <c r="D395" s="3">
        <v>1232.0</v>
      </c>
      <c r="E395" s="2" t="s">
        <v>11</v>
      </c>
      <c r="F395" s="2" t="s">
        <v>194</v>
      </c>
      <c r="G395" s="2" t="s">
        <v>35</v>
      </c>
      <c r="H395" s="2"/>
      <c r="I395" s="2"/>
      <c r="J395" s="2"/>
    </row>
    <row r="396" ht="15.75" customHeight="1">
      <c r="A396" s="4" t="str">
        <f>HYPERLINK("https://stackoverflow.com/q/50211166", "50211166")</f>
        <v>50211166</v>
      </c>
      <c r="B396" s="2" t="s">
        <v>434</v>
      </c>
      <c r="C396" s="3"/>
      <c r="D396" s="3">
        <v>1229.0</v>
      </c>
      <c r="E396" s="2"/>
      <c r="F396" s="2"/>
      <c r="G396" s="2"/>
      <c r="H396" s="2"/>
      <c r="I396" s="2"/>
      <c r="J396" s="2"/>
    </row>
    <row r="397" ht="15.75" customHeight="1">
      <c r="A397" s="4" t="str">
        <f>HYPERLINK("https://stackoverflow.com/q/51542863", "51542863")</f>
        <v>51542863</v>
      </c>
      <c r="B397" s="2" t="s">
        <v>435</v>
      </c>
      <c r="C397" s="3">
        <v>2.0</v>
      </c>
      <c r="D397" s="3">
        <v>1227.0</v>
      </c>
      <c r="E397" s="2"/>
      <c r="F397" s="2"/>
      <c r="G397" s="2"/>
      <c r="H397" s="2"/>
      <c r="I397" s="2"/>
      <c r="J397" s="2"/>
    </row>
    <row r="398" ht="15.75" customHeight="1">
      <c r="A398" s="4" t="str">
        <f>HYPERLINK("https://stackoverflow.com/q/51157760", "51157760")</f>
        <v>51157760</v>
      </c>
      <c r="B398" s="2" t="s">
        <v>436</v>
      </c>
      <c r="C398" s="3"/>
      <c r="D398" s="3">
        <v>1224.0</v>
      </c>
      <c r="E398" s="2"/>
      <c r="F398" s="2"/>
      <c r="G398" s="2"/>
      <c r="H398" s="2"/>
      <c r="I398" s="2"/>
      <c r="J398" s="2"/>
    </row>
    <row r="399" ht="15.75" customHeight="1">
      <c r="A399" s="4" t="str">
        <f>HYPERLINK("https://stackoverflow.com/q/30874436", "30874436")</f>
        <v>30874436</v>
      </c>
      <c r="B399" s="2" t="s">
        <v>437</v>
      </c>
      <c r="C399" s="3"/>
      <c r="D399" s="3">
        <v>1223.0</v>
      </c>
      <c r="E399" s="2"/>
      <c r="F399" s="2"/>
      <c r="G399" s="2"/>
      <c r="H399" s="2"/>
      <c r="I399" s="2"/>
      <c r="J399" s="2"/>
    </row>
    <row r="400" ht="15.75" customHeight="1">
      <c r="A400" s="4" t="str">
        <f>HYPERLINK("https://stackoverflow.com/q/38265464", "38265464")</f>
        <v>38265464</v>
      </c>
      <c r="B400" s="2" t="s">
        <v>438</v>
      </c>
      <c r="C400" s="3"/>
      <c r="D400" s="3">
        <v>1223.0</v>
      </c>
      <c r="E400" s="2"/>
      <c r="F400" s="2"/>
      <c r="G400" s="2"/>
      <c r="H400" s="2"/>
      <c r="I400" s="2"/>
      <c r="J400" s="2"/>
    </row>
    <row r="401" ht="15.75" customHeight="1">
      <c r="A401" s="4" t="str">
        <f>HYPERLINK("https://stackoverflow.com/q/58344651", "58344651")</f>
        <v>58344651</v>
      </c>
      <c r="B401" s="2" t="s">
        <v>439</v>
      </c>
      <c r="C401" s="3"/>
      <c r="D401" s="3">
        <v>1222.0</v>
      </c>
      <c r="E401" s="2"/>
      <c r="F401" s="2"/>
      <c r="G401" s="2"/>
      <c r="H401" s="2"/>
      <c r="I401" s="2"/>
      <c r="J401" s="2"/>
    </row>
    <row r="402" ht="15.75" customHeight="1">
      <c r="A402" s="4" t="str">
        <f>HYPERLINK("https://stackoverflow.com/q/31658122", "31658122")</f>
        <v>31658122</v>
      </c>
      <c r="B402" s="2" t="s">
        <v>440</v>
      </c>
      <c r="C402" s="3"/>
      <c r="D402" s="3">
        <v>1219.0</v>
      </c>
      <c r="E402" s="2"/>
      <c r="F402" s="2"/>
      <c r="G402" s="2"/>
      <c r="H402" s="2"/>
      <c r="I402" s="2"/>
      <c r="J402" s="2"/>
    </row>
    <row r="403" ht="15.75" customHeight="1">
      <c r="A403" s="4" t="str">
        <f>HYPERLINK("https://stackoverflow.com/q/49493225", "49493225")</f>
        <v>49493225</v>
      </c>
      <c r="B403" s="2" t="s">
        <v>441</v>
      </c>
      <c r="C403" s="3"/>
      <c r="D403" s="3">
        <v>1218.0</v>
      </c>
      <c r="E403" s="2"/>
      <c r="F403" s="2"/>
      <c r="G403" s="2"/>
      <c r="H403" s="2"/>
      <c r="I403" s="2"/>
      <c r="J403" s="2"/>
    </row>
    <row r="404" ht="15.75" customHeight="1">
      <c r="A404" s="4" t="str">
        <f>HYPERLINK("https://stackoverflow.com/q/46627009", "46627009")</f>
        <v>46627009</v>
      </c>
      <c r="B404" s="2" t="s">
        <v>442</v>
      </c>
      <c r="C404" s="3"/>
      <c r="D404" s="3">
        <v>1216.0</v>
      </c>
      <c r="E404" s="2" t="s">
        <v>11</v>
      </c>
      <c r="F404" s="2" t="s">
        <v>25</v>
      </c>
      <c r="G404" s="2" t="s">
        <v>56</v>
      </c>
      <c r="H404" s="2"/>
      <c r="I404" s="2"/>
      <c r="J404" s="2"/>
    </row>
    <row r="405" ht="15.75" customHeight="1">
      <c r="A405" s="4" t="str">
        <f>HYPERLINK("https://stackoverflow.com/q/25617442", "25617442")</f>
        <v>25617442</v>
      </c>
      <c r="B405" s="2" t="s">
        <v>443</v>
      </c>
      <c r="C405" s="3"/>
      <c r="D405" s="3">
        <v>1214.0</v>
      </c>
      <c r="E405" s="2"/>
      <c r="F405" s="2"/>
      <c r="G405" s="2"/>
      <c r="H405" s="2"/>
      <c r="I405" s="2"/>
      <c r="J405" s="2"/>
    </row>
    <row r="406" ht="15.75" customHeight="1">
      <c r="A406" s="4" t="str">
        <f>HYPERLINK("https://stackoverflow.com/q/44641222", "44641222")</f>
        <v>44641222</v>
      </c>
      <c r="B406" s="2" t="s">
        <v>444</v>
      </c>
      <c r="C406" s="3"/>
      <c r="D406" s="3">
        <v>1211.0</v>
      </c>
      <c r="E406" s="2"/>
      <c r="F406" s="2"/>
      <c r="G406" s="2"/>
      <c r="H406" s="2"/>
      <c r="I406" s="2"/>
      <c r="J406" s="2"/>
    </row>
    <row r="407" ht="15.75" customHeight="1">
      <c r="A407" s="4" t="str">
        <f>HYPERLINK("https://stackoverflow.com/q/10690115", "10690115")</f>
        <v>10690115</v>
      </c>
      <c r="B407" s="2" t="s">
        <v>445</v>
      </c>
      <c r="C407" s="3"/>
      <c r="D407" s="3">
        <v>1208.0</v>
      </c>
      <c r="E407" s="2"/>
      <c r="F407" s="2"/>
      <c r="G407" s="2"/>
      <c r="H407" s="2"/>
      <c r="I407" s="2"/>
      <c r="J407" s="2"/>
    </row>
    <row r="408" ht="15.75" customHeight="1">
      <c r="A408" s="4" t="str">
        <f>HYPERLINK("https://stackoverflow.com/q/38781470", "38781470")</f>
        <v>38781470</v>
      </c>
      <c r="B408" s="2" t="s">
        <v>446</v>
      </c>
      <c r="C408" s="3"/>
      <c r="D408" s="3">
        <v>1208.0</v>
      </c>
      <c r="E408" s="2"/>
      <c r="F408" s="2"/>
      <c r="G408" s="2"/>
      <c r="H408" s="2"/>
      <c r="I408" s="2"/>
      <c r="J408" s="2"/>
    </row>
    <row r="409" ht="15.75" customHeight="1">
      <c r="A409" s="4" t="str">
        <f>HYPERLINK("https://stackoverflow.com/q/45941854", "45941854")</f>
        <v>45941854</v>
      </c>
      <c r="B409" s="2" t="s">
        <v>447</v>
      </c>
      <c r="C409" s="3"/>
      <c r="D409" s="3">
        <v>1206.0</v>
      </c>
      <c r="E409" s="2"/>
      <c r="F409" s="2"/>
      <c r="G409" s="2"/>
      <c r="H409" s="2"/>
      <c r="I409" s="2"/>
      <c r="J409" s="2"/>
    </row>
    <row r="410" ht="15.75" customHeight="1">
      <c r="A410" s="4" t="str">
        <f>HYPERLINK("https://stackoverflow.com/q/49897894", "49897894")</f>
        <v>49897894</v>
      </c>
      <c r="B410" s="2" t="s">
        <v>448</v>
      </c>
      <c r="C410" s="3">
        <v>1.0</v>
      </c>
      <c r="D410" s="3">
        <v>1205.0</v>
      </c>
      <c r="E410" s="2"/>
      <c r="F410" s="2"/>
      <c r="G410" s="2"/>
      <c r="H410" s="2"/>
      <c r="I410" s="2"/>
      <c r="J410" s="2"/>
    </row>
    <row r="411" ht="15.75" customHeight="1">
      <c r="A411" s="4" t="str">
        <f>HYPERLINK("https://stackoverflow.com/q/7699717", "7699717")</f>
        <v>7699717</v>
      </c>
      <c r="B411" s="2" t="s">
        <v>449</v>
      </c>
      <c r="C411" s="3"/>
      <c r="D411" s="3">
        <v>1205.0</v>
      </c>
      <c r="E411" s="2" t="s">
        <v>11</v>
      </c>
      <c r="F411" s="2" t="s">
        <v>263</v>
      </c>
      <c r="G411" s="17"/>
      <c r="H411" s="2"/>
      <c r="I411" s="2"/>
      <c r="J411" s="2"/>
    </row>
    <row r="412" ht="15.75" customHeight="1">
      <c r="A412" s="4" t="str">
        <f>HYPERLINK("https://stackoverflow.com/q/22351264", "22351264")</f>
        <v>22351264</v>
      </c>
      <c r="B412" s="2" t="s">
        <v>450</v>
      </c>
      <c r="C412" s="3"/>
      <c r="D412" s="3">
        <v>1203.0</v>
      </c>
      <c r="E412" s="2"/>
      <c r="F412" s="2"/>
      <c r="G412" s="2"/>
      <c r="H412" s="2"/>
      <c r="I412" s="2"/>
      <c r="J412" s="2"/>
    </row>
    <row r="413" ht="15.75" customHeight="1">
      <c r="A413" s="4" t="str">
        <f>HYPERLINK("https://stackoverflow.com/q/20486048", "20486048")</f>
        <v>20486048</v>
      </c>
      <c r="B413" s="2" t="s">
        <v>451</v>
      </c>
      <c r="C413" s="3"/>
      <c r="D413" s="3">
        <v>1201.0</v>
      </c>
      <c r="E413" s="2"/>
      <c r="F413" s="2"/>
      <c r="G413" s="2"/>
      <c r="H413" s="2"/>
      <c r="I413" s="2"/>
      <c r="J413" s="2"/>
    </row>
    <row r="414" ht="15.75" customHeight="1">
      <c r="A414" s="4" t="str">
        <f>HYPERLINK("https://stackoverflow.com/q/40942931", "40942931")</f>
        <v>40942931</v>
      </c>
      <c r="B414" s="2" t="s">
        <v>452</v>
      </c>
      <c r="C414" s="3"/>
      <c r="D414" s="3">
        <v>1199.0</v>
      </c>
      <c r="E414" s="2"/>
      <c r="F414" s="2"/>
      <c r="G414" s="2"/>
      <c r="H414" s="2"/>
      <c r="I414" s="2"/>
      <c r="J414" s="2"/>
    </row>
    <row r="415" ht="15.75" customHeight="1">
      <c r="A415" s="4" t="str">
        <f>HYPERLINK("https://stackoverflow.com/q/51652025", "51652025")</f>
        <v>51652025</v>
      </c>
      <c r="B415" s="2" t="s">
        <v>453</v>
      </c>
      <c r="C415" s="3"/>
      <c r="D415" s="3">
        <v>1199.0</v>
      </c>
      <c r="E415" s="2"/>
      <c r="F415" s="2"/>
      <c r="G415" s="2"/>
      <c r="H415" s="2"/>
      <c r="I415" s="2"/>
      <c r="J415" s="2"/>
    </row>
    <row r="416" ht="15.75" customHeight="1">
      <c r="A416" s="4" t="str">
        <f>HYPERLINK("https://stackoverflow.com/q/48926866", "48926866")</f>
        <v>48926866</v>
      </c>
      <c r="B416" s="2" t="s">
        <v>454</v>
      </c>
      <c r="C416" s="3">
        <v>0.0</v>
      </c>
      <c r="D416" s="3">
        <v>1193.0</v>
      </c>
      <c r="E416" s="2"/>
      <c r="F416" s="2"/>
      <c r="G416" s="2"/>
      <c r="H416" s="2"/>
      <c r="I416" s="2"/>
      <c r="J416" s="2"/>
    </row>
    <row r="417" ht="15.75" customHeight="1">
      <c r="A417" s="4" t="str">
        <f>HYPERLINK("https://stackoverflow.com/q/41639069", "41639069")</f>
        <v>41639069</v>
      </c>
      <c r="B417" s="2" t="s">
        <v>455</v>
      </c>
      <c r="C417" s="3">
        <v>1.0</v>
      </c>
      <c r="D417" s="3">
        <v>1190.0</v>
      </c>
      <c r="E417" s="2"/>
      <c r="F417" s="2"/>
      <c r="G417" s="2"/>
      <c r="H417" s="2"/>
      <c r="I417" s="2"/>
      <c r="J417" s="2"/>
    </row>
    <row r="418" ht="15.75" customHeight="1">
      <c r="A418" s="4" t="str">
        <f>HYPERLINK("https://stackoverflow.com/q/14907056", "14907056")</f>
        <v>14907056</v>
      </c>
      <c r="B418" s="2" t="s">
        <v>456</v>
      </c>
      <c r="C418" s="3"/>
      <c r="D418" s="3">
        <v>1189.0</v>
      </c>
      <c r="E418" s="2"/>
      <c r="F418" s="2"/>
      <c r="G418" s="2"/>
      <c r="H418" s="2"/>
      <c r="I418" s="2"/>
      <c r="J418" s="2"/>
    </row>
    <row r="419" ht="15.75" customHeight="1">
      <c r="A419" s="4" t="str">
        <f>HYPERLINK("https://stackoverflow.com/q/48866981", "48866981")</f>
        <v>48866981</v>
      </c>
      <c r="B419" s="2" t="s">
        <v>457</v>
      </c>
      <c r="C419" s="3"/>
      <c r="D419" s="3">
        <v>1184.0</v>
      </c>
      <c r="E419" s="2"/>
      <c r="F419" s="2"/>
      <c r="G419" s="2"/>
      <c r="H419" s="2"/>
      <c r="I419" s="2"/>
      <c r="J419" s="2"/>
    </row>
    <row r="420" ht="15.75" customHeight="1">
      <c r="A420" s="4" t="str">
        <f>HYPERLINK("https://stackoverflow.com/q/57223376", "57223376")</f>
        <v>57223376</v>
      </c>
      <c r="B420" s="2" t="s">
        <v>458</v>
      </c>
      <c r="C420" s="3"/>
      <c r="D420" s="3">
        <v>1181.0</v>
      </c>
      <c r="E420" s="2"/>
      <c r="F420" s="2"/>
      <c r="G420" s="2"/>
      <c r="H420" s="2"/>
      <c r="I420" s="2"/>
      <c r="J420" s="2"/>
    </row>
    <row r="421" ht="15.75" customHeight="1">
      <c r="A421" s="4" t="str">
        <f>HYPERLINK("https://stackoverflow.com/q/19796320", "19796320")</f>
        <v>19796320</v>
      </c>
      <c r="B421" s="2" t="s">
        <v>459</v>
      </c>
      <c r="C421" s="3"/>
      <c r="D421" s="3">
        <v>1178.0</v>
      </c>
      <c r="E421" s="2"/>
      <c r="F421" s="2"/>
      <c r="G421" s="2"/>
      <c r="H421" s="2"/>
      <c r="I421" s="2"/>
      <c r="J421" s="2"/>
    </row>
    <row r="422" ht="15.75" customHeight="1">
      <c r="A422" s="4" t="str">
        <f>HYPERLINK("https://stackoverflow.com/q/45693510", "45693510")</f>
        <v>45693510</v>
      </c>
      <c r="B422" s="2" t="s">
        <v>460</v>
      </c>
      <c r="C422" s="3"/>
      <c r="D422" s="3">
        <v>1178.0</v>
      </c>
      <c r="E422" s="2"/>
      <c r="F422" s="2"/>
      <c r="G422" s="2"/>
      <c r="H422" s="2"/>
      <c r="I422" s="2"/>
      <c r="J422" s="2"/>
    </row>
    <row r="423" ht="15.75" customHeight="1">
      <c r="A423" s="4" t="str">
        <f>HYPERLINK("https://stackoverflow.com/q/43097927", "43097927")</f>
        <v>43097927</v>
      </c>
      <c r="B423" s="2" t="s">
        <v>461</v>
      </c>
      <c r="C423" s="3"/>
      <c r="D423" s="3">
        <v>1174.0</v>
      </c>
      <c r="E423" s="2" t="s">
        <v>11</v>
      </c>
      <c r="F423" s="2" t="s">
        <v>25</v>
      </c>
      <c r="G423" s="2"/>
      <c r="H423" s="2"/>
      <c r="I423" s="2"/>
      <c r="J423" s="2"/>
    </row>
    <row r="424" ht="15.75" customHeight="1">
      <c r="A424" s="4" t="str">
        <f>HYPERLINK("https://stackoverflow.com/q/50339838", "50339838")</f>
        <v>50339838</v>
      </c>
      <c r="B424" s="2" t="s">
        <v>462</v>
      </c>
      <c r="C424" s="3"/>
      <c r="D424" s="3">
        <v>1173.0</v>
      </c>
      <c r="E424" s="2"/>
      <c r="F424" s="2"/>
      <c r="G424" s="2"/>
      <c r="H424" s="2"/>
      <c r="I424" s="2"/>
      <c r="J424" s="2"/>
    </row>
    <row r="425" ht="15.75" customHeight="1">
      <c r="A425" s="4" t="str">
        <f>HYPERLINK("https://stackoverflow.com/q/45909358", "45909358")</f>
        <v>45909358</v>
      </c>
      <c r="B425" s="2" t="s">
        <v>463</v>
      </c>
      <c r="C425" s="3">
        <v>1.0</v>
      </c>
      <c r="D425" s="3">
        <v>1166.0</v>
      </c>
      <c r="E425" s="2"/>
      <c r="F425" s="2"/>
      <c r="G425" s="2"/>
      <c r="H425" s="2"/>
      <c r="I425" s="2"/>
      <c r="J425" s="2"/>
    </row>
    <row r="426" ht="15.75" customHeight="1">
      <c r="A426" s="4" t="str">
        <f>HYPERLINK("https://stackoverflow.com/q/46966587", "46966587")</f>
        <v>46966587</v>
      </c>
      <c r="B426" s="2" t="s">
        <v>464</v>
      </c>
      <c r="C426" s="3">
        <v>1.0</v>
      </c>
      <c r="D426" s="3">
        <v>1164.0</v>
      </c>
      <c r="E426" s="2" t="s">
        <v>72</v>
      </c>
      <c r="F426" s="2" t="s">
        <v>21</v>
      </c>
      <c r="G426" s="2"/>
      <c r="H426" s="2"/>
      <c r="I426" s="2"/>
      <c r="J426" s="2"/>
    </row>
    <row r="427" ht="15.75" customHeight="1">
      <c r="A427" s="4" t="str">
        <f>HYPERLINK("https://stackoverflow.com/q/50633830", "50633830")</f>
        <v>50633830</v>
      </c>
      <c r="B427" s="2" t="s">
        <v>465</v>
      </c>
      <c r="C427" s="3"/>
      <c r="D427" s="3">
        <v>1154.0</v>
      </c>
      <c r="E427" s="2"/>
      <c r="F427" s="2"/>
      <c r="G427" s="2"/>
      <c r="H427" s="2"/>
      <c r="I427" s="2"/>
      <c r="J427" s="2"/>
    </row>
    <row r="428" ht="15.75" customHeight="1">
      <c r="A428" s="4" t="str">
        <f>HYPERLINK("https://stackoverflow.com/q/49263074", "49263074")</f>
        <v>49263074</v>
      </c>
      <c r="B428" s="2" t="s">
        <v>466</v>
      </c>
      <c r="C428" s="3"/>
      <c r="D428" s="3">
        <v>1153.0</v>
      </c>
      <c r="E428" s="2"/>
      <c r="F428" s="2"/>
      <c r="G428" s="2"/>
      <c r="H428" s="2"/>
      <c r="I428" s="2"/>
      <c r="J428" s="2"/>
    </row>
    <row r="429" ht="15.75" customHeight="1">
      <c r="A429" s="4" t="str">
        <f>HYPERLINK("https://stackoverflow.com/q/31501424", "31501424")</f>
        <v>31501424</v>
      </c>
      <c r="B429" s="2" t="s">
        <v>467</v>
      </c>
      <c r="C429" s="3"/>
      <c r="D429" s="3">
        <v>1151.0</v>
      </c>
      <c r="E429" s="2"/>
      <c r="F429" s="2"/>
      <c r="G429" s="2"/>
      <c r="H429" s="2"/>
      <c r="I429" s="2"/>
      <c r="J429" s="2"/>
    </row>
    <row r="430" ht="15.75" customHeight="1">
      <c r="A430" s="4" t="str">
        <f>HYPERLINK("https://stackoverflow.com/q/50267824", "50267824")</f>
        <v>50267824</v>
      </c>
      <c r="B430" s="2" t="s">
        <v>468</v>
      </c>
      <c r="C430" s="3"/>
      <c r="D430" s="3">
        <v>1150.0</v>
      </c>
      <c r="E430" s="2"/>
      <c r="F430" s="2"/>
      <c r="G430" s="2"/>
      <c r="H430" s="2"/>
      <c r="I430" s="2"/>
      <c r="J430" s="2"/>
    </row>
    <row r="431" ht="15.75" customHeight="1">
      <c r="A431" s="4" t="str">
        <f>HYPERLINK("https://stackoverflow.com/q/3990732", "3990732")</f>
        <v>3990732</v>
      </c>
      <c r="B431" s="2" t="s">
        <v>469</v>
      </c>
      <c r="C431" s="3">
        <v>1.0</v>
      </c>
      <c r="D431" s="3">
        <v>1146.0</v>
      </c>
      <c r="E431" s="2" t="s">
        <v>20</v>
      </c>
      <c r="F431" s="2" t="s">
        <v>21</v>
      </c>
      <c r="G431" s="2"/>
      <c r="H431" s="2"/>
      <c r="I431" s="2"/>
      <c r="J431" s="2"/>
    </row>
    <row r="432" ht="15.75" customHeight="1">
      <c r="A432" s="4" t="str">
        <f>HYPERLINK("https://stackoverflow.com/q/10930561", "10930561")</f>
        <v>10930561</v>
      </c>
      <c r="B432" s="2" t="s">
        <v>470</v>
      </c>
      <c r="C432" s="3"/>
      <c r="D432" s="3">
        <v>1142.0</v>
      </c>
      <c r="E432" s="2"/>
      <c r="F432" s="2"/>
      <c r="G432" s="2"/>
      <c r="H432" s="2"/>
      <c r="I432" s="2"/>
      <c r="J432" s="2"/>
    </row>
    <row r="433" ht="15.75" customHeight="1">
      <c r="A433" s="4" t="str">
        <f>HYPERLINK("https://stackoverflow.com/q/41580358", "41580358")</f>
        <v>41580358</v>
      </c>
      <c r="B433" s="2" t="s">
        <v>471</v>
      </c>
      <c r="C433" s="3"/>
      <c r="D433" s="3">
        <v>1141.0</v>
      </c>
      <c r="E433" s="2" t="s">
        <v>11</v>
      </c>
      <c r="F433" s="2" t="s">
        <v>25</v>
      </c>
      <c r="G433" s="2"/>
      <c r="H433" s="2"/>
      <c r="I433" s="2"/>
      <c r="J433" s="2"/>
    </row>
    <row r="434" ht="15.75" customHeight="1">
      <c r="A434" s="4" t="str">
        <f>HYPERLINK("https://stackoverflow.com/q/45830273", "45830273")</f>
        <v>45830273</v>
      </c>
      <c r="B434" s="2" t="s">
        <v>472</v>
      </c>
      <c r="C434" s="3">
        <v>1.0</v>
      </c>
      <c r="D434" s="3">
        <v>1134.0</v>
      </c>
      <c r="E434" s="2"/>
      <c r="F434" s="2"/>
      <c r="G434" s="2"/>
      <c r="H434" s="2"/>
      <c r="I434" s="2"/>
      <c r="J434" s="2"/>
    </row>
    <row r="435" ht="15.75" customHeight="1">
      <c r="A435" s="4" t="str">
        <f>HYPERLINK("https://stackoverflow.com/q/53649899", "53649899")</f>
        <v>53649899</v>
      </c>
      <c r="B435" s="2" t="s">
        <v>473</v>
      </c>
      <c r="C435" s="3">
        <v>1.0</v>
      </c>
      <c r="D435" s="3">
        <v>1126.0</v>
      </c>
      <c r="E435" s="2"/>
      <c r="F435" s="2"/>
      <c r="G435" s="2"/>
      <c r="H435" s="2"/>
      <c r="I435" s="2"/>
      <c r="J435" s="2"/>
    </row>
    <row r="436" ht="15.75" customHeight="1">
      <c r="A436" s="4" t="str">
        <f>HYPERLINK("https://stackoverflow.com/q/52954065", "52954065")</f>
        <v>52954065</v>
      </c>
      <c r="B436" s="2" t="s">
        <v>474</v>
      </c>
      <c r="C436" s="3"/>
      <c r="D436" s="3">
        <v>1123.0</v>
      </c>
      <c r="E436" s="2"/>
      <c r="F436" s="2"/>
      <c r="G436" s="2"/>
      <c r="H436" s="2"/>
      <c r="I436" s="2"/>
      <c r="J436" s="2"/>
    </row>
    <row r="437" ht="15.75" customHeight="1">
      <c r="A437" s="4" t="str">
        <f>HYPERLINK("https://stackoverflow.com/q/51966939", "51966939")</f>
        <v>51966939</v>
      </c>
      <c r="B437" s="2" t="s">
        <v>475</v>
      </c>
      <c r="C437" s="3">
        <v>1.0</v>
      </c>
      <c r="D437" s="3">
        <v>1121.0</v>
      </c>
      <c r="E437" s="2"/>
      <c r="F437" s="2"/>
      <c r="G437" s="2"/>
      <c r="H437" s="2"/>
      <c r="I437" s="2"/>
      <c r="J437" s="2"/>
    </row>
    <row r="438" ht="15.75" customHeight="1">
      <c r="A438" s="4" t="str">
        <f>HYPERLINK("https://stackoverflow.com/q/48842439", "48842439")</f>
        <v>48842439</v>
      </c>
      <c r="B438" s="2" t="s">
        <v>476</v>
      </c>
      <c r="C438" s="3">
        <v>1.0</v>
      </c>
      <c r="D438" s="3">
        <v>1120.0</v>
      </c>
      <c r="E438" s="2"/>
      <c r="F438" s="2"/>
      <c r="G438" s="2"/>
      <c r="H438" s="2"/>
      <c r="I438" s="2"/>
      <c r="J438" s="2"/>
    </row>
    <row r="439" ht="15.75" customHeight="1">
      <c r="A439" s="4" t="str">
        <f>HYPERLINK("https://stackoverflow.com/q/41469924", "41469924")</f>
        <v>41469924</v>
      </c>
      <c r="B439" s="2" t="s">
        <v>477</v>
      </c>
      <c r="C439" s="3"/>
      <c r="D439" s="3">
        <v>1119.0</v>
      </c>
      <c r="E439" s="2" t="s">
        <v>11</v>
      </c>
      <c r="F439" s="2" t="s">
        <v>14</v>
      </c>
      <c r="G439" s="2"/>
      <c r="H439" s="2"/>
      <c r="I439" s="2"/>
      <c r="J439" s="2"/>
    </row>
    <row r="440" ht="15.75" customHeight="1">
      <c r="A440" s="4" t="str">
        <f>HYPERLINK("https://stackoverflow.com/q/8040701", "8040701")</f>
        <v>8040701</v>
      </c>
      <c r="B440" s="2" t="s">
        <v>478</v>
      </c>
      <c r="C440" s="3"/>
      <c r="D440" s="3">
        <v>1119.0</v>
      </c>
      <c r="E440" s="2" t="s">
        <v>11</v>
      </c>
      <c r="F440" s="2" t="s">
        <v>67</v>
      </c>
      <c r="G440" s="2"/>
      <c r="H440" s="2"/>
      <c r="I440" s="2"/>
      <c r="J440" s="2"/>
    </row>
    <row r="441" ht="15.75" customHeight="1">
      <c r="A441" s="4" t="str">
        <f>HYPERLINK("https://stackoverflow.com/q/27793944", "27793944")</f>
        <v>27793944</v>
      </c>
      <c r="B441" s="2" t="s">
        <v>479</v>
      </c>
      <c r="C441" s="3"/>
      <c r="D441" s="3">
        <v>1119.0</v>
      </c>
      <c r="E441" s="2"/>
      <c r="F441" s="2"/>
      <c r="G441" s="2"/>
      <c r="H441" s="2"/>
      <c r="I441" s="2"/>
      <c r="J441" s="2"/>
    </row>
    <row r="442" ht="15.75" customHeight="1">
      <c r="A442" s="4" t="str">
        <f>HYPERLINK("https://stackoverflow.com/q/32306914", "32306914")</f>
        <v>32306914</v>
      </c>
      <c r="B442" s="2" t="s">
        <v>480</v>
      </c>
      <c r="C442" s="3">
        <v>1.0</v>
      </c>
      <c r="D442" s="3">
        <v>1118.0</v>
      </c>
      <c r="E442" s="2"/>
      <c r="F442" s="2"/>
      <c r="G442" s="2"/>
      <c r="H442" s="2"/>
      <c r="I442" s="2"/>
      <c r="J442" s="2"/>
    </row>
    <row r="443" ht="15.75" customHeight="1">
      <c r="A443" s="4" t="str">
        <f>HYPERLINK("https://stackoverflow.com/q/42739284", "42739284")</f>
        <v>42739284</v>
      </c>
      <c r="B443" s="2" t="s">
        <v>481</v>
      </c>
      <c r="C443" s="3">
        <v>1.0</v>
      </c>
      <c r="D443" s="3">
        <v>1116.0</v>
      </c>
      <c r="E443" s="2" t="s">
        <v>11</v>
      </c>
      <c r="F443" s="2" t="s">
        <v>18</v>
      </c>
      <c r="G443" s="2"/>
      <c r="H443" s="2"/>
      <c r="I443" s="2"/>
      <c r="J443" s="2"/>
    </row>
    <row r="444" ht="15.75" customHeight="1">
      <c r="A444" s="4" t="str">
        <f>HYPERLINK("https://stackoverflow.com/q/48871444", "48871444")</f>
        <v>48871444</v>
      </c>
      <c r="B444" s="2" t="s">
        <v>482</v>
      </c>
      <c r="C444" s="3"/>
      <c r="D444" s="3">
        <v>1116.0</v>
      </c>
      <c r="E444" s="2"/>
      <c r="F444" s="2"/>
      <c r="G444" s="2"/>
      <c r="H444" s="2"/>
      <c r="I444" s="2"/>
      <c r="J444" s="2"/>
    </row>
    <row r="445" ht="15.75" customHeight="1">
      <c r="A445" s="4" t="str">
        <f>HYPERLINK("https://stackoverflow.com/q/43332875", "43332875")</f>
        <v>43332875</v>
      </c>
      <c r="B445" s="2" t="s">
        <v>483</v>
      </c>
      <c r="C445" s="3">
        <v>1.0</v>
      </c>
      <c r="D445" s="3">
        <v>1112.0</v>
      </c>
      <c r="E445" s="2" t="s">
        <v>11</v>
      </c>
      <c r="F445" s="2" t="s">
        <v>35</v>
      </c>
      <c r="G445" s="2" t="s">
        <v>484</v>
      </c>
      <c r="H445" s="2"/>
      <c r="I445" s="2"/>
      <c r="J445" s="2"/>
    </row>
    <row r="446" ht="15.75" customHeight="1">
      <c r="A446" s="4" t="str">
        <f>HYPERLINK("https://stackoverflow.com/q/45324416", "45324416")</f>
        <v>45324416</v>
      </c>
      <c r="B446" s="2" t="s">
        <v>485</v>
      </c>
      <c r="C446" s="3">
        <v>2.0</v>
      </c>
      <c r="D446" s="3">
        <v>1110.0</v>
      </c>
      <c r="E446" s="2"/>
      <c r="F446" s="2"/>
      <c r="G446" s="2"/>
      <c r="H446" s="2"/>
      <c r="I446" s="2"/>
      <c r="J446" s="2"/>
    </row>
    <row r="447" ht="15.75" customHeight="1">
      <c r="A447" s="4" t="str">
        <f>HYPERLINK("https://stackoverflow.com/q/21333391", "21333391")</f>
        <v>21333391</v>
      </c>
      <c r="B447" s="2" t="s">
        <v>486</v>
      </c>
      <c r="C447" s="3">
        <v>1.0</v>
      </c>
      <c r="D447" s="3">
        <v>1110.0</v>
      </c>
      <c r="E447" s="2"/>
      <c r="F447" s="2"/>
      <c r="G447" s="2"/>
      <c r="H447" s="2"/>
      <c r="I447" s="2"/>
      <c r="J447" s="2"/>
    </row>
    <row r="448" ht="15.75" customHeight="1">
      <c r="A448" s="4" t="str">
        <f>HYPERLINK("https://stackoverflow.com/q/46453448", "46453448")</f>
        <v>46453448</v>
      </c>
      <c r="B448" s="2" t="s">
        <v>487</v>
      </c>
      <c r="C448" s="3"/>
      <c r="D448" s="3">
        <v>1110.0</v>
      </c>
      <c r="E448" s="2" t="s">
        <v>59</v>
      </c>
      <c r="F448" s="2" t="s">
        <v>28</v>
      </c>
      <c r="G448" s="2"/>
      <c r="H448" s="2"/>
      <c r="I448" s="2"/>
      <c r="J448" s="2"/>
    </row>
    <row r="449" ht="15.75" customHeight="1">
      <c r="A449" s="4" t="str">
        <f>HYPERLINK("https://stackoverflow.com/q/58457054", "58457054")</f>
        <v>58457054</v>
      </c>
      <c r="B449" s="2" t="s">
        <v>488</v>
      </c>
      <c r="C449" s="3"/>
      <c r="D449" s="3">
        <v>1107.0</v>
      </c>
      <c r="E449" s="2"/>
      <c r="F449" s="2"/>
      <c r="G449" s="2"/>
      <c r="H449" s="2"/>
      <c r="I449" s="2"/>
      <c r="J449" s="2"/>
    </row>
    <row r="450" ht="15.75" customHeight="1">
      <c r="A450" s="4" t="str">
        <f>HYPERLINK("https://stackoverflow.com/q/55000264", "55000264")</f>
        <v>55000264</v>
      </c>
      <c r="B450" s="2" t="s">
        <v>489</v>
      </c>
      <c r="C450" s="3"/>
      <c r="D450" s="3">
        <v>1106.0</v>
      </c>
      <c r="E450" s="2" t="s">
        <v>11</v>
      </c>
      <c r="F450" s="2" t="s">
        <v>18</v>
      </c>
      <c r="G450" s="2"/>
      <c r="H450" s="2"/>
      <c r="I450" s="2"/>
      <c r="J450" s="2"/>
    </row>
    <row r="451" ht="15.75" customHeight="1">
      <c r="A451" s="4" t="str">
        <f>HYPERLINK("https://stackoverflow.com/q/37484503", "37484503")</f>
        <v>37484503</v>
      </c>
      <c r="B451" s="2" t="s">
        <v>490</v>
      </c>
      <c r="C451" s="3"/>
      <c r="D451" s="3">
        <v>1105.0</v>
      </c>
      <c r="E451" s="2"/>
      <c r="F451" s="2"/>
      <c r="G451" s="2"/>
      <c r="H451" s="2"/>
      <c r="I451" s="2"/>
      <c r="J451" s="2"/>
    </row>
    <row r="452" ht="15.75" customHeight="1">
      <c r="A452" s="4" t="str">
        <f>HYPERLINK("https://stackoverflow.com/q/35837025", "35837025")</f>
        <v>35837025</v>
      </c>
      <c r="B452" s="2" t="s">
        <v>491</v>
      </c>
      <c r="C452" s="3"/>
      <c r="D452" s="3">
        <v>1103.0</v>
      </c>
      <c r="E452" s="2"/>
      <c r="F452" s="2"/>
      <c r="G452" s="2"/>
      <c r="H452" s="2"/>
      <c r="I452" s="2"/>
      <c r="J452" s="2"/>
    </row>
    <row r="453" ht="15.75" customHeight="1">
      <c r="A453" s="4" t="str">
        <f>HYPERLINK("https://stackoverflow.com/q/4598926", "4598926")</f>
        <v>4598926</v>
      </c>
      <c r="B453" s="2" t="s">
        <v>492</v>
      </c>
      <c r="C453" s="3"/>
      <c r="D453" s="3">
        <v>1100.0</v>
      </c>
      <c r="E453" s="9" t="s">
        <v>11</v>
      </c>
      <c r="F453" s="2" t="s">
        <v>16</v>
      </c>
      <c r="G453" s="2" t="s">
        <v>25</v>
      </c>
      <c r="H453" s="2"/>
      <c r="I453" s="2"/>
      <c r="J453" s="2"/>
    </row>
    <row r="454" ht="15.75" customHeight="1">
      <c r="A454" s="4" t="str">
        <f>HYPERLINK("https://stackoverflow.com/q/45980951", "45980951")</f>
        <v>45980951</v>
      </c>
      <c r="B454" s="2" t="s">
        <v>493</v>
      </c>
      <c r="C454" s="3">
        <v>1.0</v>
      </c>
      <c r="D454" s="3">
        <v>1099.0</v>
      </c>
      <c r="E454" s="2"/>
      <c r="F454" s="2"/>
      <c r="G454" s="2"/>
      <c r="H454" s="2"/>
      <c r="I454" s="2"/>
      <c r="J454" s="2"/>
    </row>
    <row r="455" ht="15.75" customHeight="1">
      <c r="A455" s="4" t="str">
        <f>HYPERLINK("https://stackoverflow.com/q/35645102", "35645102")</f>
        <v>35645102</v>
      </c>
      <c r="B455" s="2" t="s">
        <v>494</v>
      </c>
      <c r="C455" s="3"/>
      <c r="D455" s="3">
        <v>1099.0</v>
      </c>
      <c r="E455" s="2"/>
      <c r="F455" s="2"/>
      <c r="G455" s="2"/>
      <c r="H455" s="2"/>
      <c r="I455" s="2"/>
      <c r="J455" s="2"/>
    </row>
    <row r="456" ht="15.75" customHeight="1">
      <c r="A456" s="4" t="str">
        <f>HYPERLINK("https://stackoverflow.com/q/34504198", "34504198")</f>
        <v>34504198</v>
      </c>
      <c r="B456" s="2" t="s">
        <v>495</v>
      </c>
      <c r="C456" s="3">
        <v>1.0</v>
      </c>
      <c r="D456" s="3">
        <v>1098.0</v>
      </c>
      <c r="E456" s="2"/>
      <c r="F456" s="2"/>
      <c r="G456" s="2"/>
      <c r="H456" s="2"/>
      <c r="I456" s="2"/>
      <c r="J456" s="2"/>
    </row>
    <row r="457" ht="15.75" customHeight="1">
      <c r="A457" s="4" t="str">
        <f>HYPERLINK("https://stackoverflow.com/q/53175144", "53175144")</f>
        <v>53175144</v>
      </c>
      <c r="B457" s="2" t="s">
        <v>496</v>
      </c>
      <c r="C457" s="3"/>
      <c r="D457" s="3">
        <v>1098.0</v>
      </c>
      <c r="E457" s="2"/>
      <c r="F457" s="2"/>
      <c r="G457" s="2"/>
      <c r="H457" s="2"/>
      <c r="I457" s="2"/>
      <c r="J457" s="2"/>
    </row>
    <row r="458" ht="15.75" customHeight="1">
      <c r="A458" s="4" t="str">
        <f>HYPERLINK("https://stackoverflow.com/q/4804623", "4804623")</f>
        <v>4804623</v>
      </c>
      <c r="B458" s="2" t="s">
        <v>497</v>
      </c>
      <c r="C458" s="3"/>
      <c r="D458" s="3">
        <v>1086.0</v>
      </c>
      <c r="E458" s="2" t="s">
        <v>11</v>
      </c>
      <c r="F458" s="2" t="s">
        <v>25</v>
      </c>
      <c r="G458" s="2"/>
      <c r="H458" s="2"/>
      <c r="I458" s="2"/>
      <c r="J458" s="2"/>
    </row>
    <row r="459" ht="15.75" customHeight="1">
      <c r="A459" s="4" t="str">
        <f>HYPERLINK("https://stackoverflow.com/q/32540747", "32540747")</f>
        <v>32540747</v>
      </c>
      <c r="B459" s="2" t="s">
        <v>498</v>
      </c>
      <c r="C459" s="3"/>
      <c r="D459" s="3">
        <v>1083.0</v>
      </c>
      <c r="E459" s="2"/>
      <c r="F459" s="2"/>
      <c r="G459" s="2"/>
      <c r="H459" s="2"/>
      <c r="I459" s="2"/>
      <c r="J459" s="2"/>
    </row>
    <row r="460" ht="15.75" customHeight="1">
      <c r="A460" s="4" t="str">
        <f>HYPERLINK("https://stackoverflow.com/q/19289621", "19289621")</f>
        <v>19289621</v>
      </c>
      <c r="B460" s="2" t="s">
        <v>499</v>
      </c>
      <c r="C460" s="3"/>
      <c r="D460" s="3">
        <v>1082.0</v>
      </c>
      <c r="E460" s="2"/>
      <c r="F460" s="2"/>
      <c r="G460" s="2"/>
      <c r="H460" s="2"/>
      <c r="I460" s="2"/>
      <c r="J460" s="2"/>
    </row>
    <row r="461" ht="15.75" customHeight="1">
      <c r="A461" s="4" t="str">
        <f>HYPERLINK("https://stackoverflow.com/q/56429400", "56429400")</f>
        <v>56429400</v>
      </c>
      <c r="B461" s="2" t="s">
        <v>500</v>
      </c>
      <c r="C461" s="3"/>
      <c r="D461" s="3">
        <v>1075.0</v>
      </c>
      <c r="E461" s="2"/>
      <c r="F461" s="2"/>
      <c r="G461" s="2"/>
      <c r="H461" s="2"/>
      <c r="I461" s="2"/>
      <c r="J461" s="2"/>
    </row>
    <row r="462" ht="15.75" customHeight="1">
      <c r="A462" s="4" t="str">
        <f>HYPERLINK("https://stackoverflow.com/q/51888709", "51888709")</f>
        <v>51888709</v>
      </c>
      <c r="B462" s="2" t="s">
        <v>501</v>
      </c>
      <c r="C462" s="3"/>
      <c r="D462" s="3">
        <v>1074.0</v>
      </c>
      <c r="E462" s="2"/>
      <c r="F462" s="2"/>
      <c r="G462" s="2"/>
      <c r="H462" s="2"/>
      <c r="I462" s="2"/>
      <c r="J462" s="2"/>
    </row>
    <row r="463" ht="15.75" customHeight="1">
      <c r="A463" s="4" t="str">
        <f>HYPERLINK("https://stackoverflow.com/q/45688074", "45688074")</f>
        <v>45688074</v>
      </c>
      <c r="B463" s="2" t="s">
        <v>502</v>
      </c>
      <c r="C463" s="3">
        <v>1.0</v>
      </c>
      <c r="D463" s="3">
        <v>1070.0</v>
      </c>
      <c r="E463" s="2"/>
      <c r="F463" s="2"/>
      <c r="G463" s="2"/>
      <c r="H463" s="2"/>
      <c r="I463" s="2"/>
      <c r="J463" s="2"/>
    </row>
    <row r="464" ht="15.75" customHeight="1">
      <c r="A464" s="4" t="str">
        <f>HYPERLINK("https://stackoverflow.com/q/42073424", "42073424")</f>
        <v>42073424</v>
      </c>
      <c r="B464" s="2" t="s">
        <v>503</v>
      </c>
      <c r="C464" s="3"/>
      <c r="D464" s="3">
        <v>1064.0</v>
      </c>
      <c r="E464" s="2" t="s">
        <v>11</v>
      </c>
      <c r="F464" s="2" t="s">
        <v>56</v>
      </c>
      <c r="G464" s="2"/>
      <c r="H464" s="2"/>
      <c r="I464" s="2"/>
      <c r="J464" s="2"/>
    </row>
    <row r="465" ht="15.75" customHeight="1">
      <c r="A465" s="4" t="str">
        <f>HYPERLINK("https://stackoverflow.com/q/41838629", "41838629")</f>
        <v>41838629</v>
      </c>
      <c r="B465" s="2" t="s">
        <v>504</v>
      </c>
      <c r="C465" s="3"/>
      <c r="D465" s="3">
        <v>1063.0</v>
      </c>
      <c r="E465" s="2" t="s">
        <v>11</v>
      </c>
      <c r="F465" s="2" t="s">
        <v>56</v>
      </c>
      <c r="G465" s="2"/>
      <c r="H465" s="2"/>
      <c r="I465" s="2"/>
      <c r="J465" s="2"/>
    </row>
    <row r="466" ht="15.75" customHeight="1">
      <c r="A466" s="4" t="str">
        <f>HYPERLINK("https://stackoverflow.com/q/42506938", "42506938")</f>
        <v>42506938</v>
      </c>
      <c r="B466" s="2" t="s">
        <v>505</v>
      </c>
      <c r="C466" s="3">
        <v>1.0</v>
      </c>
      <c r="D466" s="3">
        <v>1059.0</v>
      </c>
      <c r="E466" s="2" t="s">
        <v>72</v>
      </c>
      <c r="F466" s="2" t="s">
        <v>506</v>
      </c>
      <c r="G466" s="2"/>
      <c r="H466" s="2"/>
      <c r="I466" s="2"/>
      <c r="J466" s="2"/>
    </row>
    <row r="467" ht="15.75" customHeight="1">
      <c r="A467" s="4" t="str">
        <f>HYPERLINK("https://stackoverflow.com/q/40375194", "40375194")</f>
        <v>40375194</v>
      </c>
      <c r="B467" s="2" t="s">
        <v>507</v>
      </c>
      <c r="C467" s="3"/>
      <c r="D467" s="3">
        <v>1059.0</v>
      </c>
      <c r="E467" s="2"/>
      <c r="F467" s="2"/>
      <c r="G467" s="2"/>
      <c r="H467" s="2"/>
      <c r="I467" s="2"/>
      <c r="J467" s="2"/>
    </row>
    <row r="468" ht="15.75" customHeight="1">
      <c r="A468" s="4" t="str">
        <f>HYPERLINK("https://stackoverflow.com/q/17389702", "17389702")</f>
        <v>17389702</v>
      </c>
      <c r="B468" s="2" t="s">
        <v>508</v>
      </c>
      <c r="C468" s="3"/>
      <c r="D468" s="3">
        <v>1058.0</v>
      </c>
      <c r="E468" s="2"/>
      <c r="F468" s="2"/>
      <c r="G468" s="2"/>
      <c r="H468" s="2"/>
      <c r="I468" s="2"/>
      <c r="J468" s="2"/>
    </row>
    <row r="469" ht="15.75" customHeight="1">
      <c r="A469" s="4" t="str">
        <f>HYPERLINK("https://stackoverflow.com/q/46647682", "46647682")</f>
        <v>46647682</v>
      </c>
      <c r="B469" s="2" t="s">
        <v>509</v>
      </c>
      <c r="C469" s="3"/>
      <c r="D469" s="3">
        <v>1054.0</v>
      </c>
      <c r="E469" s="2" t="s">
        <v>11</v>
      </c>
      <c r="F469" s="2" t="s">
        <v>18</v>
      </c>
      <c r="G469" s="2"/>
      <c r="H469" s="2"/>
      <c r="I469" s="2"/>
      <c r="J469" s="2"/>
    </row>
    <row r="470" ht="15.75" customHeight="1">
      <c r="A470" s="4" t="str">
        <f>HYPERLINK("https://stackoverflow.com/q/27922716", "27922716")</f>
        <v>27922716</v>
      </c>
      <c r="B470" s="2" t="s">
        <v>510</v>
      </c>
      <c r="C470" s="3">
        <v>0.0</v>
      </c>
      <c r="D470" s="3">
        <v>1049.0</v>
      </c>
      <c r="E470" s="2"/>
      <c r="F470" s="2"/>
      <c r="G470" s="2"/>
      <c r="H470" s="2"/>
      <c r="I470" s="2"/>
      <c r="J470" s="2"/>
    </row>
    <row r="471" ht="15.75" customHeight="1">
      <c r="A471" s="4" t="str">
        <f>HYPERLINK("https://stackoverflow.com/q/42797456", "42797456")</f>
        <v>42797456</v>
      </c>
      <c r="B471" s="2" t="s">
        <v>511</v>
      </c>
      <c r="C471" s="3"/>
      <c r="D471" s="3">
        <v>1048.0</v>
      </c>
      <c r="E471" s="2" t="s">
        <v>11</v>
      </c>
      <c r="F471" s="2" t="s">
        <v>12</v>
      </c>
      <c r="G471" s="2"/>
      <c r="H471" s="2"/>
      <c r="I471" s="2"/>
      <c r="J471" s="2"/>
    </row>
    <row r="472" ht="15.75" customHeight="1">
      <c r="A472" s="4" t="str">
        <f>HYPERLINK("https://stackoverflow.com/q/45556919", "45556919")</f>
        <v>45556919</v>
      </c>
      <c r="B472" s="2" t="s">
        <v>512</v>
      </c>
      <c r="C472" s="3"/>
      <c r="D472" s="3">
        <v>1048.0</v>
      </c>
      <c r="E472" s="2"/>
      <c r="F472" s="2"/>
      <c r="G472" s="2"/>
      <c r="H472" s="2"/>
      <c r="I472" s="2"/>
      <c r="J472" s="2"/>
    </row>
    <row r="473" ht="15.75" customHeight="1">
      <c r="A473" s="4" t="str">
        <f>HYPERLINK("https://stackoverflow.com/q/51493460", "51493460")</f>
        <v>51493460</v>
      </c>
      <c r="B473" s="2" t="s">
        <v>513</v>
      </c>
      <c r="C473" s="3"/>
      <c r="D473" s="3">
        <v>1039.0</v>
      </c>
      <c r="E473" s="2"/>
      <c r="F473" s="2"/>
      <c r="G473" s="2"/>
      <c r="H473" s="2"/>
      <c r="I473" s="2"/>
      <c r="J473" s="2"/>
    </row>
    <row r="474" ht="15.75" customHeight="1">
      <c r="A474" s="4" t="str">
        <f>HYPERLINK("https://stackoverflow.com/q/25731858", "25731858")</f>
        <v>25731858</v>
      </c>
      <c r="B474" s="2" t="s">
        <v>514</v>
      </c>
      <c r="C474" s="3">
        <v>1.0</v>
      </c>
      <c r="D474" s="3">
        <v>1037.0</v>
      </c>
      <c r="E474" s="2"/>
      <c r="F474" s="2"/>
      <c r="G474" s="2"/>
      <c r="H474" s="2"/>
      <c r="I474" s="2"/>
      <c r="J474" s="2"/>
    </row>
    <row r="475" ht="15.75" customHeight="1">
      <c r="A475" s="4" t="str">
        <f>HYPERLINK("https://stackoverflow.com/q/51383918", "51383918")</f>
        <v>51383918</v>
      </c>
      <c r="B475" s="2" t="s">
        <v>515</v>
      </c>
      <c r="C475" s="3"/>
      <c r="D475" s="3">
        <v>1036.0</v>
      </c>
      <c r="E475" s="2" t="s">
        <v>11</v>
      </c>
      <c r="F475" s="2" t="s">
        <v>67</v>
      </c>
      <c r="G475" s="2"/>
      <c r="H475" s="2"/>
      <c r="I475" s="2"/>
      <c r="J475" s="2"/>
    </row>
    <row r="476" ht="15.75" customHeight="1">
      <c r="A476" s="4" t="str">
        <f>HYPERLINK("https://stackoverflow.com/q/32750425", "32750425")</f>
        <v>32750425</v>
      </c>
      <c r="B476" s="2" t="s">
        <v>516</v>
      </c>
      <c r="C476" s="3"/>
      <c r="D476" s="3">
        <v>1036.0</v>
      </c>
      <c r="E476" s="2"/>
      <c r="F476" s="2"/>
      <c r="G476" s="2"/>
      <c r="H476" s="2"/>
      <c r="I476" s="2"/>
      <c r="J476" s="2"/>
    </row>
    <row r="477" ht="15.75" customHeight="1">
      <c r="A477" s="4" t="str">
        <f>HYPERLINK("https://stackoverflow.com/q/54333889", "54333889")</f>
        <v>54333889</v>
      </c>
      <c r="B477" s="2" t="s">
        <v>517</v>
      </c>
      <c r="C477" s="3"/>
      <c r="D477" s="3">
        <v>1028.0</v>
      </c>
      <c r="E477" s="2"/>
      <c r="F477" s="2"/>
      <c r="G477" s="2"/>
      <c r="H477" s="2"/>
      <c r="I477" s="2"/>
      <c r="J477" s="2"/>
    </row>
    <row r="478" ht="15.75" customHeight="1">
      <c r="A478" s="4" t="str">
        <f>HYPERLINK("https://stackoverflow.com/q/40395921", "40395921")</f>
        <v>40395921</v>
      </c>
      <c r="B478" s="2" t="s">
        <v>518</v>
      </c>
      <c r="C478" s="3"/>
      <c r="D478" s="3">
        <v>1025.0</v>
      </c>
      <c r="E478" s="2"/>
      <c r="F478" s="2"/>
      <c r="G478" s="2"/>
      <c r="H478" s="2"/>
      <c r="I478" s="2"/>
      <c r="J478" s="2"/>
    </row>
    <row r="479" ht="15.75" customHeight="1">
      <c r="A479" s="4" t="str">
        <f>HYPERLINK("https://stackoverflow.com/q/45722513", "45722513")</f>
        <v>45722513</v>
      </c>
      <c r="B479" s="2" t="s">
        <v>519</v>
      </c>
      <c r="C479" s="3"/>
      <c r="D479" s="3">
        <v>1025.0</v>
      </c>
      <c r="E479" s="2"/>
      <c r="F479" s="2"/>
      <c r="G479" s="2"/>
      <c r="H479" s="2"/>
      <c r="I479" s="2"/>
      <c r="J479" s="2"/>
    </row>
    <row r="480" ht="15.75" customHeight="1">
      <c r="A480" s="4" t="str">
        <f>HYPERLINK("https://stackoverflow.com/q/37125043", "37125043")</f>
        <v>37125043</v>
      </c>
      <c r="B480" s="2" t="s">
        <v>520</v>
      </c>
      <c r="C480" s="3"/>
      <c r="D480" s="3">
        <v>1023.0</v>
      </c>
      <c r="E480" s="2"/>
      <c r="F480" s="2"/>
      <c r="G480" s="2"/>
      <c r="H480" s="2"/>
      <c r="I480" s="2"/>
      <c r="J480" s="2"/>
    </row>
    <row r="481" ht="15.75" customHeight="1">
      <c r="A481" s="4" t="str">
        <f>HYPERLINK("https://stackoverflow.com/q/56596515", "56596515")</f>
        <v>56596515</v>
      </c>
      <c r="B481" s="2" t="s">
        <v>521</v>
      </c>
      <c r="C481" s="3"/>
      <c r="D481" s="3">
        <v>1021.0</v>
      </c>
      <c r="E481" s="2"/>
      <c r="F481" s="2"/>
      <c r="G481" s="2"/>
      <c r="H481" s="2"/>
      <c r="I481" s="2"/>
      <c r="J481" s="2"/>
    </row>
    <row r="482" ht="15.75" customHeight="1">
      <c r="A482" s="4" t="str">
        <f>HYPERLINK("https://stackoverflow.com/q/58081210", "58081210")</f>
        <v>58081210</v>
      </c>
      <c r="B482" s="2" t="s">
        <v>522</v>
      </c>
      <c r="C482" s="3"/>
      <c r="D482" s="3">
        <v>1020.0</v>
      </c>
      <c r="E482" s="2"/>
      <c r="F482" s="2"/>
      <c r="G482" s="2"/>
      <c r="H482" s="2"/>
      <c r="I482" s="2"/>
      <c r="J482" s="2"/>
    </row>
    <row r="483" ht="15.75" customHeight="1">
      <c r="A483" s="4" t="str">
        <f>HYPERLINK("https://stackoverflow.com/q/41638663", "41638663")</f>
        <v>41638663</v>
      </c>
      <c r="B483" s="2" t="s">
        <v>523</v>
      </c>
      <c r="C483" s="3"/>
      <c r="D483" s="3">
        <v>1017.0</v>
      </c>
      <c r="E483" s="2" t="s">
        <v>11</v>
      </c>
      <c r="F483" s="2" t="s">
        <v>56</v>
      </c>
      <c r="G483" s="2"/>
      <c r="H483" s="2"/>
      <c r="I483" s="2"/>
      <c r="J483" s="2"/>
    </row>
    <row r="484" ht="15.75" customHeight="1">
      <c r="A484" s="4" t="str">
        <f>HYPERLINK("https://stackoverflow.com/q/35302025", "35302025")</f>
        <v>35302025</v>
      </c>
      <c r="B484" s="2" t="s">
        <v>524</v>
      </c>
      <c r="C484" s="3"/>
      <c r="D484" s="3">
        <v>1012.0</v>
      </c>
      <c r="E484" s="2"/>
      <c r="F484" s="2"/>
      <c r="G484" s="2"/>
      <c r="H484" s="2"/>
      <c r="I484" s="2"/>
      <c r="J484" s="2"/>
    </row>
    <row r="485" ht="15.75" customHeight="1">
      <c r="A485" s="4" t="str">
        <f>HYPERLINK("https://stackoverflow.com/q/39919128", "39919128")</f>
        <v>39919128</v>
      </c>
      <c r="B485" s="2" t="s">
        <v>525</v>
      </c>
      <c r="C485" s="3"/>
      <c r="D485" s="3">
        <v>1012.0</v>
      </c>
      <c r="E485" s="2"/>
      <c r="F485" s="2"/>
      <c r="G485" s="2"/>
      <c r="H485" s="2"/>
      <c r="I485" s="2"/>
      <c r="J485" s="2"/>
    </row>
    <row r="486" ht="15.75" customHeight="1">
      <c r="A486" s="4" t="str">
        <f>HYPERLINK("https://stackoverflow.com/q/52023042", "52023042")</f>
        <v>52023042</v>
      </c>
      <c r="B486" s="2" t="s">
        <v>526</v>
      </c>
      <c r="C486" s="3"/>
      <c r="D486" s="3">
        <v>1009.0</v>
      </c>
      <c r="E486" s="2"/>
      <c r="F486" s="2"/>
      <c r="G486" s="2"/>
      <c r="H486" s="2"/>
      <c r="I486" s="2"/>
      <c r="J486" s="2"/>
    </row>
    <row r="487" ht="15.75" customHeight="1">
      <c r="A487" s="4" t="str">
        <f>HYPERLINK("https://stackoverflow.com/q/51193793", "51193793")</f>
        <v>51193793</v>
      </c>
      <c r="B487" s="2" t="s">
        <v>527</v>
      </c>
      <c r="C487" s="3">
        <v>1.0</v>
      </c>
      <c r="D487" s="3">
        <v>1008.0</v>
      </c>
      <c r="E487" s="2"/>
      <c r="F487" s="2"/>
      <c r="G487" s="2"/>
      <c r="H487" s="2"/>
      <c r="I487" s="2"/>
      <c r="J487" s="2"/>
    </row>
    <row r="488" ht="15.75" customHeight="1">
      <c r="A488" s="4" t="str">
        <f>HYPERLINK("https://stackoverflow.com/q/56130522", "56130522")</f>
        <v>56130522</v>
      </c>
      <c r="B488" s="2" t="s">
        <v>528</v>
      </c>
      <c r="C488" s="3"/>
      <c r="D488" s="3">
        <v>1007.0</v>
      </c>
      <c r="E488" s="2"/>
      <c r="F488" s="2"/>
      <c r="G488" s="2"/>
      <c r="H488" s="2"/>
      <c r="I488" s="2"/>
      <c r="J488" s="2"/>
    </row>
    <row r="489" ht="15.75" customHeight="1">
      <c r="A489" s="4" t="str">
        <f>HYPERLINK("https://stackoverflow.com/q/50466511", "50466511")</f>
        <v>50466511</v>
      </c>
      <c r="B489" s="2" t="s">
        <v>529</v>
      </c>
      <c r="C489" s="3">
        <v>1.0</v>
      </c>
      <c r="D489" s="3">
        <v>1006.0</v>
      </c>
      <c r="E489" s="2"/>
      <c r="F489" s="2"/>
      <c r="G489" s="2"/>
      <c r="H489" s="2"/>
      <c r="I489" s="2"/>
      <c r="J489" s="2"/>
    </row>
    <row r="490" ht="15.75" customHeight="1">
      <c r="A490" s="4" t="str">
        <f>HYPERLINK("https://stackoverflow.com/q/42405004", "42405004")</f>
        <v>42405004</v>
      </c>
      <c r="B490" s="2" t="s">
        <v>530</v>
      </c>
      <c r="C490" s="3">
        <v>2.0</v>
      </c>
      <c r="D490" s="3">
        <v>1005.0</v>
      </c>
      <c r="E490" s="2" t="s">
        <v>11</v>
      </c>
      <c r="F490" s="2" t="s">
        <v>30</v>
      </c>
      <c r="G490" s="2"/>
      <c r="H490" s="2"/>
      <c r="I490" s="2"/>
      <c r="J490" s="2"/>
    </row>
    <row r="491" ht="15.75" customHeight="1">
      <c r="A491" s="4" t="str">
        <f>HYPERLINK("https://stackoverflow.com/q/53707341", "53707341")</f>
        <v>53707341</v>
      </c>
      <c r="B491" s="2" t="s">
        <v>531</v>
      </c>
      <c r="C491" s="3"/>
      <c r="D491" s="3">
        <v>1005.0</v>
      </c>
      <c r="E491" s="2"/>
      <c r="F491" s="2"/>
      <c r="G491" s="2"/>
      <c r="H491" s="2"/>
      <c r="I491" s="2"/>
      <c r="J491" s="2"/>
    </row>
    <row r="492" ht="15.75" customHeight="1">
      <c r="A492" s="4" t="str">
        <f>HYPERLINK("https://stackoverflow.com/q/41813166", "41813166")</f>
        <v>41813166</v>
      </c>
      <c r="B492" s="2" t="s">
        <v>532</v>
      </c>
      <c r="C492" s="3"/>
      <c r="D492" s="3">
        <v>1002.0</v>
      </c>
      <c r="E492" s="2" t="s">
        <v>59</v>
      </c>
      <c r="F492" s="2" t="s">
        <v>28</v>
      </c>
      <c r="G492" s="2"/>
      <c r="H492" s="2"/>
      <c r="I492" s="2"/>
      <c r="J492" s="2"/>
    </row>
    <row r="493" ht="15.75" customHeight="1">
      <c r="A493" s="4" t="str">
        <f>HYPERLINK("https://stackoverflow.com/q/41652958", "41652958")</f>
        <v>41652958</v>
      </c>
      <c r="B493" s="2" t="s">
        <v>533</v>
      </c>
      <c r="C493" s="3"/>
      <c r="D493" s="3">
        <v>1001.0</v>
      </c>
      <c r="E493" s="2" t="s">
        <v>11</v>
      </c>
      <c r="F493" s="2" t="s">
        <v>56</v>
      </c>
      <c r="G493" s="2"/>
      <c r="H493" s="2"/>
      <c r="I493" s="2"/>
      <c r="J493" s="2"/>
    </row>
    <row r="494" ht="15.75" customHeight="1">
      <c r="A494" s="4" t="str">
        <f>HYPERLINK("https://stackoverflow.com/q/37604407", "37604407")</f>
        <v>37604407</v>
      </c>
      <c r="B494" s="2" t="s">
        <v>534</v>
      </c>
      <c r="C494" s="3"/>
      <c r="D494" s="3">
        <v>1000.0</v>
      </c>
      <c r="E494" s="2"/>
      <c r="F494" s="2"/>
      <c r="G494" s="2"/>
      <c r="H494" s="2"/>
      <c r="I494" s="2"/>
      <c r="J494" s="2"/>
    </row>
    <row r="495" ht="15.75" customHeight="1">
      <c r="A495" s="4" t="str">
        <f>HYPERLINK("https://stackoverflow.com/q/32837080", "32837080")</f>
        <v>32837080</v>
      </c>
      <c r="B495" s="2" t="s">
        <v>535</v>
      </c>
      <c r="C495" s="3"/>
      <c r="D495" s="3">
        <v>998.0</v>
      </c>
      <c r="E495" s="2"/>
      <c r="F495" s="2"/>
      <c r="G495" s="2"/>
      <c r="H495" s="2"/>
      <c r="I495" s="2"/>
      <c r="J495" s="2"/>
    </row>
    <row r="496" ht="15.75" customHeight="1">
      <c r="A496" s="4" t="str">
        <f>HYPERLINK("https://stackoverflow.com/q/32747702", "32747702")</f>
        <v>32747702</v>
      </c>
      <c r="B496" s="2" t="s">
        <v>536</v>
      </c>
      <c r="C496" s="3"/>
      <c r="D496" s="3">
        <v>993.0</v>
      </c>
      <c r="E496" s="2" t="s">
        <v>537</v>
      </c>
      <c r="F496" s="2" t="s">
        <v>538</v>
      </c>
      <c r="G496" s="2"/>
      <c r="H496" s="2"/>
      <c r="I496" s="2"/>
      <c r="J496" s="2"/>
    </row>
    <row r="497" ht="15.75" customHeight="1">
      <c r="A497" s="4" t="str">
        <f>HYPERLINK("https://stackoverflow.com/q/52600010", "52600010")</f>
        <v>52600010</v>
      </c>
      <c r="B497" s="2" t="s">
        <v>539</v>
      </c>
      <c r="C497" s="3">
        <v>1.0</v>
      </c>
      <c r="D497" s="3">
        <v>991.0</v>
      </c>
      <c r="E497" s="2"/>
      <c r="F497" s="2"/>
      <c r="G497" s="2"/>
      <c r="H497" s="2"/>
      <c r="I497" s="2"/>
      <c r="J497" s="2"/>
    </row>
    <row r="498" ht="15.75" customHeight="1">
      <c r="A498" s="4" t="str">
        <f>HYPERLINK("https://stackoverflow.com/q/16437979", "16437979")</f>
        <v>16437979</v>
      </c>
      <c r="B498" s="2" t="s">
        <v>540</v>
      </c>
      <c r="C498" s="3"/>
      <c r="D498" s="3">
        <v>991.0</v>
      </c>
      <c r="E498" s="2"/>
      <c r="F498" s="2"/>
      <c r="G498" s="2"/>
      <c r="H498" s="2"/>
      <c r="I498" s="2"/>
      <c r="J498" s="2"/>
    </row>
    <row r="499" ht="15.75" customHeight="1">
      <c r="A499" s="4" t="str">
        <f>HYPERLINK("https://stackoverflow.com/q/26590629", "26590629")</f>
        <v>26590629</v>
      </c>
      <c r="B499" s="2" t="s">
        <v>541</v>
      </c>
      <c r="C499" s="3"/>
      <c r="D499" s="3">
        <v>990.0</v>
      </c>
      <c r="E499" s="2"/>
      <c r="F499" s="2"/>
      <c r="G499" s="2"/>
      <c r="H499" s="2"/>
      <c r="I499" s="2"/>
      <c r="J499" s="2"/>
    </row>
    <row r="500" ht="15.75" customHeight="1">
      <c r="A500" s="4" t="str">
        <f>HYPERLINK("https://stackoverflow.com/q/46733068", "46733068")</f>
        <v>46733068</v>
      </c>
      <c r="B500" s="2" t="s">
        <v>542</v>
      </c>
      <c r="C500" s="3"/>
      <c r="D500" s="3">
        <v>989.0</v>
      </c>
      <c r="E500" s="2" t="s">
        <v>11</v>
      </c>
      <c r="F500" s="2" t="s">
        <v>12</v>
      </c>
      <c r="G500" s="2"/>
      <c r="H500" s="2"/>
      <c r="I500" s="2"/>
      <c r="J500" s="2"/>
    </row>
    <row r="501" ht="15.75" customHeight="1">
      <c r="A501" s="4" t="str">
        <f>HYPERLINK("https://stackoverflow.com/q/54066925", "54066925")</f>
        <v>54066925</v>
      </c>
      <c r="B501" s="2" t="s">
        <v>543</v>
      </c>
      <c r="C501" s="3"/>
      <c r="D501" s="3">
        <v>989.0</v>
      </c>
      <c r="E501" s="9" t="s">
        <v>11</v>
      </c>
      <c r="F501" s="2" t="s">
        <v>16</v>
      </c>
      <c r="G501" s="2"/>
      <c r="H501" s="2"/>
      <c r="I501" s="2"/>
      <c r="J501" s="2"/>
    </row>
    <row r="502" ht="15.75" customHeight="1">
      <c r="A502" s="4" t="str">
        <f>HYPERLINK("https://stackoverflow.com/q/44912604", "44912604")</f>
        <v>44912604</v>
      </c>
      <c r="B502" s="2" t="s">
        <v>544</v>
      </c>
      <c r="C502" s="3">
        <v>1.0</v>
      </c>
      <c r="D502" s="3">
        <v>987.0</v>
      </c>
      <c r="E502" s="2"/>
      <c r="F502" s="2"/>
      <c r="G502" s="2"/>
      <c r="H502" s="2"/>
      <c r="I502" s="2"/>
      <c r="J502" s="2"/>
    </row>
    <row r="503" ht="15.75" customHeight="1">
      <c r="A503" s="4" t="str">
        <f>HYPERLINK("https://stackoverflow.com/q/44889483", "44889483")</f>
        <v>44889483</v>
      </c>
      <c r="B503" s="2" t="s">
        <v>545</v>
      </c>
      <c r="C503" s="3">
        <v>2.0</v>
      </c>
      <c r="D503" s="3">
        <v>986.0</v>
      </c>
      <c r="E503" s="2"/>
      <c r="F503" s="2"/>
      <c r="G503" s="2"/>
      <c r="H503" s="2"/>
      <c r="I503" s="2"/>
      <c r="J503" s="2"/>
    </row>
    <row r="504" ht="15.75" customHeight="1">
      <c r="A504" s="4" t="str">
        <f>HYPERLINK("https://stackoverflow.com/q/53319236", "53319236")</f>
        <v>53319236</v>
      </c>
      <c r="B504" s="2" t="s">
        <v>546</v>
      </c>
      <c r="C504" s="3"/>
      <c r="D504" s="3">
        <v>986.0</v>
      </c>
      <c r="E504" s="2"/>
      <c r="F504" s="2"/>
      <c r="G504" s="2"/>
      <c r="H504" s="2"/>
      <c r="I504" s="2"/>
      <c r="J504" s="2"/>
    </row>
    <row r="505" ht="15.75" customHeight="1">
      <c r="A505" s="4" t="str">
        <f>HYPERLINK("https://stackoverflow.com/q/51282275", "51282275")</f>
        <v>51282275</v>
      </c>
      <c r="B505" s="2" t="s">
        <v>547</v>
      </c>
      <c r="C505" s="3">
        <v>1.0</v>
      </c>
      <c r="D505" s="3">
        <v>984.0</v>
      </c>
      <c r="E505" s="2"/>
      <c r="F505" s="2"/>
      <c r="G505" s="2"/>
      <c r="H505" s="2"/>
      <c r="I505" s="2"/>
      <c r="J505" s="2"/>
    </row>
    <row r="506" ht="15.75" customHeight="1">
      <c r="A506" s="4" t="str">
        <f>HYPERLINK("https://stackoverflow.com/q/46421271", "46421271")</f>
        <v>46421271</v>
      </c>
      <c r="B506" s="2" t="s">
        <v>548</v>
      </c>
      <c r="C506" s="3"/>
      <c r="D506" s="3">
        <v>982.0</v>
      </c>
      <c r="E506" s="2" t="s">
        <v>59</v>
      </c>
      <c r="F506" s="2" t="s">
        <v>538</v>
      </c>
      <c r="G506" s="2"/>
      <c r="H506" s="2"/>
      <c r="I506" s="2"/>
      <c r="J506" s="2"/>
    </row>
    <row r="507" ht="15.75" customHeight="1">
      <c r="A507" s="4" t="str">
        <f>HYPERLINK("https://stackoverflow.com/q/46989444", "46989444")</f>
        <v>46989444</v>
      </c>
      <c r="B507" s="2" t="s">
        <v>549</v>
      </c>
      <c r="C507" s="3"/>
      <c r="D507" s="3">
        <v>981.0</v>
      </c>
      <c r="E507" s="2" t="s">
        <v>11</v>
      </c>
      <c r="F507" s="2" t="s">
        <v>12</v>
      </c>
      <c r="G507" s="2"/>
      <c r="H507" s="2"/>
      <c r="I507" s="2"/>
      <c r="J507" s="2"/>
    </row>
    <row r="508" ht="15.75" customHeight="1">
      <c r="A508" s="4" t="str">
        <f>HYPERLINK("https://stackoverflow.com/q/43317136", "43317136")</f>
        <v>43317136</v>
      </c>
      <c r="B508" s="2" t="s">
        <v>550</v>
      </c>
      <c r="C508" s="3">
        <v>2.0</v>
      </c>
      <c r="D508" s="3">
        <v>978.0</v>
      </c>
      <c r="E508" s="2"/>
      <c r="F508" s="2"/>
      <c r="G508" s="2"/>
      <c r="H508" s="2"/>
      <c r="I508" s="2"/>
      <c r="J508" s="2"/>
    </row>
    <row r="509" ht="15.75" customHeight="1">
      <c r="A509" s="4" t="str">
        <f>HYPERLINK("https://stackoverflow.com/q/43861008", "43861008")</f>
        <v>43861008</v>
      </c>
      <c r="B509" s="2" t="s">
        <v>551</v>
      </c>
      <c r="C509" s="3"/>
      <c r="D509" s="3">
        <v>972.0</v>
      </c>
      <c r="E509" s="2" t="s">
        <v>11</v>
      </c>
      <c r="F509" s="2" t="s">
        <v>25</v>
      </c>
      <c r="G509" s="2"/>
      <c r="H509" s="2"/>
      <c r="I509" s="2"/>
      <c r="J509" s="2"/>
    </row>
    <row r="510" ht="15.75" customHeight="1">
      <c r="A510" s="4" t="str">
        <f>HYPERLINK("https://stackoverflow.com/q/52145113", "52145113")</f>
        <v>52145113</v>
      </c>
      <c r="B510" s="2" t="s">
        <v>552</v>
      </c>
      <c r="C510" s="3"/>
      <c r="D510" s="3">
        <v>970.0</v>
      </c>
      <c r="E510" s="2"/>
      <c r="F510" s="2"/>
      <c r="G510" s="2"/>
      <c r="H510" s="2"/>
      <c r="I510" s="2"/>
      <c r="J510" s="2"/>
    </row>
    <row r="511" ht="15.75" customHeight="1">
      <c r="A511" s="4" t="str">
        <f>HYPERLINK("https://stackoverflow.com/q/53410290", "53410290")</f>
        <v>53410290</v>
      </c>
      <c r="B511" s="2" t="s">
        <v>553</v>
      </c>
      <c r="C511" s="3">
        <v>1.0</v>
      </c>
      <c r="D511" s="3">
        <v>969.0</v>
      </c>
      <c r="E511" s="2"/>
      <c r="F511" s="2"/>
      <c r="G511" s="2"/>
      <c r="H511" s="2"/>
      <c r="I511" s="2"/>
      <c r="J511" s="2"/>
    </row>
    <row r="512" ht="15.75" customHeight="1">
      <c r="A512" s="4" t="str">
        <f>HYPERLINK("https://stackoverflow.com/q/52781309", "52781309")</f>
        <v>52781309</v>
      </c>
      <c r="B512" s="2" t="s">
        <v>554</v>
      </c>
      <c r="C512" s="3"/>
      <c r="D512" s="3">
        <v>967.0</v>
      </c>
      <c r="E512" s="2"/>
      <c r="F512" s="2"/>
      <c r="G512" s="2"/>
      <c r="H512" s="2"/>
      <c r="I512" s="2"/>
      <c r="J512" s="2"/>
    </row>
    <row r="513" ht="15.75" customHeight="1">
      <c r="A513" s="4" t="str">
        <f>HYPERLINK("https://stackoverflow.com/q/50005890", "50005890")</f>
        <v>50005890</v>
      </c>
      <c r="B513" s="2" t="s">
        <v>555</v>
      </c>
      <c r="C513" s="3"/>
      <c r="D513" s="3">
        <v>965.0</v>
      </c>
      <c r="E513" s="2"/>
      <c r="F513" s="2"/>
      <c r="G513" s="2"/>
      <c r="H513" s="2"/>
      <c r="I513" s="2"/>
      <c r="J513" s="2"/>
    </row>
    <row r="514" ht="15.75" customHeight="1">
      <c r="A514" s="4" t="str">
        <f>HYPERLINK("https://stackoverflow.com/q/43837603", "43837603")</f>
        <v>43837603</v>
      </c>
      <c r="B514" s="2" t="s">
        <v>556</v>
      </c>
      <c r="C514" s="3">
        <v>1.0</v>
      </c>
      <c r="D514" s="3">
        <v>964.0</v>
      </c>
      <c r="E514" s="2" t="s">
        <v>11</v>
      </c>
      <c r="F514" s="2" t="s">
        <v>263</v>
      </c>
      <c r="G514" s="2"/>
      <c r="H514" s="2"/>
      <c r="I514" s="2"/>
      <c r="J514" s="2"/>
    </row>
    <row r="515" ht="15.75" customHeight="1">
      <c r="A515" s="4" t="str">
        <f>HYPERLINK("https://stackoverflow.com/q/31593793", "31593793")</f>
        <v>31593793</v>
      </c>
      <c r="B515" s="2" t="s">
        <v>557</v>
      </c>
      <c r="C515" s="3"/>
      <c r="D515" s="3">
        <v>959.0</v>
      </c>
      <c r="E515" s="2"/>
      <c r="F515" s="2"/>
      <c r="G515" s="2"/>
      <c r="H515" s="2"/>
      <c r="I515" s="2"/>
      <c r="J515" s="2"/>
    </row>
    <row r="516" ht="15.75" customHeight="1">
      <c r="A516" s="4" t="str">
        <f>HYPERLINK("https://stackoverflow.com/q/49747691", "49747691")</f>
        <v>49747691</v>
      </c>
      <c r="B516" s="2" t="s">
        <v>558</v>
      </c>
      <c r="C516" s="3"/>
      <c r="D516" s="3">
        <v>959.0</v>
      </c>
      <c r="E516" s="2"/>
      <c r="F516" s="2"/>
      <c r="G516" s="2"/>
      <c r="H516" s="2"/>
      <c r="I516" s="2"/>
      <c r="J516" s="2"/>
    </row>
    <row r="517" ht="15.75" customHeight="1">
      <c r="A517" s="4" t="str">
        <f>HYPERLINK("https://stackoverflow.com/q/16937042", "16937042")</f>
        <v>16937042</v>
      </c>
      <c r="B517" s="2" t="s">
        <v>559</v>
      </c>
      <c r="C517" s="3">
        <v>0.0</v>
      </c>
      <c r="D517" s="3">
        <v>955.0</v>
      </c>
      <c r="E517" s="2"/>
      <c r="F517" s="2"/>
      <c r="G517" s="2"/>
      <c r="H517" s="2"/>
      <c r="I517" s="2"/>
      <c r="J517" s="2"/>
    </row>
    <row r="518" ht="15.75" customHeight="1">
      <c r="A518" s="4" t="str">
        <f>HYPERLINK("https://stackoverflow.com/q/32040971", "32040971")</f>
        <v>32040971</v>
      </c>
      <c r="B518" s="2" t="s">
        <v>560</v>
      </c>
      <c r="C518" s="3"/>
      <c r="D518" s="3">
        <v>955.0</v>
      </c>
      <c r="E518" s="2"/>
      <c r="F518" s="2"/>
      <c r="G518" s="2"/>
      <c r="H518" s="2"/>
      <c r="I518" s="2"/>
      <c r="J518" s="2"/>
    </row>
    <row r="519" ht="15.75" customHeight="1">
      <c r="A519" s="4" t="str">
        <f>HYPERLINK("https://stackoverflow.com/q/49838965", "49838965")</f>
        <v>49838965</v>
      </c>
      <c r="B519" s="2" t="s">
        <v>561</v>
      </c>
      <c r="C519" s="3"/>
      <c r="D519" s="3">
        <v>952.0</v>
      </c>
      <c r="E519" s="2"/>
      <c r="F519" s="2"/>
      <c r="G519" s="2"/>
      <c r="H519" s="2"/>
      <c r="I519" s="2"/>
      <c r="J519" s="2"/>
    </row>
    <row r="520" ht="15.75" customHeight="1">
      <c r="A520" s="4" t="str">
        <f>HYPERLINK("https://stackoverflow.com/q/36089525", "36089525")</f>
        <v>36089525</v>
      </c>
      <c r="B520" s="2" t="s">
        <v>562</v>
      </c>
      <c r="C520" s="3"/>
      <c r="D520" s="3">
        <v>950.0</v>
      </c>
      <c r="E520" s="2"/>
      <c r="F520" s="2"/>
      <c r="G520" s="2"/>
      <c r="H520" s="2"/>
      <c r="I520" s="2"/>
      <c r="J520" s="2"/>
    </row>
    <row r="521" ht="15.75" customHeight="1">
      <c r="A521" s="4" t="str">
        <f>HYPERLINK("https://stackoverflow.com/q/32201636", "32201636")</f>
        <v>32201636</v>
      </c>
      <c r="B521" s="2" t="s">
        <v>563</v>
      </c>
      <c r="C521" s="3"/>
      <c r="D521" s="3">
        <v>947.0</v>
      </c>
      <c r="E521" s="2"/>
      <c r="F521" s="2"/>
      <c r="G521" s="2"/>
      <c r="H521" s="2"/>
      <c r="I521" s="2"/>
      <c r="J521" s="2"/>
    </row>
    <row r="522" ht="15.75" customHeight="1">
      <c r="A522" s="4" t="str">
        <f>HYPERLINK("https://stackoverflow.com/q/49914445", "49914445")</f>
        <v>49914445</v>
      </c>
      <c r="B522" s="2" t="s">
        <v>564</v>
      </c>
      <c r="C522" s="3">
        <v>1.0</v>
      </c>
      <c r="D522" s="3">
        <v>945.0</v>
      </c>
      <c r="E522" s="2"/>
      <c r="F522" s="2"/>
      <c r="G522" s="2"/>
      <c r="H522" s="2"/>
      <c r="I522" s="2"/>
      <c r="J522" s="2"/>
    </row>
    <row r="523" ht="15.75" customHeight="1">
      <c r="A523" s="4" t="str">
        <f>HYPERLINK("https://stackoverflow.com/q/36610727", "36610727")</f>
        <v>36610727</v>
      </c>
      <c r="B523" s="2" t="s">
        <v>565</v>
      </c>
      <c r="C523" s="3"/>
      <c r="D523" s="3">
        <v>943.0</v>
      </c>
      <c r="E523" s="2"/>
      <c r="F523" s="2"/>
      <c r="G523" s="2"/>
      <c r="H523" s="2"/>
      <c r="I523" s="2"/>
      <c r="J523" s="2"/>
    </row>
    <row r="524" ht="15.75" customHeight="1">
      <c r="A524" s="4" t="str">
        <f>HYPERLINK("https://stackoverflow.com/q/39141990", "39141990")</f>
        <v>39141990</v>
      </c>
      <c r="B524" s="2" t="s">
        <v>566</v>
      </c>
      <c r="C524" s="3">
        <v>1.0</v>
      </c>
      <c r="D524" s="3">
        <v>942.0</v>
      </c>
      <c r="E524" s="2"/>
      <c r="F524" s="2"/>
      <c r="G524" s="2"/>
      <c r="H524" s="2"/>
      <c r="I524" s="2"/>
      <c r="J524" s="2"/>
    </row>
    <row r="525" ht="15.75" customHeight="1">
      <c r="A525" s="4" t="str">
        <f>HYPERLINK("https://stackoverflow.com/q/42444198", "42444198")</f>
        <v>42444198</v>
      </c>
      <c r="B525" s="2" t="s">
        <v>567</v>
      </c>
      <c r="C525" s="3"/>
      <c r="D525" s="3">
        <v>942.0</v>
      </c>
      <c r="E525" s="2" t="s">
        <v>11</v>
      </c>
      <c r="F525" s="2" t="s">
        <v>25</v>
      </c>
      <c r="G525" s="2"/>
      <c r="H525" s="2"/>
      <c r="I525" s="2"/>
      <c r="J525" s="2"/>
    </row>
    <row r="526" ht="15.75" customHeight="1">
      <c r="A526" s="4" t="str">
        <f>HYPERLINK("https://stackoverflow.com/q/53218116", "53218116")</f>
        <v>53218116</v>
      </c>
      <c r="B526" s="2" t="s">
        <v>568</v>
      </c>
      <c r="C526" s="3"/>
      <c r="D526" s="3">
        <v>937.0</v>
      </c>
      <c r="E526" s="2"/>
      <c r="F526" s="2"/>
      <c r="G526" s="2"/>
      <c r="H526" s="2"/>
      <c r="I526" s="2"/>
      <c r="J526" s="2"/>
    </row>
    <row r="527" ht="15.75" customHeight="1">
      <c r="A527" s="4" t="str">
        <f>HYPERLINK("https://stackoverflow.com/q/46482177", "46482177")</f>
        <v>46482177</v>
      </c>
      <c r="B527" s="2" t="s">
        <v>569</v>
      </c>
      <c r="C527" s="3">
        <v>1.0</v>
      </c>
      <c r="D527" s="3">
        <v>934.0</v>
      </c>
      <c r="E527" s="2" t="s">
        <v>11</v>
      </c>
      <c r="F527" s="2" t="s">
        <v>18</v>
      </c>
      <c r="G527" s="2"/>
      <c r="H527" s="2"/>
      <c r="I527" s="2"/>
      <c r="J527" s="2"/>
    </row>
    <row r="528" ht="15.75" customHeight="1">
      <c r="A528" s="4" t="str">
        <f>HYPERLINK("https://stackoverflow.com/q/13561945", "13561945")</f>
        <v>13561945</v>
      </c>
      <c r="B528" s="2" t="s">
        <v>570</v>
      </c>
      <c r="C528" s="3"/>
      <c r="D528" s="3">
        <v>930.0</v>
      </c>
      <c r="E528" s="2"/>
      <c r="F528" s="2"/>
      <c r="G528" s="2"/>
      <c r="H528" s="2"/>
      <c r="I528" s="2"/>
      <c r="J528" s="2"/>
    </row>
    <row r="529" ht="15.75" customHeight="1">
      <c r="A529" s="4" t="str">
        <f>HYPERLINK("https://stackoverflow.com/q/51168207", "51168207")</f>
        <v>51168207</v>
      </c>
      <c r="B529" s="2" t="s">
        <v>571</v>
      </c>
      <c r="C529" s="3"/>
      <c r="D529" s="3">
        <v>930.0</v>
      </c>
      <c r="E529" s="2"/>
      <c r="F529" s="2"/>
      <c r="G529" s="2"/>
      <c r="H529" s="2"/>
      <c r="I529" s="2"/>
      <c r="J529" s="2"/>
    </row>
    <row r="530" ht="15.75" customHeight="1">
      <c r="A530" s="4" t="str">
        <f>HYPERLINK("https://stackoverflow.com/q/56935694", "56935694")</f>
        <v>56935694</v>
      </c>
      <c r="B530" s="2" t="s">
        <v>572</v>
      </c>
      <c r="C530" s="3"/>
      <c r="D530" s="3">
        <v>929.0</v>
      </c>
      <c r="E530" s="2"/>
      <c r="F530" s="2"/>
      <c r="G530" s="2"/>
      <c r="H530" s="2"/>
      <c r="I530" s="2"/>
      <c r="J530" s="2"/>
    </row>
    <row r="531" ht="15.75" customHeight="1">
      <c r="A531" s="4" t="str">
        <f>HYPERLINK("https://stackoverflow.com/q/58018964", "58018964")</f>
        <v>58018964</v>
      </c>
      <c r="B531" s="2" t="s">
        <v>573</v>
      </c>
      <c r="C531" s="3"/>
      <c r="D531" s="3">
        <v>924.0</v>
      </c>
      <c r="E531" s="2"/>
      <c r="F531" s="2"/>
      <c r="G531" s="2"/>
      <c r="H531" s="2"/>
      <c r="I531" s="2"/>
      <c r="J531" s="2"/>
    </row>
    <row r="532" ht="15.75" customHeight="1">
      <c r="A532" s="4" t="str">
        <f>HYPERLINK("https://stackoverflow.com/q/43496400", "43496400")</f>
        <v>43496400</v>
      </c>
      <c r="B532" s="2" t="s">
        <v>574</v>
      </c>
      <c r="C532" s="3"/>
      <c r="D532" s="3">
        <v>920.0</v>
      </c>
      <c r="E532" s="2" t="s">
        <v>59</v>
      </c>
      <c r="F532" s="2" t="s">
        <v>14</v>
      </c>
      <c r="G532" s="2"/>
      <c r="H532" s="2"/>
      <c r="I532" s="2"/>
      <c r="J532" s="2"/>
    </row>
    <row r="533" ht="15.75" customHeight="1">
      <c r="A533" s="4" t="str">
        <f>HYPERLINK("https://stackoverflow.com/q/41827855", "41827855")</f>
        <v>41827855</v>
      </c>
      <c r="B533" s="2" t="s">
        <v>575</v>
      </c>
      <c r="C533" s="3"/>
      <c r="D533" s="3">
        <v>919.0</v>
      </c>
      <c r="E533" s="2"/>
      <c r="F533" s="2"/>
      <c r="G533" s="2"/>
      <c r="H533" s="2"/>
      <c r="I533" s="2"/>
      <c r="J533" s="2"/>
    </row>
    <row r="534" ht="15.75" customHeight="1">
      <c r="A534" s="4" t="str">
        <f>HYPERLINK("https://stackoverflow.com/q/51072576", "51072576")</f>
        <v>51072576</v>
      </c>
      <c r="B534" s="2" t="s">
        <v>576</v>
      </c>
      <c r="C534" s="3"/>
      <c r="D534" s="3">
        <v>918.0</v>
      </c>
      <c r="E534" s="2"/>
      <c r="F534" s="2"/>
      <c r="G534" s="2"/>
      <c r="H534" s="2"/>
      <c r="I534" s="2"/>
      <c r="J534" s="2"/>
    </row>
    <row r="535" ht="15.75" customHeight="1">
      <c r="A535" s="4" t="str">
        <f>HYPERLINK("https://stackoverflow.com/q/44360062", "44360062")</f>
        <v>44360062</v>
      </c>
      <c r="B535" s="2" t="s">
        <v>577</v>
      </c>
      <c r="C535" s="3"/>
      <c r="D535" s="3">
        <v>914.0</v>
      </c>
      <c r="E535" s="2"/>
      <c r="F535" s="2"/>
      <c r="G535" s="2"/>
      <c r="H535" s="2"/>
      <c r="I535" s="2"/>
      <c r="J535" s="2"/>
    </row>
    <row r="536" ht="15.75" customHeight="1">
      <c r="A536" s="4" t="str">
        <f>HYPERLINK("https://stackoverflow.com/q/43734104", "43734104")</f>
        <v>43734104</v>
      </c>
      <c r="B536" s="2" t="s">
        <v>578</v>
      </c>
      <c r="C536" s="3"/>
      <c r="D536" s="3">
        <v>910.0</v>
      </c>
      <c r="E536" s="2" t="s">
        <v>11</v>
      </c>
      <c r="F536" s="2" t="s">
        <v>56</v>
      </c>
      <c r="G536" s="2" t="s">
        <v>44</v>
      </c>
      <c r="H536" s="2"/>
      <c r="I536" s="2"/>
      <c r="J536" s="2"/>
    </row>
    <row r="537" ht="15.75" customHeight="1">
      <c r="A537" s="4" t="str">
        <f>HYPERLINK("https://stackoverflow.com/q/20846544", "20846544")</f>
        <v>20846544</v>
      </c>
      <c r="B537" s="2" t="s">
        <v>579</v>
      </c>
      <c r="C537" s="3"/>
      <c r="D537" s="3">
        <v>910.0</v>
      </c>
      <c r="E537" s="2"/>
      <c r="F537" s="2"/>
      <c r="G537" s="2"/>
      <c r="H537" s="2"/>
      <c r="I537" s="2"/>
      <c r="J537" s="2"/>
    </row>
    <row r="538" ht="15.75" customHeight="1">
      <c r="A538" s="4" t="str">
        <f>HYPERLINK("https://stackoverflow.com/q/51488750", "51488750")</f>
        <v>51488750</v>
      </c>
      <c r="B538" s="2" t="s">
        <v>580</v>
      </c>
      <c r="C538" s="3"/>
      <c r="D538" s="3">
        <v>908.0</v>
      </c>
      <c r="E538" s="2"/>
      <c r="F538" s="2"/>
      <c r="G538" s="2"/>
      <c r="H538" s="2"/>
      <c r="I538" s="2"/>
      <c r="J538" s="2"/>
    </row>
    <row r="539" ht="15.75" customHeight="1">
      <c r="A539" s="4" t="str">
        <f>HYPERLINK("https://stackoverflow.com/q/41944876", "41944876")</f>
        <v>41944876</v>
      </c>
      <c r="B539" s="2" t="s">
        <v>581</v>
      </c>
      <c r="C539" s="3">
        <v>3.0</v>
      </c>
      <c r="D539" s="3">
        <v>904.0</v>
      </c>
      <c r="E539" s="2" t="s">
        <v>11</v>
      </c>
      <c r="F539" s="2" t="s">
        <v>18</v>
      </c>
      <c r="G539" s="2"/>
      <c r="H539" s="2"/>
      <c r="I539" s="2"/>
      <c r="J539" s="2"/>
    </row>
    <row r="540" ht="15.75" customHeight="1">
      <c r="A540" s="4" t="str">
        <f>HYPERLINK("https://stackoverflow.com/q/54714252", "54714252")</f>
        <v>54714252</v>
      </c>
      <c r="B540" s="2" t="s">
        <v>582</v>
      </c>
      <c r="C540" s="3"/>
      <c r="D540" s="3">
        <v>904.0</v>
      </c>
      <c r="E540" s="2" t="s">
        <v>11</v>
      </c>
      <c r="F540" s="2" t="s">
        <v>14</v>
      </c>
      <c r="G540" s="2"/>
      <c r="H540" s="2"/>
      <c r="I540" s="2"/>
      <c r="J540" s="2"/>
    </row>
    <row r="541" ht="15.75" customHeight="1">
      <c r="A541" s="4" t="str">
        <f>HYPERLINK("https://stackoverflow.com/q/51162737", "51162737")</f>
        <v>51162737</v>
      </c>
      <c r="B541" s="2" t="s">
        <v>583</v>
      </c>
      <c r="C541" s="3"/>
      <c r="D541" s="3">
        <v>900.0</v>
      </c>
      <c r="E541" s="2"/>
      <c r="F541" s="2"/>
      <c r="G541" s="2"/>
      <c r="H541" s="2"/>
      <c r="I541" s="2"/>
      <c r="J541" s="2"/>
    </row>
    <row r="542" ht="15.75" customHeight="1">
      <c r="A542" s="4" t="str">
        <f>HYPERLINK("https://stackoverflow.com/q/22244681", "22244681")</f>
        <v>22244681</v>
      </c>
      <c r="B542" s="2" t="s">
        <v>584</v>
      </c>
      <c r="C542" s="3"/>
      <c r="D542" s="3">
        <v>893.0</v>
      </c>
      <c r="E542" s="2"/>
      <c r="F542" s="2"/>
      <c r="G542" s="2"/>
      <c r="H542" s="2"/>
      <c r="I542" s="2"/>
      <c r="J542" s="2"/>
    </row>
    <row r="543" ht="15.75" customHeight="1">
      <c r="A543" s="4" t="str">
        <f>HYPERLINK("https://stackoverflow.com/q/53970869", "53970869")</f>
        <v>53970869</v>
      </c>
      <c r="B543" s="2" t="s">
        <v>585</v>
      </c>
      <c r="C543" s="3"/>
      <c r="D543" s="3">
        <v>892.0</v>
      </c>
      <c r="E543" s="2" t="s">
        <v>11</v>
      </c>
      <c r="F543" s="2" t="s">
        <v>18</v>
      </c>
      <c r="G543" s="2"/>
      <c r="H543" s="2"/>
      <c r="I543" s="2"/>
      <c r="J543" s="2"/>
    </row>
    <row r="544" ht="15.75" customHeight="1">
      <c r="A544" s="4" t="str">
        <f>HYPERLINK("https://stackoverflow.com/q/40589959", "40589959")</f>
        <v>40589959</v>
      </c>
      <c r="B544" s="2" t="s">
        <v>586</v>
      </c>
      <c r="C544" s="3"/>
      <c r="D544" s="3">
        <v>889.0</v>
      </c>
      <c r="E544" s="2"/>
      <c r="F544" s="2"/>
      <c r="G544" s="2"/>
      <c r="H544" s="2"/>
      <c r="I544" s="2"/>
      <c r="J544" s="2"/>
    </row>
    <row r="545" ht="15.75" customHeight="1">
      <c r="A545" s="4" t="str">
        <f>HYPERLINK("https://stackoverflow.com/q/41201796", "41201796")</f>
        <v>41201796</v>
      </c>
      <c r="B545" s="2" t="s">
        <v>587</v>
      </c>
      <c r="C545" s="3">
        <v>1.0</v>
      </c>
      <c r="D545" s="3">
        <v>888.0</v>
      </c>
      <c r="E545" s="2"/>
      <c r="F545" s="2"/>
      <c r="G545" s="2"/>
      <c r="H545" s="2"/>
      <c r="I545" s="2"/>
      <c r="J545" s="2"/>
    </row>
    <row r="546" ht="15.75" customHeight="1">
      <c r="A546" s="4" t="str">
        <f>HYPERLINK("https://stackoverflow.com/q/49143658", "49143658")</f>
        <v>49143658</v>
      </c>
      <c r="B546" s="2" t="s">
        <v>588</v>
      </c>
      <c r="C546" s="3"/>
      <c r="D546" s="3">
        <v>887.0</v>
      </c>
      <c r="E546" s="2"/>
      <c r="F546" s="2"/>
      <c r="G546" s="2"/>
      <c r="H546" s="2"/>
      <c r="I546" s="2"/>
      <c r="J546" s="2"/>
    </row>
    <row r="547" ht="15.75" customHeight="1">
      <c r="A547" s="4" t="str">
        <f>HYPERLINK("https://stackoverflow.com/q/49326074", "49326074")</f>
        <v>49326074</v>
      </c>
      <c r="B547" s="2" t="s">
        <v>589</v>
      </c>
      <c r="C547" s="3"/>
      <c r="D547" s="3">
        <v>887.0</v>
      </c>
      <c r="E547" s="2"/>
      <c r="F547" s="2"/>
      <c r="G547" s="2"/>
      <c r="H547" s="2"/>
      <c r="I547" s="2"/>
      <c r="J547" s="2"/>
    </row>
    <row r="548" ht="15.75" customHeight="1">
      <c r="A548" s="4" t="str">
        <f>HYPERLINK("https://stackoverflow.com/q/43737787", "43737787")</f>
        <v>43737787</v>
      </c>
      <c r="B548" s="2" t="s">
        <v>590</v>
      </c>
      <c r="C548" s="3"/>
      <c r="D548" s="3">
        <v>884.0</v>
      </c>
      <c r="E548" s="2" t="s">
        <v>11</v>
      </c>
      <c r="F548" s="2" t="s">
        <v>18</v>
      </c>
      <c r="G548" s="2"/>
      <c r="H548" s="2"/>
      <c r="I548" s="2"/>
      <c r="J548" s="2"/>
    </row>
    <row r="549" ht="15.75" customHeight="1">
      <c r="A549" s="4" t="str">
        <f>HYPERLINK("https://stackoverflow.com/q/47617463", "47617463")</f>
        <v>47617463</v>
      </c>
      <c r="B549" s="2" t="s">
        <v>591</v>
      </c>
      <c r="C549" s="3"/>
      <c r="D549" s="3">
        <v>884.0</v>
      </c>
      <c r="E549" s="2" t="s">
        <v>11</v>
      </c>
      <c r="F549" s="2" t="s">
        <v>14</v>
      </c>
      <c r="G549" s="2"/>
      <c r="H549" s="2"/>
      <c r="I549" s="2"/>
      <c r="J549" s="2"/>
    </row>
    <row r="550" ht="15.75" customHeight="1">
      <c r="A550" s="4" t="str">
        <f>HYPERLINK("https://stackoverflow.com/q/33086501", "33086501")</f>
        <v>33086501</v>
      </c>
      <c r="B550" s="2" t="s">
        <v>592</v>
      </c>
      <c r="C550" s="3"/>
      <c r="D550" s="3">
        <v>883.0</v>
      </c>
      <c r="E550" s="2"/>
      <c r="F550" s="2"/>
      <c r="G550" s="2"/>
      <c r="H550" s="2"/>
      <c r="I550" s="2"/>
      <c r="J550" s="2"/>
    </row>
    <row r="551" ht="15.75" customHeight="1">
      <c r="A551" s="4" t="str">
        <f>HYPERLINK("https://stackoverflow.com/q/51885130", "51885130")</f>
        <v>51885130</v>
      </c>
      <c r="B551" s="2" t="s">
        <v>593</v>
      </c>
      <c r="C551" s="3"/>
      <c r="D551" s="3">
        <v>882.0</v>
      </c>
      <c r="E551" s="2"/>
      <c r="F551" s="2"/>
      <c r="G551" s="2"/>
      <c r="H551" s="2"/>
      <c r="I551" s="2"/>
      <c r="J551" s="2"/>
    </row>
    <row r="552" ht="15.75" customHeight="1">
      <c r="A552" s="4" t="str">
        <f>HYPERLINK("https://stackoverflow.com/q/49666940", "49666940")</f>
        <v>49666940</v>
      </c>
      <c r="B552" s="2" t="s">
        <v>594</v>
      </c>
      <c r="C552" s="3">
        <v>1.0</v>
      </c>
      <c r="D552" s="3">
        <v>880.0</v>
      </c>
      <c r="E552" s="2" t="s">
        <v>11</v>
      </c>
      <c r="F552" s="2" t="s">
        <v>25</v>
      </c>
      <c r="G552" s="2"/>
      <c r="H552" s="2"/>
      <c r="I552" s="2"/>
      <c r="J552" s="2"/>
    </row>
    <row r="553" ht="15.75" customHeight="1">
      <c r="A553" s="4" t="str">
        <f>HYPERLINK("https://stackoverflow.com/q/47254010", "47254010")</f>
        <v>47254010</v>
      </c>
      <c r="B553" s="2" t="s">
        <v>595</v>
      </c>
      <c r="C553" s="3"/>
      <c r="D553" s="3">
        <v>880.0</v>
      </c>
      <c r="E553" s="2" t="s">
        <v>86</v>
      </c>
      <c r="F553" s="2" t="s">
        <v>87</v>
      </c>
      <c r="G553" s="2"/>
      <c r="H553" s="2"/>
      <c r="I553" s="2"/>
      <c r="J553" s="2"/>
    </row>
    <row r="554" ht="15.75" customHeight="1">
      <c r="A554" s="4" t="str">
        <f>HYPERLINK("https://stackoverflow.com/q/54079576", "54079576")</f>
        <v>54079576</v>
      </c>
      <c r="B554" s="2" t="s">
        <v>596</v>
      </c>
      <c r="C554" s="3">
        <v>1.0</v>
      </c>
      <c r="D554" s="3">
        <v>879.0</v>
      </c>
      <c r="E554" s="2" t="s">
        <v>11</v>
      </c>
      <c r="F554" s="2" t="s">
        <v>67</v>
      </c>
      <c r="G554" s="2"/>
      <c r="H554" s="2"/>
      <c r="I554" s="2"/>
      <c r="J554" s="2"/>
    </row>
    <row r="555" ht="15.75" customHeight="1">
      <c r="A555" s="4" t="str">
        <f>HYPERLINK("https://stackoverflow.com/q/52736363", "52736363")</f>
        <v>52736363</v>
      </c>
      <c r="B555" s="2" t="s">
        <v>597</v>
      </c>
      <c r="C555" s="3"/>
      <c r="D555" s="3">
        <v>879.0</v>
      </c>
      <c r="E555" s="2"/>
      <c r="F555" s="2"/>
      <c r="G555" s="2"/>
      <c r="H555" s="2"/>
      <c r="I555" s="2"/>
      <c r="J555" s="2"/>
    </row>
    <row r="556" ht="15.75" customHeight="1">
      <c r="A556" s="4" t="str">
        <f>HYPERLINK("https://stackoverflow.com/q/42560474", "42560474")</f>
        <v>42560474</v>
      </c>
      <c r="B556" s="2" t="s">
        <v>598</v>
      </c>
      <c r="C556" s="3"/>
      <c r="D556" s="3">
        <v>878.0</v>
      </c>
      <c r="E556" s="2" t="s">
        <v>11</v>
      </c>
      <c r="F556" s="2" t="s">
        <v>73</v>
      </c>
      <c r="G556" s="2"/>
      <c r="H556" s="2"/>
      <c r="I556" s="2"/>
      <c r="J556" s="2"/>
    </row>
    <row r="557" ht="15.75" customHeight="1">
      <c r="A557" s="4" t="str">
        <f>HYPERLINK("https://stackoverflow.com/q/19432016", "19432016")</f>
        <v>19432016</v>
      </c>
      <c r="B557" s="2" t="s">
        <v>599</v>
      </c>
      <c r="C557" s="3"/>
      <c r="D557" s="3">
        <v>875.0</v>
      </c>
      <c r="E557" s="2"/>
      <c r="F557" s="2"/>
      <c r="G557" s="2"/>
      <c r="H557" s="2"/>
      <c r="I557" s="2"/>
      <c r="J557" s="2"/>
    </row>
    <row r="558" ht="15.75" customHeight="1">
      <c r="A558" s="4" t="str">
        <f>HYPERLINK("https://stackoverflow.com/q/59202953", "59202953")</f>
        <v>59202953</v>
      </c>
      <c r="B558" s="2" t="s">
        <v>600</v>
      </c>
      <c r="C558" s="3"/>
      <c r="D558" s="3">
        <v>875.0</v>
      </c>
      <c r="E558" s="2"/>
      <c r="F558" s="2"/>
      <c r="G558" s="2"/>
      <c r="H558" s="2"/>
      <c r="I558" s="2"/>
      <c r="J558" s="2"/>
    </row>
    <row r="559" ht="15.75" customHeight="1">
      <c r="A559" s="4" t="str">
        <f>HYPERLINK("https://stackoverflow.com/q/12318829", "12318829")</f>
        <v>12318829</v>
      </c>
      <c r="B559" s="2" t="s">
        <v>601</v>
      </c>
      <c r="C559" s="3"/>
      <c r="D559" s="3">
        <v>874.0</v>
      </c>
      <c r="E559" s="2"/>
      <c r="F559" s="2"/>
      <c r="G559" s="2"/>
      <c r="H559" s="2"/>
      <c r="I559" s="2"/>
      <c r="J559" s="2"/>
    </row>
    <row r="560" ht="15.75" customHeight="1">
      <c r="A560" s="4" t="str">
        <f>HYPERLINK("https://stackoverflow.com/q/16942433", "16942433")</f>
        <v>16942433</v>
      </c>
      <c r="B560" s="2" t="s">
        <v>602</v>
      </c>
      <c r="C560" s="3"/>
      <c r="D560" s="3">
        <v>874.0</v>
      </c>
      <c r="E560" s="2"/>
      <c r="F560" s="2"/>
      <c r="G560" s="2"/>
      <c r="H560" s="2"/>
      <c r="I560" s="2"/>
      <c r="J560" s="2"/>
    </row>
    <row r="561" ht="15.75" customHeight="1">
      <c r="A561" s="4" t="str">
        <f>HYPERLINK("https://stackoverflow.com/q/50872515", "50872515")</f>
        <v>50872515</v>
      </c>
      <c r="B561" s="2" t="s">
        <v>603</v>
      </c>
      <c r="C561" s="3"/>
      <c r="D561" s="3">
        <v>873.0</v>
      </c>
      <c r="E561" s="2"/>
      <c r="F561" s="2"/>
      <c r="G561" s="2"/>
      <c r="H561" s="2"/>
      <c r="I561" s="2"/>
      <c r="J561" s="2"/>
    </row>
    <row r="562" ht="15.75" customHeight="1">
      <c r="A562" s="4" t="str">
        <f>HYPERLINK("https://stackoverflow.com/q/44111993", "44111993")</f>
        <v>44111993</v>
      </c>
      <c r="B562" s="2" t="s">
        <v>604</v>
      </c>
      <c r="C562" s="3"/>
      <c r="D562" s="3">
        <v>871.0</v>
      </c>
      <c r="E562" s="2" t="s">
        <v>11</v>
      </c>
      <c r="F562" s="2" t="s">
        <v>14</v>
      </c>
      <c r="G562" s="2"/>
      <c r="H562" s="2"/>
      <c r="I562" s="2"/>
      <c r="J562" s="2"/>
    </row>
    <row r="563" ht="15.75" customHeight="1">
      <c r="A563" s="4" t="str">
        <f>HYPERLINK("https://stackoverflow.com/q/50130057", "50130057")</f>
        <v>50130057</v>
      </c>
      <c r="B563" s="2" t="s">
        <v>605</v>
      </c>
      <c r="C563" s="3"/>
      <c r="D563" s="3">
        <v>871.0</v>
      </c>
      <c r="E563" s="2"/>
      <c r="F563" s="2"/>
      <c r="G563" s="2"/>
      <c r="H563" s="2"/>
      <c r="I563" s="2"/>
      <c r="J563" s="2"/>
    </row>
    <row r="564" ht="15.75" customHeight="1">
      <c r="A564" s="4" t="str">
        <f>HYPERLINK("https://stackoverflow.com/q/45875383", "45875383")</f>
        <v>45875383</v>
      </c>
      <c r="B564" s="2" t="s">
        <v>606</v>
      </c>
      <c r="C564" s="3"/>
      <c r="D564" s="3">
        <v>867.0</v>
      </c>
      <c r="E564" s="2"/>
      <c r="F564" s="2"/>
      <c r="G564" s="2"/>
      <c r="H564" s="2"/>
      <c r="I564" s="2"/>
      <c r="J564" s="2"/>
    </row>
    <row r="565" ht="15.75" customHeight="1">
      <c r="A565" s="4" t="str">
        <f>HYPERLINK("https://stackoverflow.com/q/35482963", "35482963")</f>
        <v>35482963</v>
      </c>
      <c r="B565" s="2" t="s">
        <v>607</v>
      </c>
      <c r="C565" s="3"/>
      <c r="D565" s="3">
        <v>864.0</v>
      </c>
      <c r="E565" s="2"/>
      <c r="F565" s="2"/>
      <c r="G565" s="2"/>
      <c r="H565" s="2"/>
      <c r="I565" s="2"/>
      <c r="J565" s="2"/>
    </row>
    <row r="566" ht="15.75" customHeight="1">
      <c r="A566" s="4" t="str">
        <f>HYPERLINK("https://stackoverflow.com/q/48785562", "48785562")</f>
        <v>48785562</v>
      </c>
      <c r="B566" s="2" t="s">
        <v>608</v>
      </c>
      <c r="C566" s="3"/>
      <c r="D566" s="3">
        <v>864.0</v>
      </c>
      <c r="E566" s="2"/>
      <c r="F566" s="2"/>
      <c r="G566" s="2"/>
      <c r="H566" s="2"/>
      <c r="I566" s="2"/>
      <c r="J566" s="2"/>
    </row>
    <row r="567" ht="15.75" customHeight="1">
      <c r="A567" s="4" t="str">
        <f>HYPERLINK("https://stackoverflow.com/q/37475065", "37475065")</f>
        <v>37475065</v>
      </c>
      <c r="B567" s="2" t="s">
        <v>609</v>
      </c>
      <c r="C567" s="3"/>
      <c r="D567" s="3">
        <v>863.0</v>
      </c>
      <c r="E567" s="2"/>
      <c r="F567" s="2"/>
      <c r="G567" s="2"/>
      <c r="H567" s="2"/>
      <c r="I567" s="2"/>
      <c r="J567" s="2"/>
    </row>
    <row r="568" ht="15.75" customHeight="1">
      <c r="A568" s="4" t="str">
        <f>HYPERLINK("https://stackoverflow.com/q/55853588", "55853588")</f>
        <v>55853588</v>
      </c>
      <c r="B568" s="2" t="s">
        <v>610</v>
      </c>
      <c r="C568" s="3"/>
      <c r="D568" s="3">
        <v>862.0</v>
      </c>
      <c r="E568" s="2"/>
      <c r="F568" s="2"/>
      <c r="G568" s="2"/>
      <c r="H568" s="2"/>
      <c r="I568" s="2"/>
      <c r="J568" s="2"/>
    </row>
    <row r="569" ht="15.75" customHeight="1">
      <c r="A569" s="4" t="str">
        <f>HYPERLINK("https://stackoverflow.com/q/17575941", "17575941")</f>
        <v>17575941</v>
      </c>
      <c r="B569" s="2" t="s">
        <v>611</v>
      </c>
      <c r="C569" s="3"/>
      <c r="D569" s="3">
        <v>858.0</v>
      </c>
      <c r="E569" s="2"/>
      <c r="F569" s="2"/>
      <c r="G569" s="2"/>
      <c r="H569" s="2"/>
      <c r="I569" s="2"/>
      <c r="J569" s="2"/>
    </row>
    <row r="570" ht="15.75" customHeight="1">
      <c r="A570" s="4" t="str">
        <f>HYPERLINK("https://stackoverflow.com/q/50977178", "50977178")</f>
        <v>50977178</v>
      </c>
      <c r="B570" s="2" t="s">
        <v>612</v>
      </c>
      <c r="C570" s="3">
        <v>0.0</v>
      </c>
      <c r="D570" s="3">
        <v>857.0</v>
      </c>
      <c r="E570" s="2"/>
      <c r="F570" s="2"/>
      <c r="G570" s="2"/>
      <c r="H570" s="2"/>
      <c r="I570" s="2"/>
      <c r="J570" s="2"/>
    </row>
    <row r="571" ht="15.75" customHeight="1">
      <c r="A571" s="4" t="str">
        <f>HYPERLINK("https://stackoverflow.com/q/9802779", "9802779")</f>
        <v>9802779</v>
      </c>
      <c r="B571" s="2" t="s">
        <v>613</v>
      </c>
      <c r="C571" s="3"/>
      <c r="D571" s="3">
        <v>855.0</v>
      </c>
      <c r="E571" s="2"/>
      <c r="F571" s="2"/>
      <c r="G571" s="2"/>
      <c r="H571" s="2"/>
      <c r="I571" s="2"/>
      <c r="J571" s="2"/>
    </row>
    <row r="572" ht="15.75" customHeight="1">
      <c r="A572" s="4" t="str">
        <f>HYPERLINK("https://stackoverflow.com/q/23261369", "23261369")</f>
        <v>23261369</v>
      </c>
      <c r="B572" s="2" t="s">
        <v>614</v>
      </c>
      <c r="C572" s="3">
        <v>2.0</v>
      </c>
      <c r="D572" s="3">
        <v>852.0</v>
      </c>
      <c r="E572" s="2"/>
      <c r="F572" s="2"/>
      <c r="G572" s="2"/>
      <c r="H572" s="2"/>
      <c r="I572" s="2"/>
      <c r="J572" s="2"/>
    </row>
    <row r="573" ht="15.75" customHeight="1">
      <c r="A573" s="4" t="str">
        <f>HYPERLINK("https://stackoverflow.com/q/19223588", "19223588")</f>
        <v>19223588</v>
      </c>
      <c r="B573" s="2" t="s">
        <v>615</v>
      </c>
      <c r="C573" s="3"/>
      <c r="D573" s="3">
        <v>850.0</v>
      </c>
      <c r="E573" s="2"/>
      <c r="F573" s="2"/>
      <c r="G573" s="2"/>
      <c r="H573" s="2"/>
      <c r="I573" s="2"/>
      <c r="J573" s="2"/>
    </row>
    <row r="574" ht="15.75" customHeight="1">
      <c r="A574" s="4" t="str">
        <f>HYPERLINK("https://stackoverflow.com/q/44710543", "44710543")</f>
        <v>44710543</v>
      </c>
      <c r="B574" s="2" t="s">
        <v>616</v>
      </c>
      <c r="C574" s="3"/>
      <c r="D574" s="3">
        <v>846.0</v>
      </c>
      <c r="E574" s="2"/>
      <c r="F574" s="2"/>
      <c r="G574" s="2"/>
      <c r="H574" s="2"/>
      <c r="I574" s="2"/>
      <c r="J574" s="2"/>
    </row>
    <row r="575" ht="15.75" customHeight="1">
      <c r="A575" s="4" t="str">
        <f>HYPERLINK("https://stackoverflow.com/q/46978829", "46978829")</f>
        <v>46978829</v>
      </c>
      <c r="B575" s="2" t="s">
        <v>617</v>
      </c>
      <c r="C575" s="3"/>
      <c r="D575" s="3">
        <v>845.0</v>
      </c>
      <c r="E575" s="2" t="s">
        <v>11</v>
      </c>
      <c r="F575" s="2" t="s">
        <v>67</v>
      </c>
      <c r="G575" s="2" t="s">
        <v>16</v>
      </c>
      <c r="H575" s="2"/>
      <c r="I575" s="2"/>
      <c r="J575" s="2"/>
    </row>
    <row r="576" ht="15.75" customHeight="1">
      <c r="A576" s="4" t="str">
        <f>HYPERLINK("https://stackoverflow.com/q/42859891", "42859891")</f>
        <v>42859891</v>
      </c>
      <c r="B576" s="2" t="s">
        <v>618</v>
      </c>
      <c r="C576" s="3"/>
      <c r="D576" s="3">
        <v>844.0</v>
      </c>
      <c r="E576" s="2" t="s">
        <v>11</v>
      </c>
      <c r="F576" s="2" t="s">
        <v>25</v>
      </c>
      <c r="G576" s="2"/>
      <c r="H576" s="2"/>
      <c r="I576" s="2"/>
      <c r="J576" s="2"/>
    </row>
    <row r="577" ht="15.75" customHeight="1">
      <c r="A577" s="4" t="str">
        <f>HYPERLINK("https://stackoverflow.com/q/42784576", "42784576")</f>
        <v>42784576</v>
      </c>
      <c r="B577" s="2" t="s">
        <v>619</v>
      </c>
      <c r="C577" s="3"/>
      <c r="D577" s="3">
        <v>843.0</v>
      </c>
      <c r="E577" s="2" t="s">
        <v>11</v>
      </c>
      <c r="F577" s="2" t="s">
        <v>18</v>
      </c>
      <c r="G577" s="2"/>
      <c r="H577" s="2"/>
      <c r="I577" s="2"/>
      <c r="J577" s="2"/>
    </row>
    <row r="578" ht="15.75" customHeight="1">
      <c r="A578" s="4" t="str">
        <f>HYPERLINK("https://stackoverflow.com/q/20755712", "20755712")</f>
        <v>20755712</v>
      </c>
      <c r="B578" s="2" t="s">
        <v>620</v>
      </c>
      <c r="C578" s="3"/>
      <c r="D578" s="3">
        <v>843.0</v>
      </c>
      <c r="E578" s="2"/>
      <c r="F578" s="2"/>
      <c r="G578" s="2"/>
      <c r="H578" s="2"/>
      <c r="I578" s="2"/>
      <c r="J578" s="2"/>
    </row>
    <row r="579" ht="15.75" customHeight="1">
      <c r="A579" s="4" t="str">
        <f>HYPERLINK("https://stackoverflow.com/q/53115362", "53115362")</f>
        <v>53115362</v>
      </c>
      <c r="B579" s="2" t="s">
        <v>621</v>
      </c>
      <c r="C579" s="3">
        <v>1.0</v>
      </c>
      <c r="D579" s="3">
        <v>836.0</v>
      </c>
      <c r="E579" s="2"/>
      <c r="F579" s="2"/>
      <c r="G579" s="2"/>
      <c r="H579" s="2"/>
      <c r="I579" s="2"/>
      <c r="J579" s="2"/>
    </row>
    <row r="580" ht="15.75" customHeight="1">
      <c r="A580" s="4" t="str">
        <f>HYPERLINK("https://stackoverflow.com/q/41842171", "41842171")</f>
        <v>41842171</v>
      </c>
      <c r="B580" s="2" t="s">
        <v>622</v>
      </c>
      <c r="C580" s="3"/>
      <c r="D580" s="3">
        <v>836.0</v>
      </c>
      <c r="E580" s="2" t="s">
        <v>11</v>
      </c>
      <c r="F580" s="2" t="s">
        <v>56</v>
      </c>
      <c r="G580" s="2"/>
      <c r="H580" s="2"/>
      <c r="I580" s="2"/>
      <c r="J580" s="2"/>
    </row>
    <row r="581" ht="15.75" customHeight="1">
      <c r="A581" s="4" t="str">
        <f>HYPERLINK("https://stackoverflow.com/q/45996851", "45996851")</f>
        <v>45996851</v>
      </c>
      <c r="B581" s="2" t="s">
        <v>623</v>
      </c>
      <c r="C581" s="3"/>
      <c r="D581" s="3">
        <v>836.0</v>
      </c>
      <c r="E581" s="2"/>
      <c r="F581" s="2"/>
      <c r="G581" s="2"/>
      <c r="H581" s="2"/>
      <c r="I581" s="2"/>
      <c r="J581" s="2"/>
    </row>
    <row r="582" ht="15.75" customHeight="1">
      <c r="A582" s="4" t="str">
        <f>HYPERLINK("https://stackoverflow.com/q/56440735", "56440735")</f>
        <v>56440735</v>
      </c>
      <c r="B582" s="2" t="s">
        <v>624</v>
      </c>
      <c r="C582" s="3"/>
      <c r="D582" s="3">
        <v>835.0</v>
      </c>
      <c r="E582" s="2"/>
      <c r="F582" s="2"/>
      <c r="G582" s="2"/>
      <c r="H582" s="2"/>
      <c r="I582" s="2"/>
      <c r="J582" s="2"/>
    </row>
    <row r="583" ht="15.75" customHeight="1">
      <c r="A583" s="4" t="str">
        <f>HYPERLINK("https://stackoverflow.com/q/43462940", "43462940")</f>
        <v>43462940</v>
      </c>
      <c r="B583" s="2" t="s">
        <v>625</v>
      </c>
      <c r="C583" s="3"/>
      <c r="D583" s="3">
        <v>834.0</v>
      </c>
      <c r="E583" s="2" t="s">
        <v>11</v>
      </c>
      <c r="F583" s="2" t="s">
        <v>25</v>
      </c>
      <c r="G583" s="2"/>
      <c r="H583" s="2"/>
      <c r="I583" s="2"/>
      <c r="J583" s="2"/>
    </row>
    <row r="584" ht="15.75" customHeight="1">
      <c r="A584" s="4" t="str">
        <f>HYPERLINK("https://stackoverflow.com/q/50850661", "50850661")</f>
        <v>50850661</v>
      </c>
      <c r="B584" s="2" t="s">
        <v>626</v>
      </c>
      <c r="C584" s="3"/>
      <c r="D584" s="3">
        <v>834.0</v>
      </c>
      <c r="E584" s="2"/>
      <c r="F584" s="2"/>
      <c r="G584" s="2"/>
      <c r="H584" s="2"/>
      <c r="I584" s="2"/>
      <c r="J584" s="2"/>
    </row>
    <row r="585" ht="15.75" customHeight="1">
      <c r="A585" s="4" t="str">
        <f>HYPERLINK("https://stackoverflow.com/q/9481841", "9481841")</f>
        <v>9481841</v>
      </c>
      <c r="B585" s="2" t="s">
        <v>627</v>
      </c>
      <c r="C585" s="3"/>
      <c r="D585" s="3">
        <v>834.0</v>
      </c>
      <c r="E585" s="2"/>
      <c r="F585" s="2"/>
      <c r="G585" s="2"/>
      <c r="H585" s="2"/>
      <c r="I585" s="2"/>
      <c r="J585" s="2"/>
    </row>
    <row r="586" ht="15.75" customHeight="1">
      <c r="A586" s="4" t="str">
        <f>HYPERLINK("https://stackoverflow.com/q/18730532", "18730532")</f>
        <v>18730532</v>
      </c>
      <c r="B586" s="2" t="s">
        <v>628</v>
      </c>
      <c r="C586" s="3"/>
      <c r="D586" s="3">
        <v>833.0</v>
      </c>
      <c r="E586" s="2"/>
      <c r="F586" s="2"/>
      <c r="G586" s="2"/>
      <c r="H586" s="2"/>
      <c r="I586" s="2"/>
      <c r="J586" s="2"/>
    </row>
    <row r="587" ht="15.75" customHeight="1">
      <c r="A587" s="4" t="str">
        <f>HYPERLINK("https://stackoverflow.com/q/32723648", "32723648")</f>
        <v>32723648</v>
      </c>
      <c r="B587" s="2" t="s">
        <v>629</v>
      </c>
      <c r="C587" s="3"/>
      <c r="D587" s="3">
        <v>833.0</v>
      </c>
      <c r="E587" s="2"/>
      <c r="F587" s="2"/>
      <c r="G587" s="2"/>
      <c r="H587" s="2"/>
      <c r="I587" s="2"/>
      <c r="J587" s="2"/>
    </row>
    <row r="588" ht="15.75" customHeight="1">
      <c r="A588" s="4" t="str">
        <f>HYPERLINK("https://stackoverflow.com/q/44931104", "44931104")</f>
        <v>44931104</v>
      </c>
      <c r="B588" s="2" t="s">
        <v>630</v>
      </c>
      <c r="C588" s="3"/>
      <c r="D588" s="3">
        <v>832.0</v>
      </c>
      <c r="E588" s="2"/>
      <c r="F588" s="2"/>
      <c r="G588" s="2"/>
      <c r="H588" s="2"/>
      <c r="I588" s="2"/>
      <c r="J588" s="2"/>
    </row>
    <row r="589" ht="15.75" customHeight="1">
      <c r="A589" s="4" t="str">
        <f>HYPERLINK("https://stackoverflow.com/q/58293197", "58293197")</f>
        <v>58293197</v>
      </c>
      <c r="B589" s="2" t="s">
        <v>631</v>
      </c>
      <c r="C589" s="3"/>
      <c r="D589" s="3">
        <v>832.0</v>
      </c>
      <c r="E589" s="2"/>
      <c r="F589" s="2"/>
      <c r="G589" s="2"/>
      <c r="H589" s="2"/>
      <c r="I589" s="2"/>
      <c r="J589" s="2"/>
    </row>
    <row r="590" ht="15.75" customHeight="1">
      <c r="A590" s="4" t="str">
        <f>HYPERLINK("https://stackoverflow.com/q/23786385", "23786385")</f>
        <v>23786385</v>
      </c>
      <c r="B590" s="2" t="s">
        <v>632</v>
      </c>
      <c r="C590" s="3"/>
      <c r="D590" s="3">
        <v>831.0</v>
      </c>
      <c r="E590" s="2"/>
      <c r="F590" s="2"/>
      <c r="G590" s="2"/>
      <c r="H590" s="2"/>
      <c r="I590" s="2"/>
      <c r="J590" s="2"/>
    </row>
    <row r="591" ht="15.75" customHeight="1">
      <c r="A591" s="4" t="str">
        <f>HYPERLINK("https://stackoverflow.com/q/28019888", "28019888")</f>
        <v>28019888</v>
      </c>
      <c r="B591" s="2" t="s">
        <v>633</v>
      </c>
      <c r="C591" s="3"/>
      <c r="D591" s="3">
        <v>827.0</v>
      </c>
      <c r="E591" s="2"/>
      <c r="F591" s="2"/>
      <c r="G591" s="2"/>
      <c r="H591" s="2"/>
      <c r="I591" s="2"/>
      <c r="J591" s="2"/>
    </row>
    <row r="592" ht="15.75" customHeight="1">
      <c r="A592" s="4" t="str">
        <f>HYPERLINK("https://stackoverflow.com/q/56229332", "56229332")</f>
        <v>56229332</v>
      </c>
      <c r="B592" s="2" t="s">
        <v>634</v>
      </c>
      <c r="C592" s="3"/>
      <c r="D592" s="3">
        <v>825.0</v>
      </c>
      <c r="E592" s="2"/>
      <c r="F592" s="2"/>
      <c r="G592" s="2"/>
      <c r="H592" s="2"/>
      <c r="I592" s="2"/>
      <c r="J592" s="2"/>
    </row>
    <row r="593" ht="15.75" customHeight="1">
      <c r="A593" s="4" t="str">
        <f>HYPERLINK("https://stackoverflow.com/q/54105367", "54105367")</f>
        <v>54105367</v>
      </c>
      <c r="B593" s="2" t="s">
        <v>635</v>
      </c>
      <c r="C593" s="3"/>
      <c r="D593" s="3">
        <v>821.0</v>
      </c>
      <c r="E593" s="2" t="s">
        <v>11</v>
      </c>
      <c r="F593" s="2" t="s">
        <v>67</v>
      </c>
      <c r="G593" s="2"/>
      <c r="H593" s="2"/>
      <c r="I593" s="2"/>
      <c r="J593" s="2"/>
    </row>
    <row r="594" ht="15.75" customHeight="1">
      <c r="A594" s="4" t="str">
        <f>HYPERLINK("https://stackoverflow.com/q/54134476", "54134476")</f>
        <v>54134476</v>
      </c>
      <c r="B594" s="2" t="s">
        <v>636</v>
      </c>
      <c r="C594" s="3"/>
      <c r="D594" s="3">
        <v>819.0</v>
      </c>
      <c r="E594" s="2"/>
      <c r="F594" s="2"/>
      <c r="G594" s="2"/>
      <c r="H594" s="2"/>
      <c r="I594" s="2"/>
      <c r="J594" s="2"/>
    </row>
    <row r="595" ht="15.75" customHeight="1">
      <c r="A595" s="4" t="str">
        <f>HYPERLINK("https://stackoverflow.com/q/46057517", "46057517")</f>
        <v>46057517</v>
      </c>
      <c r="B595" s="2" t="s">
        <v>637</v>
      </c>
      <c r="C595" s="3"/>
      <c r="D595" s="3">
        <v>818.0</v>
      </c>
      <c r="E595" s="2"/>
      <c r="F595" s="2"/>
      <c r="G595" s="2"/>
      <c r="H595" s="2"/>
      <c r="I595" s="2"/>
      <c r="J595" s="2"/>
    </row>
    <row r="596" ht="15.75" customHeight="1">
      <c r="A596" s="4" t="str">
        <f>HYPERLINK("https://stackoverflow.com/q/57432558", "57432558")</f>
        <v>57432558</v>
      </c>
      <c r="B596" s="2" t="s">
        <v>638</v>
      </c>
      <c r="C596" s="3"/>
      <c r="D596" s="3">
        <v>818.0</v>
      </c>
      <c r="E596" s="2"/>
      <c r="F596" s="2"/>
      <c r="G596" s="2"/>
      <c r="H596" s="2"/>
      <c r="I596" s="2"/>
      <c r="J596" s="2"/>
    </row>
    <row r="597" ht="15.75" customHeight="1">
      <c r="A597" s="4" t="str">
        <f>HYPERLINK("https://stackoverflow.com/q/28083465", "28083465")</f>
        <v>28083465</v>
      </c>
      <c r="B597" s="2" t="s">
        <v>639</v>
      </c>
      <c r="C597" s="3">
        <v>1.0</v>
      </c>
      <c r="D597" s="3">
        <v>817.0</v>
      </c>
      <c r="E597" s="2"/>
      <c r="F597" s="2"/>
      <c r="G597" s="2"/>
      <c r="H597" s="2"/>
      <c r="I597" s="2"/>
      <c r="J597" s="2"/>
    </row>
    <row r="598" ht="15.75" customHeight="1">
      <c r="A598" s="4" t="str">
        <f>HYPERLINK("https://stackoverflow.com/q/16163032", "16163032")</f>
        <v>16163032</v>
      </c>
      <c r="B598" s="2" t="s">
        <v>640</v>
      </c>
      <c r="C598" s="3"/>
      <c r="D598" s="3">
        <v>817.0</v>
      </c>
      <c r="E598" s="2"/>
      <c r="F598" s="2"/>
      <c r="G598" s="2"/>
      <c r="H598" s="2"/>
      <c r="I598" s="2"/>
      <c r="J598" s="2"/>
    </row>
    <row r="599" ht="15.75" customHeight="1">
      <c r="A599" s="4" t="str">
        <f>HYPERLINK("https://stackoverflow.com/q/43995671", "43995671")</f>
        <v>43995671</v>
      </c>
      <c r="B599" s="2" t="s">
        <v>641</v>
      </c>
      <c r="C599" s="3">
        <v>1.0</v>
      </c>
      <c r="D599" s="3">
        <v>816.0</v>
      </c>
      <c r="E599" s="2" t="s">
        <v>11</v>
      </c>
      <c r="F599" s="2" t="s">
        <v>25</v>
      </c>
      <c r="G599" s="2"/>
      <c r="H599" s="2"/>
      <c r="I599" s="2"/>
      <c r="J599" s="2"/>
    </row>
    <row r="600" ht="15.75" customHeight="1">
      <c r="A600" s="4" t="str">
        <f>HYPERLINK("https://stackoverflow.com/q/50084095", "50084095")</f>
        <v>50084095</v>
      </c>
      <c r="B600" s="2" t="s">
        <v>642</v>
      </c>
      <c r="C600" s="3"/>
      <c r="D600" s="3">
        <v>816.0</v>
      </c>
      <c r="E600" s="2"/>
      <c r="F600" s="2"/>
      <c r="G600" s="2"/>
      <c r="H600" s="2"/>
      <c r="I600" s="2"/>
      <c r="J600" s="2"/>
    </row>
    <row r="601" ht="15.75" customHeight="1">
      <c r="A601" s="4" t="str">
        <f>HYPERLINK("https://stackoverflow.com/q/21314917", "21314917")</f>
        <v>21314917</v>
      </c>
      <c r="B601" s="2" t="s">
        <v>643</v>
      </c>
      <c r="C601" s="3">
        <v>0.0</v>
      </c>
      <c r="D601" s="3">
        <v>815.0</v>
      </c>
      <c r="E601" s="2"/>
      <c r="F601" s="2"/>
      <c r="G601" s="2"/>
      <c r="H601" s="2"/>
      <c r="I601" s="2"/>
      <c r="J601" s="2"/>
    </row>
    <row r="602" ht="15.75" customHeight="1">
      <c r="A602" s="4" t="str">
        <f>HYPERLINK("https://stackoverflow.com/q/10586848", "10586848")</f>
        <v>10586848</v>
      </c>
      <c r="B602" s="2" t="s">
        <v>644</v>
      </c>
      <c r="C602" s="3"/>
      <c r="D602" s="3">
        <v>812.0</v>
      </c>
      <c r="E602" s="2"/>
      <c r="F602" s="2"/>
      <c r="G602" s="2"/>
      <c r="H602" s="2"/>
      <c r="I602" s="2"/>
      <c r="J602" s="2"/>
    </row>
    <row r="603" ht="15.75" customHeight="1">
      <c r="A603" s="4" t="str">
        <f>HYPERLINK("https://stackoverflow.com/q/50480858", "50480858")</f>
        <v>50480858</v>
      </c>
      <c r="B603" s="2" t="s">
        <v>645</v>
      </c>
      <c r="C603" s="3">
        <v>1.0</v>
      </c>
      <c r="D603" s="3">
        <v>808.0</v>
      </c>
      <c r="E603" s="2"/>
      <c r="F603" s="2"/>
      <c r="G603" s="2"/>
      <c r="H603" s="2"/>
      <c r="I603" s="2"/>
      <c r="J603" s="2"/>
    </row>
    <row r="604" ht="15.75" customHeight="1">
      <c r="A604" s="4" t="str">
        <f>HYPERLINK("https://stackoverflow.com/q/45572394", "45572394")</f>
        <v>45572394</v>
      </c>
      <c r="B604" s="2" t="s">
        <v>646</v>
      </c>
      <c r="C604" s="3"/>
      <c r="D604" s="3">
        <v>808.0</v>
      </c>
      <c r="E604" s="2"/>
      <c r="F604" s="2"/>
      <c r="G604" s="2"/>
      <c r="H604" s="2"/>
      <c r="I604" s="2"/>
      <c r="J604" s="2"/>
    </row>
    <row r="605" ht="15.75" customHeight="1">
      <c r="A605" s="4" t="str">
        <f>HYPERLINK("https://stackoverflow.com/q/44974408", "44974408")</f>
        <v>44974408</v>
      </c>
      <c r="B605" s="2" t="s">
        <v>647</v>
      </c>
      <c r="C605" s="3">
        <v>1.0</v>
      </c>
      <c r="D605" s="3">
        <v>803.0</v>
      </c>
      <c r="E605" s="2"/>
      <c r="F605" s="2"/>
      <c r="G605" s="2"/>
      <c r="H605" s="2"/>
      <c r="I605" s="2"/>
      <c r="J605" s="2"/>
    </row>
    <row r="606" ht="15.75" customHeight="1">
      <c r="A606" s="4" t="str">
        <f>HYPERLINK("https://stackoverflow.com/q/48443288", "48443288")</f>
        <v>48443288</v>
      </c>
      <c r="B606" s="2" t="s">
        <v>648</v>
      </c>
      <c r="C606" s="3">
        <v>1.0</v>
      </c>
      <c r="D606" s="3">
        <v>802.0</v>
      </c>
      <c r="E606" s="2"/>
      <c r="F606" s="2"/>
      <c r="G606" s="2"/>
      <c r="H606" s="2"/>
      <c r="I606" s="2"/>
      <c r="J606" s="2"/>
    </row>
    <row r="607" ht="15.75" customHeight="1">
      <c r="A607" s="4" t="str">
        <f>HYPERLINK("https://stackoverflow.com/q/47706182", "47706182")</f>
        <v>47706182</v>
      </c>
      <c r="B607" s="2" t="s">
        <v>649</v>
      </c>
      <c r="C607" s="3"/>
      <c r="D607" s="3">
        <v>802.0</v>
      </c>
      <c r="E607" s="9" t="s">
        <v>11</v>
      </c>
      <c r="F607" s="2" t="s">
        <v>16</v>
      </c>
      <c r="G607" s="2"/>
      <c r="H607" s="2"/>
      <c r="I607" s="2"/>
      <c r="J607" s="2"/>
    </row>
    <row r="608" ht="15.75" customHeight="1">
      <c r="A608" s="4" t="str">
        <f>HYPERLINK("https://stackoverflow.com/q/50627461", "50627461")</f>
        <v>50627461</v>
      </c>
      <c r="B608" s="2" t="s">
        <v>650</v>
      </c>
      <c r="C608" s="3"/>
      <c r="D608" s="3">
        <v>800.0</v>
      </c>
      <c r="E608" s="2"/>
      <c r="F608" s="2"/>
      <c r="G608" s="2"/>
      <c r="H608" s="2"/>
      <c r="I608" s="2"/>
      <c r="J608" s="2"/>
    </row>
    <row r="609" ht="15.75" customHeight="1">
      <c r="A609" s="4" t="str">
        <f>HYPERLINK("https://stackoverflow.com/q/21907126", "21907126")</f>
        <v>21907126</v>
      </c>
      <c r="B609" s="2" t="s">
        <v>651</v>
      </c>
      <c r="C609" s="3"/>
      <c r="D609" s="3">
        <v>799.0</v>
      </c>
      <c r="E609" s="2"/>
      <c r="F609" s="2"/>
      <c r="G609" s="2"/>
      <c r="H609" s="2"/>
      <c r="I609" s="2"/>
      <c r="J609" s="2"/>
    </row>
    <row r="610" ht="15.75" customHeight="1">
      <c r="A610" s="4" t="str">
        <f>HYPERLINK("https://stackoverflow.com/q/44091275", "44091275")</f>
        <v>44091275</v>
      </c>
      <c r="B610" s="2" t="s">
        <v>652</v>
      </c>
      <c r="C610" s="3">
        <v>2.0</v>
      </c>
      <c r="D610" s="3">
        <v>797.0</v>
      </c>
      <c r="E610" s="2" t="s">
        <v>11</v>
      </c>
      <c r="F610" s="2" t="s">
        <v>25</v>
      </c>
      <c r="G610" s="2"/>
      <c r="H610" s="2"/>
      <c r="I610" s="2"/>
      <c r="J610" s="2"/>
    </row>
    <row r="611" ht="15.75" customHeight="1">
      <c r="A611" s="4" t="str">
        <f>HYPERLINK("https://stackoverflow.com/q/40777490", "40777490")</f>
        <v>40777490</v>
      </c>
      <c r="B611" s="2" t="s">
        <v>653</v>
      </c>
      <c r="C611" s="3"/>
      <c r="D611" s="3">
        <v>796.0</v>
      </c>
      <c r="E611" s="2"/>
      <c r="F611" s="2"/>
      <c r="G611" s="2"/>
      <c r="H611" s="2"/>
      <c r="I611" s="2"/>
      <c r="J611" s="2"/>
    </row>
    <row r="612" ht="15.75" customHeight="1">
      <c r="A612" s="4" t="str">
        <f>HYPERLINK("https://stackoverflow.com/q/28769714", "28769714")</f>
        <v>28769714</v>
      </c>
      <c r="B612" s="2" t="s">
        <v>654</v>
      </c>
      <c r="C612" s="3"/>
      <c r="D612" s="3">
        <v>794.0</v>
      </c>
      <c r="E612" s="2"/>
      <c r="F612" s="2"/>
      <c r="G612" s="2"/>
      <c r="H612" s="2"/>
      <c r="I612" s="2"/>
      <c r="J612" s="2"/>
    </row>
    <row r="613" ht="15.75" customHeight="1">
      <c r="A613" s="4" t="str">
        <f>HYPERLINK("https://stackoverflow.com/q/41174301", "41174301")</f>
        <v>41174301</v>
      </c>
      <c r="B613" s="2" t="s">
        <v>655</v>
      </c>
      <c r="C613" s="3"/>
      <c r="D613" s="3">
        <v>794.0</v>
      </c>
      <c r="E613" s="2"/>
      <c r="F613" s="2"/>
      <c r="G613" s="2"/>
      <c r="H613" s="2"/>
      <c r="I613" s="2"/>
      <c r="J613" s="2"/>
    </row>
    <row r="614" ht="15.75" customHeight="1">
      <c r="A614" s="4" t="str">
        <f>HYPERLINK("https://stackoverflow.com/q/54113212", "54113212")</f>
        <v>54113212</v>
      </c>
      <c r="B614" s="2" t="s">
        <v>656</v>
      </c>
      <c r="C614" s="3"/>
      <c r="D614" s="3">
        <v>794.0</v>
      </c>
      <c r="E614" s="2"/>
      <c r="F614" s="2" t="s">
        <v>23</v>
      </c>
      <c r="G614" s="2"/>
      <c r="H614" s="2"/>
      <c r="I614" s="2"/>
      <c r="J614" s="2"/>
    </row>
    <row r="615" ht="15.75" customHeight="1">
      <c r="A615" s="4" t="str">
        <f>HYPERLINK("https://stackoverflow.com/q/52843956", "52843956")</f>
        <v>52843956</v>
      </c>
      <c r="B615" s="2" t="s">
        <v>657</v>
      </c>
      <c r="C615" s="3"/>
      <c r="D615" s="3">
        <v>793.0</v>
      </c>
      <c r="E615" s="2"/>
      <c r="F615" s="2"/>
      <c r="G615" s="2"/>
      <c r="H615" s="2"/>
      <c r="I615" s="2"/>
      <c r="J615" s="2"/>
    </row>
    <row r="616" ht="15.75" customHeight="1">
      <c r="A616" s="4" t="str">
        <f>HYPERLINK("https://stackoverflow.com/q/47430596", "47430596")</f>
        <v>47430596</v>
      </c>
      <c r="B616" s="2" t="s">
        <v>658</v>
      </c>
      <c r="C616" s="3">
        <v>1.0</v>
      </c>
      <c r="D616" s="3">
        <v>791.0</v>
      </c>
      <c r="E616" s="2" t="s">
        <v>11</v>
      </c>
      <c r="F616" s="2" t="s">
        <v>18</v>
      </c>
      <c r="G616" s="2"/>
      <c r="H616" s="2"/>
      <c r="I616" s="2"/>
      <c r="J616" s="2"/>
    </row>
    <row r="617" ht="15.75" customHeight="1">
      <c r="A617" s="4" t="str">
        <f>HYPERLINK("https://stackoverflow.com/q/46211514", "46211514")</f>
        <v>46211514</v>
      </c>
      <c r="B617" s="2" t="s">
        <v>659</v>
      </c>
      <c r="C617" s="3"/>
      <c r="D617" s="3">
        <v>791.0</v>
      </c>
      <c r="E617" s="2" t="s">
        <v>11</v>
      </c>
      <c r="F617" s="2" t="s">
        <v>18</v>
      </c>
      <c r="G617" s="2"/>
      <c r="H617" s="2"/>
      <c r="I617" s="2"/>
      <c r="J617" s="2"/>
    </row>
    <row r="618" ht="15.75" customHeight="1">
      <c r="A618" s="4" t="str">
        <f>HYPERLINK("https://stackoverflow.com/q/52353918", "52353918")</f>
        <v>52353918</v>
      </c>
      <c r="B618" s="2" t="s">
        <v>660</v>
      </c>
      <c r="C618" s="3"/>
      <c r="D618" s="3">
        <v>789.0</v>
      </c>
      <c r="E618" s="2"/>
      <c r="F618" s="2"/>
      <c r="G618" s="2"/>
      <c r="H618" s="2"/>
      <c r="I618" s="2"/>
      <c r="J618" s="2"/>
    </row>
    <row r="619" ht="15.75" customHeight="1">
      <c r="A619" s="4" t="str">
        <f>HYPERLINK("https://stackoverflow.com/q/55542723", "55542723")</f>
        <v>55542723</v>
      </c>
      <c r="B619" s="2" t="s">
        <v>661</v>
      </c>
      <c r="C619" s="3"/>
      <c r="D619" s="3">
        <v>788.0</v>
      </c>
      <c r="E619" s="2" t="s">
        <v>11</v>
      </c>
      <c r="F619" s="2" t="s">
        <v>18</v>
      </c>
      <c r="G619" s="2"/>
      <c r="H619" s="2"/>
      <c r="I619" s="2"/>
      <c r="J619" s="2"/>
    </row>
    <row r="620" ht="15.75" customHeight="1">
      <c r="A620" s="4" t="str">
        <f>HYPERLINK("https://stackoverflow.com/q/41733883", "41733883")</f>
        <v>41733883</v>
      </c>
      <c r="B620" s="2" t="s">
        <v>662</v>
      </c>
      <c r="C620" s="3"/>
      <c r="D620" s="3">
        <v>786.0</v>
      </c>
      <c r="E620" s="2" t="s">
        <v>11</v>
      </c>
      <c r="F620" s="2" t="s">
        <v>25</v>
      </c>
      <c r="G620" s="2"/>
      <c r="H620" s="2"/>
      <c r="I620" s="2"/>
      <c r="J620" s="2"/>
    </row>
    <row r="621" ht="15.75" customHeight="1">
      <c r="A621" s="4" t="str">
        <f>HYPERLINK("https://stackoverflow.com/q/51653586", "51653586")</f>
        <v>51653586</v>
      </c>
      <c r="B621" s="2" t="s">
        <v>663</v>
      </c>
      <c r="C621" s="3"/>
      <c r="D621" s="3">
        <v>784.0</v>
      </c>
      <c r="E621" s="2"/>
      <c r="F621" s="2"/>
      <c r="G621" s="2"/>
      <c r="H621" s="2"/>
      <c r="I621" s="2"/>
      <c r="J621" s="2"/>
    </row>
    <row r="622" ht="15.75" customHeight="1">
      <c r="A622" s="4" t="str">
        <f>HYPERLINK("https://stackoverflow.com/q/46321865", "46321865")</f>
        <v>46321865</v>
      </c>
      <c r="B622" s="2" t="s">
        <v>664</v>
      </c>
      <c r="C622" s="3"/>
      <c r="D622" s="3">
        <v>783.0</v>
      </c>
      <c r="E622" s="2" t="s">
        <v>11</v>
      </c>
      <c r="F622" s="2" t="s">
        <v>56</v>
      </c>
      <c r="G622" s="2"/>
      <c r="H622" s="2"/>
      <c r="I622" s="2"/>
      <c r="J622" s="2"/>
    </row>
    <row r="623" ht="15.75" customHeight="1">
      <c r="A623" s="4" t="str">
        <f>HYPERLINK("https://stackoverflow.com/q/47194805", "47194805")</f>
        <v>47194805</v>
      </c>
      <c r="B623" s="2" t="s">
        <v>665</v>
      </c>
      <c r="C623" s="3"/>
      <c r="D623" s="3">
        <v>783.0</v>
      </c>
      <c r="E623" s="2" t="s">
        <v>11</v>
      </c>
      <c r="F623" s="2" t="s">
        <v>25</v>
      </c>
      <c r="G623" s="2"/>
      <c r="H623" s="2"/>
      <c r="I623" s="2"/>
      <c r="J623" s="2"/>
    </row>
    <row r="624" ht="15.75" customHeight="1">
      <c r="A624" s="4" t="str">
        <f>HYPERLINK("https://stackoverflow.com/q/49644610", "49644610")</f>
        <v>49644610</v>
      </c>
      <c r="B624" s="2" t="s">
        <v>666</v>
      </c>
      <c r="C624" s="3"/>
      <c r="D624" s="3">
        <v>783.0</v>
      </c>
      <c r="E624" s="2"/>
      <c r="F624" s="2"/>
      <c r="G624" s="2"/>
      <c r="H624" s="2"/>
      <c r="I624" s="2"/>
      <c r="J624" s="2"/>
    </row>
    <row r="625" ht="15.75" customHeight="1">
      <c r="A625" s="4" t="str">
        <f>HYPERLINK("https://stackoverflow.com/q/46067509", "46067509")</f>
        <v>46067509</v>
      </c>
      <c r="B625" s="2" t="s">
        <v>667</v>
      </c>
      <c r="C625" s="3"/>
      <c r="D625" s="3">
        <v>781.0</v>
      </c>
      <c r="E625" s="2" t="s">
        <v>11</v>
      </c>
      <c r="F625" s="2" t="s">
        <v>12</v>
      </c>
      <c r="G625" s="2"/>
      <c r="H625" s="2"/>
      <c r="I625" s="2"/>
      <c r="J625" s="2"/>
    </row>
    <row r="626" ht="15.75" customHeight="1">
      <c r="A626" s="4" t="str">
        <f>HYPERLINK("https://stackoverflow.com/q/50819321", "50819321")</f>
        <v>50819321</v>
      </c>
      <c r="B626" s="2" t="s">
        <v>668</v>
      </c>
      <c r="C626" s="3"/>
      <c r="D626" s="3">
        <v>777.0</v>
      </c>
      <c r="E626" s="2"/>
      <c r="F626" s="2"/>
      <c r="G626" s="2"/>
      <c r="H626" s="2"/>
      <c r="I626" s="2"/>
      <c r="J626" s="2"/>
    </row>
    <row r="627" ht="15.75" customHeight="1">
      <c r="A627" s="4" t="str">
        <f>HYPERLINK("https://stackoverflow.com/q/14001746", "14001746")</f>
        <v>14001746</v>
      </c>
      <c r="B627" s="2" t="s">
        <v>669</v>
      </c>
      <c r="C627" s="3"/>
      <c r="D627" s="3">
        <v>776.0</v>
      </c>
      <c r="E627" s="2"/>
      <c r="F627" s="2"/>
      <c r="G627" s="2"/>
      <c r="H627" s="2"/>
      <c r="I627" s="2"/>
      <c r="J627" s="2"/>
    </row>
    <row r="628" ht="15.75" customHeight="1">
      <c r="A628" s="4" t="str">
        <f>HYPERLINK("https://stackoverflow.com/q/50582355", "50582355")</f>
        <v>50582355</v>
      </c>
      <c r="B628" s="2" t="s">
        <v>670</v>
      </c>
      <c r="C628" s="3"/>
      <c r="D628" s="3">
        <v>774.0</v>
      </c>
      <c r="E628" s="2"/>
      <c r="F628" s="2"/>
      <c r="G628" s="2"/>
      <c r="H628" s="2"/>
      <c r="I628" s="2"/>
      <c r="J628" s="2"/>
    </row>
    <row r="629" ht="15.75" customHeight="1">
      <c r="A629" s="4" t="str">
        <f>HYPERLINK("https://stackoverflow.com/q/44497664", "44497664")</f>
        <v>44497664</v>
      </c>
      <c r="B629" s="2" t="s">
        <v>671</v>
      </c>
      <c r="C629" s="3"/>
      <c r="D629" s="3">
        <v>773.0</v>
      </c>
      <c r="E629" s="2"/>
      <c r="F629" s="2"/>
      <c r="G629" s="2"/>
      <c r="H629" s="2"/>
      <c r="I629" s="2"/>
      <c r="J629" s="2"/>
    </row>
    <row r="630" ht="15.75" customHeight="1">
      <c r="A630" s="4" t="str">
        <f>HYPERLINK("https://stackoverflow.com/q/47817723", "47817723")</f>
        <v>47817723</v>
      </c>
      <c r="B630" s="2" t="s">
        <v>672</v>
      </c>
      <c r="C630" s="3">
        <v>1.0</v>
      </c>
      <c r="D630" s="3">
        <v>772.0</v>
      </c>
      <c r="E630" s="2" t="s">
        <v>11</v>
      </c>
      <c r="F630" s="2" t="s">
        <v>21</v>
      </c>
      <c r="G630" s="2" t="s">
        <v>14</v>
      </c>
      <c r="H630" s="2"/>
      <c r="I630" s="2"/>
      <c r="J630" s="2"/>
    </row>
    <row r="631" ht="15.75" customHeight="1">
      <c r="A631" s="4" t="str">
        <f>HYPERLINK("https://stackoverflow.com/q/44398453", "44398453")</f>
        <v>44398453</v>
      </c>
      <c r="B631" s="2" t="s">
        <v>673</v>
      </c>
      <c r="C631" s="3"/>
      <c r="D631" s="3">
        <v>772.0</v>
      </c>
      <c r="E631" s="2"/>
      <c r="F631" s="2"/>
      <c r="G631" s="2"/>
      <c r="H631" s="2"/>
      <c r="I631" s="2"/>
      <c r="J631" s="2"/>
    </row>
    <row r="632" ht="15.75" customHeight="1">
      <c r="A632" s="4" t="str">
        <f>HYPERLINK("https://stackoverflow.com/q/38014078", "38014078")</f>
        <v>38014078</v>
      </c>
      <c r="B632" s="2" t="s">
        <v>674</v>
      </c>
      <c r="C632" s="3">
        <v>1.0</v>
      </c>
      <c r="D632" s="3">
        <v>768.0</v>
      </c>
      <c r="E632" s="2"/>
      <c r="F632" s="2"/>
      <c r="G632" s="2"/>
      <c r="H632" s="2"/>
      <c r="I632" s="2"/>
      <c r="J632" s="2"/>
    </row>
    <row r="633" ht="15.75" customHeight="1">
      <c r="A633" s="4" t="str">
        <f>HYPERLINK("https://stackoverflow.com/q/50330121", "50330121")</f>
        <v>50330121</v>
      </c>
      <c r="B633" s="2" t="s">
        <v>675</v>
      </c>
      <c r="C633" s="3"/>
      <c r="D633" s="3">
        <v>768.0</v>
      </c>
      <c r="E633" s="2"/>
      <c r="F633" s="2"/>
      <c r="G633" s="2"/>
      <c r="H633" s="2"/>
      <c r="I633" s="2"/>
      <c r="J633" s="2"/>
    </row>
    <row r="634" ht="15.75" customHeight="1">
      <c r="A634" s="4" t="str">
        <f>HYPERLINK("https://stackoverflow.com/q/8123314", "8123314")</f>
        <v>8123314</v>
      </c>
      <c r="B634" s="2" t="s">
        <v>676</v>
      </c>
      <c r="C634" s="3"/>
      <c r="D634" s="3">
        <v>763.0</v>
      </c>
      <c r="E634" s="2" t="s">
        <v>11</v>
      </c>
      <c r="F634" s="2" t="s">
        <v>12</v>
      </c>
      <c r="G634" s="2"/>
      <c r="H634" s="2"/>
      <c r="I634" s="2"/>
      <c r="J634" s="2"/>
    </row>
    <row r="635" ht="15.75" customHeight="1">
      <c r="A635" s="4" t="str">
        <f>HYPERLINK("https://stackoverflow.com/q/31942969", "31942969")</f>
        <v>31942969</v>
      </c>
      <c r="B635" s="2" t="s">
        <v>677</v>
      </c>
      <c r="C635" s="3"/>
      <c r="D635" s="3">
        <v>763.0</v>
      </c>
      <c r="E635" s="2"/>
      <c r="F635" s="2"/>
      <c r="G635" s="2"/>
      <c r="H635" s="2"/>
      <c r="I635" s="2"/>
      <c r="J635" s="2"/>
    </row>
    <row r="636" ht="15.75" customHeight="1">
      <c r="A636" s="4" t="str">
        <f>HYPERLINK("https://stackoverflow.com/q/40642721", "40642721")</f>
        <v>40642721</v>
      </c>
      <c r="B636" s="2" t="s">
        <v>678</v>
      </c>
      <c r="C636" s="3"/>
      <c r="D636" s="3">
        <v>762.0</v>
      </c>
      <c r="E636" s="2"/>
      <c r="F636" s="2"/>
      <c r="G636" s="2"/>
      <c r="H636" s="2"/>
      <c r="I636" s="2"/>
      <c r="J636" s="2"/>
    </row>
    <row r="637" ht="15.75" customHeight="1">
      <c r="A637" s="4" t="str">
        <f>HYPERLINK("https://stackoverflow.com/q/44806952", "44806952")</f>
        <v>44806952</v>
      </c>
      <c r="B637" s="2" t="s">
        <v>679</v>
      </c>
      <c r="C637" s="3"/>
      <c r="D637" s="3">
        <v>760.0</v>
      </c>
      <c r="E637" s="2"/>
      <c r="F637" s="2"/>
      <c r="G637" s="2"/>
      <c r="H637" s="2"/>
      <c r="I637" s="2"/>
      <c r="J637" s="2"/>
    </row>
    <row r="638" ht="15.75" customHeight="1">
      <c r="A638" s="4" t="str">
        <f>HYPERLINK("https://stackoverflow.com/q/59370100", "59370100")</f>
        <v>59370100</v>
      </c>
      <c r="B638" s="2" t="s">
        <v>680</v>
      </c>
      <c r="C638" s="3"/>
      <c r="D638" s="3">
        <v>760.0</v>
      </c>
      <c r="E638" s="2"/>
      <c r="F638" s="2"/>
      <c r="G638" s="2"/>
      <c r="H638" s="2"/>
      <c r="I638" s="2"/>
      <c r="J638" s="2"/>
    </row>
    <row r="639" ht="15.75" customHeight="1">
      <c r="A639" s="4" t="str">
        <f>HYPERLINK("https://stackoverflow.com/q/47704069", "47704069")</f>
        <v>47704069</v>
      </c>
      <c r="B639" s="2" t="s">
        <v>681</v>
      </c>
      <c r="C639" s="3"/>
      <c r="D639" s="3">
        <v>757.0</v>
      </c>
      <c r="E639" s="2" t="s">
        <v>59</v>
      </c>
      <c r="F639" s="2" t="s">
        <v>21</v>
      </c>
      <c r="G639" s="2"/>
      <c r="H639" s="2"/>
      <c r="I639" s="2"/>
      <c r="J639" s="2"/>
    </row>
    <row r="640" ht="15.75" customHeight="1">
      <c r="A640" s="4" t="str">
        <f>HYPERLINK("https://stackoverflow.com/q/44920041", "44920041")</f>
        <v>44920041</v>
      </c>
      <c r="B640" s="2" t="s">
        <v>682</v>
      </c>
      <c r="C640" s="3"/>
      <c r="D640" s="3">
        <v>754.0</v>
      </c>
      <c r="E640" s="2"/>
      <c r="F640" s="2"/>
      <c r="G640" s="2"/>
      <c r="H640" s="2"/>
      <c r="I640" s="2"/>
      <c r="J640" s="2"/>
    </row>
    <row r="641" ht="15.75" customHeight="1">
      <c r="A641" s="4" t="str">
        <f>HYPERLINK("https://stackoverflow.com/q/54270158", "54270158")</f>
        <v>54270158</v>
      </c>
      <c r="B641" s="2" t="s">
        <v>683</v>
      </c>
      <c r="C641" s="3"/>
      <c r="D641" s="3">
        <v>752.0</v>
      </c>
      <c r="E641" s="2" t="s">
        <v>11</v>
      </c>
      <c r="F641" s="2" t="s">
        <v>18</v>
      </c>
      <c r="G641" s="2"/>
      <c r="H641" s="2"/>
      <c r="I641" s="2"/>
      <c r="J641" s="2"/>
    </row>
    <row r="642" ht="15.75" customHeight="1">
      <c r="A642" s="4" t="str">
        <f>HYPERLINK("https://stackoverflow.com/q/54372408", "54372408")</f>
        <v>54372408</v>
      </c>
      <c r="B642" s="2" t="s">
        <v>684</v>
      </c>
      <c r="C642" s="3"/>
      <c r="D642" s="3">
        <v>752.0</v>
      </c>
      <c r="E642" s="2" t="s">
        <v>11</v>
      </c>
      <c r="F642" s="2" t="s">
        <v>67</v>
      </c>
      <c r="G642" s="2"/>
      <c r="H642" s="2"/>
      <c r="I642" s="2"/>
      <c r="J642" s="2"/>
    </row>
    <row r="643" ht="15.75" customHeight="1">
      <c r="A643" s="4" t="str">
        <f>HYPERLINK("https://stackoverflow.com/q/47194231", "47194231")</f>
        <v>47194231</v>
      </c>
      <c r="B643" s="2" t="s">
        <v>685</v>
      </c>
      <c r="C643" s="3">
        <v>1.0</v>
      </c>
      <c r="D643" s="3">
        <v>749.0</v>
      </c>
      <c r="E643" s="2" t="s">
        <v>72</v>
      </c>
      <c r="F643" s="2" t="s">
        <v>506</v>
      </c>
      <c r="G643" s="2"/>
      <c r="H643" s="2"/>
      <c r="I643" s="2"/>
      <c r="J643" s="2"/>
    </row>
    <row r="644" ht="15.75" customHeight="1">
      <c r="A644" s="4" t="str">
        <f>HYPERLINK("https://stackoverflow.com/q/9041860", "9041860")</f>
        <v>9041860</v>
      </c>
      <c r="B644" s="2" t="s">
        <v>686</v>
      </c>
      <c r="C644" s="3"/>
      <c r="D644" s="3">
        <v>748.0</v>
      </c>
      <c r="E644" s="2" t="s">
        <v>59</v>
      </c>
      <c r="F644" s="2" t="s">
        <v>21</v>
      </c>
      <c r="G644" s="2"/>
      <c r="H644" s="2"/>
      <c r="I644" s="2"/>
      <c r="J644" s="2"/>
    </row>
    <row r="645" ht="15.75" customHeight="1">
      <c r="A645" s="4" t="str">
        <f>HYPERLINK("https://stackoverflow.com/q/56154406", "56154406")</f>
        <v>56154406</v>
      </c>
      <c r="B645" s="2" t="s">
        <v>687</v>
      </c>
      <c r="C645" s="3"/>
      <c r="D645" s="3">
        <v>747.0</v>
      </c>
      <c r="E645" s="2"/>
      <c r="F645" s="2"/>
      <c r="G645" s="2"/>
      <c r="H645" s="2"/>
      <c r="I645" s="2"/>
      <c r="J645" s="2"/>
    </row>
    <row r="646" ht="15.75" customHeight="1">
      <c r="A646" s="4" t="str">
        <f>HYPERLINK("https://stackoverflow.com/q/47345382", "47345382")</f>
        <v>47345382</v>
      </c>
      <c r="B646" s="2" t="s">
        <v>688</v>
      </c>
      <c r="C646" s="3"/>
      <c r="D646" s="3">
        <v>746.0</v>
      </c>
      <c r="E646" s="2" t="s">
        <v>11</v>
      </c>
      <c r="F646" s="2" t="s">
        <v>25</v>
      </c>
      <c r="G646" s="2"/>
      <c r="H646" s="2"/>
      <c r="I646" s="2"/>
      <c r="J646" s="2"/>
    </row>
    <row r="647" ht="15.75" customHeight="1">
      <c r="A647" s="4" t="str">
        <f>HYPERLINK("https://stackoverflow.com/q/55384701", "55384701")</f>
        <v>55384701</v>
      </c>
      <c r="B647" s="2" t="s">
        <v>689</v>
      </c>
      <c r="C647" s="3"/>
      <c r="D647" s="3">
        <v>745.0</v>
      </c>
      <c r="E647" s="2" t="s">
        <v>11</v>
      </c>
      <c r="F647" s="2" t="s">
        <v>18</v>
      </c>
      <c r="G647" s="2" t="s">
        <v>44</v>
      </c>
      <c r="H647" s="2"/>
      <c r="I647" s="2"/>
      <c r="J647" s="2"/>
    </row>
    <row r="648" ht="15.75" customHeight="1">
      <c r="A648" s="4" t="str">
        <f>HYPERLINK("https://stackoverflow.com/q/54403490", "54403490")</f>
        <v>54403490</v>
      </c>
      <c r="B648" s="2" t="s">
        <v>690</v>
      </c>
      <c r="C648" s="3"/>
      <c r="D648" s="3">
        <v>744.0</v>
      </c>
      <c r="E648" s="2" t="s">
        <v>11</v>
      </c>
      <c r="F648" s="2" t="s">
        <v>25</v>
      </c>
      <c r="G648" s="2"/>
      <c r="H648" s="2"/>
      <c r="I648" s="2"/>
      <c r="J648" s="2"/>
    </row>
    <row r="649" ht="15.75" customHeight="1">
      <c r="A649" s="4" t="str">
        <f>HYPERLINK("https://stackoverflow.com/q/26642065", "26642065")</f>
        <v>26642065</v>
      </c>
      <c r="B649" s="2" t="s">
        <v>691</v>
      </c>
      <c r="C649" s="3"/>
      <c r="D649" s="3">
        <v>743.0</v>
      </c>
      <c r="E649" s="2"/>
      <c r="F649" s="2"/>
      <c r="G649" s="2"/>
      <c r="H649" s="2"/>
      <c r="I649" s="2"/>
      <c r="J649" s="2"/>
    </row>
    <row r="650" ht="15.75" customHeight="1">
      <c r="A650" s="4" t="str">
        <f>HYPERLINK("https://stackoverflow.com/q/52814608", "52814608")</f>
        <v>52814608</v>
      </c>
      <c r="B650" s="2" t="s">
        <v>692</v>
      </c>
      <c r="C650" s="3">
        <v>1.0</v>
      </c>
      <c r="D650" s="3">
        <v>740.0</v>
      </c>
      <c r="E650" s="2"/>
      <c r="F650" s="2"/>
      <c r="G650" s="2"/>
      <c r="H650" s="2"/>
      <c r="I650" s="2"/>
      <c r="J650" s="2"/>
    </row>
    <row r="651" ht="15.75" customHeight="1">
      <c r="A651" s="4" t="str">
        <f>HYPERLINK("https://stackoverflow.com/q/47830107", "47830107")</f>
        <v>47830107</v>
      </c>
      <c r="B651" s="2" t="s">
        <v>693</v>
      </c>
      <c r="C651" s="3"/>
      <c r="D651" s="3">
        <v>740.0</v>
      </c>
      <c r="E651" s="2" t="s">
        <v>11</v>
      </c>
      <c r="F651" s="2" t="s">
        <v>67</v>
      </c>
      <c r="G651" s="2" t="s">
        <v>25</v>
      </c>
      <c r="H651" s="2"/>
      <c r="I651" s="2"/>
      <c r="J651" s="2"/>
    </row>
    <row r="652" ht="15.75" customHeight="1">
      <c r="A652" s="4" t="str">
        <f>HYPERLINK("https://stackoverflow.com/q/50247642", "50247642")</f>
        <v>50247642</v>
      </c>
      <c r="B652" s="2" t="s">
        <v>694</v>
      </c>
      <c r="C652" s="3"/>
      <c r="D652" s="3">
        <v>740.0</v>
      </c>
      <c r="E652" s="2"/>
      <c r="F652" s="2"/>
      <c r="G652" s="2"/>
      <c r="H652" s="2"/>
      <c r="I652" s="2"/>
      <c r="J652" s="2"/>
    </row>
    <row r="653" ht="15.75" customHeight="1">
      <c r="A653" s="4" t="str">
        <f>HYPERLINK("https://stackoverflow.com/q/17220341", "17220341")</f>
        <v>17220341</v>
      </c>
      <c r="B653" s="2" t="s">
        <v>695</v>
      </c>
      <c r="C653" s="3">
        <v>1.0</v>
      </c>
      <c r="D653" s="3">
        <v>738.0</v>
      </c>
      <c r="E653" s="2"/>
      <c r="F653" s="2"/>
      <c r="G653" s="2"/>
      <c r="H653" s="2"/>
      <c r="I653" s="2"/>
      <c r="J653" s="2"/>
    </row>
    <row r="654" ht="15.75" customHeight="1">
      <c r="A654" s="4" t="str">
        <f>HYPERLINK("https://stackoverflow.com/q/44080566", "44080566")</f>
        <v>44080566</v>
      </c>
      <c r="B654" s="2" t="s">
        <v>696</v>
      </c>
      <c r="C654" s="3"/>
      <c r="D654" s="3">
        <v>738.0</v>
      </c>
      <c r="E654" s="2" t="s">
        <v>11</v>
      </c>
      <c r="F654" s="2" t="s">
        <v>12</v>
      </c>
      <c r="G654" s="2"/>
      <c r="H654" s="2"/>
      <c r="I654" s="2"/>
      <c r="J654" s="2"/>
    </row>
    <row r="655" ht="15.75" customHeight="1">
      <c r="A655" s="4" t="str">
        <f>HYPERLINK("https://stackoverflow.com/q/44025410", "44025410")</f>
        <v>44025410</v>
      </c>
      <c r="B655" s="2" t="s">
        <v>697</v>
      </c>
      <c r="C655" s="3"/>
      <c r="D655" s="3">
        <v>738.0</v>
      </c>
      <c r="E655" s="2" t="s">
        <v>72</v>
      </c>
      <c r="F655" s="2" t="s">
        <v>194</v>
      </c>
      <c r="G655" s="2" t="s">
        <v>506</v>
      </c>
      <c r="H655" s="2"/>
      <c r="I655" s="2"/>
      <c r="J655" s="2"/>
    </row>
    <row r="656" ht="15.75" customHeight="1">
      <c r="A656" s="4" t="str">
        <f>HYPERLINK("https://stackoverflow.com/q/38688679", "38688679")</f>
        <v>38688679</v>
      </c>
      <c r="B656" s="2" t="s">
        <v>698</v>
      </c>
      <c r="C656" s="3">
        <v>1.0</v>
      </c>
      <c r="D656" s="3">
        <v>737.0</v>
      </c>
      <c r="E656" s="2"/>
      <c r="F656" s="2"/>
      <c r="G656" s="2"/>
      <c r="H656" s="2"/>
      <c r="I656" s="2"/>
      <c r="J656" s="2"/>
    </row>
    <row r="657" ht="15.75" customHeight="1">
      <c r="A657" s="4" t="str">
        <f>HYPERLINK("https://stackoverflow.com/q/39537567", "39537567")</f>
        <v>39537567</v>
      </c>
      <c r="B657" s="2" t="s">
        <v>699</v>
      </c>
      <c r="C657" s="3"/>
      <c r="D657" s="3">
        <v>734.0</v>
      </c>
      <c r="E657" s="2"/>
      <c r="F657" s="2"/>
      <c r="G657" s="2"/>
      <c r="H657" s="2"/>
      <c r="I657" s="2"/>
      <c r="J657" s="2"/>
    </row>
    <row r="658" ht="15.75" customHeight="1">
      <c r="A658" s="4" t="str">
        <f>HYPERLINK("https://stackoverflow.com/q/56826366", "56826366")</f>
        <v>56826366</v>
      </c>
      <c r="B658" s="2" t="s">
        <v>700</v>
      </c>
      <c r="C658" s="3"/>
      <c r="D658" s="3">
        <v>734.0</v>
      </c>
      <c r="E658" s="2"/>
      <c r="F658" s="2"/>
      <c r="G658" s="2"/>
      <c r="H658" s="2"/>
      <c r="I658" s="2"/>
      <c r="J658" s="2"/>
    </row>
    <row r="659" ht="15.75" customHeight="1">
      <c r="A659" s="4" t="str">
        <f>HYPERLINK("https://stackoverflow.com/q/54484732", "54484732")</f>
        <v>54484732</v>
      </c>
      <c r="B659" s="2" t="s">
        <v>701</v>
      </c>
      <c r="C659" s="3"/>
      <c r="D659" s="3">
        <v>732.0</v>
      </c>
      <c r="E659" s="2" t="s">
        <v>11</v>
      </c>
      <c r="F659" s="2" t="s">
        <v>12</v>
      </c>
      <c r="G659" s="2"/>
      <c r="H659" s="2"/>
      <c r="I659" s="2"/>
      <c r="J659" s="2"/>
    </row>
    <row r="660" ht="15.75" customHeight="1">
      <c r="A660" s="4" t="str">
        <f>HYPERLINK("https://stackoverflow.com/q/35660296", "35660296")</f>
        <v>35660296</v>
      </c>
      <c r="B660" s="2" t="s">
        <v>702</v>
      </c>
      <c r="C660" s="3"/>
      <c r="D660" s="3">
        <v>732.0</v>
      </c>
      <c r="E660" s="2"/>
      <c r="F660" s="2"/>
      <c r="G660" s="2"/>
      <c r="H660" s="2"/>
      <c r="I660" s="2"/>
      <c r="J660" s="2"/>
    </row>
    <row r="661" ht="15.75" customHeight="1">
      <c r="A661" s="4" t="str">
        <f>HYPERLINK("https://stackoverflow.com/q/48904349", "48904349")</f>
        <v>48904349</v>
      </c>
      <c r="B661" s="2" t="s">
        <v>703</v>
      </c>
      <c r="C661" s="3"/>
      <c r="D661" s="3">
        <v>732.0</v>
      </c>
      <c r="E661" s="2"/>
      <c r="F661" s="2"/>
      <c r="G661" s="2"/>
      <c r="H661" s="2"/>
      <c r="I661" s="2"/>
      <c r="J661" s="2"/>
    </row>
    <row r="662" ht="15.75" customHeight="1">
      <c r="A662" s="4" t="str">
        <f>HYPERLINK("https://stackoverflow.com/q/43611109", "43611109")</f>
        <v>43611109</v>
      </c>
      <c r="B662" s="2" t="s">
        <v>704</v>
      </c>
      <c r="C662" s="3"/>
      <c r="D662" s="3">
        <v>731.0</v>
      </c>
      <c r="E662" s="2" t="s">
        <v>11</v>
      </c>
      <c r="F662" s="2" t="s">
        <v>21</v>
      </c>
      <c r="G662" s="2"/>
      <c r="H662" s="2"/>
      <c r="I662" s="2"/>
      <c r="J662" s="2"/>
    </row>
    <row r="663" ht="15.75" customHeight="1">
      <c r="A663" s="4" t="str">
        <f>HYPERLINK("https://stackoverflow.com/q/51031495", "51031495")</f>
        <v>51031495</v>
      </c>
      <c r="B663" s="2" t="s">
        <v>705</v>
      </c>
      <c r="C663" s="3"/>
      <c r="D663" s="3">
        <v>731.0</v>
      </c>
      <c r="E663" s="2"/>
      <c r="F663" s="2"/>
      <c r="G663" s="2"/>
      <c r="H663" s="2"/>
      <c r="I663" s="2"/>
      <c r="J663" s="2"/>
    </row>
    <row r="664" ht="15.75" customHeight="1">
      <c r="A664" s="4" t="str">
        <f>HYPERLINK("https://stackoverflow.com/q/45145338", "45145338")</f>
        <v>45145338</v>
      </c>
      <c r="B664" s="2" t="s">
        <v>706</v>
      </c>
      <c r="C664" s="3"/>
      <c r="D664" s="3">
        <v>730.0</v>
      </c>
      <c r="E664" s="2"/>
      <c r="F664" s="2"/>
      <c r="G664" s="2"/>
      <c r="H664" s="2"/>
      <c r="I664" s="2"/>
      <c r="J664" s="2"/>
    </row>
    <row r="665" ht="15.75" customHeight="1">
      <c r="A665" s="4" t="str">
        <f>HYPERLINK("https://stackoverflow.com/q/42577224", "42577224")</f>
        <v>42577224</v>
      </c>
      <c r="B665" s="2" t="s">
        <v>707</v>
      </c>
      <c r="C665" s="3"/>
      <c r="D665" s="3">
        <v>728.0</v>
      </c>
      <c r="E665" s="2"/>
      <c r="F665" s="2"/>
      <c r="G665" s="2"/>
      <c r="H665" s="2"/>
      <c r="I665" s="2"/>
      <c r="J665" s="2"/>
    </row>
    <row r="666" ht="15.75" customHeight="1">
      <c r="A666" s="4" t="str">
        <f>HYPERLINK("https://stackoverflow.com/q/47515082", "47515082")</f>
        <v>47515082</v>
      </c>
      <c r="B666" s="2" t="s">
        <v>708</v>
      </c>
      <c r="C666" s="3"/>
      <c r="D666" s="3">
        <v>726.0</v>
      </c>
      <c r="E666" s="2" t="s">
        <v>11</v>
      </c>
      <c r="F666" s="2" t="s">
        <v>14</v>
      </c>
      <c r="G666" s="2"/>
      <c r="H666" s="2"/>
      <c r="I666" s="2"/>
      <c r="J666" s="2"/>
    </row>
    <row r="667" ht="15.75" customHeight="1">
      <c r="A667" s="4" t="str">
        <f>HYPERLINK("https://stackoverflow.com/q/30487441", "30487441")</f>
        <v>30487441</v>
      </c>
      <c r="B667" s="2" t="s">
        <v>709</v>
      </c>
      <c r="C667" s="3"/>
      <c r="D667" s="3">
        <v>725.0</v>
      </c>
      <c r="E667" s="2"/>
      <c r="F667" s="2"/>
      <c r="G667" s="2"/>
      <c r="H667" s="2"/>
      <c r="I667" s="2"/>
      <c r="J667" s="2"/>
    </row>
    <row r="668" ht="15.75" customHeight="1">
      <c r="A668" s="4" t="str">
        <f>HYPERLINK("https://stackoverflow.com/q/53518737", "53518737")</f>
        <v>53518737</v>
      </c>
      <c r="B668" s="2" t="s">
        <v>710</v>
      </c>
      <c r="C668" s="3"/>
      <c r="D668" s="3">
        <v>725.0</v>
      </c>
      <c r="E668" s="2"/>
      <c r="F668" s="2"/>
      <c r="G668" s="2"/>
      <c r="H668" s="2"/>
      <c r="I668" s="2"/>
      <c r="J668" s="2"/>
    </row>
    <row r="669" ht="15.75" customHeight="1">
      <c r="A669" s="4" t="str">
        <f>HYPERLINK("https://stackoverflow.com/q/56380637", "56380637")</f>
        <v>56380637</v>
      </c>
      <c r="B669" s="2" t="s">
        <v>711</v>
      </c>
      <c r="C669" s="3">
        <v>1.0</v>
      </c>
      <c r="D669" s="3">
        <v>722.0</v>
      </c>
      <c r="E669" s="2"/>
      <c r="F669" s="2"/>
      <c r="G669" s="2"/>
      <c r="H669" s="2"/>
      <c r="I669" s="2"/>
      <c r="J669" s="2"/>
    </row>
    <row r="670" ht="15.75" customHeight="1">
      <c r="A670" s="4" t="str">
        <f>HYPERLINK("https://stackoverflow.com/q/57201832", "57201832")</f>
        <v>57201832</v>
      </c>
      <c r="B670" s="2" t="s">
        <v>712</v>
      </c>
      <c r="C670" s="3"/>
      <c r="D670" s="3">
        <v>722.0</v>
      </c>
      <c r="E670" s="2"/>
      <c r="F670" s="2"/>
      <c r="G670" s="2"/>
      <c r="H670" s="2"/>
      <c r="I670" s="2"/>
      <c r="J670" s="2"/>
    </row>
    <row r="671" ht="15.75" customHeight="1">
      <c r="A671" s="4" t="str">
        <f>HYPERLINK("https://stackoverflow.com/q/49051500", "49051500")</f>
        <v>49051500</v>
      </c>
      <c r="B671" s="2" t="s">
        <v>713</v>
      </c>
      <c r="C671" s="3"/>
      <c r="D671" s="3">
        <v>719.0</v>
      </c>
      <c r="E671" s="2"/>
      <c r="F671" s="2"/>
      <c r="G671" s="2"/>
      <c r="H671" s="2"/>
      <c r="I671" s="2"/>
      <c r="J671" s="2"/>
    </row>
    <row r="672" ht="15.75" customHeight="1">
      <c r="A672" s="4" t="str">
        <f>HYPERLINK("https://stackoverflow.com/q/33879085", "33879085")</f>
        <v>33879085</v>
      </c>
      <c r="B672" s="2" t="s">
        <v>714</v>
      </c>
      <c r="C672" s="3">
        <v>1.0</v>
      </c>
      <c r="D672" s="3">
        <v>714.0</v>
      </c>
      <c r="E672" s="2"/>
      <c r="F672" s="2"/>
      <c r="G672" s="2"/>
      <c r="H672" s="2"/>
      <c r="I672" s="2"/>
      <c r="J672" s="2"/>
    </row>
    <row r="673" ht="15.75" customHeight="1">
      <c r="A673" s="4" t="str">
        <f>HYPERLINK("https://stackoverflow.com/q/41905258", "41905258")</f>
        <v>41905258</v>
      </c>
      <c r="B673" s="2" t="s">
        <v>715</v>
      </c>
      <c r="C673" s="3"/>
      <c r="D673" s="3">
        <v>714.0</v>
      </c>
      <c r="E673" s="2" t="s">
        <v>11</v>
      </c>
      <c r="F673" s="2" t="s">
        <v>21</v>
      </c>
      <c r="G673" s="2"/>
      <c r="H673" s="2"/>
      <c r="I673" s="2"/>
      <c r="J673" s="2"/>
    </row>
    <row r="674" ht="15.75" customHeight="1">
      <c r="A674" s="4" t="str">
        <f>HYPERLINK("https://stackoverflow.com/q/46227182", "46227182")</f>
        <v>46227182</v>
      </c>
      <c r="B674" s="2" t="s">
        <v>716</v>
      </c>
      <c r="C674" s="3"/>
      <c r="D674" s="3">
        <v>714.0</v>
      </c>
      <c r="E674" s="2" t="s">
        <v>11</v>
      </c>
      <c r="F674" s="2" t="s">
        <v>30</v>
      </c>
      <c r="G674" s="2"/>
      <c r="H674" s="2"/>
      <c r="I674" s="2"/>
      <c r="J674" s="2"/>
    </row>
    <row r="675" ht="15.75" customHeight="1">
      <c r="A675" s="4" t="str">
        <f>HYPERLINK("https://stackoverflow.com/q/23554357", "23554357")</f>
        <v>23554357</v>
      </c>
      <c r="B675" s="2" t="s">
        <v>717</v>
      </c>
      <c r="C675" s="3"/>
      <c r="D675" s="3">
        <v>714.0</v>
      </c>
      <c r="E675" s="2"/>
      <c r="F675" s="2"/>
      <c r="G675" s="2"/>
      <c r="H675" s="2"/>
      <c r="I675" s="2"/>
      <c r="J675" s="2"/>
    </row>
    <row r="676" ht="15.75" customHeight="1">
      <c r="A676" s="4" t="str">
        <f>HYPERLINK("https://stackoverflow.com/q/44867066", "44867066")</f>
        <v>44867066</v>
      </c>
      <c r="B676" s="2" t="s">
        <v>718</v>
      </c>
      <c r="C676" s="3"/>
      <c r="D676" s="3">
        <v>714.0</v>
      </c>
      <c r="E676" s="2"/>
      <c r="F676" s="2"/>
      <c r="G676" s="2"/>
      <c r="H676" s="2"/>
      <c r="I676" s="2"/>
      <c r="J676" s="2"/>
    </row>
    <row r="677" ht="15.75" customHeight="1">
      <c r="A677" s="4" t="str">
        <f>HYPERLINK("https://stackoverflow.com/q/25935255", "25935255")</f>
        <v>25935255</v>
      </c>
      <c r="B677" s="2" t="s">
        <v>719</v>
      </c>
      <c r="C677" s="3"/>
      <c r="D677" s="3">
        <v>713.0</v>
      </c>
      <c r="E677" s="2"/>
      <c r="F677" s="2"/>
      <c r="G677" s="2"/>
      <c r="H677" s="2"/>
      <c r="I677" s="2"/>
      <c r="J677" s="2"/>
    </row>
    <row r="678" ht="15.75" customHeight="1">
      <c r="A678" s="4" t="str">
        <f>HYPERLINK("https://stackoverflow.com/q/41277345", "41277345")</f>
        <v>41277345</v>
      </c>
      <c r="B678" s="2" t="s">
        <v>720</v>
      </c>
      <c r="C678" s="3"/>
      <c r="D678" s="3">
        <v>713.0</v>
      </c>
      <c r="E678" s="2"/>
      <c r="F678" s="2"/>
      <c r="G678" s="2"/>
      <c r="H678" s="2"/>
      <c r="I678" s="2"/>
      <c r="J678" s="2"/>
    </row>
    <row r="679" ht="15.75" customHeight="1">
      <c r="A679" s="4" t="str">
        <f>HYPERLINK("https://stackoverflow.com/q/49550965", "49550965")</f>
        <v>49550965</v>
      </c>
      <c r="B679" s="2" t="s">
        <v>721</v>
      </c>
      <c r="C679" s="3"/>
      <c r="D679" s="3">
        <v>712.0</v>
      </c>
      <c r="E679" s="2"/>
      <c r="F679" s="2"/>
      <c r="G679" s="2"/>
      <c r="H679" s="2"/>
      <c r="I679" s="2"/>
      <c r="J679" s="2"/>
    </row>
    <row r="680" ht="15.75" customHeight="1">
      <c r="A680" s="4" t="str">
        <f>HYPERLINK("https://stackoverflow.com/q/46798235", "46798235")</f>
        <v>46798235</v>
      </c>
      <c r="B680" s="2" t="s">
        <v>722</v>
      </c>
      <c r="C680" s="3">
        <v>1.0</v>
      </c>
      <c r="D680" s="3">
        <v>711.0</v>
      </c>
      <c r="E680" s="2" t="s">
        <v>11</v>
      </c>
      <c r="F680" s="2" t="s">
        <v>14</v>
      </c>
      <c r="G680" s="2"/>
      <c r="H680" s="2"/>
      <c r="I680" s="2"/>
      <c r="J680" s="2"/>
    </row>
    <row r="681" ht="15.75" customHeight="1">
      <c r="A681" s="4" t="str">
        <f>HYPERLINK("https://stackoverflow.com/q/49956884", "49956884")</f>
        <v>49956884</v>
      </c>
      <c r="B681" s="2" t="s">
        <v>723</v>
      </c>
      <c r="C681" s="3"/>
      <c r="D681" s="3">
        <v>711.0</v>
      </c>
      <c r="E681" s="2"/>
      <c r="F681" s="2"/>
      <c r="G681" s="2"/>
      <c r="H681" s="2"/>
      <c r="I681" s="2"/>
      <c r="J681" s="2"/>
    </row>
    <row r="682" ht="15.75" customHeight="1">
      <c r="A682" s="4" t="str">
        <f>HYPERLINK("https://stackoverflow.com/q/50973150", "50973150")</f>
        <v>50973150</v>
      </c>
      <c r="B682" s="2" t="s">
        <v>724</v>
      </c>
      <c r="C682" s="3"/>
      <c r="D682" s="3">
        <v>710.0</v>
      </c>
      <c r="E682" s="2"/>
      <c r="F682" s="2"/>
      <c r="G682" s="2"/>
      <c r="H682" s="2"/>
      <c r="I682" s="2"/>
      <c r="J682" s="2"/>
    </row>
    <row r="683" ht="15.75" customHeight="1">
      <c r="A683" s="4" t="str">
        <f>HYPERLINK("https://stackoverflow.com/q/45310175", "45310175")</f>
        <v>45310175</v>
      </c>
      <c r="B683" s="2" t="s">
        <v>725</v>
      </c>
      <c r="C683" s="3"/>
      <c r="D683" s="3">
        <v>709.0</v>
      </c>
      <c r="E683" s="2"/>
      <c r="F683" s="2"/>
      <c r="G683" s="2"/>
      <c r="H683" s="2"/>
      <c r="I683" s="2"/>
      <c r="J683" s="2"/>
    </row>
    <row r="684" ht="15.75" customHeight="1">
      <c r="A684" s="4" t="str">
        <f>HYPERLINK("https://stackoverflow.com/q/49920361", "49920361")</f>
        <v>49920361</v>
      </c>
      <c r="B684" s="2" t="s">
        <v>726</v>
      </c>
      <c r="C684" s="3"/>
      <c r="D684" s="3">
        <v>709.0</v>
      </c>
      <c r="E684" s="2"/>
      <c r="F684" s="2"/>
      <c r="G684" s="2"/>
      <c r="H684" s="2"/>
      <c r="I684" s="2"/>
      <c r="J684" s="2"/>
    </row>
    <row r="685" ht="15.75" customHeight="1">
      <c r="A685" s="4" t="str">
        <f>HYPERLINK("https://stackoverflow.com/q/45336337", "45336337")</f>
        <v>45336337</v>
      </c>
      <c r="B685" s="2" t="s">
        <v>727</v>
      </c>
      <c r="C685" s="3"/>
      <c r="D685" s="3">
        <v>708.0</v>
      </c>
      <c r="E685" s="2"/>
      <c r="F685" s="2"/>
      <c r="G685" s="2"/>
      <c r="H685" s="2"/>
      <c r="I685" s="2"/>
      <c r="J685" s="2"/>
    </row>
    <row r="686" ht="15.75" customHeight="1">
      <c r="A686" s="4" t="str">
        <f>HYPERLINK("https://stackoverflow.com/q/39566021", "39566021")</f>
        <v>39566021</v>
      </c>
      <c r="B686" s="2" t="s">
        <v>728</v>
      </c>
      <c r="C686" s="3"/>
      <c r="D686" s="3">
        <v>704.0</v>
      </c>
      <c r="E686" s="2"/>
      <c r="F686" s="2"/>
      <c r="G686" s="2"/>
      <c r="H686" s="2"/>
      <c r="I686" s="2"/>
      <c r="J686" s="2"/>
    </row>
    <row r="687" ht="15.75" customHeight="1">
      <c r="A687" s="4" t="str">
        <f>HYPERLINK("https://stackoverflow.com/q/45802802", "45802802")</f>
        <v>45802802</v>
      </c>
      <c r="B687" s="2" t="s">
        <v>729</v>
      </c>
      <c r="C687" s="3"/>
      <c r="D687" s="3">
        <v>704.0</v>
      </c>
      <c r="E687" s="2"/>
      <c r="F687" s="2"/>
      <c r="G687" s="2"/>
      <c r="H687" s="2"/>
      <c r="I687" s="2"/>
      <c r="J687" s="2"/>
    </row>
    <row r="688" ht="15.75" customHeight="1">
      <c r="A688" s="4" t="str">
        <f>HYPERLINK("https://stackoverflow.com/q/45288895", "45288895")</f>
        <v>45288895</v>
      </c>
      <c r="B688" s="2" t="s">
        <v>730</v>
      </c>
      <c r="C688" s="3"/>
      <c r="D688" s="3">
        <v>702.0</v>
      </c>
      <c r="E688" s="2"/>
      <c r="F688" s="2"/>
      <c r="G688" s="2"/>
      <c r="H688" s="2"/>
      <c r="I688" s="2"/>
      <c r="J688" s="2"/>
    </row>
    <row r="689" ht="15.75" customHeight="1">
      <c r="A689" s="4" t="str">
        <f>HYPERLINK("https://stackoverflow.com/q/56080699", "56080699")</f>
        <v>56080699</v>
      </c>
      <c r="B689" s="2" t="s">
        <v>731</v>
      </c>
      <c r="C689" s="3"/>
      <c r="D689" s="3">
        <v>702.0</v>
      </c>
      <c r="E689" s="2"/>
      <c r="F689" s="2"/>
      <c r="G689" s="2"/>
      <c r="H689" s="2"/>
      <c r="I689" s="2"/>
      <c r="J689" s="2"/>
    </row>
    <row r="690" ht="15.75" customHeight="1">
      <c r="A690" s="4" t="str">
        <f>HYPERLINK("https://stackoverflow.com/q/51545104", "51545104")</f>
        <v>51545104</v>
      </c>
      <c r="B690" s="2" t="s">
        <v>732</v>
      </c>
      <c r="C690" s="3">
        <v>2.0</v>
      </c>
      <c r="D690" s="3">
        <v>700.0</v>
      </c>
      <c r="E690" s="2"/>
      <c r="F690" s="2"/>
      <c r="G690" s="2"/>
      <c r="H690" s="2"/>
      <c r="I690" s="2"/>
      <c r="J690" s="2"/>
    </row>
    <row r="691" ht="15.75" customHeight="1">
      <c r="A691" s="4" t="str">
        <f>HYPERLINK("https://stackoverflow.com/q/50247924", "50247924")</f>
        <v>50247924</v>
      </c>
      <c r="B691" s="2" t="s">
        <v>733</v>
      </c>
      <c r="C691" s="3">
        <v>1.0</v>
      </c>
      <c r="D691" s="3">
        <v>700.0</v>
      </c>
      <c r="E691" s="2"/>
      <c r="F691" s="2"/>
      <c r="G691" s="2"/>
      <c r="H691" s="2"/>
      <c r="I691" s="2"/>
      <c r="J691" s="2"/>
    </row>
    <row r="692" ht="15.75" customHeight="1">
      <c r="A692" s="4" t="str">
        <f>HYPERLINK("https://stackoverflow.com/q/31482020", "31482020")</f>
        <v>31482020</v>
      </c>
      <c r="B692" s="2" t="s">
        <v>734</v>
      </c>
      <c r="C692" s="3">
        <v>1.0</v>
      </c>
      <c r="D692" s="3">
        <v>699.0</v>
      </c>
      <c r="E692" s="2"/>
      <c r="F692" s="2"/>
      <c r="G692" s="2"/>
      <c r="H692" s="2"/>
      <c r="I692" s="2"/>
      <c r="J692" s="2"/>
    </row>
    <row r="693" ht="15.75" customHeight="1">
      <c r="A693" s="4" t="str">
        <f>HYPERLINK("https://stackoverflow.com/q/39590785", "39590785")</f>
        <v>39590785</v>
      </c>
      <c r="B693" s="2" t="s">
        <v>735</v>
      </c>
      <c r="C693" s="3">
        <v>1.0</v>
      </c>
      <c r="D693" s="3">
        <v>699.0</v>
      </c>
      <c r="E693" s="2"/>
      <c r="F693" s="2"/>
      <c r="G693" s="2"/>
      <c r="H693" s="2"/>
      <c r="I693" s="2"/>
      <c r="J693" s="2"/>
    </row>
    <row r="694" ht="15.75" customHeight="1">
      <c r="A694" s="4" t="str">
        <f>HYPERLINK("https://stackoverflow.com/q/54520497", "54520497")</f>
        <v>54520497</v>
      </c>
      <c r="B694" s="2" t="s">
        <v>736</v>
      </c>
      <c r="C694" s="3"/>
      <c r="D694" s="3">
        <v>699.0</v>
      </c>
      <c r="E694" s="9" t="s">
        <v>11</v>
      </c>
      <c r="F694" s="2" t="s">
        <v>18</v>
      </c>
      <c r="G694" s="2"/>
      <c r="H694" s="2"/>
      <c r="I694" s="2"/>
      <c r="J694" s="2"/>
    </row>
    <row r="695" ht="15.75" customHeight="1">
      <c r="A695" s="4" t="str">
        <f>HYPERLINK("https://stackoverflow.com/q/29395319", "29395319")</f>
        <v>29395319</v>
      </c>
      <c r="B695" s="2" t="s">
        <v>737</v>
      </c>
      <c r="C695" s="3"/>
      <c r="D695" s="3">
        <v>699.0</v>
      </c>
      <c r="E695" s="2"/>
      <c r="F695" s="2"/>
      <c r="G695" s="2"/>
      <c r="H695" s="2"/>
      <c r="I695" s="2"/>
      <c r="J695" s="2"/>
    </row>
    <row r="696" ht="15.75" customHeight="1">
      <c r="A696" s="4" t="str">
        <f>HYPERLINK("https://stackoverflow.com/q/20770100", "20770100")</f>
        <v>20770100</v>
      </c>
      <c r="B696" s="2" t="s">
        <v>738</v>
      </c>
      <c r="C696" s="3"/>
      <c r="D696" s="3">
        <v>696.0</v>
      </c>
      <c r="E696" s="2"/>
      <c r="F696" s="2"/>
      <c r="G696" s="2"/>
      <c r="H696" s="2"/>
      <c r="I696" s="2"/>
      <c r="J696" s="2"/>
    </row>
    <row r="697" ht="15.75" customHeight="1">
      <c r="A697" s="4" t="str">
        <f>HYPERLINK("https://stackoverflow.com/q/26585466", "26585466")</f>
        <v>26585466</v>
      </c>
      <c r="B697" s="2" t="s">
        <v>739</v>
      </c>
      <c r="C697" s="3">
        <v>1.0</v>
      </c>
      <c r="D697" s="3">
        <v>693.0</v>
      </c>
      <c r="E697" s="2"/>
      <c r="F697" s="2"/>
      <c r="G697" s="2"/>
      <c r="H697" s="2"/>
      <c r="I697" s="2"/>
      <c r="J697" s="2"/>
    </row>
    <row r="698" ht="15.75" customHeight="1">
      <c r="A698" s="4" t="str">
        <f>HYPERLINK("https://stackoverflow.com/q/43157336", "43157336")</f>
        <v>43157336</v>
      </c>
      <c r="B698" s="2" t="s">
        <v>740</v>
      </c>
      <c r="C698" s="3">
        <v>1.0</v>
      </c>
      <c r="D698" s="3">
        <v>690.0</v>
      </c>
      <c r="E698" s="2"/>
      <c r="F698" s="2" t="s">
        <v>23</v>
      </c>
      <c r="G698" s="2"/>
      <c r="H698" s="2"/>
      <c r="I698" s="2"/>
      <c r="J698" s="2"/>
    </row>
    <row r="699" ht="15.75" customHeight="1">
      <c r="A699" s="4" t="str">
        <f>HYPERLINK("https://stackoverflow.com/q/52805378", "52805378")</f>
        <v>52805378</v>
      </c>
      <c r="B699" s="2" t="s">
        <v>741</v>
      </c>
      <c r="C699" s="3"/>
      <c r="D699" s="3">
        <v>689.0</v>
      </c>
      <c r="E699" s="2"/>
      <c r="F699" s="2"/>
      <c r="G699" s="2"/>
      <c r="H699" s="2"/>
      <c r="I699" s="2"/>
      <c r="J699" s="2"/>
    </row>
    <row r="700" ht="15.75" customHeight="1">
      <c r="A700" s="4" t="str">
        <f>HYPERLINK("https://stackoverflow.com/q/47293778", "47293778")</f>
        <v>47293778</v>
      </c>
      <c r="B700" s="2" t="s">
        <v>742</v>
      </c>
      <c r="C700" s="3">
        <v>4.0</v>
      </c>
      <c r="D700" s="3">
        <v>688.0</v>
      </c>
      <c r="E700" s="2" t="s">
        <v>11</v>
      </c>
      <c r="F700" s="2" t="s">
        <v>44</v>
      </c>
      <c r="G700" s="2"/>
      <c r="H700" s="2"/>
      <c r="I700" s="2"/>
      <c r="J700" s="2"/>
    </row>
    <row r="701" ht="15.75" customHeight="1">
      <c r="A701" s="4" t="str">
        <f>HYPERLINK("https://stackoverflow.com/q/45751896", "45751896")</f>
        <v>45751896</v>
      </c>
      <c r="B701" s="2" t="s">
        <v>743</v>
      </c>
      <c r="C701" s="3"/>
      <c r="D701" s="3">
        <v>688.0</v>
      </c>
      <c r="E701" s="2"/>
      <c r="F701" s="2"/>
      <c r="G701" s="2"/>
      <c r="H701" s="2"/>
      <c r="I701" s="2"/>
      <c r="J701" s="2"/>
    </row>
    <row r="702" ht="15.75" customHeight="1">
      <c r="A702" s="4" t="str">
        <f>HYPERLINK("https://stackoverflow.com/q/43860901", "43860901")</f>
        <v>43860901</v>
      </c>
      <c r="B702" s="2" t="s">
        <v>744</v>
      </c>
      <c r="C702" s="3">
        <v>1.0</v>
      </c>
      <c r="D702" s="3">
        <v>687.0</v>
      </c>
      <c r="E702" s="2" t="s">
        <v>11</v>
      </c>
      <c r="F702" s="2" t="s">
        <v>56</v>
      </c>
      <c r="G702" s="2"/>
      <c r="H702" s="2"/>
      <c r="I702" s="2"/>
      <c r="J702" s="2"/>
    </row>
    <row r="703" ht="15.75" customHeight="1">
      <c r="A703" s="4" t="str">
        <f>HYPERLINK("https://stackoverflow.com/q/12087385", "12087385")</f>
        <v>12087385</v>
      </c>
      <c r="B703" s="2" t="s">
        <v>745</v>
      </c>
      <c r="C703" s="3"/>
      <c r="D703" s="3">
        <v>686.0</v>
      </c>
      <c r="E703" s="2"/>
      <c r="F703" s="2"/>
      <c r="G703" s="2"/>
      <c r="H703" s="2"/>
      <c r="I703" s="2"/>
      <c r="J703" s="2"/>
    </row>
    <row r="704" ht="15.75" customHeight="1">
      <c r="A704" s="4" t="str">
        <f>HYPERLINK("https://stackoverflow.com/q/54477736", "54477736")</f>
        <v>54477736</v>
      </c>
      <c r="B704" s="2" t="s">
        <v>746</v>
      </c>
      <c r="C704" s="3">
        <v>1.0</v>
      </c>
      <c r="D704" s="3">
        <v>685.0</v>
      </c>
      <c r="E704" s="2" t="s">
        <v>11</v>
      </c>
      <c r="F704" s="2" t="s">
        <v>30</v>
      </c>
      <c r="G704" s="2"/>
      <c r="H704" s="2"/>
      <c r="I704" s="2"/>
      <c r="J704" s="2"/>
    </row>
    <row r="705" ht="15.75" customHeight="1">
      <c r="A705" s="4" t="str">
        <f>HYPERLINK("https://stackoverflow.com/q/10042002", "10042002")</f>
        <v>10042002</v>
      </c>
      <c r="B705" s="2" t="s">
        <v>747</v>
      </c>
      <c r="C705" s="3"/>
      <c r="D705" s="3">
        <v>684.0</v>
      </c>
      <c r="E705" s="2"/>
      <c r="F705" s="2"/>
      <c r="G705" s="2"/>
      <c r="H705" s="2"/>
      <c r="I705" s="2"/>
      <c r="J705" s="2"/>
    </row>
    <row r="706" ht="15.75" customHeight="1">
      <c r="A706" s="4" t="str">
        <f>HYPERLINK("https://stackoverflow.com/q/45425713", "45425713")</f>
        <v>45425713</v>
      </c>
      <c r="B706" s="2" t="s">
        <v>748</v>
      </c>
      <c r="C706" s="3"/>
      <c r="D706" s="3">
        <v>681.0</v>
      </c>
      <c r="E706" s="2"/>
      <c r="F706" s="2"/>
      <c r="G706" s="2"/>
      <c r="H706" s="2"/>
      <c r="I706" s="2"/>
      <c r="J706" s="2"/>
    </row>
    <row r="707" ht="15.75" customHeight="1">
      <c r="A707" s="4" t="str">
        <f>HYPERLINK("https://stackoverflow.com/q/49146043", "49146043")</f>
        <v>49146043</v>
      </c>
      <c r="B707" s="2" t="s">
        <v>749</v>
      </c>
      <c r="C707" s="3">
        <v>2.0</v>
      </c>
      <c r="D707" s="3">
        <v>680.0</v>
      </c>
      <c r="E707" s="2"/>
      <c r="F707" s="2"/>
      <c r="G707" s="2"/>
      <c r="H707" s="2"/>
      <c r="I707" s="2"/>
      <c r="J707" s="2"/>
    </row>
    <row r="708" ht="15.75" customHeight="1">
      <c r="A708" s="4" t="str">
        <f>HYPERLINK("https://stackoverflow.com/q/58116800", "58116800")</f>
        <v>58116800</v>
      </c>
      <c r="B708" s="2" t="s">
        <v>750</v>
      </c>
      <c r="C708" s="3"/>
      <c r="D708" s="3">
        <v>678.0</v>
      </c>
      <c r="E708" s="2"/>
      <c r="F708" s="2"/>
      <c r="G708" s="2"/>
      <c r="H708" s="2"/>
      <c r="I708" s="2"/>
      <c r="J708" s="2"/>
    </row>
    <row r="709" ht="15.75" customHeight="1">
      <c r="A709" s="4" t="str">
        <f>HYPERLINK("https://stackoverflow.com/q/33616877", "33616877")</f>
        <v>33616877</v>
      </c>
      <c r="B709" s="2" t="s">
        <v>751</v>
      </c>
      <c r="C709" s="3"/>
      <c r="D709" s="3">
        <v>676.0</v>
      </c>
      <c r="E709" s="2"/>
      <c r="F709" s="2"/>
      <c r="G709" s="2"/>
      <c r="H709" s="2"/>
      <c r="I709" s="2"/>
      <c r="J709" s="2"/>
    </row>
    <row r="710" ht="15.75" customHeight="1">
      <c r="A710" s="4" t="str">
        <f>HYPERLINK("https://stackoverflow.com/q/44813180", "44813180")</f>
        <v>44813180</v>
      </c>
      <c r="B710" s="2" t="s">
        <v>752</v>
      </c>
      <c r="C710" s="3"/>
      <c r="D710" s="3">
        <v>676.0</v>
      </c>
      <c r="E710" s="2"/>
      <c r="F710" s="2"/>
      <c r="G710" s="2"/>
      <c r="H710" s="2"/>
      <c r="I710" s="2"/>
      <c r="J710" s="2"/>
    </row>
    <row r="711" ht="15.75" customHeight="1">
      <c r="A711" s="4" t="str">
        <f>HYPERLINK("https://stackoverflow.com/q/37973949", "37973949")</f>
        <v>37973949</v>
      </c>
      <c r="B711" s="2" t="s">
        <v>753</v>
      </c>
      <c r="C711" s="3"/>
      <c r="D711" s="3">
        <v>673.0</v>
      </c>
      <c r="E711" s="2"/>
      <c r="F711" s="2"/>
      <c r="G711" s="2"/>
      <c r="H711" s="2"/>
      <c r="I711" s="2"/>
      <c r="J711" s="2"/>
    </row>
    <row r="712" ht="15.75" customHeight="1">
      <c r="A712" s="4" t="str">
        <f>HYPERLINK("https://stackoverflow.com/q/47236477", "47236477")</f>
        <v>47236477</v>
      </c>
      <c r="B712" s="2" t="s">
        <v>754</v>
      </c>
      <c r="C712" s="3"/>
      <c r="D712" s="3">
        <v>672.0</v>
      </c>
      <c r="E712" s="2" t="s">
        <v>11</v>
      </c>
      <c r="F712" s="2" t="s">
        <v>35</v>
      </c>
      <c r="G712" s="2"/>
      <c r="H712" s="2"/>
      <c r="I712" s="2"/>
      <c r="J712" s="2"/>
    </row>
    <row r="713" ht="15.75" customHeight="1">
      <c r="A713" s="4" t="str">
        <f>HYPERLINK("https://stackoverflow.com/q/28610006", "28610006")</f>
        <v>28610006</v>
      </c>
      <c r="B713" s="2" t="s">
        <v>755</v>
      </c>
      <c r="C713" s="3"/>
      <c r="D713" s="3">
        <v>671.0</v>
      </c>
      <c r="E713" s="2"/>
      <c r="F713" s="2"/>
      <c r="G713" s="2"/>
      <c r="H713" s="2"/>
      <c r="I713" s="2"/>
      <c r="J713" s="2"/>
    </row>
    <row r="714" ht="15.75" customHeight="1">
      <c r="A714" s="4" t="str">
        <f>HYPERLINK("https://stackoverflow.com/q/46882235", "46882235")</f>
        <v>46882235</v>
      </c>
      <c r="B714" s="2" t="s">
        <v>756</v>
      </c>
      <c r="C714" s="3">
        <v>1.0</v>
      </c>
      <c r="D714" s="3">
        <v>669.0</v>
      </c>
      <c r="E714" s="2" t="s">
        <v>11</v>
      </c>
      <c r="F714" s="2" t="s">
        <v>14</v>
      </c>
      <c r="G714" s="2"/>
      <c r="H714" s="2"/>
      <c r="I714" s="2"/>
      <c r="J714" s="2"/>
    </row>
    <row r="715" ht="15.75" customHeight="1">
      <c r="A715" s="4" t="str">
        <f>HYPERLINK("https://stackoverflow.com/q/47296300", "47296300")</f>
        <v>47296300</v>
      </c>
      <c r="B715" s="2" t="s">
        <v>757</v>
      </c>
      <c r="C715" s="3">
        <v>1.0</v>
      </c>
      <c r="D715" s="3">
        <v>669.0</v>
      </c>
      <c r="E715" s="2" t="s">
        <v>11</v>
      </c>
      <c r="F715" s="2" t="s">
        <v>25</v>
      </c>
      <c r="G715" s="2"/>
      <c r="H715" s="2"/>
      <c r="I715" s="2"/>
      <c r="J715" s="2"/>
    </row>
    <row r="716" ht="15.75" customHeight="1">
      <c r="A716" s="4" t="str">
        <f>HYPERLINK("https://stackoverflow.com/q/12382382", "12382382")</f>
        <v>12382382</v>
      </c>
      <c r="B716" s="2" t="s">
        <v>758</v>
      </c>
      <c r="C716" s="3"/>
      <c r="D716" s="3">
        <v>668.0</v>
      </c>
      <c r="E716" s="2"/>
      <c r="F716" s="2"/>
      <c r="G716" s="2"/>
      <c r="H716" s="2"/>
      <c r="I716" s="2"/>
      <c r="J716" s="2"/>
    </row>
    <row r="717" ht="15.75" customHeight="1">
      <c r="A717" s="4" t="str">
        <f>HYPERLINK("https://stackoverflow.com/q/56586268", "56586268")</f>
        <v>56586268</v>
      </c>
      <c r="B717" s="2" t="s">
        <v>759</v>
      </c>
      <c r="C717" s="3"/>
      <c r="D717" s="3">
        <v>668.0</v>
      </c>
      <c r="E717" s="2"/>
      <c r="F717" s="2"/>
      <c r="G717" s="2"/>
      <c r="H717" s="2"/>
      <c r="I717" s="2"/>
      <c r="J717" s="2"/>
    </row>
    <row r="718" ht="15.75" customHeight="1">
      <c r="A718" s="4" t="str">
        <f>HYPERLINK("https://stackoverflow.com/q/43642384", "43642384")</f>
        <v>43642384</v>
      </c>
      <c r="B718" s="2" t="s">
        <v>760</v>
      </c>
      <c r="C718" s="3"/>
      <c r="D718" s="3">
        <v>666.0</v>
      </c>
      <c r="E718" s="2" t="s">
        <v>59</v>
      </c>
      <c r="F718" s="2" t="s">
        <v>28</v>
      </c>
      <c r="G718" s="2"/>
      <c r="H718" s="2"/>
      <c r="I718" s="2"/>
      <c r="J718" s="2"/>
    </row>
    <row r="719" ht="15.75" customHeight="1">
      <c r="A719" s="4" t="str">
        <f>HYPERLINK("https://stackoverflow.com/q/47107774", "47107774")</f>
        <v>47107774</v>
      </c>
      <c r="B719" s="2" t="s">
        <v>761</v>
      </c>
      <c r="C719" s="3"/>
      <c r="D719" s="3">
        <v>666.0</v>
      </c>
      <c r="E719" s="2" t="s">
        <v>11</v>
      </c>
      <c r="F719" s="2" t="s">
        <v>12</v>
      </c>
      <c r="G719" s="2"/>
      <c r="H719" s="2"/>
      <c r="I719" s="2"/>
      <c r="J719" s="2"/>
    </row>
    <row r="720" ht="15.75" customHeight="1">
      <c r="A720" s="4" t="str">
        <f>HYPERLINK("https://stackoverflow.com/q/56722062", "56722062")</f>
        <v>56722062</v>
      </c>
      <c r="B720" s="2" t="s">
        <v>762</v>
      </c>
      <c r="C720" s="3"/>
      <c r="D720" s="3">
        <v>664.0</v>
      </c>
      <c r="E720" s="2"/>
      <c r="F720" s="2"/>
      <c r="G720" s="2"/>
      <c r="H720" s="2"/>
      <c r="I720" s="2"/>
      <c r="J720" s="2"/>
    </row>
    <row r="721" ht="15.75" customHeight="1">
      <c r="A721" s="4" t="str">
        <f>HYPERLINK("https://stackoverflow.com/q/47178968", "47178968")</f>
        <v>47178968</v>
      </c>
      <c r="B721" s="2" t="s">
        <v>763</v>
      </c>
      <c r="C721" s="3"/>
      <c r="D721" s="3">
        <v>662.0</v>
      </c>
      <c r="E721" s="2" t="s">
        <v>11</v>
      </c>
      <c r="F721" s="2" t="s">
        <v>25</v>
      </c>
      <c r="G721" s="2"/>
      <c r="H721" s="2"/>
      <c r="I721" s="2"/>
      <c r="J721" s="2"/>
    </row>
    <row r="722" ht="15.75" customHeight="1">
      <c r="A722" s="4" t="str">
        <f>HYPERLINK("https://stackoverflow.com/q/36402477", "36402477")</f>
        <v>36402477</v>
      </c>
      <c r="B722" s="2" t="s">
        <v>764</v>
      </c>
      <c r="C722" s="3"/>
      <c r="D722" s="3">
        <v>662.0</v>
      </c>
      <c r="E722" s="2"/>
      <c r="F722" s="2"/>
      <c r="G722" s="2"/>
      <c r="H722" s="2"/>
      <c r="I722" s="2"/>
      <c r="J722" s="2"/>
    </row>
    <row r="723" ht="15.75" customHeight="1">
      <c r="A723" s="4" t="str">
        <f>HYPERLINK("https://stackoverflow.com/q/24064506", "24064506")</f>
        <v>24064506</v>
      </c>
      <c r="B723" s="2" t="s">
        <v>765</v>
      </c>
      <c r="C723" s="3"/>
      <c r="D723" s="3">
        <v>660.0</v>
      </c>
      <c r="E723" s="2"/>
      <c r="F723" s="2"/>
      <c r="G723" s="2"/>
      <c r="H723" s="2"/>
      <c r="I723" s="2"/>
      <c r="J723" s="2"/>
    </row>
    <row r="724" ht="15.75" customHeight="1">
      <c r="A724" s="4" t="str">
        <f>HYPERLINK("https://stackoverflow.com/q/49488781", "49488781")</f>
        <v>49488781</v>
      </c>
      <c r="B724" s="2" t="s">
        <v>766</v>
      </c>
      <c r="C724" s="3"/>
      <c r="D724" s="3">
        <v>660.0</v>
      </c>
      <c r="E724" s="2"/>
      <c r="F724" s="2"/>
      <c r="G724" s="2"/>
      <c r="H724" s="2"/>
      <c r="I724" s="2"/>
      <c r="J724" s="2"/>
    </row>
    <row r="725" ht="15.75" customHeight="1">
      <c r="A725" s="4" t="str">
        <f>HYPERLINK("https://stackoverflow.com/q/31838489", "31838489")</f>
        <v>31838489</v>
      </c>
      <c r="B725" s="2" t="s">
        <v>767</v>
      </c>
      <c r="C725" s="3"/>
      <c r="D725" s="3">
        <v>659.0</v>
      </c>
      <c r="E725" s="2"/>
      <c r="F725" s="2"/>
      <c r="G725" s="2"/>
      <c r="H725" s="2"/>
      <c r="I725" s="2"/>
      <c r="J725" s="2"/>
    </row>
    <row r="726" ht="15.75" customHeight="1">
      <c r="A726" s="4" t="str">
        <f>HYPERLINK("https://stackoverflow.com/q/34445962", "34445962")</f>
        <v>34445962</v>
      </c>
      <c r="B726" s="2" t="s">
        <v>768</v>
      </c>
      <c r="C726" s="3"/>
      <c r="D726" s="3">
        <v>659.0</v>
      </c>
      <c r="E726" s="2"/>
      <c r="F726" s="2"/>
      <c r="G726" s="2"/>
      <c r="H726" s="2"/>
      <c r="I726" s="2"/>
      <c r="J726" s="2"/>
    </row>
    <row r="727" ht="15.75" customHeight="1">
      <c r="A727" s="4" t="str">
        <f>HYPERLINK("https://stackoverflow.com/q/54604041", "54604041")</f>
        <v>54604041</v>
      </c>
      <c r="B727" s="2" t="s">
        <v>769</v>
      </c>
      <c r="C727" s="3"/>
      <c r="D727" s="3">
        <v>658.0</v>
      </c>
      <c r="E727" s="2" t="s">
        <v>11</v>
      </c>
      <c r="F727" s="2" t="s">
        <v>67</v>
      </c>
      <c r="G727" s="2"/>
      <c r="H727" s="2"/>
      <c r="I727" s="2"/>
      <c r="J727" s="2"/>
    </row>
    <row r="728" ht="15.75" customHeight="1">
      <c r="A728" s="4" t="str">
        <f>HYPERLINK("https://stackoverflow.com/q/48891615", "48891615")</f>
        <v>48891615</v>
      </c>
      <c r="B728" s="2" t="s">
        <v>770</v>
      </c>
      <c r="C728" s="3"/>
      <c r="D728" s="3">
        <v>658.0</v>
      </c>
      <c r="E728" s="2"/>
      <c r="F728" s="2"/>
      <c r="G728" s="2"/>
      <c r="H728" s="2"/>
      <c r="I728" s="2"/>
      <c r="J728" s="2"/>
    </row>
    <row r="729" ht="15.75" customHeight="1">
      <c r="A729" s="4" t="str">
        <f>HYPERLINK("https://stackoverflow.com/q/45963371", "45963371")</f>
        <v>45963371</v>
      </c>
      <c r="B729" s="2" t="s">
        <v>771</v>
      </c>
      <c r="C729" s="3"/>
      <c r="D729" s="3">
        <v>655.0</v>
      </c>
      <c r="E729" s="2"/>
      <c r="F729" s="2"/>
      <c r="G729" s="2"/>
      <c r="H729" s="2"/>
      <c r="I729" s="2"/>
      <c r="J729" s="2"/>
    </row>
    <row r="730" ht="15.75" customHeight="1">
      <c r="A730" s="4" t="str">
        <f>HYPERLINK("https://stackoverflow.com/q/40461083", "40461083")</f>
        <v>40461083</v>
      </c>
      <c r="B730" s="2" t="s">
        <v>772</v>
      </c>
      <c r="C730" s="3"/>
      <c r="D730" s="3">
        <v>654.0</v>
      </c>
      <c r="E730" s="2"/>
      <c r="F730" s="2"/>
      <c r="G730" s="2"/>
      <c r="H730" s="2"/>
      <c r="I730" s="2"/>
      <c r="J730" s="2"/>
    </row>
    <row r="731" ht="15.75" customHeight="1">
      <c r="A731" s="4" t="str">
        <f>HYPERLINK("https://stackoverflow.com/q/45245708", "45245708")</f>
        <v>45245708</v>
      </c>
      <c r="B731" s="2" t="s">
        <v>773</v>
      </c>
      <c r="C731" s="3"/>
      <c r="D731" s="3">
        <v>654.0</v>
      </c>
      <c r="E731" s="2"/>
      <c r="F731" s="2"/>
      <c r="G731" s="2"/>
      <c r="H731" s="2"/>
      <c r="I731" s="2"/>
      <c r="J731" s="2"/>
    </row>
    <row r="732" ht="15.75" customHeight="1">
      <c r="A732" s="4" t="str">
        <f>HYPERLINK("https://stackoverflow.com/q/55835640", "55835640")</f>
        <v>55835640</v>
      </c>
      <c r="B732" s="2" t="s">
        <v>774</v>
      </c>
      <c r="C732" s="3"/>
      <c r="D732" s="3">
        <v>654.0</v>
      </c>
      <c r="E732" s="2"/>
      <c r="F732" s="2"/>
      <c r="G732" s="2"/>
      <c r="H732" s="2"/>
      <c r="I732" s="2"/>
      <c r="J732" s="2"/>
    </row>
    <row r="733" ht="15.75" customHeight="1">
      <c r="A733" s="4" t="str">
        <f>HYPERLINK("https://stackoverflow.com/q/57594014", "57594014")</f>
        <v>57594014</v>
      </c>
      <c r="B733" s="2" t="s">
        <v>775</v>
      </c>
      <c r="C733" s="3"/>
      <c r="D733" s="3">
        <v>654.0</v>
      </c>
      <c r="E733" s="2"/>
      <c r="F733" s="2"/>
      <c r="G733" s="2"/>
      <c r="H733" s="2"/>
      <c r="I733" s="2"/>
      <c r="J733" s="2"/>
    </row>
    <row r="734" ht="15.75" customHeight="1">
      <c r="A734" s="4" t="str">
        <f>HYPERLINK("https://stackoverflow.com/q/50470391", "50470391")</f>
        <v>50470391</v>
      </c>
      <c r="B734" s="2" t="s">
        <v>776</v>
      </c>
      <c r="C734" s="3"/>
      <c r="D734" s="3">
        <v>650.0</v>
      </c>
      <c r="E734" s="2"/>
      <c r="F734" s="2"/>
      <c r="G734" s="2"/>
      <c r="H734" s="2"/>
      <c r="I734" s="2"/>
      <c r="J734" s="2"/>
    </row>
    <row r="735" ht="15.75" customHeight="1">
      <c r="A735" s="4" t="str">
        <f>HYPERLINK("https://stackoverflow.com/q/51603118", "51603118")</f>
        <v>51603118</v>
      </c>
      <c r="B735" s="2" t="s">
        <v>777</v>
      </c>
      <c r="C735" s="3"/>
      <c r="D735" s="3">
        <v>650.0</v>
      </c>
      <c r="E735" s="2"/>
      <c r="F735" s="2"/>
      <c r="G735" s="2"/>
      <c r="H735" s="2"/>
      <c r="I735" s="2"/>
      <c r="J735" s="2"/>
    </row>
    <row r="736" ht="15.75" customHeight="1">
      <c r="A736" s="4" t="str">
        <f>HYPERLINK("https://stackoverflow.com/q/38071825", "38071825")</f>
        <v>38071825</v>
      </c>
      <c r="B736" s="2" t="s">
        <v>778</v>
      </c>
      <c r="C736" s="3"/>
      <c r="D736" s="3">
        <v>648.0</v>
      </c>
      <c r="E736" s="2"/>
      <c r="F736" s="2"/>
      <c r="G736" s="2"/>
      <c r="H736" s="2"/>
      <c r="I736" s="2"/>
      <c r="J736" s="2"/>
    </row>
    <row r="737" ht="15.75" customHeight="1">
      <c r="A737" s="4" t="str">
        <f>HYPERLINK("https://stackoverflow.com/q/38233602", "38233602")</f>
        <v>38233602</v>
      </c>
      <c r="B737" s="2" t="s">
        <v>779</v>
      </c>
      <c r="C737" s="3"/>
      <c r="D737" s="3">
        <v>648.0</v>
      </c>
      <c r="E737" s="2"/>
      <c r="F737" s="2"/>
      <c r="G737" s="2"/>
      <c r="H737" s="2"/>
      <c r="I737" s="2"/>
      <c r="J737" s="2"/>
    </row>
    <row r="738" ht="15.75" customHeight="1">
      <c r="A738" s="4" t="str">
        <f>HYPERLINK("https://stackoverflow.com/q/22064716", "22064716")</f>
        <v>22064716</v>
      </c>
      <c r="B738" s="2" t="s">
        <v>780</v>
      </c>
      <c r="C738" s="3"/>
      <c r="D738" s="3">
        <v>647.0</v>
      </c>
      <c r="E738" s="2"/>
      <c r="F738" s="2"/>
      <c r="G738" s="2"/>
      <c r="H738" s="2"/>
      <c r="I738" s="2"/>
      <c r="J738" s="2"/>
    </row>
    <row r="739" ht="15.75" customHeight="1">
      <c r="A739" s="4" t="str">
        <f>HYPERLINK("https://stackoverflow.com/q/52534581", "52534581")</f>
        <v>52534581</v>
      </c>
      <c r="B739" s="2" t="s">
        <v>781</v>
      </c>
      <c r="C739" s="3"/>
      <c r="D739" s="3">
        <v>647.0</v>
      </c>
      <c r="E739" s="2"/>
      <c r="F739" s="2"/>
      <c r="G739" s="2"/>
      <c r="H739" s="2"/>
      <c r="I739" s="2"/>
      <c r="J739" s="2"/>
    </row>
    <row r="740" ht="15.75" customHeight="1">
      <c r="A740" s="4" t="str">
        <f>HYPERLINK("https://stackoverflow.com/q/45177765", "45177765")</f>
        <v>45177765</v>
      </c>
      <c r="B740" s="2" t="s">
        <v>782</v>
      </c>
      <c r="C740" s="3"/>
      <c r="D740" s="3">
        <v>645.0</v>
      </c>
      <c r="E740" s="2"/>
      <c r="F740" s="2"/>
      <c r="G740" s="2"/>
      <c r="H740" s="2"/>
      <c r="I740" s="2"/>
      <c r="J740" s="2"/>
    </row>
    <row r="741" ht="15.75" customHeight="1">
      <c r="A741" s="4" t="str">
        <f>HYPERLINK("https://stackoverflow.com/q/55745397", "55745397")</f>
        <v>55745397</v>
      </c>
      <c r="B741" s="2" t="s">
        <v>783</v>
      </c>
      <c r="C741" s="3"/>
      <c r="D741" s="3">
        <v>645.0</v>
      </c>
      <c r="E741" s="2"/>
      <c r="F741" s="2"/>
      <c r="G741" s="2"/>
      <c r="H741" s="2"/>
      <c r="I741" s="2"/>
      <c r="J741" s="2"/>
    </row>
    <row r="742" ht="15.75" customHeight="1">
      <c r="A742" s="4" t="str">
        <f>HYPERLINK("https://stackoverflow.com/q/46297894", "46297894")</f>
        <v>46297894</v>
      </c>
      <c r="B742" s="2" t="s">
        <v>784</v>
      </c>
      <c r="C742" s="3"/>
      <c r="D742" s="3">
        <v>642.0</v>
      </c>
      <c r="E742" s="2" t="s">
        <v>86</v>
      </c>
      <c r="F742" s="2" t="s">
        <v>272</v>
      </c>
      <c r="G742" s="2"/>
      <c r="H742" s="2"/>
      <c r="I742" s="2"/>
      <c r="J742" s="2"/>
    </row>
    <row r="743" ht="15.75" customHeight="1">
      <c r="A743" s="4" t="str">
        <f>HYPERLINK("https://stackoverflow.com/q/52144934", "52144934")</f>
        <v>52144934</v>
      </c>
      <c r="B743" s="2" t="s">
        <v>785</v>
      </c>
      <c r="C743" s="3"/>
      <c r="D743" s="3">
        <v>642.0</v>
      </c>
      <c r="E743" s="2"/>
      <c r="F743" s="2"/>
      <c r="G743" s="2"/>
      <c r="H743" s="2"/>
      <c r="I743" s="2"/>
      <c r="J743" s="2"/>
    </row>
    <row r="744" ht="15.75" customHeight="1">
      <c r="A744" s="4" t="str">
        <f>HYPERLINK("https://stackoverflow.com/q/42946766", "42946766")</f>
        <v>42946766</v>
      </c>
      <c r="B744" s="2" t="s">
        <v>786</v>
      </c>
      <c r="C744" s="3">
        <v>1.0</v>
      </c>
      <c r="D744" s="3">
        <v>639.0</v>
      </c>
      <c r="E744" s="2" t="s">
        <v>11</v>
      </c>
      <c r="F744" s="2" t="s">
        <v>21</v>
      </c>
      <c r="G744" s="2"/>
      <c r="H744" s="2"/>
      <c r="I744" s="2"/>
      <c r="J744" s="2"/>
    </row>
    <row r="745" ht="15.75" customHeight="1">
      <c r="A745" s="4" t="str">
        <f>HYPERLINK("https://stackoverflow.com/q/50487617", "50487617")</f>
        <v>50487617</v>
      </c>
      <c r="B745" s="2" t="s">
        <v>787</v>
      </c>
      <c r="C745" s="3"/>
      <c r="D745" s="3">
        <v>639.0</v>
      </c>
      <c r="E745" s="2"/>
      <c r="F745" s="2"/>
      <c r="G745" s="2"/>
      <c r="H745" s="2"/>
      <c r="I745" s="2"/>
      <c r="J745" s="2"/>
    </row>
    <row r="746" ht="15.75" customHeight="1">
      <c r="A746" s="4" t="str">
        <f>HYPERLINK("https://stackoverflow.com/q/49511434", "49511434")</f>
        <v>49511434</v>
      </c>
      <c r="B746" s="2" t="s">
        <v>788</v>
      </c>
      <c r="C746" s="3"/>
      <c r="D746" s="3">
        <v>637.0</v>
      </c>
      <c r="E746" s="2"/>
      <c r="F746" s="2"/>
      <c r="G746" s="2"/>
      <c r="H746" s="2"/>
      <c r="I746" s="2"/>
      <c r="J746" s="2"/>
    </row>
    <row r="747" ht="15.75" customHeight="1">
      <c r="A747" s="4" t="str">
        <f>HYPERLINK("https://stackoverflow.com/q/54291354", "54291354")</f>
        <v>54291354</v>
      </c>
      <c r="B747" s="2" t="s">
        <v>789</v>
      </c>
      <c r="C747" s="3"/>
      <c r="D747" s="3">
        <v>636.0</v>
      </c>
      <c r="E747" s="2" t="s">
        <v>11</v>
      </c>
      <c r="F747" s="2" t="s">
        <v>56</v>
      </c>
      <c r="G747" s="2" t="s">
        <v>18</v>
      </c>
      <c r="H747" s="2"/>
      <c r="I747" s="2"/>
      <c r="J747" s="2"/>
    </row>
    <row r="748" ht="15.75" customHeight="1">
      <c r="A748" s="4" t="str">
        <f>HYPERLINK("https://stackoverflow.com/q/31091321", "31091321")</f>
        <v>31091321</v>
      </c>
      <c r="B748" s="2" t="s">
        <v>790</v>
      </c>
      <c r="C748" s="3"/>
      <c r="D748" s="3">
        <v>636.0</v>
      </c>
      <c r="E748" s="2"/>
      <c r="F748" s="2"/>
      <c r="G748" s="2"/>
      <c r="H748" s="2"/>
      <c r="I748" s="2"/>
      <c r="J748" s="2"/>
    </row>
    <row r="749" ht="15.75" customHeight="1">
      <c r="A749" s="4" t="str">
        <f>HYPERLINK("https://stackoverflow.com/q/43244727", "43244727")</f>
        <v>43244727</v>
      </c>
      <c r="B749" s="2" t="s">
        <v>791</v>
      </c>
      <c r="C749" s="3"/>
      <c r="D749" s="3">
        <v>635.0</v>
      </c>
      <c r="E749" s="2" t="s">
        <v>11</v>
      </c>
      <c r="F749" s="2" t="s">
        <v>183</v>
      </c>
      <c r="G749" s="2"/>
      <c r="H749" s="2"/>
      <c r="I749" s="2"/>
      <c r="J749" s="2"/>
    </row>
    <row r="750" ht="15.75" customHeight="1">
      <c r="A750" s="4" t="str">
        <f>HYPERLINK("https://stackoverflow.com/q/56165773", "56165773")</f>
        <v>56165773</v>
      </c>
      <c r="B750" s="2" t="s">
        <v>792</v>
      </c>
      <c r="C750" s="3"/>
      <c r="D750" s="3">
        <v>635.0</v>
      </c>
      <c r="E750" s="2"/>
      <c r="F750" s="2"/>
      <c r="G750" s="2"/>
      <c r="H750" s="2"/>
      <c r="I750" s="2"/>
      <c r="J750" s="2"/>
    </row>
    <row r="751" ht="15.75" customHeight="1">
      <c r="A751" s="4" t="str">
        <f>HYPERLINK("https://stackoverflow.com/q/8657698", "8657698")</f>
        <v>8657698</v>
      </c>
      <c r="B751" s="2" t="s">
        <v>793</v>
      </c>
      <c r="C751" s="3"/>
      <c r="D751" s="3">
        <v>634.0</v>
      </c>
      <c r="E751" s="2" t="s">
        <v>537</v>
      </c>
      <c r="F751" s="2" t="s">
        <v>25</v>
      </c>
      <c r="G751" s="2"/>
      <c r="H751" s="2"/>
      <c r="I751" s="2"/>
      <c r="J751" s="2"/>
    </row>
    <row r="752" ht="15.75" customHeight="1">
      <c r="A752" s="4" t="str">
        <f>HYPERLINK("https://stackoverflow.com/q/49809115", "49809115")</f>
        <v>49809115</v>
      </c>
      <c r="B752" s="2" t="s">
        <v>794</v>
      </c>
      <c r="C752" s="3"/>
      <c r="D752" s="3">
        <v>634.0</v>
      </c>
      <c r="E752" s="2"/>
      <c r="F752" s="2"/>
      <c r="G752" s="2"/>
      <c r="H752" s="2"/>
      <c r="I752" s="2"/>
      <c r="J752" s="2"/>
    </row>
    <row r="753" ht="15.75" customHeight="1">
      <c r="A753" s="4" t="str">
        <f>HYPERLINK("https://stackoverflow.com/q/38736141", "38736141")</f>
        <v>38736141</v>
      </c>
      <c r="B753" s="2" t="s">
        <v>795</v>
      </c>
      <c r="C753" s="3"/>
      <c r="D753" s="3">
        <v>631.0</v>
      </c>
      <c r="E753" s="2"/>
      <c r="F753" s="2"/>
      <c r="G753" s="2"/>
      <c r="H753" s="2"/>
      <c r="I753" s="2"/>
      <c r="J753" s="2"/>
    </row>
    <row r="754" ht="15.75" customHeight="1">
      <c r="A754" s="4" t="str">
        <f>HYPERLINK("https://stackoverflow.com/q/47801654", "47801654")</f>
        <v>47801654</v>
      </c>
      <c r="B754" s="2" t="s">
        <v>796</v>
      </c>
      <c r="C754" s="3"/>
      <c r="D754" s="3">
        <v>627.0</v>
      </c>
      <c r="E754" s="2" t="s">
        <v>11</v>
      </c>
      <c r="F754" s="2" t="s">
        <v>67</v>
      </c>
      <c r="G754" s="2"/>
      <c r="H754" s="2"/>
      <c r="I754" s="2"/>
      <c r="J754" s="2"/>
    </row>
    <row r="755" ht="15.75" customHeight="1">
      <c r="A755" s="4" t="str">
        <f>HYPERLINK("https://stackoverflow.com/q/4439797", "4439797")</f>
        <v>4439797</v>
      </c>
      <c r="B755" s="2" t="s">
        <v>797</v>
      </c>
      <c r="C755" s="3">
        <v>1.0</v>
      </c>
      <c r="D755" s="3">
        <v>626.0</v>
      </c>
      <c r="E755" s="2" t="s">
        <v>11</v>
      </c>
      <c r="F755" s="2" t="s">
        <v>12</v>
      </c>
      <c r="G755" s="2"/>
      <c r="H755" s="2"/>
      <c r="I755" s="2"/>
      <c r="J755" s="2"/>
    </row>
    <row r="756" ht="15.75" customHeight="1">
      <c r="A756" s="4" t="str">
        <f>HYPERLINK("https://stackoverflow.com/q/44446144", "44446144")</f>
        <v>44446144</v>
      </c>
      <c r="B756" s="2" t="s">
        <v>798</v>
      </c>
      <c r="C756" s="3">
        <v>2.0</v>
      </c>
      <c r="D756" s="3">
        <v>625.0</v>
      </c>
      <c r="E756" s="2"/>
      <c r="F756" s="2"/>
      <c r="G756" s="2"/>
      <c r="H756" s="2"/>
      <c r="I756" s="2"/>
      <c r="J756" s="2"/>
    </row>
    <row r="757" ht="15.75" customHeight="1">
      <c r="A757" s="4" t="str">
        <f>HYPERLINK("https://stackoverflow.com/q/55649403", "55649403")</f>
        <v>55649403</v>
      </c>
      <c r="B757" s="2" t="s">
        <v>799</v>
      </c>
      <c r="C757" s="3"/>
      <c r="D757" s="3">
        <v>625.0</v>
      </c>
      <c r="E757" s="2"/>
      <c r="F757" s="2"/>
      <c r="G757" s="2"/>
      <c r="H757" s="2"/>
      <c r="I757" s="2"/>
      <c r="J757" s="2"/>
    </row>
    <row r="758" ht="15.75" customHeight="1">
      <c r="A758" s="4" t="str">
        <f>HYPERLINK("https://stackoverflow.com/q/28963021", "28963021")</f>
        <v>28963021</v>
      </c>
      <c r="B758" s="2" t="s">
        <v>800</v>
      </c>
      <c r="C758" s="3"/>
      <c r="D758" s="3">
        <v>624.0</v>
      </c>
      <c r="E758" s="2"/>
      <c r="F758" s="2"/>
      <c r="G758" s="2"/>
      <c r="H758" s="2"/>
      <c r="I758" s="2"/>
      <c r="J758" s="2"/>
    </row>
    <row r="759" ht="15.75" customHeight="1">
      <c r="A759" s="4" t="str">
        <f>HYPERLINK("https://stackoverflow.com/q/54639927", "54639927")</f>
        <v>54639927</v>
      </c>
      <c r="B759" s="2" t="s">
        <v>801</v>
      </c>
      <c r="C759" s="3"/>
      <c r="D759" s="3">
        <v>623.0</v>
      </c>
      <c r="E759" s="2" t="s">
        <v>11</v>
      </c>
      <c r="F759" s="2" t="s">
        <v>30</v>
      </c>
      <c r="G759" s="2"/>
      <c r="H759" s="2"/>
      <c r="I759" s="2"/>
      <c r="J759" s="2"/>
    </row>
    <row r="760" ht="15.75" customHeight="1">
      <c r="A760" s="4" t="str">
        <f>HYPERLINK("https://stackoverflow.com/q/52720455", "52720455")</f>
        <v>52720455</v>
      </c>
      <c r="B760" s="2" t="s">
        <v>802</v>
      </c>
      <c r="C760" s="3"/>
      <c r="D760" s="3">
        <v>623.0</v>
      </c>
      <c r="E760" s="2"/>
      <c r="F760" s="2"/>
      <c r="G760" s="2"/>
      <c r="H760" s="2"/>
      <c r="I760" s="2"/>
      <c r="J760" s="2"/>
    </row>
    <row r="761" ht="15.75" customHeight="1">
      <c r="A761" s="4" t="str">
        <f>HYPERLINK("https://stackoverflow.com/q/9980294", "9980294")</f>
        <v>9980294</v>
      </c>
      <c r="B761" s="2" t="s">
        <v>803</v>
      </c>
      <c r="C761" s="3"/>
      <c r="D761" s="3">
        <v>623.0</v>
      </c>
      <c r="E761" s="2"/>
      <c r="F761" s="2"/>
      <c r="G761" s="2"/>
      <c r="H761" s="2"/>
      <c r="I761" s="2"/>
      <c r="J761" s="2"/>
    </row>
    <row r="762" ht="15.75" customHeight="1">
      <c r="A762" s="4" t="str">
        <f>HYPERLINK("https://stackoverflow.com/q/56751486", "56751486")</f>
        <v>56751486</v>
      </c>
      <c r="B762" s="2" t="s">
        <v>804</v>
      </c>
      <c r="C762" s="3"/>
      <c r="D762" s="3">
        <v>622.0</v>
      </c>
      <c r="E762" s="2"/>
      <c r="F762" s="2"/>
      <c r="G762" s="2"/>
      <c r="H762" s="2"/>
      <c r="I762" s="2"/>
      <c r="J762" s="2"/>
    </row>
    <row r="763" ht="15.75" customHeight="1">
      <c r="A763" s="4" t="str">
        <f>HYPERLINK("https://stackoverflow.com/q/55283256", "55283256")</f>
        <v>55283256</v>
      </c>
      <c r="B763" s="2" t="s">
        <v>805</v>
      </c>
      <c r="C763" s="3">
        <v>2.0</v>
      </c>
      <c r="D763" s="3">
        <v>619.0</v>
      </c>
      <c r="E763" s="9" t="s">
        <v>11</v>
      </c>
      <c r="F763" s="2" t="s">
        <v>18</v>
      </c>
      <c r="G763" s="2"/>
      <c r="H763" s="2"/>
      <c r="I763" s="2"/>
      <c r="J763" s="2"/>
    </row>
    <row r="764" ht="15.75" customHeight="1">
      <c r="A764" s="4" t="str">
        <f>HYPERLINK("https://stackoverflow.com/q/49565318", "49565318")</f>
        <v>49565318</v>
      </c>
      <c r="B764" s="2" t="s">
        <v>806</v>
      </c>
      <c r="C764" s="3">
        <v>1.0</v>
      </c>
      <c r="D764" s="3">
        <v>616.0</v>
      </c>
      <c r="E764" s="2"/>
      <c r="F764" s="2"/>
      <c r="G764" s="2"/>
      <c r="H764" s="2"/>
      <c r="I764" s="2"/>
      <c r="J764" s="2"/>
    </row>
    <row r="765" ht="15.75" customHeight="1">
      <c r="A765" s="4" t="str">
        <f>HYPERLINK("https://stackoverflow.com/q/55242183", "55242183")</f>
        <v>55242183</v>
      </c>
      <c r="B765" s="2" t="s">
        <v>807</v>
      </c>
      <c r="C765" s="3"/>
      <c r="D765" s="3">
        <v>616.0</v>
      </c>
      <c r="E765" s="2" t="s">
        <v>11</v>
      </c>
      <c r="F765" s="2" t="s">
        <v>67</v>
      </c>
      <c r="G765" s="2"/>
      <c r="H765" s="2"/>
      <c r="I765" s="2"/>
      <c r="J765" s="2"/>
    </row>
    <row r="766" ht="15.75" customHeight="1">
      <c r="A766" s="4" t="str">
        <f>HYPERLINK("https://stackoverflow.com/q/12031216", "12031216")</f>
        <v>12031216</v>
      </c>
      <c r="B766" s="2" t="s">
        <v>808</v>
      </c>
      <c r="C766" s="3"/>
      <c r="D766" s="3">
        <v>615.0</v>
      </c>
      <c r="E766" s="2"/>
      <c r="F766" s="2"/>
      <c r="G766" s="2"/>
      <c r="H766" s="2"/>
      <c r="I766" s="2"/>
      <c r="J766" s="2"/>
    </row>
    <row r="767" ht="15.75" customHeight="1">
      <c r="A767" s="4" t="str">
        <f>HYPERLINK("https://stackoverflow.com/q/41980071", "41980071")</f>
        <v>41980071</v>
      </c>
      <c r="B767" s="2" t="s">
        <v>809</v>
      </c>
      <c r="C767" s="3"/>
      <c r="D767" s="3">
        <v>613.0</v>
      </c>
      <c r="E767" s="2" t="s">
        <v>11</v>
      </c>
      <c r="F767" s="2" t="s">
        <v>21</v>
      </c>
      <c r="G767" s="2"/>
      <c r="H767" s="2"/>
      <c r="I767" s="2"/>
      <c r="J767" s="2"/>
    </row>
    <row r="768" ht="15.75" customHeight="1">
      <c r="A768" s="4" t="str">
        <f>HYPERLINK("https://stackoverflow.com/q/50326783", "50326783")</f>
        <v>50326783</v>
      </c>
      <c r="B768" s="2" t="s">
        <v>810</v>
      </c>
      <c r="C768" s="3"/>
      <c r="D768" s="3">
        <v>613.0</v>
      </c>
      <c r="E768" s="2"/>
      <c r="F768" s="2"/>
      <c r="G768" s="2"/>
      <c r="H768" s="2"/>
      <c r="I768" s="2"/>
      <c r="J768" s="2"/>
    </row>
    <row r="769" ht="15.75" customHeight="1">
      <c r="A769" s="4" t="str">
        <f>HYPERLINK("https://stackoverflow.com/q/50216642", "50216642")</f>
        <v>50216642</v>
      </c>
      <c r="B769" s="2" t="s">
        <v>811</v>
      </c>
      <c r="C769" s="3"/>
      <c r="D769" s="3">
        <v>612.0</v>
      </c>
      <c r="E769" s="2"/>
      <c r="F769" s="2"/>
      <c r="G769" s="2"/>
      <c r="H769" s="2"/>
      <c r="I769" s="2"/>
      <c r="J769" s="2"/>
    </row>
    <row r="770" ht="15.75" customHeight="1">
      <c r="A770" s="4" t="str">
        <f>HYPERLINK("https://stackoverflow.com/q/47393775", "47393775")</f>
        <v>47393775</v>
      </c>
      <c r="B770" s="2" t="s">
        <v>812</v>
      </c>
      <c r="C770" s="3"/>
      <c r="D770" s="3">
        <v>611.0</v>
      </c>
      <c r="E770" s="2" t="s">
        <v>11</v>
      </c>
      <c r="F770" s="2" t="s">
        <v>73</v>
      </c>
      <c r="G770" s="2"/>
      <c r="H770" s="2"/>
      <c r="I770" s="2"/>
      <c r="J770" s="2"/>
    </row>
    <row r="771" ht="15.75" customHeight="1">
      <c r="A771" s="4" t="str">
        <f>HYPERLINK("https://stackoverflow.com/q/8980486", "8980486")</f>
        <v>8980486</v>
      </c>
      <c r="B771" s="2" t="s">
        <v>813</v>
      </c>
      <c r="C771" s="3"/>
      <c r="D771" s="3">
        <v>611.0</v>
      </c>
      <c r="E771" s="9" t="s">
        <v>11</v>
      </c>
      <c r="F771" s="2" t="s">
        <v>18</v>
      </c>
      <c r="G771" s="2"/>
      <c r="H771" s="2"/>
      <c r="I771" s="2"/>
      <c r="J771" s="2"/>
    </row>
    <row r="772" ht="15.75" customHeight="1">
      <c r="A772" s="4" t="str">
        <f>HYPERLINK("https://stackoverflow.com/q/55350422", "55350422")</f>
        <v>55350422</v>
      </c>
      <c r="B772" s="2" t="s">
        <v>814</v>
      </c>
      <c r="C772" s="3"/>
      <c r="D772" s="3">
        <v>610.0</v>
      </c>
      <c r="E772" s="2" t="s">
        <v>11</v>
      </c>
      <c r="F772" s="2" t="s">
        <v>35</v>
      </c>
      <c r="G772" s="2"/>
      <c r="H772" s="2"/>
      <c r="I772" s="2"/>
      <c r="J772" s="2"/>
    </row>
    <row r="773" ht="15.75" customHeight="1">
      <c r="A773" s="4" t="str">
        <f>HYPERLINK("https://stackoverflow.com/q/45993730", "45993730")</f>
        <v>45993730</v>
      </c>
      <c r="B773" s="2" t="s">
        <v>815</v>
      </c>
      <c r="C773" s="3"/>
      <c r="D773" s="3">
        <v>610.0</v>
      </c>
      <c r="E773" s="2"/>
      <c r="F773" s="2"/>
      <c r="G773" s="2"/>
      <c r="H773" s="2"/>
      <c r="I773" s="2"/>
      <c r="J773" s="2"/>
    </row>
    <row r="774" ht="15.75" customHeight="1">
      <c r="A774" s="4" t="str">
        <f>HYPERLINK("https://stackoverflow.com/q/24135734", "24135734")</f>
        <v>24135734</v>
      </c>
      <c r="B774" s="2" t="s">
        <v>816</v>
      </c>
      <c r="C774" s="3"/>
      <c r="D774" s="3">
        <v>609.0</v>
      </c>
      <c r="E774" s="2"/>
      <c r="F774" s="2"/>
      <c r="G774" s="2"/>
      <c r="H774" s="2"/>
      <c r="I774" s="2"/>
      <c r="J774" s="2"/>
    </row>
    <row r="775" ht="15.75" customHeight="1">
      <c r="A775" s="4" t="str">
        <f>HYPERLINK("https://stackoverflow.com/q/35677362", "35677362")</f>
        <v>35677362</v>
      </c>
      <c r="B775" s="2" t="s">
        <v>817</v>
      </c>
      <c r="C775" s="3">
        <v>1.0</v>
      </c>
      <c r="D775" s="3">
        <v>608.0</v>
      </c>
      <c r="E775" s="2"/>
      <c r="F775" s="2"/>
      <c r="G775" s="2"/>
      <c r="H775" s="2"/>
      <c r="I775" s="2"/>
      <c r="J775" s="2"/>
    </row>
    <row r="776" ht="15.75" customHeight="1">
      <c r="A776" s="4" t="str">
        <f>HYPERLINK("https://stackoverflow.com/q/43667724", "43667724")</f>
        <v>43667724</v>
      </c>
      <c r="B776" s="2" t="s">
        <v>818</v>
      </c>
      <c r="C776" s="3"/>
      <c r="D776" s="3">
        <v>607.0</v>
      </c>
      <c r="E776" s="2" t="s">
        <v>11</v>
      </c>
      <c r="F776" s="2" t="s">
        <v>12</v>
      </c>
      <c r="G776" s="2"/>
      <c r="H776" s="2"/>
      <c r="I776" s="2"/>
      <c r="J776" s="2"/>
    </row>
    <row r="777" ht="15.75" customHeight="1">
      <c r="A777" s="4" t="str">
        <f>HYPERLINK("https://stackoverflow.com/q/32523590", "32523590")</f>
        <v>32523590</v>
      </c>
      <c r="B777" s="2" t="s">
        <v>819</v>
      </c>
      <c r="C777" s="3"/>
      <c r="D777" s="3">
        <v>605.0</v>
      </c>
      <c r="E777" s="2"/>
      <c r="F777" s="2"/>
      <c r="G777" s="2"/>
      <c r="H777" s="2"/>
      <c r="I777" s="2"/>
      <c r="J777" s="2"/>
    </row>
    <row r="778" ht="15.75" customHeight="1">
      <c r="A778" s="4" t="str">
        <f>HYPERLINK("https://stackoverflow.com/q/27416913", "27416913")</f>
        <v>27416913</v>
      </c>
      <c r="B778" s="2" t="s">
        <v>820</v>
      </c>
      <c r="C778" s="3">
        <v>0.0</v>
      </c>
      <c r="D778" s="3">
        <v>604.0</v>
      </c>
      <c r="E778" s="2"/>
      <c r="F778" s="2"/>
      <c r="G778" s="2"/>
      <c r="H778" s="2"/>
      <c r="I778" s="2"/>
      <c r="J778" s="2"/>
    </row>
    <row r="779" ht="15.75" customHeight="1">
      <c r="A779" s="4" t="str">
        <f>HYPERLINK("https://stackoverflow.com/q/44272066", "44272066")</f>
        <v>44272066</v>
      </c>
      <c r="B779" s="2" t="s">
        <v>821</v>
      </c>
      <c r="C779" s="3"/>
      <c r="D779" s="3">
        <v>604.0</v>
      </c>
      <c r="E779" s="2"/>
      <c r="F779" s="2"/>
      <c r="G779" s="2"/>
      <c r="H779" s="2"/>
      <c r="I779" s="2"/>
      <c r="J779" s="2"/>
    </row>
    <row r="780" ht="15.75" customHeight="1">
      <c r="A780" s="4" t="str">
        <f>HYPERLINK("https://stackoverflow.com/q/48761222", "48761222")</f>
        <v>48761222</v>
      </c>
      <c r="B780" s="2" t="s">
        <v>822</v>
      </c>
      <c r="C780" s="3"/>
      <c r="D780" s="3">
        <v>604.0</v>
      </c>
      <c r="E780" s="2"/>
      <c r="F780" s="2"/>
      <c r="G780" s="2"/>
      <c r="H780" s="2"/>
      <c r="I780" s="2"/>
      <c r="J780" s="2"/>
    </row>
    <row r="781" ht="15.75" customHeight="1">
      <c r="A781" s="4" t="str">
        <f>HYPERLINK("https://stackoverflow.com/q/60071979", "60071979")</f>
        <v>60071979</v>
      </c>
      <c r="B781" s="2" t="s">
        <v>823</v>
      </c>
      <c r="C781" s="3"/>
      <c r="D781" s="3">
        <v>602.0</v>
      </c>
      <c r="E781" s="2"/>
      <c r="F781" s="2"/>
      <c r="G781" s="2"/>
      <c r="H781" s="2"/>
      <c r="I781" s="2"/>
      <c r="J781" s="2"/>
    </row>
    <row r="782" ht="15.75" customHeight="1">
      <c r="A782" s="4" t="str">
        <f>HYPERLINK("https://stackoverflow.com/q/15006547", "15006547")</f>
        <v>15006547</v>
      </c>
      <c r="B782" s="2" t="s">
        <v>824</v>
      </c>
      <c r="C782" s="3"/>
      <c r="D782" s="3">
        <v>601.0</v>
      </c>
      <c r="E782" s="2"/>
      <c r="F782" s="2"/>
      <c r="G782" s="2"/>
      <c r="H782" s="2"/>
      <c r="I782" s="2"/>
      <c r="J782" s="2"/>
    </row>
    <row r="783" ht="15.75" customHeight="1">
      <c r="A783" s="4" t="str">
        <f>HYPERLINK("https://stackoverflow.com/q/19802076", "19802076")</f>
        <v>19802076</v>
      </c>
      <c r="B783" s="2" t="s">
        <v>825</v>
      </c>
      <c r="C783" s="3"/>
      <c r="D783" s="3">
        <v>601.0</v>
      </c>
      <c r="E783" s="2"/>
      <c r="F783" s="2"/>
      <c r="G783" s="2"/>
      <c r="H783" s="2"/>
      <c r="I783" s="2"/>
      <c r="J783" s="2"/>
    </row>
    <row r="784" ht="15.75" customHeight="1">
      <c r="A784" s="4" t="str">
        <f>HYPERLINK("https://stackoverflow.com/q/3700594", "3700594")</f>
        <v>3700594</v>
      </c>
      <c r="B784" s="2" t="s">
        <v>826</v>
      </c>
      <c r="C784" s="3"/>
      <c r="D784" s="3">
        <v>600.0</v>
      </c>
      <c r="E784" s="2" t="s">
        <v>11</v>
      </c>
      <c r="F784" s="2" t="s">
        <v>35</v>
      </c>
      <c r="G784" s="2"/>
      <c r="H784" s="2"/>
      <c r="I784" s="2"/>
      <c r="J784" s="2"/>
    </row>
    <row r="785" ht="15.75" customHeight="1">
      <c r="A785" s="4" t="str">
        <f>HYPERLINK("https://stackoverflow.com/q/32512054", "32512054")</f>
        <v>32512054</v>
      </c>
      <c r="B785" s="2" t="s">
        <v>827</v>
      </c>
      <c r="C785" s="3"/>
      <c r="D785" s="3">
        <v>600.0</v>
      </c>
      <c r="E785" s="2"/>
      <c r="F785" s="2"/>
      <c r="G785" s="2"/>
      <c r="H785" s="2"/>
      <c r="I785" s="2"/>
      <c r="J785" s="2"/>
    </row>
    <row r="786" ht="15.75" customHeight="1">
      <c r="A786" s="4" t="str">
        <f>HYPERLINK("https://stackoverflow.com/q/34656482", "34656482")</f>
        <v>34656482</v>
      </c>
      <c r="B786" s="2" t="s">
        <v>828</v>
      </c>
      <c r="C786" s="3"/>
      <c r="D786" s="3">
        <v>600.0</v>
      </c>
      <c r="E786" s="2"/>
      <c r="F786" s="2"/>
      <c r="G786" s="2"/>
      <c r="H786" s="2"/>
      <c r="I786" s="2"/>
      <c r="J786" s="2"/>
    </row>
    <row r="787" ht="15.75" customHeight="1">
      <c r="A787" s="4" t="str">
        <f>HYPERLINK("https://stackoverflow.com/q/44267405", "44267405")</f>
        <v>44267405</v>
      </c>
      <c r="B787" s="2" t="s">
        <v>829</v>
      </c>
      <c r="C787" s="3"/>
      <c r="D787" s="3">
        <v>597.0</v>
      </c>
      <c r="E787" s="2"/>
      <c r="F787" s="2"/>
      <c r="G787" s="2"/>
      <c r="H787" s="2"/>
      <c r="I787" s="2"/>
      <c r="J787" s="2"/>
    </row>
    <row r="788" ht="15.75" customHeight="1">
      <c r="A788" s="4" t="str">
        <f>HYPERLINK("https://stackoverflow.com/q/49424033", "49424033")</f>
        <v>49424033</v>
      </c>
      <c r="B788" s="2" t="s">
        <v>830</v>
      </c>
      <c r="C788" s="3"/>
      <c r="D788" s="3">
        <v>595.0</v>
      </c>
      <c r="E788" s="2" t="s">
        <v>11</v>
      </c>
      <c r="F788" s="2" t="s">
        <v>67</v>
      </c>
      <c r="G788" s="2"/>
      <c r="H788" s="2"/>
      <c r="I788" s="2"/>
      <c r="J788" s="2"/>
    </row>
    <row r="789" ht="15.75" customHeight="1">
      <c r="A789" s="4" t="str">
        <f>HYPERLINK("https://stackoverflow.com/q/42677688", "42677688")</f>
        <v>42677688</v>
      </c>
      <c r="B789" s="2" t="s">
        <v>831</v>
      </c>
      <c r="C789" s="3"/>
      <c r="D789" s="3">
        <v>594.0</v>
      </c>
      <c r="E789" s="2" t="s">
        <v>11</v>
      </c>
      <c r="F789" s="2" t="s">
        <v>25</v>
      </c>
      <c r="G789" s="2"/>
      <c r="H789" s="2"/>
      <c r="I789" s="2"/>
      <c r="J789" s="2"/>
    </row>
    <row r="790" ht="15.75" customHeight="1">
      <c r="A790" s="4" t="str">
        <f>HYPERLINK("https://stackoverflow.com/q/37723718", "37723718")</f>
        <v>37723718</v>
      </c>
      <c r="B790" s="2" t="s">
        <v>832</v>
      </c>
      <c r="C790" s="3"/>
      <c r="D790" s="3">
        <v>594.0</v>
      </c>
      <c r="E790" s="2"/>
      <c r="F790" s="2"/>
      <c r="G790" s="2"/>
      <c r="H790" s="2"/>
      <c r="I790" s="2"/>
      <c r="J790" s="2"/>
    </row>
    <row r="791" ht="15.75" customHeight="1">
      <c r="A791" s="4" t="str">
        <f>HYPERLINK("https://stackoverflow.com/q/39040345", "39040345")</f>
        <v>39040345</v>
      </c>
      <c r="B791" s="2" t="s">
        <v>833</v>
      </c>
      <c r="C791" s="3"/>
      <c r="D791" s="3">
        <v>593.0</v>
      </c>
      <c r="E791" s="2"/>
      <c r="F791" s="2"/>
      <c r="G791" s="2"/>
      <c r="H791" s="2"/>
      <c r="I791" s="2"/>
      <c r="J791" s="2"/>
    </row>
    <row r="792" ht="15.75" customHeight="1">
      <c r="A792" s="4" t="str">
        <f>HYPERLINK("https://stackoverflow.com/q/51303561", "51303561")</f>
        <v>51303561</v>
      </c>
      <c r="B792" s="2" t="s">
        <v>834</v>
      </c>
      <c r="C792" s="3"/>
      <c r="D792" s="3">
        <v>593.0</v>
      </c>
      <c r="E792" s="2"/>
      <c r="F792" s="2"/>
      <c r="G792" s="2"/>
      <c r="H792" s="2"/>
      <c r="I792" s="2"/>
      <c r="J792" s="2"/>
    </row>
    <row r="793" ht="15.75" customHeight="1">
      <c r="A793" s="4" t="str">
        <f>HYPERLINK("https://stackoverflow.com/q/43589592", "43589592")</f>
        <v>43589592</v>
      </c>
      <c r="B793" s="2" t="s">
        <v>835</v>
      </c>
      <c r="C793" s="3"/>
      <c r="D793" s="3">
        <v>590.0</v>
      </c>
      <c r="E793" s="2" t="s">
        <v>11</v>
      </c>
      <c r="F793" s="2" t="s">
        <v>12</v>
      </c>
      <c r="G793" s="2"/>
      <c r="H793" s="2"/>
      <c r="I793" s="2"/>
      <c r="J793" s="2"/>
    </row>
    <row r="794" ht="15.75" customHeight="1">
      <c r="A794" s="4" t="str">
        <f>HYPERLINK("https://stackoverflow.com/q/47048165", "47048165")</f>
        <v>47048165</v>
      </c>
      <c r="B794" s="2" t="s">
        <v>836</v>
      </c>
      <c r="C794" s="3"/>
      <c r="D794" s="3">
        <v>590.0</v>
      </c>
      <c r="E794" s="9" t="s">
        <v>11</v>
      </c>
      <c r="F794" s="2" t="s">
        <v>18</v>
      </c>
      <c r="G794" s="2"/>
      <c r="H794" s="2"/>
      <c r="I794" s="2"/>
      <c r="J794" s="2"/>
    </row>
    <row r="795" ht="15.75" customHeight="1">
      <c r="A795" s="4" t="str">
        <f>HYPERLINK("https://stackoverflow.com/q/16087271", "16087271")</f>
        <v>16087271</v>
      </c>
      <c r="B795" s="2" t="s">
        <v>837</v>
      </c>
      <c r="C795" s="3"/>
      <c r="D795" s="3">
        <v>589.0</v>
      </c>
      <c r="E795" s="2"/>
      <c r="F795" s="2"/>
      <c r="G795" s="2"/>
      <c r="H795" s="2"/>
      <c r="I795" s="2"/>
      <c r="J795" s="2"/>
    </row>
    <row r="796" ht="15.75" customHeight="1">
      <c r="A796" s="4" t="str">
        <f>HYPERLINK("https://stackoverflow.com/q/45846521", "45846521")</f>
        <v>45846521</v>
      </c>
      <c r="B796" s="2" t="s">
        <v>838</v>
      </c>
      <c r="C796" s="3"/>
      <c r="D796" s="3">
        <v>589.0</v>
      </c>
      <c r="E796" s="2"/>
      <c r="F796" s="2"/>
      <c r="G796" s="2"/>
      <c r="H796" s="2"/>
      <c r="I796" s="2"/>
      <c r="J796" s="2"/>
    </row>
    <row r="797" ht="15.75" customHeight="1">
      <c r="A797" s="4" t="str">
        <f>HYPERLINK("https://stackoverflow.com/q/9372228", "9372228")</f>
        <v>9372228</v>
      </c>
      <c r="B797" s="2" t="s">
        <v>839</v>
      </c>
      <c r="C797" s="3"/>
      <c r="D797" s="3">
        <v>588.0</v>
      </c>
      <c r="E797" s="2"/>
      <c r="F797" s="2"/>
      <c r="G797" s="2"/>
      <c r="H797" s="2"/>
      <c r="I797" s="2"/>
      <c r="J797" s="2"/>
    </row>
    <row r="798" ht="15.75" customHeight="1">
      <c r="A798" s="4" t="str">
        <f>HYPERLINK("https://stackoverflow.com/q/57219620", "57219620")</f>
        <v>57219620</v>
      </c>
      <c r="B798" s="2" t="s">
        <v>840</v>
      </c>
      <c r="C798" s="3"/>
      <c r="D798" s="3">
        <v>587.0</v>
      </c>
      <c r="E798" s="2"/>
      <c r="F798" s="2"/>
      <c r="G798" s="2"/>
      <c r="H798" s="2"/>
      <c r="I798" s="2"/>
      <c r="J798" s="2"/>
    </row>
    <row r="799" ht="15.75" customHeight="1">
      <c r="A799" s="4" t="str">
        <f>HYPERLINK("https://stackoverflow.com/q/52217414", "52217414")</f>
        <v>52217414</v>
      </c>
      <c r="B799" s="2" t="s">
        <v>841</v>
      </c>
      <c r="C799" s="3"/>
      <c r="D799" s="3">
        <v>584.0</v>
      </c>
      <c r="E799" s="2"/>
      <c r="F799" s="2"/>
      <c r="G799" s="2"/>
      <c r="H799" s="2"/>
      <c r="I799" s="2"/>
      <c r="J799" s="2"/>
    </row>
    <row r="800" ht="15.75" customHeight="1">
      <c r="A800" s="4" t="str">
        <f>HYPERLINK("https://stackoverflow.com/q/53413258", "53413258")</f>
        <v>53413258</v>
      </c>
      <c r="B800" s="2" t="s">
        <v>842</v>
      </c>
      <c r="C800" s="3"/>
      <c r="D800" s="3">
        <v>584.0</v>
      </c>
      <c r="E800" s="2"/>
      <c r="F800" s="2"/>
      <c r="G800" s="2"/>
      <c r="H800" s="2"/>
      <c r="I800" s="2"/>
      <c r="J800" s="2"/>
    </row>
    <row r="801" ht="15.75" customHeight="1">
      <c r="A801" s="4" t="str">
        <f>HYPERLINK("https://stackoverflow.com/q/40484940", "40484940")</f>
        <v>40484940</v>
      </c>
      <c r="B801" s="2" t="s">
        <v>843</v>
      </c>
      <c r="C801" s="3"/>
      <c r="D801" s="3">
        <v>583.0</v>
      </c>
      <c r="E801" s="2"/>
      <c r="F801" s="2"/>
      <c r="G801" s="2"/>
      <c r="H801" s="2"/>
      <c r="I801" s="2"/>
      <c r="J801" s="2"/>
    </row>
    <row r="802" ht="15.75" customHeight="1">
      <c r="A802" s="4" t="str">
        <f>HYPERLINK("https://stackoverflow.com/q/56154215", "56154215")</f>
        <v>56154215</v>
      </c>
      <c r="B802" s="2" t="s">
        <v>844</v>
      </c>
      <c r="C802" s="3"/>
      <c r="D802" s="3">
        <v>583.0</v>
      </c>
      <c r="E802" s="2"/>
      <c r="F802" s="2"/>
      <c r="G802" s="2"/>
      <c r="H802" s="2"/>
      <c r="I802" s="2"/>
      <c r="J802" s="2"/>
    </row>
    <row r="803" ht="15.75" customHeight="1">
      <c r="A803" s="4" t="str">
        <f>HYPERLINK("https://stackoverflow.com/q/59283319", "59283319")</f>
        <v>59283319</v>
      </c>
      <c r="B803" s="2" t="s">
        <v>845</v>
      </c>
      <c r="C803" s="3"/>
      <c r="D803" s="3">
        <v>583.0</v>
      </c>
      <c r="E803" s="2"/>
      <c r="F803" s="2"/>
      <c r="G803" s="2"/>
      <c r="H803" s="2"/>
      <c r="I803" s="2"/>
      <c r="J803" s="2"/>
    </row>
    <row r="804" ht="15.75" customHeight="1">
      <c r="A804" s="4" t="str">
        <f>HYPERLINK("https://stackoverflow.com/q/50454105", "50454105")</f>
        <v>50454105</v>
      </c>
      <c r="B804" s="2" t="s">
        <v>846</v>
      </c>
      <c r="C804" s="3"/>
      <c r="D804" s="3">
        <v>582.0</v>
      </c>
      <c r="E804" s="2"/>
      <c r="F804" s="2"/>
      <c r="G804" s="2"/>
      <c r="H804" s="2"/>
      <c r="I804" s="2"/>
      <c r="J804" s="2"/>
    </row>
    <row r="805" ht="15.75" customHeight="1">
      <c r="A805" s="4" t="str">
        <f>HYPERLINK("https://stackoverflow.com/q/51671846", "51671846")</f>
        <v>51671846</v>
      </c>
      <c r="B805" s="2" t="s">
        <v>847</v>
      </c>
      <c r="C805" s="3"/>
      <c r="D805" s="3">
        <v>582.0</v>
      </c>
      <c r="E805" s="2"/>
      <c r="F805" s="2"/>
      <c r="G805" s="2"/>
      <c r="H805" s="2"/>
      <c r="I805" s="2"/>
      <c r="J805" s="2"/>
    </row>
    <row r="806" ht="15.75" customHeight="1">
      <c r="A806" s="4" t="str">
        <f>HYPERLINK("https://stackoverflow.com/q/47820165", "47820165")</f>
        <v>47820165</v>
      </c>
      <c r="B806" s="2" t="s">
        <v>848</v>
      </c>
      <c r="C806" s="3"/>
      <c r="D806" s="3">
        <v>581.0</v>
      </c>
      <c r="E806" s="2" t="s">
        <v>59</v>
      </c>
      <c r="F806" s="2" t="s">
        <v>28</v>
      </c>
      <c r="G806" s="2"/>
      <c r="H806" s="2"/>
      <c r="I806" s="2"/>
      <c r="J806" s="2"/>
    </row>
    <row r="807" ht="15.75" customHeight="1">
      <c r="A807" s="4" t="str">
        <f>HYPERLINK("https://stackoverflow.com/q/47823345", "47823345")</f>
        <v>47823345</v>
      </c>
      <c r="B807" s="2" t="s">
        <v>849</v>
      </c>
      <c r="C807" s="3">
        <v>1.0</v>
      </c>
      <c r="D807" s="3">
        <v>580.0</v>
      </c>
      <c r="E807" s="2" t="s">
        <v>59</v>
      </c>
      <c r="F807" s="2" t="s">
        <v>538</v>
      </c>
      <c r="G807" s="2"/>
      <c r="H807" s="2"/>
      <c r="I807" s="2"/>
      <c r="J807" s="2"/>
    </row>
    <row r="808" ht="15.75" customHeight="1">
      <c r="A808" s="4" t="str">
        <f>HYPERLINK("https://stackoverflow.com/q/42483638", "42483638")</f>
        <v>42483638</v>
      </c>
      <c r="B808" s="2" t="s">
        <v>850</v>
      </c>
      <c r="C808" s="3"/>
      <c r="D808" s="3">
        <v>580.0</v>
      </c>
      <c r="E808" s="2" t="s">
        <v>11</v>
      </c>
      <c r="F808" s="2" t="s">
        <v>35</v>
      </c>
      <c r="G808" s="2"/>
      <c r="H808" s="2"/>
      <c r="I808" s="2"/>
      <c r="J808" s="2"/>
    </row>
    <row r="809" ht="15.75" customHeight="1">
      <c r="A809" s="4" t="str">
        <f>HYPERLINK("https://stackoverflow.com/q/14530767", "14530767")</f>
        <v>14530767</v>
      </c>
      <c r="B809" s="2" t="s">
        <v>851</v>
      </c>
      <c r="C809" s="3"/>
      <c r="D809" s="3">
        <v>580.0</v>
      </c>
      <c r="E809" s="2"/>
      <c r="F809" s="2"/>
      <c r="G809" s="2"/>
      <c r="H809" s="2"/>
      <c r="I809" s="2"/>
      <c r="J809" s="2"/>
    </row>
    <row r="810" ht="15.75" customHeight="1">
      <c r="A810" s="4" t="str">
        <f>HYPERLINK("https://stackoverflow.com/q/47388164", "47388164")</f>
        <v>47388164</v>
      </c>
      <c r="B810" s="2" t="s">
        <v>852</v>
      </c>
      <c r="C810" s="3"/>
      <c r="D810" s="3">
        <v>579.0</v>
      </c>
      <c r="E810" s="2" t="s">
        <v>11</v>
      </c>
      <c r="F810" s="2" t="s">
        <v>18</v>
      </c>
      <c r="G810" s="2"/>
      <c r="H810" s="2"/>
      <c r="I810" s="2"/>
      <c r="J810" s="2"/>
    </row>
    <row r="811" ht="15.75" customHeight="1">
      <c r="A811" s="4" t="str">
        <f>HYPERLINK("https://stackoverflow.com/q/45232971", "45232971")</f>
        <v>45232971</v>
      </c>
      <c r="B811" s="2" t="s">
        <v>853</v>
      </c>
      <c r="C811" s="3"/>
      <c r="D811" s="3">
        <v>577.0</v>
      </c>
      <c r="E811" s="2"/>
      <c r="F811" s="2"/>
      <c r="G811" s="2"/>
      <c r="H811" s="2"/>
      <c r="I811" s="2"/>
      <c r="J811" s="2"/>
    </row>
    <row r="812" ht="15.75" customHeight="1">
      <c r="A812" s="4" t="str">
        <f>HYPERLINK("https://stackoverflow.com/q/54563348", "54563348")</f>
        <v>54563348</v>
      </c>
      <c r="B812" s="2" t="s">
        <v>854</v>
      </c>
      <c r="C812" s="3">
        <v>1.0</v>
      </c>
      <c r="D812" s="3">
        <v>576.0</v>
      </c>
      <c r="E812" s="2" t="s">
        <v>11</v>
      </c>
      <c r="F812" s="2" t="s">
        <v>73</v>
      </c>
      <c r="G812" s="2"/>
      <c r="H812" s="2"/>
      <c r="I812" s="2"/>
      <c r="J812" s="2"/>
    </row>
    <row r="813" ht="15.75" customHeight="1">
      <c r="A813" s="4" t="str">
        <f>HYPERLINK("https://stackoverflow.com/q/18624062", "18624062")</f>
        <v>18624062</v>
      </c>
      <c r="B813" s="2" t="s">
        <v>855</v>
      </c>
      <c r="C813" s="3"/>
      <c r="D813" s="3">
        <v>576.0</v>
      </c>
      <c r="E813" s="2"/>
      <c r="F813" s="2"/>
      <c r="G813" s="2"/>
      <c r="H813" s="2"/>
      <c r="I813" s="2"/>
      <c r="J813" s="2"/>
    </row>
    <row r="814" ht="15.75" customHeight="1">
      <c r="A814" s="4" t="str">
        <f>HYPERLINK("https://stackoverflow.com/q/24559072", "24559072")</f>
        <v>24559072</v>
      </c>
      <c r="B814" s="2" t="s">
        <v>856</v>
      </c>
      <c r="C814" s="3"/>
      <c r="D814" s="3">
        <v>576.0</v>
      </c>
      <c r="E814" s="2"/>
      <c r="F814" s="2"/>
      <c r="G814" s="2"/>
      <c r="H814" s="2"/>
      <c r="I814" s="2"/>
      <c r="J814" s="2"/>
    </row>
    <row r="815" ht="15.75" customHeight="1">
      <c r="A815" s="4" t="str">
        <f>HYPERLINK("https://stackoverflow.com/q/41994114", "41994114")</f>
        <v>41994114</v>
      </c>
      <c r="B815" s="2" t="s">
        <v>857</v>
      </c>
      <c r="C815" s="3">
        <v>1.0</v>
      </c>
      <c r="D815" s="3">
        <v>575.0</v>
      </c>
      <c r="E815" s="2" t="s">
        <v>11</v>
      </c>
      <c r="F815" s="2" t="s">
        <v>35</v>
      </c>
      <c r="G815" s="2"/>
      <c r="H815" s="2"/>
      <c r="I815" s="2"/>
      <c r="J815" s="2"/>
    </row>
    <row r="816" ht="15.75" customHeight="1">
      <c r="A816" s="4" t="str">
        <f>HYPERLINK("https://stackoverflow.com/q/45767036", "45767036")</f>
        <v>45767036</v>
      </c>
      <c r="B816" s="2" t="s">
        <v>858</v>
      </c>
      <c r="C816" s="3"/>
      <c r="D816" s="3">
        <v>575.0</v>
      </c>
      <c r="E816" s="2"/>
      <c r="F816" s="2"/>
      <c r="G816" s="2"/>
      <c r="H816" s="2"/>
      <c r="I816" s="2"/>
      <c r="J816" s="2"/>
    </row>
    <row r="817" ht="15.75" customHeight="1">
      <c r="A817" s="4" t="str">
        <f>HYPERLINK("https://stackoverflow.com/q/51750774", "51750774")</f>
        <v>51750774</v>
      </c>
      <c r="B817" s="2" t="s">
        <v>859</v>
      </c>
      <c r="C817" s="3"/>
      <c r="D817" s="3">
        <v>575.0</v>
      </c>
      <c r="E817" s="2"/>
      <c r="F817" s="2"/>
      <c r="G817" s="2"/>
      <c r="H817" s="2"/>
      <c r="I817" s="2"/>
      <c r="J817" s="2"/>
    </row>
    <row r="818" ht="15.75" customHeight="1">
      <c r="A818" s="4" t="str">
        <f>HYPERLINK("https://stackoverflow.com/q/58416280", "58416280")</f>
        <v>58416280</v>
      </c>
      <c r="B818" s="2" t="s">
        <v>860</v>
      </c>
      <c r="C818" s="3"/>
      <c r="D818" s="3">
        <v>571.0</v>
      </c>
      <c r="E818" s="2"/>
      <c r="F818" s="2"/>
      <c r="G818" s="2"/>
      <c r="H818" s="2"/>
      <c r="I818" s="2"/>
      <c r="J818" s="2"/>
    </row>
    <row r="819" ht="15.75" customHeight="1">
      <c r="A819" s="4" t="str">
        <f>HYPERLINK("https://stackoverflow.com/q/37020959", "37020959")</f>
        <v>37020959</v>
      </c>
      <c r="B819" s="2" t="s">
        <v>861</v>
      </c>
      <c r="C819" s="3">
        <v>3.0</v>
      </c>
      <c r="D819" s="3">
        <v>570.0</v>
      </c>
      <c r="E819" s="2"/>
      <c r="F819" s="2"/>
      <c r="G819" s="2"/>
      <c r="H819" s="2"/>
      <c r="I819" s="2"/>
      <c r="J819" s="2"/>
    </row>
    <row r="820" ht="15.75" customHeight="1">
      <c r="A820" s="4" t="str">
        <f>HYPERLINK("https://stackoverflow.com/q/50852150", "50852150")</f>
        <v>50852150</v>
      </c>
      <c r="B820" s="2" t="s">
        <v>862</v>
      </c>
      <c r="C820" s="3"/>
      <c r="D820" s="3">
        <v>569.0</v>
      </c>
      <c r="E820" s="2"/>
      <c r="F820" s="2"/>
      <c r="G820" s="2"/>
      <c r="H820" s="2"/>
      <c r="I820" s="2"/>
      <c r="J820" s="2"/>
    </row>
    <row r="821" ht="15.75" customHeight="1">
      <c r="A821" s="4" t="str">
        <f>HYPERLINK("https://stackoverflow.com/q/56284033", "56284033")</f>
        <v>56284033</v>
      </c>
      <c r="B821" s="2" t="s">
        <v>863</v>
      </c>
      <c r="C821" s="3">
        <v>0.0</v>
      </c>
      <c r="D821" s="3">
        <v>567.0</v>
      </c>
      <c r="E821" s="2"/>
      <c r="F821" s="2"/>
      <c r="G821" s="2"/>
      <c r="H821" s="2"/>
      <c r="I821" s="2"/>
      <c r="J821" s="2"/>
    </row>
    <row r="822" ht="15.75" customHeight="1">
      <c r="A822" s="4" t="str">
        <f>HYPERLINK("https://stackoverflow.com/q/47742984", "47742984")</f>
        <v>47742984</v>
      </c>
      <c r="B822" s="2" t="s">
        <v>864</v>
      </c>
      <c r="C822" s="3"/>
      <c r="D822" s="3">
        <v>567.0</v>
      </c>
      <c r="E822" s="2" t="s">
        <v>11</v>
      </c>
      <c r="F822" s="2" t="s">
        <v>25</v>
      </c>
      <c r="G822" s="2"/>
      <c r="H822" s="2"/>
      <c r="I822" s="2"/>
      <c r="J822" s="2"/>
    </row>
    <row r="823" ht="15.75" customHeight="1">
      <c r="A823" s="4" t="str">
        <f>HYPERLINK("https://stackoverflow.com/q/41800137", "41800137")</f>
        <v>41800137</v>
      </c>
      <c r="B823" s="2" t="s">
        <v>865</v>
      </c>
      <c r="C823" s="3"/>
      <c r="D823" s="3">
        <v>566.0</v>
      </c>
      <c r="E823" s="2" t="s">
        <v>86</v>
      </c>
      <c r="F823" s="2" t="s">
        <v>87</v>
      </c>
      <c r="G823" s="2"/>
      <c r="H823" s="2"/>
      <c r="I823" s="2"/>
      <c r="J823" s="2"/>
    </row>
    <row r="824" ht="15.75" customHeight="1">
      <c r="A824" s="4" t="str">
        <f>HYPERLINK("https://stackoverflow.com/q/41467659", "41467659")</f>
        <v>41467659</v>
      </c>
      <c r="B824" s="2" t="s">
        <v>866</v>
      </c>
      <c r="C824" s="3">
        <v>1.0</v>
      </c>
      <c r="D824" s="3">
        <v>565.0</v>
      </c>
      <c r="E824" s="2" t="s">
        <v>72</v>
      </c>
      <c r="F824" s="2" t="s">
        <v>506</v>
      </c>
      <c r="G824" s="2" t="s">
        <v>21</v>
      </c>
      <c r="H824" s="2"/>
      <c r="I824" s="2"/>
      <c r="J824" s="2"/>
    </row>
    <row r="825" ht="15.75" customHeight="1">
      <c r="A825" s="4" t="str">
        <f>HYPERLINK("https://stackoverflow.com/q/43454540", "43454540")</f>
        <v>43454540</v>
      </c>
      <c r="B825" s="2" t="s">
        <v>867</v>
      </c>
      <c r="C825" s="3"/>
      <c r="D825" s="3">
        <v>564.0</v>
      </c>
      <c r="E825" s="2" t="s">
        <v>11</v>
      </c>
      <c r="F825" s="2" t="s">
        <v>263</v>
      </c>
      <c r="G825" s="2"/>
      <c r="H825" s="2"/>
      <c r="I825" s="2"/>
      <c r="J825" s="2"/>
    </row>
    <row r="826" ht="15.75" customHeight="1">
      <c r="A826" s="4" t="str">
        <f>HYPERLINK("https://stackoverflow.com/q/35250844", "35250844")</f>
        <v>35250844</v>
      </c>
      <c r="B826" s="2" t="s">
        <v>868</v>
      </c>
      <c r="C826" s="3"/>
      <c r="D826" s="3">
        <v>564.0</v>
      </c>
      <c r="E826" s="2"/>
      <c r="F826" s="2"/>
      <c r="G826" s="2"/>
      <c r="H826" s="2"/>
      <c r="I826" s="2"/>
      <c r="J826" s="2"/>
    </row>
    <row r="827" ht="15.75" customHeight="1">
      <c r="A827" s="4" t="str">
        <f>HYPERLINK("https://stackoverflow.com/q/56969396", "56969396")</f>
        <v>56969396</v>
      </c>
      <c r="B827" s="2" t="s">
        <v>869</v>
      </c>
      <c r="C827" s="3"/>
      <c r="D827" s="3">
        <v>564.0</v>
      </c>
      <c r="E827" s="2"/>
      <c r="F827" s="2"/>
      <c r="G827" s="2"/>
      <c r="H827" s="2"/>
      <c r="I827" s="2"/>
      <c r="J827" s="2"/>
    </row>
    <row r="828" ht="15.75" customHeight="1">
      <c r="A828" s="4" t="str">
        <f>HYPERLINK("https://stackoverflow.com/q/51398947", "51398947")</f>
        <v>51398947</v>
      </c>
      <c r="B828" s="2" t="s">
        <v>870</v>
      </c>
      <c r="C828" s="3">
        <v>1.0</v>
      </c>
      <c r="D828" s="3">
        <v>563.0</v>
      </c>
      <c r="E828" s="2"/>
      <c r="F828" s="2"/>
      <c r="G828" s="2"/>
      <c r="H828" s="2"/>
      <c r="I828" s="2"/>
      <c r="J828" s="2"/>
    </row>
    <row r="829" ht="15.75" customHeight="1">
      <c r="A829" s="4" t="str">
        <f>HYPERLINK("https://stackoverflow.com/q/42277585", "42277585")</f>
        <v>42277585</v>
      </c>
      <c r="B829" s="2" t="s">
        <v>871</v>
      </c>
      <c r="C829" s="3"/>
      <c r="D829" s="3">
        <v>563.0</v>
      </c>
      <c r="E829" s="2" t="s">
        <v>11</v>
      </c>
      <c r="F829" s="2" t="s">
        <v>12</v>
      </c>
      <c r="G829" s="2"/>
      <c r="H829" s="2"/>
      <c r="I829" s="2"/>
      <c r="J829" s="2"/>
    </row>
    <row r="830" ht="15.75" customHeight="1">
      <c r="A830" s="4" t="str">
        <f>HYPERLINK("https://stackoverflow.com/q/24821180", "24821180")</f>
        <v>24821180</v>
      </c>
      <c r="B830" s="2" t="s">
        <v>872</v>
      </c>
      <c r="C830" s="3"/>
      <c r="D830" s="3">
        <v>563.0</v>
      </c>
      <c r="E830" s="2"/>
      <c r="F830" s="2"/>
      <c r="G830" s="2"/>
      <c r="H830" s="2"/>
      <c r="I830" s="2"/>
      <c r="J830" s="2"/>
    </row>
    <row r="831" ht="15.75" customHeight="1">
      <c r="A831" s="4" t="str">
        <f>HYPERLINK("https://stackoverflow.com/q/35776176", "35776176")</f>
        <v>35776176</v>
      </c>
      <c r="B831" s="2" t="s">
        <v>873</v>
      </c>
      <c r="C831" s="3"/>
      <c r="D831" s="3">
        <v>563.0</v>
      </c>
      <c r="E831" s="2"/>
      <c r="F831" s="2"/>
      <c r="G831" s="2"/>
      <c r="H831" s="2"/>
      <c r="I831" s="2"/>
      <c r="J831" s="2"/>
    </row>
    <row r="832" ht="15.75" customHeight="1">
      <c r="A832" s="4" t="str">
        <f>HYPERLINK("https://stackoverflow.com/q/48392222", "48392222")</f>
        <v>48392222</v>
      </c>
      <c r="B832" s="2" t="s">
        <v>874</v>
      </c>
      <c r="C832" s="3"/>
      <c r="D832" s="3">
        <v>563.0</v>
      </c>
      <c r="E832" s="2"/>
      <c r="F832" s="2"/>
      <c r="G832" s="2"/>
      <c r="H832" s="2"/>
      <c r="I832" s="2"/>
      <c r="J832" s="2"/>
    </row>
    <row r="833" ht="15.75" customHeight="1">
      <c r="A833" s="4" t="str">
        <f>HYPERLINK("https://stackoverflow.com/q/52563232", "52563232")</f>
        <v>52563232</v>
      </c>
      <c r="B833" s="2" t="s">
        <v>875</v>
      </c>
      <c r="C833" s="3"/>
      <c r="D833" s="3">
        <v>563.0</v>
      </c>
      <c r="E833" s="2"/>
      <c r="F833" s="2"/>
      <c r="G833" s="2"/>
      <c r="H833" s="2"/>
      <c r="I833" s="2"/>
      <c r="J833" s="2"/>
    </row>
    <row r="834" ht="15.75" customHeight="1">
      <c r="A834" s="4" t="str">
        <f>HYPERLINK("https://stackoverflow.com/q/52684091", "52684091")</f>
        <v>52684091</v>
      </c>
      <c r="B834" s="2" t="s">
        <v>876</v>
      </c>
      <c r="C834" s="3"/>
      <c r="D834" s="3">
        <v>562.0</v>
      </c>
      <c r="E834" s="2"/>
      <c r="F834" s="2"/>
      <c r="G834" s="2"/>
      <c r="H834" s="2"/>
      <c r="I834" s="2"/>
      <c r="J834" s="2"/>
    </row>
    <row r="835" ht="15.75" customHeight="1">
      <c r="A835" s="4" t="str">
        <f>HYPERLINK("https://stackoverflow.com/q/58143390", "58143390")</f>
        <v>58143390</v>
      </c>
      <c r="B835" s="2" t="s">
        <v>877</v>
      </c>
      <c r="C835" s="3"/>
      <c r="D835" s="3">
        <v>562.0</v>
      </c>
      <c r="E835" s="2"/>
      <c r="F835" s="2"/>
      <c r="G835" s="2"/>
      <c r="H835" s="2"/>
      <c r="I835" s="2"/>
      <c r="J835" s="2"/>
    </row>
    <row r="836" ht="15.75" customHeight="1">
      <c r="A836" s="4" t="str">
        <f>HYPERLINK("https://stackoverflow.com/q/52370349", "52370349")</f>
        <v>52370349</v>
      </c>
      <c r="B836" s="2" t="s">
        <v>878</v>
      </c>
      <c r="C836" s="3"/>
      <c r="D836" s="3">
        <v>561.0</v>
      </c>
      <c r="E836" s="2"/>
      <c r="F836" s="2"/>
      <c r="G836" s="2"/>
      <c r="H836" s="2"/>
      <c r="I836" s="2"/>
      <c r="J836" s="2"/>
    </row>
    <row r="837" ht="15.75" customHeight="1">
      <c r="A837" s="4" t="str">
        <f>HYPERLINK("https://stackoverflow.com/q/48342522", "48342522")</f>
        <v>48342522</v>
      </c>
      <c r="B837" s="2" t="s">
        <v>879</v>
      </c>
      <c r="C837" s="3">
        <v>1.0</v>
      </c>
      <c r="D837" s="3">
        <v>560.0</v>
      </c>
      <c r="E837" s="2"/>
      <c r="F837" s="2"/>
      <c r="G837" s="2"/>
      <c r="H837" s="2"/>
      <c r="I837" s="2"/>
      <c r="J837" s="2"/>
    </row>
    <row r="838" ht="15.75" customHeight="1">
      <c r="A838" s="4" t="str">
        <f>HYPERLINK("https://stackoverflow.com/q/46463283", "46463283")</f>
        <v>46463283</v>
      </c>
      <c r="B838" s="2" t="s">
        <v>880</v>
      </c>
      <c r="C838" s="3"/>
      <c r="D838" s="3">
        <v>560.0</v>
      </c>
      <c r="E838" s="2" t="s">
        <v>59</v>
      </c>
      <c r="F838" s="2" t="s">
        <v>28</v>
      </c>
      <c r="G838" s="2"/>
      <c r="H838" s="2"/>
      <c r="I838" s="2"/>
      <c r="J838" s="2"/>
    </row>
    <row r="839" ht="15.75" customHeight="1">
      <c r="A839" s="4" t="str">
        <f>HYPERLINK("https://stackoverflow.com/q/59134196", "59134196")</f>
        <v>59134196</v>
      </c>
      <c r="B839" s="2" t="s">
        <v>881</v>
      </c>
      <c r="C839" s="3"/>
      <c r="D839" s="3">
        <v>560.0</v>
      </c>
      <c r="E839" s="2"/>
      <c r="F839" s="2"/>
      <c r="G839" s="2"/>
      <c r="H839" s="2"/>
      <c r="I839" s="2"/>
      <c r="J839" s="2"/>
    </row>
    <row r="840" ht="15.75" customHeight="1">
      <c r="A840" s="4" t="str">
        <f>HYPERLINK("https://stackoverflow.com/q/47764200", "47764200")</f>
        <v>47764200</v>
      </c>
      <c r="B840" s="2" t="s">
        <v>882</v>
      </c>
      <c r="C840" s="3">
        <v>1.0</v>
      </c>
      <c r="D840" s="3">
        <v>559.0</v>
      </c>
      <c r="E840" s="2" t="s">
        <v>11</v>
      </c>
      <c r="F840" s="2" t="s">
        <v>25</v>
      </c>
      <c r="G840" s="2"/>
      <c r="H840" s="2"/>
      <c r="I840" s="2"/>
      <c r="J840" s="2"/>
    </row>
    <row r="841" ht="15.75" customHeight="1">
      <c r="A841" s="4" t="str">
        <f>HYPERLINK("https://stackoverflow.com/q/52585467", "52585467")</f>
        <v>52585467</v>
      </c>
      <c r="B841" s="2" t="s">
        <v>883</v>
      </c>
      <c r="C841" s="3"/>
      <c r="D841" s="3">
        <v>558.0</v>
      </c>
      <c r="E841" s="2"/>
      <c r="F841" s="2"/>
      <c r="G841" s="2"/>
      <c r="H841" s="2"/>
      <c r="I841" s="2"/>
      <c r="J841" s="2"/>
    </row>
    <row r="842" ht="15.75" customHeight="1">
      <c r="A842" s="4" t="str">
        <f>HYPERLINK("https://stackoverflow.com/q/52126309", "52126309")</f>
        <v>52126309</v>
      </c>
      <c r="B842" s="2" t="s">
        <v>884</v>
      </c>
      <c r="C842" s="3">
        <v>1.0</v>
      </c>
      <c r="D842" s="3">
        <v>557.0</v>
      </c>
      <c r="E842" s="2"/>
      <c r="F842" s="2"/>
      <c r="G842" s="2"/>
      <c r="H842" s="2"/>
      <c r="I842" s="2"/>
      <c r="J842" s="2"/>
    </row>
    <row r="843" ht="15.75" customHeight="1">
      <c r="A843" s="4" t="str">
        <f>HYPERLINK("https://stackoverflow.com/q/35117639", "35117639")</f>
        <v>35117639</v>
      </c>
      <c r="B843" s="2" t="s">
        <v>885</v>
      </c>
      <c r="C843" s="3"/>
      <c r="D843" s="3">
        <v>557.0</v>
      </c>
      <c r="E843" s="2"/>
      <c r="F843" s="2"/>
      <c r="G843" s="2"/>
      <c r="H843" s="2"/>
      <c r="I843" s="2"/>
      <c r="J843" s="2"/>
    </row>
    <row r="844" ht="15.75" customHeight="1">
      <c r="A844" s="4" t="str">
        <f>HYPERLINK("https://stackoverflow.com/q/44838564", "44838564")</f>
        <v>44838564</v>
      </c>
      <c r="B844" s="2" t="s">
        <v>886</v>
      </c>
      <c r="C844" s="3"/>
      <c r="D844" s="3">
        <v>557.0</v>
      </c>
      <c r="E844" s="2"/>
      <c r="F844" s="2"/>
      <c r="G844" s="2"/>
      <c r="H844" s="2"/>
      <c r="I844" s="2"/>
      <c r="J844" s="2"/>
    </row>
    <row r="845" ht="15.75" customHeight="1">
      <c r="A845" s="4" t="str">
        <f>HYPERLINK("https://stackoverflow.com/q/58711935", "58711935")</f>
        <v>58711935</v>
      </c>
      <c r="B845" s="2" t="s">
        <v>887</v>
      </c>
      <c r="C845" s="3"/>
      <c r="D845" s="3">
        <v>555.0</v>
      </c>
      <c r="E845" s="2"/>
      <c r="F845" s="2"/>
      <c r="G845" s="2"/>
      <c r="H845" s="2"/>
      <c r="I845" s="2"/>
      <c r="J845" s="2"/>
    </row>
    <row r="846" ht="15.75" customHeight="1">
      <c r="A846" s="4" t="str">
        <f>HYPERLINK("https://stackoverflow.com/q/48805877", "48805877")</f>
        <v>48805877</v>
      </c>
      <c r="B846" s="2" t="s">
        <v>888</v>
      </c>
      <c r="C846" s="3"/>
      <c r="D846" s="3">
        <v>554.0</v>
      </c>
      <c r="E846" s="2"/>
      <c r="F846" s="2"/>
      <c r="G846" s="2"/>
      <c r="H846" s="2"/>
      <c r="I846" s="2"/>
      <c r="J846" s="2"/>
    </row>
    <row r="847" ht="15.75" customHeight="1">
      <c r="A847" s="4" t="str">
        <f>HYPERLINK("https://stackoverflow.com/q/53666484", "53666484")</f>
        <v>53666484</v>
      </c>
      <c r="B847" s="2" t="s">
        <v>889</v>
      </c>
      <c r="C847" s="3"/>
      <c r="D847" s="3">
        <v>554.0</v>
      </c>
      <c r="E847" s="2"/>
      <c r="F847" s="2"/>
      <c r="G847" s="2"/>
      <c r="H847" s="2"/>
      <c r="I847" s="2"/>
      <c r="J847" s="2"/>
    </row>
    <row r="848" ht="15.75" customHeight="1">
      <c r="A848" s="4" t="str">
        <f>HYPERLINK("https://stackoverflow.com/q/53648077", "53648077")</f>
        <v>53648077</v>
      </c>
      <c r="B848" s="2" t="s">
        <v>890</v>
      </c>
      <c r="C848" s="3"/>
      <c r="D848" s="3">
        <v>552.0</v>
      </c>
      <c r="E848" s="2"/>
      <c r="F848" s="2"/>
      <c r="G848" s="2"/>
      <c r="H848" s="2"/>
      <c r="I848" s="2"/>
      <c r="J848" s="2"/>
    </row>
    <row r="849" ht="15.75" customHeight="1">
      <c r="A849" s="4" t="str">
        <f>HYPERLINK("https://stackoverflow.com/q/56896965", "56896965")</f>
        <v>56896965</v>
      </c>
      <c r="B849" s="2" t="s">
        <v>891</v>
      </c>
      <c r="C849" s="3"/>
      <c r="D849" s="3">
        <v>552.0</v>
      </c>
      <c r="E849" s="2"/>
      <c r="F849" s="2"/>
      <c r="G849" s="2"/>
      <c r="H849" s="2"/>
      <c r="I849" s="2"/>
      <c r="J849" s="2"/>
    </row>
    <row r="850" ht="15.75" customHeight="1">
      <c r="A850" s="4" t="str">
        <f>HYPERLINK("https://stackoverflow.com/q/43201890", "43201890")</f>
        <v>43201890</v>
      </c>
      <c r="B850" s="2" t="s">
        <v>892</v>
      </c>
      <c r="C850" s="3">
        <v>1.0</v>
      </c>
      <c r="D850" s="3">
        <v>550.0</v>
      </c>
      <c r="E850" s="2" t="s">
        <v>11</v>
      </c>
      <c r="F850" s="2" t="s">
        <v>25</v>
      </c>
      <c r="G850" s="2"/>
      <c r="H850" s="2"/>
      <c r="I850" s="2"/>
      <c r="J850" s="2"/>
    </row>
    <row r="851" ht="15.75" customHeight="1">
      <c r="A851" s="4" t="str">
        <f>HYPERLINK("https://stackoverflow.com/q/50168921", "50168921")</f>
        <v>50168921</v>
      </c>
      <c r="B851" s="2" t="s">
        <v>893</v>
      </c>
      <c r="C851" s="3"/>
      <c r="D851" s="3">
        <v>550.0</v>
      </c>
      <c r="E851" s="2"/>
      <c r="F851" s="2"/>
      <c r="G851" s="2"/>
      <c r="H851" s="2"/>
      <c r="I851" s="2"/>
      <c r="J851" s="2"/>
    </row>
    <row r="852" ht="15.75" customHeight="1">
      <c r="A852" s="4" t="str">
        <f>HYPERLINK("https://stackoverflow.com/q/55647746", "55647746")</f>
        <v>55647746</v>
      </c>
      <c r="B852" s="2" t="s">
        <v>894</v>
      </c>
      <c r="C852" s="3"/>
      <c r="D852" s="3">
        <v>550.0</v>
      </c>
      <c r="E852" s="2"/>
      <c r="F852" s="2"/>
      <c r="G852" s="2"/>
      <c r="H852" s="2"/>
      <c r="I852" s="2"/>
      <c r="J852" s="2"/>
    </row>
    <row r="853" ht="15.75" customHeight="1">
      <c r="A853" s="4" t="str">
        <f>HYPERLINK("https://stackoverflow.com/q/49997339", "49997339")</f>
        <v>49997339</v>
      </c>
      <c r="B853" s="2" t="s">
        <v>895</v>
      </c>
      <c r="C853" s="3">
        <v>1.0</v>
      </c>
      <c r="D853" s="3">
        <v>549.0</v>
      </c>
      <c r="E853" s="2"/>
      <c r="F853" s="2"/>
      <c r="G853" s="2"/>
      <c r="H853" s="2"/>
      <c r="I853" s="2"/>
      <c r="J853" s="2"/>
    </row>
    <row r="854" ht="15.75" customHeight="1">
      <c r="A854" s="4" t="str">
        <f>HYPERLINK("https://stackoverflow.com/q/47886587", "47886587")</f>
        <v>47886587</v>
      </c>
      <c r="B854" s="2" t="s">
        <v>896</v>
      </c>
      <c r="C854" s="3"/>
      <c r="D854" s="3">
        <v>549.0</v>
      </c>
      <c r="E854" s="2" t="s">
        <v>11</v>
      </c>
      <c r="F854" s="2" t="s">
        <v>12</v>
      </c>
      <c r="G854" s="2"/>
      <c r="H854" s="2"/>
      <c r="I854" s="2"/>
      <c r="J854" s="2"/>
    </row>
    <row r="855" ht="15.75" customHeight="1">
      <c r="A855" s="4" t="str">
        <f>HYPERLINK("https://stackoverflow.com/q/32772409", "32772409")</f>
        <v>32772409</v>
      </c>
      <c r="B855" s="2" t="s">
        <v>897</v>
      </c>
      <c r="C855" s="3"/>
      <c r="D855" s="3">
        <v>547.0</v>
      </c>
      <c r="E855" s="2"/>
      <c r="F855" s="2"/>
      <c r="G855" s="2"/>
      <c r="H855" s="2"/>
      <c r="I855" s="2"/>
      <c r="J855" s="2"/>
    </row>
    <row r="856" ht="15.75" customHeight="1">
      <c r="A856" s="4" t="str">
        <f>HYPERLINK("https://stackoverflow.com/q/43877814", "43877814")</f>
        <v>43877814</v>
      </c>
      <c r="B856" s="2" t="s">
        <v>898</v>
      </c>
      <c r="C856" s="3"/>
      <c r="D856" s="3">
        <v>546.0</v>
      </c>
      <c r="E856" s="2" t="s">
        <v>11</v>
      </c>
      <c r="F856" s="2" t="s">
        <v>35</v>
      </c>
      <c r="G856" s="2"/>
      <c r="H856" s="2"/>
      <c r="I856" s="2"/>
      <c r="J856" s="2"/>
    </row>
    <row r="857" ht="15.75" customHeight="1">
      <c r="A857" s="4" t="str">
        <f>HYPERLINK("https://stackoverflow.com/q/46492413", "46492413")</f>
        <v>46492413</v>
      </c>
      <c r="B857" s="2" t="s">
        <v>899</v>
      </c>
      <c r="C857" s="3"/>
      <c r="D857" s="3">
        <v>546.0</v>
      </c>
      <c r="E857" s="9" t="s">
        <v>11</v>
      </c>
      <c r="F857" s="2" t="s">
        <v>18</v>
      </c>
      <c r="G857" s="2"/>
      <c r="H857" s="2"/>
      <c r="I857" s="2"/>
      <c r="J857" s="2"/>
    </row>
    <row r="858" ht="15.75" customHeight="1">
      <c r="A858" s="4" t="str">
        <f>HYPERLINK("https://stackoverflow.com/q/51312073", "51312073")</f>
        <v>51312073</v>
      </c>
      <c r="B858" s="2" t="s">
        <v>900</v>
      </c>
      <c r="C858" s="3"/>
      <c r="D858" s="3">
        <v>546.0</v>
      </c>
      <c r="E858" s="2" t="s">
        <v>11</v>
      </c>
      <c r="F858" s="2" t="s">
        <v>73</v>
      </c>
      <c r="G858" s="2"/>
      <c r="H858" s="2"/>
      <c r="I858" s="2"/>
      <c r="J858" s="2"/>
    </row>
    <row r="859" ht="15.75" customHeight="1">
      <c r="A859" s="4" t="str">
        <f>HYPERLINK("https://stackoverflow.com/q/14534834", "14534834")</f>
        <v>14534834</v>
      </c>
      <c r="B859" s="2" t="s">
        <v>901</v>
      </c>
      <c r="C859" s="3"/>
      <c r="D859" s="3">
        <v>546.0</v>
      </c>
      <c r="E859" s="2"/>
      <c r="F859" s="2"/>
      <c r="G859" s="2"/>
      <c r="H859" s="2"/>
      <c r="I859" s="2"/>
      <c r="J859" s="2"/>
    </row>
    <row r="860" ht="15.75" customHeight="1">
      <c r="A860" s="4" t="str">
        <f>HYPERLINK("https://stackoverflow.com/q/58687783", "58687783")</f>
        <v>58687783</v>
      </c>
      <c r="B860" s="2" t="s">
        <v>902</v>
      </c>
      <c r="C860" s="3"/>
      <c r="D860" s="3">
        <v>546.0</v>
      </c>
      <c r="E860" s="2"/>
      <c r="F860" s="2"/>
      <c r="G860" s="2"/>
      <c r="H860" s="2"/>
      <c r="I860" s="2"/>
      <c r="J860" s="2"/>
    </row>
    <row r="861" ht="15.75" customHeight="1">
      <c r="A861" s="4" t="str">
        <f>HYPERLINK("https://stackoverflow.com/q/50874376", "50874376")</f>
        <v>50874376</v>
      </c>
      <c r="B861" s="2" t="s">
        <v>903</v>
      </c>
      <c r="C861" s="3"/>
      <c r="D861" s="3">
        <v>545.0</v>
      </c>
      <c r="E861" s="2"/>
      <c r="F861" s="2"/>
      <c r="G861" s="2"/>
      <c r="H861" s="2"/>
      <c r="I861" s="2"/>
      <c r="J861" s="2"/>
    </row>
    <row r="862" ht="15.75" customHeight="1">
      <c r="A862" s="4" t="str">
        <f>HYPERLINK("https://stackoverflow.com/q/49954489", "49954489")</f>
        <v>49954489</v>
      </c>
      <c r="B862" s="2" t="s">
        <v>904</v>
      </c>
      <c r="C862" s="3"/>
      <c r="D862" s="3">
        <v>544.0</v>
      </c>
      <c r="E862" s="2"/>
      <c r="F862" s="2"/>
      <c r="G862" s="2"/>
      <c r="H862" s="2"/>
      <c r="I862" s="2"/>
      <c r="J862" s="2"/>
    </row>
    <row r="863" ht="15.75" customHeight="1">
      <c r="A863" s="4" t="str">
        <f>HYPERLINK("https://stackoverflow.com/q/42623994", "42623994")</f>
        <v>42623994</v>
      </c>
      <c r="B863" s="2" t="s">
        <v>905</v>
      </c>
      <c r="C863" s="3"/>
      <c r="D863" s="3">
        <v>543.0</v>
      </c>
      <c r="E863" s="9" t="s">
        <v>11</v>
      </c>
      <c r="F863" s="2" t="s">
        <v>18</v>
      </c>
      <c r="G863" s="2"/>
      <c r="H863" s="2"/>
      <c r="I863" s="2"/>
      <c r="J863" s="2"/>
    </row>
    <row r="864" ht="15.75" customHeight="1">
      <c r="A864" s="4" t="str">
        <f>HYPERLINK("https://stackoverflow.com/q/46277360", "46277360")</f>
        <v>46277360</v>
      </c>
      <c r="B864" s="2" t="s">
        <v>906</v>
      </c>
      <c r="C864" s="3"/>
      <c r="D864" s="3">
        <v>543.0</v>
      </c>
      <c r="E864" s="2" t="s">
        <v>11</v>
      </c>
      <c r="F864" s="2" t="s">
        <v>25</v>
      </c>
      <c r="G864" s="2"/>
      <c r="H864" s="2"/>
      <c r="I864" s="2"/>
      <c r="J864" s="2"/>
    </row>
    <row r="865" ht="15.75" customHeight="1">
      <c r="A865" s="4" t="str">
        <f>HYPERLINK("https://stackoverflow.com/q/55905651", "55905651")</f>
        <v>55905651</v>
      </c>
      <c r="B865" s="2" t="s">
        <v>907</v>
      </c>
      <c r="C865" s="3"/>
      <c r="D865" s="3">
        <v>543.0</v>
      </c>
      <c r="E865" s="2"/>
      <c r="F865" s="2"/>
      <c r="G865" s="2"/>
      <c r="H865" s="2"/>
      <c r="I865" s="2"/>
      <c r="J865" s="2"/>
    </row>
    <row r="866" ht="15.75" customHeight="1">
      <c r="A866" s="4" t="str">
        <f>HYPERLINK("https://stackoverflow.com/q/45588139", "45588139")</f>
        <v>45588139</v>
      </c>
      <c r="B866" s="2" t="s">
        <v>908</v>
      </c>
      <c r="C866" s="3"/>
      <c r="D866" s="3">
        <v>542.0</v>
      </c>
      <c r="E866" s="2"/>
      <c r="F866" s="2"/>
      <c r="G866" s="2"/>
      <c r="H866" s="2"/>
      <c r="I866" s="2"/>
      <c r="J866" s="2"/>
    </row>
    <row r="867" ht="15.75" customHeight="1">
      <c r="A867" s="4" t="str">
        <f>HYPERLINK("https://stackoverflow.com/q/51496895", "51496895")</f>
        <v>51496895</v>
      </c>
      <c r="B867" s="2" t="s">
        <v>909</v>
      </c>
      <c r="C867" s="3"/>
      <c r="D867" s="3">
        <v>542.0</v>
      </c>
      <c r="E867" s="2"/>
      <c r="F867" s="2"/>
      <c r="G867" s="2"/>
      <c r="H867" s="2"/>
      <c r="I867" s="2"/>
      <c r="J867" s="2"/>
    </row>
    <row r="868" ht="15.75" customHeight="1">
      <c r="A868" s="4" t="str">
        <f>HYPERLINK("https://stackoverflow.com/q/55794490", "55794490")</f>
        <v>55794490</v>
      </c>
      <c r="B868" s="2" t="s">
        <v>910</v>
      </c>
      <c r="C868" s="3"/>
      <c r="D868" s="3">
        <v>542.0</v>
      </c>
      <c r="E868" s="2"/>
      <c r="F868" s="2"/>
      <c r="G868" s="2"/>
      <c r="H868" s="2"/>
      <c r="I868" s="2"/>
      <c r="J868" s="2"/>
    </row>
    <row r="869" ht="15.75" customHeight="1">
      <c r="A869" s="4" t="str">
        <f>HYPERLINK("https://stackoverflow.com/q/56650929", "56650929")</f>
        <v>56650929</v>
      </c>
      <c r="B869" s="2" t="s">
        <v>911</v>
      </c>
      <c r="C869" s="3"/>
      <c r="D869" s="3">
        <v>541.0</v>
      </c>
      <c r="E869" s="2"/>
      <c r="F869" s="2"/>
      <c r="G869" s="2"/>
      <c r="H869" s="2"/>
      <c r="I869" s="2"/>
      <c r="J869" s="2"/>
    </row>
    <row r="870" ht="15.75" customHeight="1">
      <c r="A870" s="4" t="str">
        <f>HYPERLINK("https://stackoverflow.com/q/44178272", "44178272")</f>
        <v>44178272</v>
      </c>
      <c r="B870" s="2" t="s">
        <v>912</v>
      </c>
      <c r="C870" s="3"/>
      <c r="D870" s="3">
        <v>540.0</v>
      </c>
      <c r="E870" s="2" t="s">
        <v>11</v>
      </c>
      <c r="F870" s="2" t="s">
        <v>67</v>
      </c>
      <c r="G870" s="2"/>
      <c r="H870" s="2"/>
      <c r="I870" s="2"/>
      <c r="J870" s="2"/>
    </row>
    <row r="871" ht="15.75" customHeight="1">
      <c r="A871" s="4" t="str">
        <f>HYPERLINK("https://stackoverflow.com/q/47258597", "47258597")</f>
        <v>47258597</v>
      </c>
      <c r="B871" s="2" t="s">
        <v>913</v>
      </c>
      <c r="C871" s="3"/>
      <c r="D871" s="3">
        <v>540.0</v>
      </c>
      <c r="E871" s="2" t="s">
        <v>11</v>
      </c>
      <c r="F871" s="2" t="s">
        <v>14</v>
      </c>
      <c r="G871" s="2"/>
      <c r="H871" s="2"/>
      <c r="I871" s="2"/>
      <c r="J871" s="2"/>
    </row>
    <row r="872" ht="15.75" customHeight="1">
      <c r="A872" s="4" t="str">
        <f>HYPERLINK("https://stackoverflow.com/q/53472963", "53472963")</f>
        <v>53472963</v>
      </c>
      <c r="B872" s="2" t="s">
        <v>914</v>
      </c>
      <c r="C872" s="3"/>
      <c r="D872" s="3">
        <v>539.0</v>
      </c>
      <c r="E872" s="2"/>
      <c r="F872" s="2"/>
      <c r="G872" s="2"/>
      <c r="H872" s="2"/>
      <c r="I872" s="2"/>
      <c r="J872" s="2"/>
    </row>
    <row r="873" ht="15.75" customHeight="1">
      <c r="A873" s="4" t="str">
        <f>HYPERLINK("https://stackoverflow.com/q/41904477", "41904477")</f>
        <v>41904477</v>
      </c>
      <c r="B873" s="2" t="s">
        <v>915</v>
      </c>
      <c r="C873" s="3">
        <v>2.0</v>
      </c>
      <c r="D873" s="3">
        <v>535.0</v>
      </c>
      <c r="E873" s="2" t="s">
        <v>11</v>
      </c>
      <c r="F873" s="2" t="s">
        <v>44</v>
      </c>
      <c r="G873" s="2" t="s">
        <v>49</v>
      </c>
      <c r="H873" s="2"/>
      <c r="I873" s="2"/>
      <c r="J873" s="2"/>
    </row>
    <row r="874" ht="15.75" customHeight="1">
      <c r="A874" s="4" t="str">
        <f>HYPERLINK("https://stackoverflow.com/q/51678234", "51678234")</f>
        <v>51678234</v>
      </c>
      <c r="B874" s="2" t="s">
        <v>916</v>
      </c>
      <c r="C874" s="3"/>
      <c r="D874" s="3">
        <v>535.0</v>
      </c>
      <c r="E874" s="2"/>
      <c r="F874" s="2"/>
      <c r="G874" s="2"/>
      <c r="H874" s="2"/>
      <c r="I874" s="2"/>
      <c r="J874" s="2"/>
    </row>
    <row r="875" ht="15.75" customHeight="1">
      <c r="A875" s="4" t="str">
        <f>HYPERLINK("https://stackoverflow.com/q/49467664", "49467664")</f>
        <v>49467664</v>
      </c>
      <c r="B875" s="2" t="s">
        <v>917</v>
      </c>
      <c r="C875" s="3"/>
      <c r="D875" s="3">
        <v>534.0</v>
      </c>
      <c r="E875" s="2"/>
      <c r="F875" s="2"/>
      <c r="G875" s="2"/>
      <c r="H875" s="2"/>
      <c r="I875" s="2"/>
      <c r="J875" s="2"/>
    </row>
    <row r="876" ht="15.75" customHeight="1">
      <c r="A876" s="4" t="str">
        <f>HYPERLINK("https://stackoverflow.com/q/57795677", "57795677")</f>
        <v>57795677</v>
      </c>
      <c r="B876" s="2" t="s">
        <v>918</v>
      </c>
      <c r="C876" s="3"/>
      <c r="D876" s="3">
        <v>534.0</v>
      </c>
      <c r="E876" s="2"/>
      <c r="F876" s="2"/>
      <c r="G876" s="2"/>
      <c r="H876" s="2"/>
      <c r="I876" s="2"/>
      <c r="J876" s="2"/>
    </row>
    <row r="877" ht="15.75" customHeight="1">
      <c r="A877" s="4" t="str">
        <f>HYPERLINK("https://stackoverflow.com/q/46387200", "46387200")</f>
        <v>46387200</v>
      </c>
      <c r="B877" s="2" t="s">
        <v>919</v>
      </c>
      <c r="C877" s="3"/>
      <c r="D877" s="3">
        <v>532.0</v>
      </c>
      <c r="E877" s="2" t="s">
        <v>11</v>
      </c>
      <c r="F877" s="2" t="s">
        <v>67</v>
      </c>
      <c r="G877" s="2"/>
      <c r="H877" s="2"/>
      <c r="I877" s="2"/>
      <c r="J877" s="2"/>
    </row>
    <row r="878" ht="15.75" customHeight="1">
      <c r="A878" s="4" t="str">
        <f>HYPERLINK("https://stackoverflow.com/q/31116437", "31116437")</f>
        <v>31116437</v>
      </c>
      <c r="B878" s="2" t="s">
        <v>920</v>
      </c>
      <c r="C878" s="3"/>
      <c r="D878" s="3">
        <v>531.0</v>
      </c>
      <c r="E878" s="2"/>
      <c r="F878" s="2"/>
      <c r="G878" s="2"/>
      <c r="H878" s="2"/>
      <c r="I878" s="2"/>
      <c r="J878" s="2"/>
    </row>
    <row r="879" ht="15.75" customHeight="1">
      <c r="A879" s="4" t="str">
        <f>HYPERLINK("https://stackoverflow.com/q/52078776", "52078776")</f>
        <v>52078776</v>
      </c>
      <c r="B879" s="2" t="s">
        <v>921</v>
      </c>
      <c r="C879" s="3"/>
      <c r="D879" s="3">
        <v>530.0</v>
      </c>
      <c r="E879" s="2"/>
      <c r="F879" s="2"/>
      <c r="G879" s="2"/>
      <c r="H879" s="2"/>
      <c r="I879" s="2"/>
      <c r="J879" s="2"/>
    </row>
    <row r="880" ht="15.75" customHeight="1">
      <c r="A880" s="4" t="str">
        <f>HYPERLINK("https://stackoverflow.com/q/23265831", "23265831")</f>
        <v>23265831</v>
      </c>
      <c r="B880" s="2" t="s">
        <v>922</v>
      </c>
      <c r="C880" s="3">
        <v>1.0</v>
      </c>
      <c r="D880" s="3">
        <v>529.0</v>
      </c>
      <c r="E880" s="2"/>
      <c r="F880" s="2"/>
      <c r="G880" s="2"/>
      <c r="H880" s="2"/>
      <c r="I880" s="2"/>
      <c r="J880" s="2"/>
    </row>
    <row r="881" ht="15.75" customHeight="1">
      <c r="A881" s="4" t="str">
        <f>HYPERLINK("https://stackoverflow.com/q/12892318", "12892318")</f>
        <v>12892318</v>
      </c>
      <c r="B881" s="2" t="s">
        <v>923</v>
      </c>
      <c r="C881" s="3"/>
      <c r="D881" s="3">
        <v>529.0</v>
      </c>
      <c r="E881" s="2"/>
      <c r="F881" s="2"/>
      <c r="G881" s="2"/>
      <c r="H881" s="2"/>
      <c r="I881" s="2"/>
      <c r="J881" s="2"/>
    </row>
    <row r="882" ht="15.75" customHeight="1">
      <c r="A882" s="4" t="str">
        <f>HYPERLINK("https://stackoverflow.com/q/55299725", "55299725")</f>
        <v>55299725</v>
      </c>
      <c r="B882" s="2" t="s">
        <v>924</v>
      </c>
      <c r="C882" s="3">
        <v>1.0</v>
      </c>
      <c r="D882" s="3">
        <v>528.0</v>
      </c>
      <c r="E882" s="2" t="s">
        <v>11</v>
      </c>
      <c r="F882" s="2" t="s">
        <v>25</v>
      </c>
      <c r="G882" s="2" t="s">
        <v>18</v>
      </c>
      <c r="H882" s="2"/>
      <c r="I882" s="2"/>
      <c r="J882" s="2"/>
    </row>
    <row r="883" ht="15.75" customHeight="1">
      <c r="A883" s="4" t="str">
        <f>HYPERLINK("https://stackoverflow.com/q/44956629", "44956629")</f>
        <v>44956629</v>
      </c>
      <c r="B883" s="2" t="s">
        <v>925</v>
      </c>
      <c r="C883" s="3"/>
      <c r="D883" s="3">
        <v>527.0</v>
      </c>
      <c r="E883" s="2"/>
      <c r="F883" s="2"/>
      <c r="G883" s="2"/>
      <c r="H883" s="2"/>
      <c r="I883" s="2"/>
      <c r="J883" s="2"/>
    </row>
    <row r="884" ht="15.75" customHeight="1">
      <c r="A884" s="4" t="str">
        <f>HYPERLINK("https://stackoverflow.com/q/48528931", "48528931")</f>
        <v>48528931</v>
      </c>
      <c r="B884" s="2" t="s">
        <v>926</v>
      </c>
      <c r="C884" s="3"/>
      <c r="D884" s="3">
        <v>525.0</v>
      </c>
      <c r="E884" s="2"/>
      <c r="F884" s="2"/>
      <c r="G884" s="2"/>
      <c r="H884" s="2"/>
      <c r="I884" s="2"/>
      <c r="J884" s="2"/>
    </row>
    <row r="885" ht="15.75" customHeight="1">
      <c r="A885" s="4" t="str">
        <f>HYPERLINK("https://stackoverflow.com/q/44076048", "44076048")</f>
        <v>44076048</v>
      </c>
      <c r="B885" s="2" t="s">
        <v>927</v>
      </c>
      <c r="C885" s="3">
        <v>1.0</v>
      </c>
      <c r="D885" s="3">
        <v>523.0</v>
      </c>
      <c r="E885" s="2" t="s">
        <v>11</v>
      </c>
      <c r="F885" s="2" t="s">
        <v>25</v>
      </c>
      <c r="G885" s="2"/>
      <c r="H885" s="2"/>
      <c r="I885" s="2"/>
      <c r="J885" s="2"/>
    </row>
    <row r="886" ht="15.75" customHeight="1">
      <c r="A886" s="4" t="str">
        <f>HYPERLINK("https://stackoverflow.com/q/49503406", "49503406")</f>
        <v>49503406</v>
      </c>
      <c r="B886" s="2" t="s">
        <v>928</v>
      </c>
      <c r="C886" s="3"/>
      <c r="D886" s="3">
        <v>523.0</v>
      </c>
      <c r="E886" s="2"/>
      <c r="F886" s="2"/>
      <c r="G886" s="2"/>
      <c r="H886" s="2"/>
      <c r="I886" s="2"/>
      <c r="J886" s="2"/>
    </row>
    <row r="887" ht="15.75" customHeight="1">
      <c r="A887" s="4" t="str">
        <f>HYPERLINK("https://stackoverflow.com/q/46158698", "46158698")</f>
        <v>46158698</v>
      </c>
      <c r="B887" s="2" t="s">
        <v>929</v>
      </c>
      <c r="C887" s="3"/>
      <c r="D887" s="3">
        <v>522.0</v>
      </c>
      <c r="E887" s="9" t="s">
        <v>11</v>
      </c>
      <c r="F887" s="2" t="s">
        <v>18</v>
      </c>
      <c r="G887" s="2"/>
      <c r="H887" s="2"/>
      <c r="I887" s="2"/>
      <c r="J887" s="2"/>
    </row>
    <row r="888" ht="15.75" customHeight="1">
      <c r="A888" s="4" t="str">
        <f>HYPERLINK("https://stackoverflow.com/q/22986371", "22986371")</f>
        <v>22986371</v>
      </c>
      <c r="B888" s="2" t="s">
        <v>930</v>
      </c>
      <c r="C888" s="3"/>
      <c r="D888" s="3">
        <v>521.0</v>
      </c>
      <c r="E888" s="2"/>
      <c r="F888" s="2"/>
      <c r="G888" s="2"/>
      <c r="H888" s="2"/>
      <c r="I888" s="2"/>
      <c r="J888" s="2"/>
    </row>
    <row r="889" ht="15.75" customHeight="1">
      <c r="A889" s="4" t="str">
        <f>HYPERLINK("https://stackoverflow.com/q/60230705", "60230705")</f>
        <v>60230705</v>
      </c>
      <c r="B889" s="2" t="s">
        <v>931</v>
      </c>
      <c r="C889" s="3"/>
      <c r="D889" s="3">
        <v>521.0</v>
      </c>
      <c r="E889" s="2"/>
      <c r="F889" s="2"/>
      <c r="G889" s="2"/>
      <c r="H889" s="2"/>
      <c r="I889" s="2"/>
      <c r="J889" s="2"/>
    </row>
    <row r="890" ht="15.75" customHeight="1">
      <c r="A890" s="4" t="str">
        <f>HYPERLINK("https://stackoverflow.com/q/51639748", "51639748")</f>
        <v>51639748</v>
      </c>
      <c r="B890" s="2" t="s">
        <v>932</v>
      </c>
      <c r="C890" s="3"/>
      <c r="D890" s="3">
        <v>520.0</v>
      </c>
      <c r="E890" s="2"/>
      <c r="F890" s="2"/>
      <c r="G890" s="2"/>
      <c r="H890" s="2"/>
      <c r="I890" s="2"/>
      <c r="J890" s="2"/>
    </row>
    <row r="891" ht="15.75" customHeight="1">
      <c r="A891" s="4" t="str">
        <f>HYPERLINK("https://stackoverflow.com/q/53027157", "53027157")</f>
        <v>53027157</v>
      </c>
      <c r="B891" s="2" t="s">
        <v>933</v>
      </c>
      <c r="C891" s="3"/>
      <c r="D891" s="3">
        <v>520.0</v>
      </c>
      <c r="E891" s="2"/>
      <c r="F891" s="2"/>
      <c r="G891" s="2"/>
      <c r="H891" s="2"/>
      <c r="I891" s="2"/>
      <c r="J891" s="2"/>
    </row>
    <row r="892" ht="15.75" customHeight="1">
      <c r="A892" s="4" t="str">
        <f>HYPERLINK("https://stackoverflow.com/q/47060216", "47060216")</f>
        <v>47060216</v>
      </c>
      <c r="B892" s="2" t="s">
        <v>934</v>
      </c>
      <c r="C892" s="3"/>
      <c r="D892" s="3">
        <v>518.0</v>
      </c>
      <c r="E892" s="2" t="s">
        <v>11</v>
      </c>
      <c r="F892" s="2" t="s">
        <v>38</v>
      </c>
      <c r="G892" s="2" t="s">
        <v>16</v>
      </c>
      <c r="H892" s="2"/>
      <c r="I892" s="2"/>
      <c r="J892" s="2"/>
    </row>
    <row r="893" ht="15.75" customHeight="1">
      <c r="A893" s="4" t="str">
        <f>HYPERLINK("https://stackoverflow.com/q/47358219", "47358219")</f>
        <v>47358219</v>
      </c>
      <c r="B893" s="2" t="s">
        <v>935</v>
      </c>
      <c r="C893" s="3"/>
      <c r="D893" s="3">
        <v>517.0</v>
      </c>
      <c r="E893" s="2" t="s">
        <v>11</v>
      </c>
      <c r="F893" s="2" t="s">
        <v>35</v>
      </c>
      <c r="G893" s="2"/>
      <c r="H893" s="2"/>
      <c r="I893" s="2"/>
      <c r="J893" s="2"/>
    </row>
    <row r="894" ht="15.75" customHeight="1">
      <c r="A894" s="4" t="str">
        <f>HYPERLINK("https://stackoverflow.com/q/44240704", "44240704")</f>
        <v>44240704</v>
      </c>
      <c r="B894" s="2" t="s">
        <v>936</v>
      </c>
      <c r="C894" s="3">
        <v>1.0</v>
      </c>
      <c r="D894" s="3">
        <v>515.0</v>
      </c>
      <c r="E894" s="2"/>
      <c r="F894" s="2"/>
      <c r="G894" s="2"/>
      <c r="H894" s="2"/>
      <c r="I894" s="2"/>
      <c r="J894" s="2"/>
    </row>
    <row r="895" ht="15.75" customHeight="1">
      <c r="A895" s="4" t="str">
        <f>HYPERLINK("https://stackoverflow.com/q/45740520", "45740520")</f>
        <v>45740520</v>
      </c>
      <c r="B895" s="2" t="s">
        <v>937</v>
      </c>
      <c r="C895" s="3">
        <v>1.0</v>
      </c>
      <c r="D895" s="3">
        <v>515.0</v>
      </c>
      <c r="E895" s="2"/>
      <c r="F895" s="2"/>
      <c r="G895" s="2"/>
      <c r="H895" s="2"/>
      <c r="I895" s="2"/>
      <c r="J895" s="2"/>
    </row>
    <row r="896" ht="15.75" customHeight="1">
      <c r="A896" s="4" t="str">
        <f>HYPERLINK("https://stackoverflow.com/q/49642849", "49642849")</f>
        <v>49642849</v>
      </c>
      <c r="B896" s="2" t="s">
        <v>938</v>
      </c>
      <c r="C896" s="3"/>
      <c r="D896" s="3">
        <v>515.0</v>
      </c>
      <c r="E896" s="2"/>
      <c r="F896" s="2"/>
      <c r="G896" s="2"/>
      <c r="H896" s="2"/>
      <c r="I896" s="2"/>
      <c r="J896" s="2"/>
    </row>
    <row r="897" ht="15.75" customHeight="1">
      <c r="A897" s="4" t="str">
        <f>HYPERLINK("https://stackoverflow.com/q/47378071", "47378071")</f>
        <v>47378071</v>
      </c>
      <c r="B897" s="2" t="s">
        <v>939</v>
      </c>
      <c r="C897" s="3"/>
      <c r="D897" s="3">
        <v>514.0</v>
      </c>
      <c r="E897" s="2" t="s">
        <v>11</v>
      </c>
      <c r="F897" s="2" t="s">
        <v>35</v>
      </c>
      <c r="G897" s="2" t="s">
        <v>18</v>
      </c>
      <c r="H897" s="2"/>
      <c r="I897" s="2"/>
      <c r="J897" s="2"/>
    </row>
    <row r="898" ht="15.75" customHeight="1">
      <c r="A898" s="4" t="str">
        <f>HYPERLINK("https://stackoverflow.com/q/51627648", "51627648")</f>
        <v>51627648</v>
      </c>
      <c r="B898" s="2" t="s">
        <v>940</v>
      </c>
      <c r="C898" s="3"/>
      <c r="D898" s="3">
        <v>514.0</v>
      </c>
      <c r="E898" s="2"/>
      <c r="F898" s="2"/>
      <c r="G898" s="2"/>
      <c r="H898" s="2"/>
      <c r="I898" s="2"/>
      <c r="J898" s="2"/>
    </row>
    <row r="899" ht="15.75" customHeight="1">
      <c r="A899" s="4" t="str">
        <f>HYPERLINK("https://stackoverflow.com/q/42145093", "42145093")</f>
        <v>42145093</v>
      </c>
      <c r="B899" s="2" t="s">
        <v>941</v>
      </c>
      <c r="C899" s="3"/>
      <c r="D899" s="3">
        <v>513.0</v>
      </c>
      <c r="E899" s="2" t="s">
        <v>11</v>
      </c>
      <c r="F899" s="2" t="s">
        <v>14</v>
      </c>
      <c r="G899" s="2"/>
      <c r="H899" s="2"/>
      <c r="I899" s="2"/>
      <c r="J899" s="2"/>
    </row>
    <row r="900" ht="15.75" customHeight="1">
      <c r="A900" s="4" t="str">
        <f>HYPERLINK("https://stackoverflow.com/q/41420363", "41420363")</f>
        <v>41420363</v>
      </c>
      <c r="B900" s="2" t="s">
        <v>942</v>
      </c>
      <c r="C900" s="3"/>
      <c r="D900" s="3">
        <v>511.0</v>
      </c>
      <c r="E900" s="2"/>
      <c r="F900" s="2"/>
      <c r="G900" s="2"/>
      <c r="H900" s="2"/>
      <c r="I900" s="2"/>
      <c r="J900" s="2"/>
    </row>
    <row r="901" ht="15.75" customHeight="1">
      <c r="A901" s="4" t="str">
        <f>HYPERLINK("https://stackoverflow.com/q/57325762", "57325762")</f>
        <v>57325762</v>
      </c>
      <c r="B901" s="2" t="s">
        <v>943</v>
      </c>
      <c r="C901" s="3"/>
      <c r="D901" s="3">
        <v>511.0</v>
      </c>
      <c r="E901" s="2"/>
      <c r="F901" s="2"/>
      <c r="G901" s="2"/>
      <c r="H901" s="2"/>
      <c r="I901" s="2"/>
      <c r="J901" s="2"/>
    </row>
    <row r="902" ht="15.75" customHeight="1">
      <c r="A902" s="4" t="str">
        <f>HYPERLINK("https://stackoverflow.com/q/59189512", "59189512")</f>
        <v>59189512</v>
      </c>
      <c r="B902" s="2" t="s">
        <v>944</v>
      </c>
      <c r="C902" s="3"/>
      <c r="D902" s="3">
        <v>511.0</v>
      </c>
      <c r="E902" s="2"/>
      <c r="F902" s="2"/>
      <c r="G902" s="2"/>
      <c r="H902" s="2"/>
      <c r="I902" s="2"/>
      <c r="J902" s="2"/>
    </row>
    <row r="903" ht="15.75" customHeight="1">
      <c r="A903" s="4" t="str">
        <f>HYPERLINK("https://stackoverflow.com/q/20176524", "20176524")</f>
        <v>20176524</v>
      </c>
      <c r="B903" s="2" t="s">
        <v>945</v>
      </c>
      <c r="C903" s="3">
        <v>0.0</v>
      </c>
      <c r="D903" s="3">
        <v>510.0</v>
      </c>
      <c r="E903" s="2"/>
      <c r="F903" s="2"/>
      <c r="G903" s="2"/>
      <c r="H903" s="2"/>
      <c r="I903" s="2"/>
      <c r="J903" s="2"/>
    </row>
    <row r="904" ht="15.75" customHeight="1">
      <c r="A904" s="4" t="str">
        <f>HYPERLINK("https://stackoverflow.com/q/41173895", "41173895")</f>
        <v>41173895</v>
      </c>
      <c r="B904" s="2" t="s">
        <v>946</v>
      </c>
      <c r="C904" s="3"/>
      <c r="D904" s="3">
        <v>510.0</v>
      </c>
      <c r="E904" s="2"/>
      <c r="F904" s="2"/>
      <c r="G904" s="2"/>
      <c r="H904" s="2"/>
      <c r="I904" s="2"/>
      <c r="J904" s="2"/>
    </row>
    <row r="905" ht="15.75" customHeight="1">
      <c r="A905" s="4" t="str">
        <f>HYPERLINK("https://stackoverflow.com/q/23145564", "23145564")</f>
        <v>23145564</v>
      </c>
      <c r="B905" s="2" t="s">
        <v>947</v>
      </c>
      <c r="C905" s="3">
        <v>0.0</v>
      </c>
      <c r="D905" s="3">
        <v>509.0</v>
      </c>
      <c r="E905" s="2"/>
      <c r="F905" s="2"/>
      <c r="G905" s="2"/>
      <c r="H905" s="2"/>
      <c r="I905" s="2"/>
      <c r="J905" s="2"/>
    </row>
    <row r="906" ht="15.75" customHeight="1">
      <c r="A906" s="4" t="str">
        <f>HYPERLINK("https://stackoverflow.com/q/11248169", "11248169")</f>
        <v>11248169</v>
      </c>
      <c r="B906" s="2" t="s">
        <v>948</v>
      </c>
      <c r="C906" s="3"/>
      <c r="D906" s="3">
        <v>509.0</v>
      </c>
      <c r="E906" s="2" t="s">
        <v>537</v>
      </c>
      <c r="F906" s="2" t="s">
        <v>183</v>
      </c>
      <c r="G906" s="2"/>
      <c r="H906" s="2"/>
      <c r="I906" s="2"/>
      <c r="J906" s="2"/>
    </row>
    <row r="907" ht="15.75" customHeight="1">
      <c r="A907" s="4" t="str">
        <f>HYPERLINK("https://stackoverflow.com/q/54175015", "54175015")</f>
        <v>54175015</v>
      </c>
      <c r="B907" s="2" t="s">
        <v>949</v>
      </c>
      <c r="C907" s="3"/>
      <c r="D907" s="3">
        <v>509.0</v>
      </c>
      <c r="E907" s="2"/>
      <c r="F907" s="2"/>
      <c r="G907" s="2"/>
      <c r="H907" s="2"/>
      <c r="I907" s="2"/>
      <c r="J907" s="2"/>
    </row>
    <row r="908" ht="15.75" customHeight="1">
      <c r="A908" s="4" t="str">
        <f>HYPERLINK("https://stackoverflow.com/q/47104623", "47104623")</f>
        <v>47104623</v>
      </c>
      <c r="B908" s="2" t="s">
        <v>950</v>
      </c>
      <c r="C908" s="3"/>
      <c r="D908" s="3">
        <v>508.0</v>
      </c>
      <c r="E908" s="2" t="s">
        <v>11</v>
      </c>
      <c r="F908" s="2" t="s">
        <v>25</v>
      </c>
      <c r="G908" s="2"/>
      <c r="H908" s="2"/>
      <c r="I908" s="2"/>
      <c r="J908" s="2"/>
    </row>
    <row r="909" ht="15.75" customHeight="1">
      <c r="A909" s="4" t="str">
        <f>HYPERLINK("https://stackoverflow.com/q/45273016", "45273016")</f>
        <v>45273016</v>
      </c>
      <c r="B909" s="2" t="s">
        <v>951</v>
      </c>
      <c r="C909" s="3"/>
      <c r="D909" s="3">
        <v>507.0</v>
      </c>
      <c r="E909" s="2"/>
      <c r="F909" s="2"/>
      <c r="G909" s="2"/>
      <c r="H909" s="2"/>
      <c r="I909" s="2"/>
      <c r="J909" s="2"/>
    </row>
    <row r="910" ht="15.75" customHeight="1">
      <c r="A910" s="4" t="str">
        <f>HYPERLINK("https://stackoverflow.com/q/48482803", "48482803")</f>
        <v>48482803</v>
      </c>
      <c r="B910" s="2" t="s">
        <v>952</v>
      </c>
      <c r="C910" s="3"/>
      <c r="D910" s="3">
        <v>506.0</v>
      </c>
      <c r="E910" s="2"/>
      <c r="F910" s="2"/>
      <c r="G910" s="2"/>
      <c r="H910" s="2"/>
      <c r="I910" s="2"/>
      <c r="J910" s="2"/>
    </row>
    <row r="911" ht="15.75" customHeight="1">
      <c r="A911" s="4" t="str">
        <f>HYPERLINK("https://stackoverflow.com/q/51950209", "51950209")</f>
        <v>51950209</v>
      </c>
      <c r="B911" s="2" t="s">
        <v>953</v>
      </c>
      <c r="C911" s="3"/>
      <c r="D911" s="3">
        <v>506.0</v>
      </c>
      <c r="E911" s="2"/>
      <c r="F911" s="2"/>
      <c r="G911" s="2"/>
      <c r="H911" s="2"/>
      <c r="I911" s="2"/>
      <c r="J911" s="2"/>
    </row>
    <row r="912" ht="15.75" customHeight="1">
      <c r="A912" s="4" t="str">
        <f>HYPERLINK("https://stackoverflow.com/q/28073629", "28073629")</f>
        <v>28073629</v>
      </c>
      <c r="B912" s="2" t="s">
        <v>954</v>
      </c>
      <c r="C912" s="3"/>
      <c r="D912" s="3">
        <v>505.0</v>
      </c>
      <c r="E912" s="2"/>
      <c r="F912" s="2"/>
      <c r="G912" s="2"/>
      <c r="H912" s="2"/>
      <c r="I912" s="2"/>
      <c r="J912" s="2"/>
    </row>
    <row r="913" ht="15.75" customHeight="1">
      <c r="A913" s="4" t="str">
        <f>HYPERLINK("https://stackoverflow.com/q/47705174", "47705174")</f>
        <v>47705174</v>
      </c>
      <c r="B913" s="2" t="s">
        <v>955</v>
      </c>
      <c r="C913" s="3"/>
      <c r="D913" s="3">
        <v>504.0</v>
      </c>
      <c r="E913" s="2" t="s">
        <v>11</v>
      </c>
      <c r="F913" s="2" t="s">
        <v>12</v>
      </c>
      <c r="G913" s="2"/>
      <c r="H913" s="2"/>
      <c r="I913" s="2"/>
      <c r="J913" s="2"/>
    </row>
    <row r="914" ht="15.75" customHeight="1">
      <c r="A914" s="4" t="str">
        <f>HYPERLINK("https://stackoverflow.com/q/35859198", "35859198")</f>
        <v>35859198</v>
      </c>
      <c r="B914" s="2" t="s">
        <v>956</v>
      </c>
      <c r="C914" s="3"/>
      <c r="D914" s="3">
        <v>504.0</v>
      </c>
      <c r="E914" s="2"/>
      <c r="F914" s="2"/>
      <c r="G914" s="2"/>
      <c r="H914" s="2"/>
      <c r="I914" s="2"/>
      <c r="J914" s="2"/>
    </row>
    <row r="915" ht="15.75" customHeight="1">
      <c r="A915" s="4" t="str">
        <f>HYPERLINK("https://stackoverflow.com/q/43033640", "43033640")</f>
        <v>43033640</v>
      </c>
      <c r="B915" s="2" t="s">
        <v>957</v>
      </c>
      <c r="C915" s="3"/>
      <c r="D915" s="3">
        <v>502.0</v>
      </c>
      <c r="E915" s="9" t="s">
        <v>11</v>
      </c>
      <c r="F915" s="2" t="s">
        <v>16</v>
      </c>
      <c r="G915" s="2"/>
      <c r="H915" s="2"/>
      <c r="I915" s="2"/>
      <c r="J915" s="2"/>
    </row>
    <row r="916" ht="15.75" customHeight="1">
      <c r="A916" s="4" t="str">
        <f>HYPERLINK("https://stackoverflow.com/q/54991854", "54991854")</f>
        <v>54991854</v>
      </c>
      <c r="B916" s="2" t="s">
        <v>958</v>
      </c>
      <c r="C916" s="3">
        <v>1.0</v>
      </c>
      <c r="D916" s="3">
        <v>500.0</v>
      </c>
      <c r="E916" s="2" t="s">
        <v>11</v>
      </c>
      <c r="F916" s="2" t="s">
        <v>25</v>
      </c>
      <c r="G916" s="2"/>
      <c r="H916" s="2"/>
      <c r="I916" s="2"/>
      <c r="J916" s="2"/>
    </row>
    <row r="917" ht="15.75" customHeight="1">
      <c r="A917" s="4" t="str">
        <f>HYPERLINK("https://stackoverflow.com/q/45545220", "45545220")</f>
        <v>45545220</v>
      </c>
      <c r="B917" s="2" t="s">
        <v>959</v>
      </c>
      <c r="C917" s="3"/>
      <c r="D917" s="3">
        <v>500.0</v>
      </c>
      <c r="E917" s="2"/>
      <c r="F917" s="2"/>
      <c r="G917" s="2"/>
      <c r="H917" s="2"/>
      <c r="I917" s="2"/>
      <c r="J917" s="2"/>
    </row>
    <row r="918" ht="15.75" customHeight="1">
      <c r="A918" s="4" t="str">
        <f>HYPERLINK("https://stackoverflow.com/q/42010994", "42010994")</f>
        <v>42010994</v>
      </c>
      <c r="B918" s="2" t="s">
        <v>960</v>
      </c>
      <c r="C918" s="3">
        <v>1.0</v>
      </c>
      <c r="D918" s="3">
        <v>499.0</v>
      </c>
      <c r="E918" s="2" t="s">
        <v>11</v>
      </c>
      <c r="F918" s="2" t="s">
        <v>12</v>
      </c>
      <c r="G918" s="2"/>
      <c r="H918" s="2"/>
      <c r="I918" s="2"/>
      <c r="J918" s="2"/>
    </row>
    <row r="919" ht="15.75" customHeight="1">
      <c r="A919" s="4" t="str">
        <f>HYPERLINK("https://stackoverflow.com/q/10673123", "10673123")</f>
        <v>10673123</v>
      </c>
      <c r="B919" s="2" t="s">
        <v>961</v>
      </c>
      <c r="C919" s="3"/>
      <c r="D919" s="3">
        <v>499.0</v>
      </c>
      <c r="E919" s="2"/>
      <c r="F919" s="2"/>
      <c r="G919" s="2"/>
      <c r="H919" s="2"/>
      <c r="I919" s="2"/>
      <c r="J919" s="2"/>
    </row>
    <row r="920" ht="15.75" customHeight="1">
      <c r="A920" s="4" t="str">
        <f>HYPERLINK("https://stackoverflow.com/q/51069295", "51069295")</f>
        <v>51069295</v>
      </c>
      <c r="B920" s="2" t="s">
        <v>962</v>
      </c>
      <c r="C920" s="3"/>
      <c r="D920" s="3">
        <v>499.0</v>
      </c>
      <c r="E920" s="2"/>
      <c r="F920" s="2"/>
      <c r="G920" s="2"/>
      <c r="H920" s="2"/>
      <c r="I920" s="2"/>
      <c r="J920" s="2"/>
    </row>
    <row r="921" ht="15.75" customHeight="1">
      <c r="A921" s="4" t="str">
        <f>HYPERLINK("https://stackoverflow.com/q/46684369", "46684369")</f>
        <v>46684369</v>
      </c>
      <c r="B921" s="2" t="s">
        <v>963</v>
      </c>
      <c r="C921" s="3"/>
      <c r="D921" s="3">
        <v>498.0</v>
      </c>
      <c r="E921" s="2" t="s">
        <v>20</v>
      </c>
      <c r="F921" s="2" t="s">
        <v>34</v>
      </c>
      <c r="G921" s="2" t="s">
        <v>21</v>
      </c>
      <c r="H921" s="2"/>
      <c r="I921" s="2"/>
      <c r="J921" s="2"/>
    </row>
    <row r="922" ht="15.75" customHeight="1">
      <c r="A922" s="4" t="str">
        <f>HYPERLINK("https://stackoverflow.com/q/46195839", "46195839")</f>
        <v>46195839</v>
      </c>
      <c r="B922" s="2" t="s">
        <v>964</v>
      </c>
      <c r="C922" s="3"/>
      <c r="D922" s="3">
        <v>498.0</v>
      </c>
      <c r="E922" s="2" t="s">
        <v>59</v>
      </c>
      <c r="F922" s="2" t="s">
        <v>21</v>
      </c>
      <c r="G922" s="2"/>
      <c r="H922" s="2"/>
      <c r="I922" s="2"/>
      <c r="J922" s="2"/>
    </row>
    <row r="923" ht="15.75" customHeight="1">
      <c r="A923" s="4" t="str">
        <f>HYPERLINK("https://stackoverflow.com/q/54522800", "54522800")</f>
        <v>54522800</v>
      </c>
      <c r="B923" s="2" t="s">
        <v>965</v>
      </c>
      <c r="C923" s="3"/>
      <c r="D923" s="3">
        <v>497.0</v>
      </c>
      <c r="E923" s="2" t="s">
        <v>11</v>
      </c>
      <c r="F923" s="2" t="s">
        <v>28</v>
      </c>
      <c r="G923" s="2"/>
      <c r="H923" s="2"/>
      <c r="I923" s="2"/>
      <c r="J923" s="2"/>
    </row>
    <row r="924" ht="15.75" customHeight="1">
      <c r="A924" s="4" t="str">
        <f>HYPERLINK("https://stackoverflow.com/q/13056153", "13056153")</f>
        <v>13056153</v>
      </c>
      <c r="B924" s="2" t="s">
        <v>966</v>
      </c>
      <c r="C924" s="3"/>
      <c r="D924" s="3">
        <v>497.0</v>
      </c>
      <c r="E924" s="2"/>
      <c r="F924" s="2"/>
      <c r="G924" s="2"/>
      <c r="H924" s="2"/>
      <c r="I924" s="2"/>
      <c r="J924" s="2"/>
    </row>
    <row r="925" ht="15.75" customHeight="1">
      <c r="A925" s="4" t="str">
        <f>HYPERLINK("https://stackoverflow.com/q/50479987", "50479987")</f>
        <v>50479987</v>
      </c>
      <c r="B925" s="2" t="s">
        <v>967</v>
      </c>
      <c r="C925" s="3"/>
      <c r="D925" s="3">
        <v>497.0</v>
      </c>
      <c r="E925" s="2"/>
      <c r="F925" s="2"/>
      <c r="G925" s="2"/>
      <c r="H925" s="2"/>
      <c r="I925" s="2"/>
      <c r="J925" s="2"/>
    </row>
    <row r="926" ht="15.75" customHeight="1">
      <c r="A926" s="4" t="str">
        <f>HYPERLINK("https://stackoverflow.com/q/58739353", "58739353")</f>
        <v>58739353</v>
      </c>
      <c r="B926" s="2" t="s">
        <v>968</v>
      </c>
      <c r="C926" s="3"/>
      <c r="D926" s="3">
        <v>497.0</v>
      </c>
      <c r="E926" s="2"/>
      <c r="F926" s="2"/>
      <c r="G926" s="2"/>
      <c r="H926" s="2"/>
      <c r="I926" s="2"/>
      <c r="J926" s="2"/>
    </row>
    <row r="927" ht="15.75" customHeight="1">
      <c r="A927" s="4" t="str">
        <f>HYPERLINK("https://stackoverflow.com/q/55868931", "55868931")</f>
        <v>55868931</v>
      </c>
      <c r="B927" s="2" t="s">
        <v>969</v>
      </c>
      <c r="C927" s="3"/>
      <c r="D927" s="3">
        <v>495.0</v>
      </c>
      <c r="E927" s="2"/>
      <c r="F927" s="2"/>
      <c r="G927" s="2"/>
      <c r="H927" s="2"/>
      <c r="I927" s="2"/>
      <c r="J927" s="2"/>
    </row>
    <row r="928" ht="15.75" customHeight="1">
      <c r="A928" s="4" t="str">
        <f>HYPERLINK("https://stackoverflow.com/q/54396214", "54396214")</f>
        <v>54396214</v>
      </c>
      <c r="B928" s="2" t="s">
        <v>970</v>
      </c>
      <c r="C928" s="3"/>
      <c r="D928" s="3">
        <v>494.0</v>
      </c>
      <c r="E928" s="9" t="s">
        <v>11</v>
      </c>
      <c r="F928" s="2" t="s">
        <v>16</v>
      </c>
      <c r="G928" s="2"/>
      <c r="H928" s="2"/>
      <c r="I928" s="2"/>
      <c r="J928" s="2"/>
    </row>
    <row r="929" ht="15.75" customHeight="1">
      <c r="A929" s="4" t="str">
        <f>HYPERLINK("https://stackoverflow.com/q/54666876", "54666876")</f>
        <v>54666876</v>
      </c>
      <c r="B929" s="2" t="s">
        <v>971</v>
      </c>
      <c r="C929" s="3"/>
      <c r="D929" s="3">
        <v>494.0</v>
      </c>
      <c r="E929" s="2" t="s">
        <v>11</v>
      </c>
      <c r="F929" s="2" t="s">
        <v>35</v>
      </c>
      <c r="G929" s="2"/>
      <c r="H929" s="2"/>
      <c r="I929" s="2"/>
      <c r="J929" s="2"/>
    </row>
    <row r="930" ht="15.75" customHeight="1">
      <c r="A930" s="4" t="str">
        <f>HYPERLINK("https://stackoverflow.com/q/44794852", "44794852")</f>
        <v>44794852</v>
      </c>
      <c r="B930" s="2" t="s">
        <v>972</v>
      </c>
      <c r="C930" s="3"/>
      <c r="D930" s="3">
        <v>494.0</v>
      </c>
      <c r="E930" s="2"/>
      <c r="F930" s="2"/>
      <c r="G930" s="2"/>
      <c r="H930" s="2"/>
      <c r="I930" s="2"/>
      <c r="J930" s="2"/>
    </row>
    <row r="931" ht="15.75" customHeight="1">
      <c r="A931" s="4" t="str">
        <f>HYPERLINK("https://stackoverflow.com/q/50248950", "50248950")</f>
        <v>50248950</v>
      </c>
      <c r="B931" s="2" t="s">
        <v>973</v>
      </c>
      <c r="C931" s="3"/>
      <c r="D931" s="3">
        <v>493.0</v>
      </c>
      <c r="E931" s="2"/>
      <c r="F931" s="2"/>
      <c r="G931" s="2"/>
      <c r="H931" s="2"/>
      <c r="I931" s="2"/>
      <c r="J931" s="2"/>
    </row>
    <row r="932" ht="15.75" customHeight="1">
      <c r="A932" s="4" t="str">
        <f>HYPERLINK("https://stackoverflow.com/q/52294271", "52294271")</f>
        <v>52294271</v>
      </c>
      <c r="B932" s="2" t="s">
        <v>974</v>
      </c>
      <c r="C932" s="3"/>
      <c r="D932" s="3">
        <v>493.0</v>
      </c>
      <c r="E932" s="2"/>
      <c r="F932" s="2"/>
      <c r="G932" s="2"/>
      <c r="H932" s="2"/>
      <c r="I932" s="2"/>
      <c r="J932" s="2"/>
    </row>
    <row r="933" ht="15.75" customHeight="1">
      <c r="A933" s="4" t="str">
        <f>HYPERLINK("https://stackoverflow.com/q/43079162", "43079162")</f>
        <v>43079162</v>
      </c>
      <c r="B933" s="2" t="s">
        <v>975</v>
      </c>
      <c r="C933" s="3">
        <v>1.0</v>
      </c>
      <c r="D933" s="3">
        <v>492.0</v>
      </c>
      <c r="E933" s="2" t="s">
        <v>11</v>
      </c>
      <c r="F933" s="2" t="s">
        <v>25</v>
      </c>
      <c r="G933" s="2" t="s">
        <v>34</v>
      </c>
      <c r="H933" s="2"/>
      <c r="I933" s="2"/>
      <c r="J933" s="2"/>
    </row>
    <row r="934" ht="15.75" customHeight="1">
      <c r="A934" s="4" t="str">
        <f>HYPERLINK("https://stackoverflow.com/q/44366011", "44366011")</f>
        <v>44366011</v>
      </c>
      <c r="B934" s="2" t="s">
        <v>976</v>
      </c>
      <c r="C934" s="3"/>
      <c r="D934" s="3">
        <v>492.0</v>
      </c>
      <c r="E934" s="2"/>
      <c r="F934" s="2"/>
      <c r="G934" s="2"/>
      <c r="H934" s="2"/>
      <c r="I934" s="2"/>
      <c r="J934" s="2"/>
    </row>
    <row r="935" ht="15.75" customHeight="1">
      <c r="A935" s="4" t="str">
        <f>HYPERLINK("https://stackoverflow.com/q/48315396", "48315396")</f>
        <v>48315396</v>
      </c>
      <c r="B935" s="2" t="s">
        <v>977</v>
      </c>
      <c r="C935" s="3"/>
      <c r="D935" s="3">
        <v>490.0</v>
      </c>
      <c r="E935" s="2"/>
      <c r="F935" s="2"/>
      <c r="G935" s="2"/>
      <c r="H935" s="2"/>
      <c r="I935" s="2"/>
      <c r="J935" s="2"/>
    </row>
    <row r="936" ht="15.75" customHeight="1">
      <c r="A936" s="4" t="str">
        <f>HYPERLINK("https://stackoverflow.com/q/49504777", "49504777")</f>
        <v>49504777</v>
      </c>
      <c r="B936" s="2" t="s">
        <v>978</v>
      </c>
      <c r="C936" s="3"/>
      <c r="D936" s="3">
        <v>490.0</v>
      </c>
      <c r="E936" s="2"/>
      <c r="F936" s="2"/>
      <c r="G936" s="2"/>
      <c r="H936" s="2"/>
      <c r="I936" s="2"/>
      <c r="J936" s="2"/>
    </row>
    <row r="937" ht="15.75" customHeight="1">
      <c r="A937" s="4" t="str">
        <f>HYPERLINK("https://stackoverflow.com/q/8430681", "8430681")</f>
        <v>8430681</v>
      </c>
      <c r="B937" s="2" t="s">
        <v>979</v>
      </c>
      <c r="C937" s="3"/>
      <c r="D937" s="3">
        <v>489.0</v>
      </c>
      <c r="E937" s="2" t="s">
        <v>11</v>
      </c>
      <c r="F937" s="2" t="s">
        <v>34</v>
      </c>
      <c r="G937" s="2"/>
      <c r="H937" s="2"/>
      <c r="I937" s="2"/>
      <c r="J937" s="2"/>
    </row>
    <row r="938" ht="15.75" customHeight="1">
      <c r="A938" s="4" t="str">
        <f>HYPERLINK("https://stackoverflow.com/q/53623673", "53623673")</f>
        <v>53623673</v>
      </c>
      <c r="B938" s="2" t="s">
        <v>980</v>
      </c>
      <c r="C938" s="3">
        <v>1.0</v>
      </c>
      <c r="D938" s="3">
        <v>488.0</v>
      </c>
      <c r="E938" s="2"/>
      <c r="F938" s="2"/>
      <c r="G938" s="2"/>
      <c r="H938" s="2"/>
      <c r="I938" s="2"/>
      <c r="J938" s="2"/>
    </row>
    <row r="939" ht="15.75" customHeight="1">
      <c r="A939" s="4" t="str">
        <f>HYPERLINK("https://stackoverflow.com/q/51537089", "51537089")</f>
        <v>51537089</v>
      </c>
      <c r="B939" s="2" t="s">
        <v>981</v>
      </c>
      <c r="C939" s="3"/>
      <c r="D939" s="3">
        <v>488.0</v>
      </c>
      <c r="E939" s="2"/>
      <c r="F939" s="2"/>
      <c r="G939" s="2"/>
      <c r="H939" s="2"/>
      <c r="I939" s="2"/>
      <c r="J939" s="2"/>
    </row>
    <row r="940" ht="15.75" customHeight="1">
      <c r="A940" s="4" t="str">
        <f>HYPERLINK("https://stackoverflow.com/q/46779664", "46779664")</f>
        <v>46779664</v>
      </c>
      <c r="B940" s="2" t="s">
        <v>982</v>
      </c>
      <c r="C940" s="3"/>
      <c r="D940" s="3">
        <v>487.0</v>
      </c>
      <c r="E940" s="9" t="s">
        <v>11</v>
      </c>
      <c r="F940" s="2" t="s">
        <v>18</v>
      </c>
      <c r="G940" s="2"/>
      <c r="H940" s="2"/>
      <c r="I940" s="2"/>
      <c r="J940" s="2"/>
    </row>
    <row r="941" ht="15.75" customHeight="1">
      <c r="A941" s="4" t="str">
        <f>HYPERLINK("https://stackoverflow.com/q/12028626", "12028626")</f>
        <v>12028626</v>
      </c>
      <c r="B941" s="2" t="s">
        <v>983</v>
      </c>
      <c r="C941" s="3">
        <v>3.0</v>
      </c>
      <c r="D941" s="3">
        <v>486.0</v>
      </c>
      <c r="E941" s="2"/>
      <c r="F941" s="2"/>
      <c r="G941" s="2"/>
      <c r="H941" s="2"/>
      <c r="I941" s="2"/>
      <c r="J941" s="2"/>
    </row>
    <row r="942" ht="15.75" customHeight="1">
      <c r="A942" s="4" t="str">
        <f>HYPERLINK("https://stackoverflow.com/q/56915601", "56915601")</f>
        <v>56915601</v>
      </c>
      <c r="B942" s="2" t="s">
        <v>984</v>
      </c>
      <c r="C942" s="3"/>
      <c r="D942" s="3">
        <v>486.0</v>
      </c>
      <c r="E942" s="2"/>
      <c r="F942" s="2"/>
      <c r="G942" s="2"/>
      <c r="H942" s="2"/>
      <c r="I942" s="2"/>
      <c r="J942" s="2"/>
    </row>
    <row r="943" ht="15.75" customHeight="1">
      <c r="A943" s="4" t="str">
        <f>HYPERLINK("https://stackoverflow.com/q/7679733", "7679733")</f>
        <v>7679733</v>
      </c>
      <c r="B943" s="2" t="s">
        <v>985</v>
      </c>
      <c r="C943" s="3"/>
      <c r="D943" s="3">
        <v>485.0</v>
      </c>
      <c r="E943" s="2" t="s">
        <v>11</v>
      </c>
      <c r="F943" s="2" t="s">
        <v>12</v>
      </c>
      <c r="G943" s="17"/>
      <c r="H943" s="2"/>
      <c r="I943" s="2"/>
      <c r="J943" s="2"/>
    </row>
    <row r="944" ht="15.75" customHeight="1">
      <c r="A944" s="4" t="str">
        <f>HYPERLINK("https://stackoverflow.com/q/25615751", "25615751")</f>
        <v>25615751</v>
      </c>
      <c r="B944" s="2" t="s">
        <v>986</v>
      </c>
      <c r="C944" s="3"/>
      <c r="D944" s="3">
        <v>485.0</v>
      </c>
      <c r="E944" s="2"/>
      <c r="F944" s="2"/>
      <c r="G944" s="2"/>
      <c r="H944" s="2"/>
      <c r="I944" s="2"/>
      <c r="J944" s="2"/>
    </row>
    <row r="945" ht="15.75" customHeight="1">
      <c r="A945" s="4" t="str">
        <f>HYPERLINK("https://stackoverflow.com/q/45195523", "45195523")</f>
        <v>45195523</v>
      </c>
      <c r="B945" s="2" t="s">
        <v>987</v>
      </c>
      <c r="C945" s="3"/>
      <c r="D945" s="3">
        <v>485.0</v>
      </c>
      <c r="E945" s="2"/>
      <c r="F945" s="2"/>
      <c r="G945" s="2"/>
      <c r="H945" s="2"/>
      <c r="I945" s="2"/>
      <c r="J945" s="2"/>
    </row>
    <row r="946" ht="15.75" customHeight="1">
      <c r="A946" s="4" t="str">
        <f>HYPERLINK("https://stackoverflow.com/q/58292569", "58292569")</f>
        <v>58292569</v>
      </c>
      <c r="B946" s="2" t="s">
        <v>988</v>
      </c>
      <c r="C946" s="3"/>
      <c r="D946" s="3">
        <v>485.0</v>
      </c>
      <c r="E946" s="2"/>
      <c r="F946" s="2"/>
      <c r="G946" s="2"/>
      <c r="H946" s="2"/>
      <c r="I946" s="2"/>
      <c r="J946" s="2"/>
    </row>
    <row r="947" ht="15.75" customHeight="1">
      <c r="A947" s="4" t="str">
        <f>HYPERLINK("https://stackoverflow.com/q/34545785", "34545785")</f>
        <v>34545785</v>
      </c>
      <c r="B947" s="2" t="s">
        <v>989</v>
      </c>
      <c r="C947" s="3"/>
      <c r="D947" s="3">
        <v>484.0</v>
      </c>
      <c r="E947" s="2"/>
      <c r="F947" s="2"/>
      <c r="G947" s="2"/>
      <c r="H947" s="2"/>
      <c r="I947" s="2"/>
      <c r="J947" s="2"/>
    </row>
    <row r="948" ht="15.75" customHeight="1">
      <c r="A948" s="4" t="str">
        <f>HYPERLINK("https://stackoverflow.com/q/41281189", "41281189")</f>
        <v>41281189</v>
      </c>
      <c r="B948" s="2" t="s">
        <v>990</v>
      </c>
      <c r="C948" s="3"/>
      <c r="D948" s="3">
        <v>484.0</v>
      </c>
      <c r="E948" s="2"/>
      <c r="F948" s="2"/>
      <c r="G948" s="2"/>
      <c r="H948" s="2"/>
      <c r="I948" s="2"/>
      <c r="J948" s="2"/>
    </row>
    <row r="949" ht="15.75" customHeight="1">
      <c r="A949" s="4" t="str">
        <f>HYPERLINK("https://stackoverflow.com/q/48875608", "48875608")</f>
        <v>48875608</v>
      </c>
      <c r="B949" s="2" t="s">
        <v>991</v>
      </c>
      <c r="C949" s="3"/>
      <c r="D949" s="3">
        <v>484.0</v>
      </c>
      <c r="E949" s="2"/>
      <c r="F949" s="2"/>
      <c r="G949" s="2"/>
      <c r="H949" s="2"/>
      <c r="I949" s="2"/>
      <c r="J949" s="2"/>
    </row>
    <row r="950" ht="15.75" customHeight="1">
      <c r="A950" s="4" t="str">
        <f>HYPERLINK("https://stackoverflow.com/q/16563253", "16563253")</f>
        <v>16563253</v>
      </c>
      <c r="B950" s="2" t="s">
        <v>992</v>
      </c>
      <c r="C950" s="3"/>
      <c r="D950" s="3">
        <v>483.0</v>
      </c>
      <c r="E950" s="2"/>
      <c r="F950" s="2"/>
      <c r="G950" s="2"/>
      <c r="H950" s="2"/>
      <c r="I950" s="2"/>
      <c r="J950" s="2"/>
    </row>
    <row r="951" ht="15.75" customHeight="1">
      <c r="A951" s="4" t="str">
        <f>HYPERLINK("https://stackoverflow.com/q/36751056", "36751056")</f>
        <v>36751056</v>
      </c>
      <c r="B951" s="2" t="s">
        <v>993</v>
      </c>
      <c r="C951" s="3"/>
      <c r="D951" s="3">
        <v>483.0</v>
      </c>
      <c r="E951" s="2"/>
      <c r="F951" s="2"/>
      <c r="G951" s="2"/>
      <c r="H951" s="2"/>
      <c r="I951" s="2"/>
      <c r="J951" s="2"/>
    </row>
    <row r="952" ht="15.75" customHeight="1">
      <c r="A952" s="4" t="str">
        <f>HYPERLINK("https://stackoverflow.com/q/36693712", "36693712")</f>
        <v>36693712</v>
      </c>
      <c r="B952" s="2" t="s">
        <v>994</v>
      </c>
      <c r="C952" s="3"/>
      <c r="D952" s="3">
        <v>482.0</v>
      </c>
      <c r="E952" s="2"/>
      <c r="F952" s="2"/>
      <c r="G952" s="2"/>
      <c r="H952" s="2"/>
      <c r="I952" s="2"/>
      <c r="J952" s="2"/>
    </row>
    <row r="953" ht="15.75" customHeight="1">
      <c r="A953" s="4" t="str">
        <f>HYPERLINK("https://stackoverflow.com/q/52821168", "52821168")</f>
        <v>52821168</v>
      </c>
      <c r="B953" s="2" t="s">
        <v>995</v>
      </c>
      <c r="C953" s="3"/>
      <c r="D953" s="3">
        <v>482.0</v>
      </c>
      <c r="E953" s="2"/>
      <c r="F953" s="2"/>
      <c r="G953" s="2"/>
      <c r="H953" s="2"/>
      <c r="I953" s="2"/>
      <c r="J953" s="2"/>
    </row>
    <row r="954" ht="15.75" customHeight="1">
      <c r="A954" s="4" t="str">
        <f>HYPERLINK("https://stackoverflow.com/q/55873748", "55873748")</f>
        <v>55873748</v>
      </c>
      <c r="B954" s="2" t="s">
        <v>996</v>
      </c>
      <c r="C954" s="3"/>
      <c r="D954" s="3">
        <v>481.0</v>
      </c>
      <c r="E954" s="2"/>
      <c r="F954" s="2"/>
      <c r="G954" s="2"/>
      <c r="H954" s="2"/>
      <c r="I954" s="2"/>
      <c r="J954" s="2"/>
    </row>
    <row r="955" ht="15.75" customHeight="1">
      <c r="A955" s="4" t="str">
        <f>HYPERLINK("https://stackoverflow.com/q/51964843", "51964843")</f>
        <v>51964843</v>
      </c>
      <c r="B955" s="2" t="s">
        <v>997</v>
      </c>
      <c r="C955" s="3">
        <v>1.0</v>
      </c>
      <c r="D955" s="3">
        <v>480.0</v>
      </c>
      <c r="E955" s="2"/>
      <c r="F955" s="2"/>
      <c r="G955" s="2"/>
      <c r="H955" s="2"/>
      <c r="I955" s="2"/>
      <c r="J955" s="2"/>
    </row>
    <row r="956" ht="15.75" customHeight="1">
      <c r="A956" s="4" t="str">
        <f>HYPERLINK("https://stackoverflow.com/q/56633307", "56633307")</f>
        <v>56633307</v>
      </c>
      <c r="B956" s="2" t="s">
        <v>998</v>
      </c>
      <c r="C956" s="3">
        <v>0.0</v>
      </c>
      <c r="D956" s="3">
        <v>480.0</v>
      </c>
      <c r="E956" s="2"/>
      <c r="F956" s="2"/>
      <c r="G956" s="2"/>
      <c r="H956" s="2"/>
      <c r="I956" s="2"/>
      <c r="J956" s="2"/>
    </row>
    <row r="957" ht="15.75" customHeight="1">
      <c r="A957" s="4" t="str">
        <f>HYPERLINK("https://stackoverflow.com/q/41645111", "41645111")</f>
        <v>41645111</v>
      </c>
      <c r="B957" s="2" t="s">
        <v>999</v>
      </c>
      <c r="C957" s="3"/>
      <c r="D957" s="3">
        <v>480.0</v>
      </c>
      <c r="E957" s="2" t="s">
        <v>11</v>
      </c>
      <c r="F957" s="2" t="s">
        <v>25</v>
      </c>
      <c r="G957" s="2"/>
      <c r="H957" s="2"/>
      <c r="I957" s="2"/>
      <c r="J957" s="2"/>
    </row>
    <row r="958" ht="15.75" customHeight="1">
      <c r="A958" s="4" t="str">
        <f>HYPERLINK("https://stackoverflow.com/q/46144718", "46144718")</f>
        <v>46144718</v>
      </c>
      <c r="B958" s="2" t="s">
        <v>1000</v>
      </c>
      <c r="C958" s="3"/>
      <c r="D958" s="3">
        <v>479.0</v>
      </c>
      <c r="E958" s="2" t="s">
        <v>11</v>
      </c>
      <c r="F958" s="2" t="s">
        <v>67</v>
      </c>
      <c r="G958" s="2"/>
      <c r="H958" s="2"/>
      <c r="I958" s="2"/>
      <c r="J958" s="2"/>
    </row>
    <row r="959" ht="15.75" customHeight="1">
      <c r="A959" s="4" t="str">
        <f>HYPERLINK("https://stackoverflow.com/q/31967389", "31967389")</f>
        <v>31967389</v>
      </c>
      <c r="B959" s="2" t="s">
        <v>1001</v>
      </c>
      <c r="C959" s="3"/>
      <c r="D959" s="3">
        <v>476.0</v>
      </c>
      <c r="E959" s="2"/>
      <c r="F959" s="2"/>
      <c r="G959" s="2"/>
      <c r="H959" s="2"/>
      <c r="I959" s="2"/>
      <c r="J959" s="2"/>
    </row>
    <row r="960" ht="15.75" customHeight="1">
      <c r="A960" s="4" t="str">
        <f>HYPERLINK("https://stackoverflow.com/q/50462355", "50462355")</f>
        <v>50462355</v>
      </c>
      <c r="B960" s="2" t="s">
        <v>1002</v>
      </c>
      <c r="C960" s="3"/>
      <c r="D960" s="3">
        <v>476.0</v>
      </c>
      <c r="E960" s="2"/>
      <c r="F960" s="2"/>
      <c r="G960" s="2"/>
      <c r="H960" s="2"/>
      <c r="I960" s="2"/>
      <c r="J960" s="2"/>
    </row>
    <row r="961" ht="15.75" customHeight="1">
      <c r="A961" s="4" t="str">
        <f>HYPERLINK("https://stackoverflow.com/q/53232272", "53232272")</f>
        <v>53232272</v>
      </c>
      <c r="B961" s="2" t="s">
        <v>1003</v>
      </c>
      <c r="C961" s="3"/>
      <c r="D961" s="3">
        <v>476.0</v>
      </c>
      <c r="E961" s="2"/>
      <c r="F961" s="2"/>
      <c r="G961" s="2"/>
      <c r="H961" s="2"/>
      <c r="I961" s="2"/>
      <c r="J961" s="2"/>
    </row>
    <row r="962" ht="15.75" customHeight="1">
      <c r="A962" s="4" t="str">
        <f>HYPERLINK("https://stackoverflow.com/q/43646460", "43646460")</f>
        <v>43646460</v>
      </c>
      <c r="B962" s="2" t="s">
        <v>1004</v>
      </c>
      <c r="C962" s="3"/>
      <c r="D962" s="3">
        <v>475.0</v>
      </c>
      <c r="E962" s="9" t="s">
        <v>11</v>
      </c>
      <c r="F962" s="2" t="s">
        <v>16</v>
      </c>
      <c r="G962" s="2"/>
      <c r="H962" s="2"/>
      <c r="I962" s="2"/>
      <c r="J962" s="2"/>
    </row>
    <row r="963" ht="15.75" customHeight="1">
      <c r="A963" s="4" t="str">
        <f>HYPERLINK("https://stackoverflow.com/q/52260506", "52260506")</f>
        <v>52260506</v>
      </c>
      <c r="B963" s="2" t="s">
        <v>1005</v>
      </c>
      <c r="C963" s="3"/>
      <c r="D963" s="3">
        <v>475.0</v>
      </c>
      <c r="E963" s="2"/>
      <c r="F963" s="2"/>
      <c r="G963" s="2"/>
      <c r="H963" s="2"/>
      <c r="I963" s="2"/>
      <c r="J963" s="2"/>
    </row>
    <row r="964" ht="15.75" customHeight="1">
      <c r="A964" s="4" t="str">
        <f>HYPERLINK("https://stackoverflow.com/q/58639195", "58639195")</f>
        <v>58639195</v>
      </c>
      <c r="B964" s="2" t="s">
        <v>1006</v>
      </c>
      <c r="C964" s="3"/>
      <c r="D964" s="3">
        <v>473.0</v>
      </c>
      <c r="E964" s="2"/>
      <c r="F964" s="2"/>
      <c r="G964" s="2"/>
      <c r="H964" s="2"/>
      <c r="I964" s="2"/>
      <c r="J964" s="2"/>
    </row>
    <row r="965" ht="15.75" customHeight="1">
      <c r="A965" s="4" t="str">
        <f>HYPERLINK("https://stackoverflow.com/q/53504268", "53504268")</f>
        <v>53504268</v>
      </c>
      <c r="B965" s="2" t="s">
        <v>1007</v>
      </c>
      <c r="C965" s="3">
        <v>2.0</v>
      </c>
      <c r="D965" s="3">
        <v>472.0</v>
      </c>
      <c r="E965" s="2"/>
      <c r="F965" s="2"/>
      <c r="G965" s="2"/>
      <c r="H965" s="2"/>
      <c r="I965" s="2"/>
      <c r="J965" s="2"/>
    </row>
    <row r="966" ht="15.75" customHeight="1">
      <c r="A966" s="4" t="str">
        <f>HYPERLINK("https://stackoverflow.com/q/42959530", "42959530")</f>
        <v>42959530</v>
      </c>
      <c r="B966" s="2" t="s">
        <v>1008</v>
      </c>
      <c r="C966" s="3"/>
      <c r="D966" s="3">
        <v>472.0</v>
      </c>
      <c r="E966" s="2" t="s">
        <v>11</v>
      </c>
      <c r="F966" s="2" t="s">
        <v>12</v>
      </c>
      <c r="G966" s="2"/>
      <c r="H966" s="2"/>
      <c r="I966" s="2"/>
      <c r="J966" s="2"/>
    </row>
    <row r="967" ht="15.75" customHeight="1">
      <c r="A967" s="4" t="str">
        <f>HYPERLINK("https://stackoverflow.com/q/18041364", "18041364")</f>
        <v>18041364</v>
      </c>
      <c r="B967" s="2" t="s">
        <v>1009</v>
      </c>
      <c r="C967" s="3"/>
      <c r="D967" s="3">
        <v>472.0</v>
      </c>
      <c r="E967" s="2"/>
      <c r="F967" s="2"/>
      <c r="G967" s="2"/>
      <c r="H967" s="2"/>
      <c r="I967" s="2"/>
      <c r="J967" s="2"/>
    </row>
    <row r="968" ht="15.75" customHeight="1">
      <c r="A968" s="4" t="str">
        <f>HYPERLINK("https://stackoverflow.com/q/18557198", "18557198")</f>
        <v>18557198</v>
      </c>
      <c r="B968" s="2" t="s">
        <v>1010</v>
      </c>
      <c r="C968" s="3"/>
      <c r="D968" s="3">
        <v>471.0</v>
      </c>
      <c r="E968" s="2"/>
      <c r="F968" s="2"/>
      <c r="G968" s="2"/>
      <c r="H968" s="2"/>
      <c r="I968" s="2"/>
      <c r="J968" s="2"/>
    </row>
    <row r="969" ht="15.75" customHeight="1">
      <c r="A969" s="4" t="str">
        <f>HYPERLINK("https://stackoverflow.com/q/49439737", "49439737")</f>
        <v>49439737</v>
      </c>
      <c r="B969" s="2" t="s">
        <v>1011</v>
      </c>
      <c r="C969" s="3"/>
      <c r="D969" s="3">
        <v>471.0</v>
      </c>
      <c r="E969" s="2"/>
      <c r="F969" s="2"/>
      <c r="G969" s="2"/>
      <c r="H969" s="2"/>
      <c r="I969" s="2"/>
      <c r="J969" s="2"/>
    </row>
    <row r="970" ht="15.75" customHeight="1">
      <c r="A970" s="4" t="str">
        <f>HYPERLINK("https://stackoverflow.com/q/54937175", "54937175")</f>
        <v>54937175</v>
      </c>
      <c r="B970" s="2" t="s">
        <v>1012</v>
      </c>
      <c r="C970" s="3"/>
      <c r="D970" s="3">
        <v>470.0</v>
      </c>
      <c r="E970" s="9" t="s">
        <v>11</v>
      </c>
      <c r="F970" s="2" t="s">
        <v>16</v>
      </c>
      <c r="G970" s="2"/>
      <c r="H970" s="2"/>
      <c r="I970" s="2"/>
      <c r="J970" s="2"/>
    </row>
    <row r="971" ht="15.75" customHeight="1">
      <c r="A971" s="4" t="str">
        <f>HYPERLINK("https://stackoverflow.com/q/48267239", "48267239")</f>
        <v>48267239</v>
      </c>
      <c r="B971" s="2" t="s">
        <v>1013</v>
      </c>
      <c r="C971" s="3">
        <v>0.0</v>
      </c>
      <c r="D971" s="3">
        <v>469.0</v>
      </c>
      <c r="E971" s="2" t="s">
        <v>11</v>
      </c>
      <c r="F971" s="2" t="s">
        <v>67</v>
      </c>
      <c r="G971" s="2"/>
      <c r="H971" s="2"/>
      <c r="I971" s="2"/>
      <c r="J971" s="2"/>
    </row>
    <row r="972" ht="15.75" customHeight="1">
      <c r="A972" s="4" t="str">
        <f>HYPERLINK("https://stackoverflow.com/q/40910294", "40910294")</f>
        <v>40910294</v>
      </c>
      <c r="B972" s="2" t="s">
        <v>1014</v>
      </c>
      <c r="C972" s="3"/>
      <c r="D972" s="3">
        <v>469.0</v>
      </c>
      <c r="E972" s="2"/>
      <c r="F972" s="2"/>
      <c r="G972" s="2"/>
      <c r="H972" s="2"/>
      <c r="I972" s="2"/>
      <c r="J972" s="2"/>
    </row>
    <row r="973" ht="15.75" customHeight="1">
      <c r="A973" s="4" t="str">
        <f>HYPERLINK("https://stackoverflow.com/q/50752250", "50752250")</f>
        <v>50752250</v>
      </c>
      <c r="B973" s="2" t="s">
        <v>1015</v>
      </c>
      <c r="C973" s="3"/>
      <c r="D973" s="3">
        <v>469.0</v>
      </c>
      <c r="E973" s="2"/>
      <c r="F973" s="2"/>
      <c r="G973" s="2"/>
      <c r="H973" s="2"/>
      <c r="I973" s="2"/>
      <c r="J973" s="2"/>
    </row>
    <row r="974" ht="15.75" customHeight="1">
      <c r="A974" s="4" t="str">
        <f>HYPERLINK("https://stackoverflow.com/q/46295367", "46295367")</f>
        <v>46295367</v>
      </c>
      <c r="B974" s="2" t="s">
        <v>1016</v>
      </c>
      <c r="C974" s="3">
        <v>1.0</v>
      </c>
      <c r="D974" s="3">
        <v>468.0</v>
      </c>
      <c r="E974" s="2" t="s">
        <v>11</v>
      </c>
      <c r="F974" s="2" t="s">
        <v>56</v>
      </c>
      <c r="G974" s="2"/>
      <c r="H974" s="2"/>
      <c r="I974" s="2"/>
      <c r="J974" s="2"/>
    </row>
    <row r="975" ht="15.75" customHeight="1">
      <c r="A975" s="4" t="str">
        <f>HYPERLINK("https://stackoverflow.com/q/43045887", "43045887")</f>
        <v>43045887</v>
      </c>
      <c r="B975" s="2" t="s">
        <v>1017</v>
      </c>
      <c r="C975" s="3"/>
      <c r="D975" s="3">
        <v>468.0</v>
      </c>
      <c r="E975" s="2" t="s">
        <v>20</v>
      </c>
      <c r="F975" s="2" t="s">
        <v>183</v>
      </c>
      <c r="G975" s="2"/>
      <c r="H975" s="2"/>
      <c r="I975" s="2"/>
      <c r="J975" s="2"/>
    </row>
    <row r="976" ht="15.75" customHeight="1">
      <c r="A976" s="4" t="str">
        <f>HYPERLINK("https://stackoverflow.com/q/57474055", "57474055")</f>
        <v>57474055</v>
      </c>
      <c r="B976" s="2" t="s">
        <v>1018</v>
      </c>
      <c r="C976" s="3">
        <v>0.0</v>
      </c>
      <c r="D976" s="3">
        <v>467.0</v>
      </c>
      <c r="E976" s="2"/>
      <c r="F976" s="2"/>
      <c r="G976" s="2"/>
      <c r="H976" s="2"/>
      <c r="I976" s="2"/>
      <c r="J976" s="2"/>
    </row>
    <row r="977" ht="15.75" customHeight="1">
      <c r="A977" s="4" t="str">
        <f>HYPERLINK("https://stackoverflow.com/q/16999224", "16999224")</f>
        <v>16999224</v>
      </c>
      <c r="B977" s="2" t="s">
        <v>1019</v>
      </c>
      <c r="C977" s="3"/>
      <c r="D977" s="3">
        <v>467.0</v>
      </c>
      <c r="E977" s="2"/>
      <c r="F977" s="2"/>
      <c r="G977" s="2"/>
      <c r="H977" s="2"/>
      <c r="I977" s="2"/>
      <c r="J977" s="2"/>
    </row>
    <row r="978" ht="15.75" customHeight="1">
      <c r="A978" s="4" t="str">
        <f>HYPERLINK("https://stackoverflow.com/q/35894935", "35894935")</f>
        <v>35894935</v>
      </c>
      <c r="B978" s="2" t="s">
        <v>1020</v>
      </c>
      <c r="C978" s="3"/>
      <c r="D978" s="3">
        <v>467.0</v>
      </c>
      <c r="E978" s="2"/>
      <c r="F978" s="2"/>
      <c r="G978" s="2"/>
      <c r="H978" s="2"/>
      <c r="I978" s="2"/>
      <c r="J978" s="2"/>
    </row>
    <row r="979" ht="15.75" customHeight="1">
      <c r="A979" s="4" t="str">
        <f>HYPERLINK("https://stackoverflow.com/q/50038740", "50038740")</f>
        <v>50038740</v>
      </c>
      <c r="B979" s="2" t="s">
        <v>1021</v>
      </c>
      <c r="C979" s="3"/>
      <c r="D979" s="3">
        <v>467.0</v>
      </c>
      <c r="E979" s="2"/>
      <c r="F979" s="2"/>
      <c r="G979" s="2"/>
      <c r="H979" s="2"/>
      <c r="I979" s="2"/>
      <c r="J979" s="2"/>
    </row>
    <row r="980" ht="15.75" customHeight="1">
      <c r="A980" s="4" t="str">
        <f>HYPERLINK("https://stackoverflow.com/q/46705213", "46705213")</f>
        <v>46705213</v>
      </c>
      <c r="B980" s="2" t="s">
        <v>1022</v>
      </c>
      <c r="C980" s="3"/>
      <c r="D980" s="3">
        <v>466.0</v>
      </c>
      <c r="E980" s="2" t="s">
        <v>537</v>
      </c>
      <c r="F980" s="2" t="s">
        <v>194</v>
      </c>
      <c r="G980" s="2"/>
      <c r="H980" s="2"/>
      <c r="I980" s="2"/>
      <c r="J980" s="2"/>
    </row>
    <row r="981" ht="15.75" customHeight="1">
      <c r="A981" s="4" t="str">
        <f>HYPERLINK("https://stackoverflow.com/q/22707093", "22707093")</f>
        <v>22707093</v>
      </c>
      <c r="B981" s="2" t="s">
        <v>1023</v>
      </c>
      <c r="C981" s="3"/>
      <c r="D981" s="3">
        <v>466.0</v>
      </c>
      <c r="E981" s="2"/>
      <c r="F981" s="2"/>
      <c r="G981" s="2"/>
      <c r="H981" s="2"/>
      <c r="I981" s="2"/>
      <c r="J981" s="2"/>
    </row>
    <row r="982" ht="15.75" customHeight="1">
      <c r="A982" s="4" t="str">
        <f>HYPERLINK("https://stackoverflow.com/q/38327633", "38327633")</f>
        <v>38327633</v>
      </c>
      <c r="B982" s="2" t="s">
        <v>1024</v>
      </c>
      <c r="C982" s="3"/>
      <c r="D982" s="3">
        <v>466.0</v>
      </c>
      <c r="E982" s="2"/>
      <c r="F982" s="2"/>
      <c r="G982" s="2"/>
      <c r="H982" s="2"/>
      <c r="I982" s="2"/>
      <c r="J982" s="2"/>
    </row>
    <row r="983" ht="15.75" customHeight="1">
      <c r="A983" s="4" t="str">
        <f>HYPERLINK("https://stackoverflow.com/q/44952033", "44952033")</f>
        <v>44952033</v>
      </c>
      <c r="B983" s="2" t="s">
        <v>1025</v>
      </c>
      <c r="C983" s="3"/>
      <c r="D983" s="3">
        <v>466.0</v>
      </c>
      <c r="E983" s="2"/>
      <c r="F983" s="2"/>
      <c r="G983" s="2"/>
      <c r="H983" s="2"/>
      <c r="I983" s="2"/>
      <c r="J983" s="2"/>
    </row>
    <row r="984" ht="15.75" customHeight="1">
      <c r="A984" s="4" t="str">
        <f>HYPERLINK("https://stackoverflow.com/q/40596332", "40596332")</f>
        <v>40596332</v>
      </c>
      <c r="B984" s="2" t="s">
        <v>1026</v>
      </c>
      <c r="C984" s="3"/>
      <c r="D984" s="3">
        <v>465.0</v>
      </c>
      <c r="E984" s="2"/>
      <c r="F984" s="2"/>
      <c r="G984" s="2"/>
      <c r="H984" s="2"/>
      <c r="I984" s="2"/>
      <c r="J984" s="2"/>
    </row>
    <row r="985" ht="15.75" customHeight="1">
      <c r="A985" s="4" t="str">
        <f>HYPERLINK("https://stackoverflow.com/q/45723760", "45723760")</f>
        <v>45723760</v>
      </c>
      <c r="B985" s="2" t="s">
        <v>1027</v>
      </c>
      <c r="C985" s="3"/>
      <c r="D985" s="3">
        <v>464.0</v>
      </c>
      <c r="E985" s="9" t="s">
        <v>11</v>
      </c>
      <c r="F985" s="2" t="s">
        <v>18</v>
      </c>
      <c r="G985" s="2"/>
      <c r="H985" s="2"/>
      <c r="I985" s="2"/>
      <c r="J985" s="2"/>
    </row>
    <row r="986" ht="15.75" customHeight="1">
      <c r="A986" s="4" t="str">
        <f>HYPERLINK("https://stackoverflow.com/q/43919778", "43919778")</f>
        <v>43919778</v>
      </c>
      <c r="B986" s="2" t="s">
        <v>1028</v>
      </c>
      <c r="C986" s="3">
        <v>1.0</v>
      </c>
      <c r="D986" s="3">
        <v>463.0</v>
      </c>
      <c r="E986" s="2" t="s">
        <v>20</v>
      </c>
      <c r="F986" s="2" t="s">
        <v>49</v>
      </c>
      <c r="G986" s="2" t="s">
        <v>21</v>
      </c>
      <c r="H986" s="2"/>
      <c r="I986" s="2"/>
      <c r="J986" s="2"/>
    </row>
    <row r="987" ht="15.75" customHeight="1">
      <c r="A987" s="4" t="str">
        <f>HYPERLINK("https://stackoverflow.com/q/37915834", "37915834")</f>
        <v>37915834</v>
      </c>
      <c r="B987" s="2" t="s">
        <v>1029</v>
      </c>
      <c r="C987" s="3"/>
      <c r="D987" s="3">
        <v>463.0</v>
      </c>
      <c r="E987" s="2"/>
      <c r="F987" s="2"/>
      <c r="G987" s="2"/>
      <c r="H987" s="2"/>
      <c r="I987" s="2"/>
      <c r="J987" s="2"/>
    </row>
    <row r="988" ht="15.75" customHeight="1">
      <c r="A988" s="4" t="str">
        <f>HYPERLINK("https://stackoverflow.com/q/41867303", "41867303")</f>
        <v>41867303</v>
      </c>
      <c r="B988" s="2" t="s">
        <v>1030</v>
      </c>
      <c r="C988" s="3">
        <v>1.0</v>
      </c>
      <c r="D988" s="3">
        <v>462.0</v>
      </c>
      <c r="E988" s="2" t="s">
        <v>11</v>
      </c>
      <c r="F988" s="2" t="s">
        <v>67</v>
      </c>
      <c r="G988" s="2"/>
      <c r="H988" s="2"/>
      <c r="I988" s="2"/>
      <c r="J988" s="2"/>
    </row>
    <row r="989" ht="15.75" customHeight="1">
      <c r="A989" s="4" t="str">
        <f>HYPERLINK("https://stackoverflow.com/q/46362311", "46362311")</f>
        <v>46362311</v>
      </c>
      <c r="B989" s="2" t="s">
        <v>1031</v>
      </c>
      <c r="C989" s="3"/>
      <c r="D989" s="3">
        <v>462.0</v>
      </c>
      <c r="E989" s="2" t="s">
        <v>11</v>
      </c>
      <c r="F989" s="2" t="s">
        <v>12</v>
      </c>
      <c r="G989" s="2"/>
      <c r="H989" s="2"/>
      <c r="I989" s="2"/>
      <c r="J989" s="2"/>
    </row>
    <row r="990" ht="15.75" customHeight="1">
      <c r="A990" s="4" t="str">
        <f>HYPERLINK("https://stackoverflow.com/q/51381243", "51381243")</f>
        <v>51381243</v>
      </c>
      <c r="B990" s="2" t="s">
        <v>1032</v>
      </c>
      <c r="C990" s="3"/>
      <c r="D990" s="3">
        <v>462.0</v>
      </c>
      <c r="E990" s="2" t="s">
        <v>11</v>
      </c>
      <c r="F990" s="2" t="s">
        <v>21</v>
      </c>
      <c r="G990" s="2"/>
      <c r="H990" s="2"/>
      <c r="I990" s="2"/>
      <c r="J990" s="2"/>
    </row>
    <row r="991" ht="15.75" customHeight="1">
      <c r="A991" s="4" t="str">
        <f>HYPERLINK("https://stackoverflow.com/q/53167215", "53167215")</f>
        <v>53167215</v>
      </c>
      <c r="B991" s="2" t="s">
        <v>1033</v>
      </c>
      <c r="C991" s="3"/>
      <c r="D991" s="3">
        <v>462.0</v>
      </c>
      <c r="E991" s="2"/>
      <c r="F991" s="2"/>
      <c r="G991" s="2"/>
      <c r="H991" s="2"/>
      <c r="I991" s="2"/>
      <c r="J991" s="2"/>
    </row>
    <row r="992" ht="15.75" customHeight="1">
      <c r="A992" s="4" t="str">
        <f>HYPERLINK("https://stackoverflow.com/q/50597271", "50597271")</f>
        <v>50597271</v>
      </c>
      <c r="B992" s="2" t="s">
        <v>1034</v>
      </c>
      <c r="C992" s="3">
        <v>0.0</v>
      </c>
      <c r="D992" s="3">
        <v>461.0</v>
      </c>
      <c r="E992" s="2"/>
      <c r="F992" s="2"/>
      <c r="G992" s="2"/>
      <c r="H992" s="2"/>
      <c r="I992" s="2"/>
      <c r="J992" s="2"/>
    </row>
    <row r="993" ht="15.75" customHeight="1">
      <c r="A993" s="4" t="str">
        <f>HYPERLINK("https://stackoverflow.com/q/46241015", "46241015")</f>
        <v>46241015</v>
      </c>
      <c r="B993" s="2" t="s">
        <v>1035</v>
      </c>
      <c r="C993" s="3"/>
      <c r="D993" s="3">
        <v>461.0</v>
      </c>
      <c r="E993" s="2" t="s">
        <v>11</v>
      </c>
      <c r="F993" s="2" t="s">
        <v>34</v>
      </c>
      <c r="G993" s="2"/>
      <c r="H993" s="2"/>
      <c r="I993" s="2"/>
      <c r="J993" s="2"/>
    </row>
    <row r="994" ht="15.75" customHeight="1">
      <c r="A994" s="4" t="str">
        <f>HYPERLINK("https://stackoverflow.com/q/49103880", "49103880")</f>
        <v>49103880</v>
      </c>
      <c r="B994" s="2" t="s">
        <v>1036</v>
      </c>
      <c r="C994" s="3"/>
      <c r="D994" s="3">
        <v>461.0</v>
      </c>
      <c r="E994" s="2"/>
      <c r="F994" s="2"/>
      <c r="G994" s="2"/>
      <c r="H994" s="2"/>
      <c r="I994" s="2"/>
      <c r="J994" s="2"/>
    </row>
    <row r="995" ht="15.75" customHeight="1">
      <c r="A995" s="4" t="str">
        <f>HYPERLINK("https://stackoverflow.com/q/42470252", "42470252")</f>
        <v>42470252</v>
      </c>
      <c r="B995" s="2" t="s">
        <v>1037</v>
      </c>
      <c r="C995" s="3">
        <v>1.0</v>
      </c>
      <c r="D995" s="3">
        <v>460.0</v>
      </c>
      <c r="E995" s="2" t="s">
        <v>11</v>
      </c>
      <c r="F995" s="2" t="s">
        <v>25</v>
      </c>
      <c r="G995" s="2"/>
      <c r="H995" s="2"/>
      <c r="I995" s="2"/>
      <c r="J995" s="2"/>
    </row>
    <row r="996" ht="15.75" customHeight="1">
      <c r="A996" s="4" t="str">
        <f>HYPERLINK("https://stackoverflow.com/q/48952883", "48952883")</f>
        <v>48952883</v>
      </c>
      <c r="B996" s="2" t="s">
        <v>1038</v>
      </c>
      <c r="C996" s="3"/>
      <c r="D996" s="3">
        <v>460.0</v>
      </c>
      <c r="E996" s="2"/>
      <c r="F996" s="2"/>
      <c r="G996" s="2"/>
      <c r="H996" s="2"/>
      <c r="I996" s="2"/>
      <c r="J996" s="2"/>
    </row>
    <row r="997" ht="15.75" customHeight="1">
      <c r="A997" s="4" t="str">
        <f>HYPERLINK("https://stackoverflow.com/q/51865071", "51865071")</f>
        <v>51865071</v>
      </c>
      <c r="B997" s="2" t="s">
        <v>1039</v>
      </c>
      <c r="C997" s="3"/>
      <c r="D997" s="3">
        <v>460.0</v>
      </c>
      <c r="E997" s="2"/>
      <c r="F997" s="2"/>
      <c r="G997" s="2"/>
      <c r="H997" s="2"/>
      <c r="I997" s="2"/>
      <c r="J997" s="2"/>
    </row>
    <row r="998" ht="15.75" customHeight="1">
      <c r="A998" s="4" t="str">
        <f>HYPERLINK("https://stackoverflow.com/q/55714301", "55714301")</f>
        <v>55714301</v>
      </c>
      <c r="B998" s="2" t="s">
        <v>1040</v>
      </c>
      <c r="C998" s="3"/>
      <c r="D998" s="3">
        <v>460.0</v>
      </c>
      <c r="E998" s="2"/>
      <c r="F998" s="2"/>
      <c r="G998" s="2"/>
      <c r="H998" s="2"/>
      <c r="I998" s="2"/>
      <c r="J998" s="2"/>
    </row>
    <row r="999" ht="15.75" customHeight="1">
      <c r="A999" s="4" t="str">
        <f>HYPERLINK("https://stackoverflow.com/q/58861624", "58861624")</f>
        <v>58861624</v>
      </c>
      <c r="B999" s="2" t="s">
        <v>1041</v>
      </c>
      <c r="C999" s="3"/>
      <c r="D999" s="3">
        <v>460.0</v>
      </c>
      <c r="E999" s="2"/>
      <c r="F999" s="2"/>
      <c r="G999" s="2"/>
      <c r="H999" s="2"/>
      <c r="I999" s="2"/>
      <c r="J999" s="2"/>
    </row>
    <row r="1000" ht="15.75" customHeight="1">
      <c r="A1000" s="4" t="str">
        <f>HYPERLINK("https://stackoverflow.com/q/45901296", "45901296")</f>
        <v>45901296</v>
      </c>
      <c r="B1000" s="2" t="s">
        <v>1042</v>
      </c>
      <c r="C1000" s="3"/>
      <c r="D1000" s="3">
        <v>459.0</v>
      </c>
      <c r="E1000" s="2"/>
      <c r="F1000" s="2"/>
      <c r="G1000" s="2"/>
      <c r="H1000" s="2"/>
      <c r="I1000" s="2"/>
      <c r="J1000" s="2"/>
    </row>
    <row r="1001" ht="15.75" customHeight="1">
      <c r="A1001" s="4" t="str">
        <f>HYPERLINK("https://stackoverflow.com/q/51845292", "51845292")</f>
        <v>51845292</v>
      </c>
      <c r="B1001" s="2" t="s">
        <v>1043</v>
      </c>
      <c r="C1001" s="3"/>
      <c r="D1001" s="3">
        <v>459.0</v>
      </c>
      <c r="E1001" s="2"/>
      <c r="F1001" s="2"/>
      <c r="G1001" s="2"/>
      <c r="H1001" s="2"/>
      <c r="I1001" s="2"/>
      <c r="J1001" s="2"/>
    </row>
    <row r="1002" ht="15.75" customHeight="1">
      <c r="A1002" s="4" t="str">
        <f>HYPERLINK("https://stackoverflow.com/q/53082622", "53082622")</f>
        <v>53082622</v>
      </c>
      <c r="B1002" s="2" t="s">
        <v>1044</v>
      </c>
      <c r="C1002" s="3">
        <v>1.0</v>
      </c>
      <c r="D1002" s="3">
        <v>458.0</v>
      </c>
      <c r="E1002" s="2"/>
      <c r="F1002" s="2"/>
      <c r="G1002" s="2"/>
      <c r="H1002" s="2"/>
      <c r="I1002" s="2"/>
      <c r="J1002" s="2"/>
    </row>
    <row r="1003" ht="15.75" customHeight="1">
      <c r="A1003" s="4" t="str">
        <f>HYPERLINK("https://stackoverflow.com/q/57372691", "57372691")</f>
        <v>57372691</v>
      </c>
      <c r="B1003" s="2" t="s">
        <v>1045</v>
      </c>
      <c r="C1003" s="3"/>
      <c r="D1003" s="3">
        <v>458.0</v>
      </c>
      <c r="E1003" s="2"/>
      <c r="F1003" s="2"/>
      <c r="G1003" s="2"/>
      <c r="H1003" s="2"/>
      <c r="I1003" s="2"/>
      <c r="J1003" s="2"/>
    </row>
    <row r="1004" ht="15.75" customHeight="1">
      <c r="A1004" s="4" t="str">
        <f>HYPERLINK("https://stackoverflow.com/q/48906831", "48906831")</f>
        <v>48906831</v>
      </c>
      <c r="B1004" s="2" t="s">
        <v>1046</v>
      </c>
      <c r="C1004" s="3"/>
      <c r="D1004" s="3">
        <v>457.0</v>
      </c>
      <c r="E1004" s="2"/>
      <c r="F1004" s="2"/>
      <c r="G1004" s="2"/>
      <c r="H1004" s="2"/>
      <c r="I1004" s="2"/>
      <c r="J1004" s="2"/>
    </row>
    <row r="1005" ht="15.75" customHeight="1">
      <c r="A1005" s="4" t="str">
        <f>HYPERLINK("https://stackoverflow.com/q/57126292", "57126292")</f>
        <v>57126292</v>
      </c>
      <c r="B1005" s="2" t="s">
        <v>1047</v>
      </c>
      <c r="C1005" s="3"/>
      <c r="D1005" s="3">
        <v>457.0</v>
      </c>
      <c r="E1005" s="2"/>
      <c r="F1005" s="2"/>
      <c r="G1005" s="2"/>
      <c r="H1005" s="2"/>
      <c r="I1005" s="2"/>
      <c r="J1005" s="2"/>
    </row>
    <row r="1006" ht="15.75" customHeight="1">
      <c r="A1006" s="4" t="str">
        <f>HYPERLINK("https://stackoverflow.com/q/52316754", "52316754")</f>
        <v>52316754</v>
      </c>
      <c r="B1006" s="2" t="s">
        <v>1048</v>
      </c>
      <c r="C1006" s="3">
        <v>1.0</v>
      </c>
      <c r="D1006" s="3">
        <v>455.0</v>
      </c>
      <c r="E1006" s="2"/>
      <c r="F1006" s="2"/>
      <c r="G1006" s="2"/>
      <c r="H1006" s="2"/>
      <c r="I1006" s="2"/>
      <c r="J1006" s="2"/>
    </row>
    <row r="1007" ht="15.75" customHeight="1">
      <c r="A1007" s="4" t="str">
        <f>HYPERLINK("https://stackoverflow.com/q/58405973", "58405973")</f>
        <v>58405973</v>
      </c>
      <c r="B1007" s="2" t="s">
        <v>1049</v>
      </c>
      <c r="C1007" s="3">
        <v>1.0</v>
      </c>
      <c r="D1007" s="3">
        <v>455.0</v>
      </c>
      <c r="E1007" s="2"/>
      <c r="F1007" s="2"/>
      <c r="G1007" s="2"/>
      <c r="H1007" s="2"/>
      <c r="I1007" s="2"/>
      <c r="J1007" s="2"/>
    </row>
    <row r="1008" ht="15.75" customHeight="1">
      <c r="A1008" s="4" t="str">
        <f>HYPERLINK("https://stackoverflow.com/q/43860043", "43860043")</f>
        <v>43860043</v>
      </c>
      <c r="B1008" s="2" t="s">
        <v>1050</v>
      </c>
      <c r="C1008" s="3"/>
      <c r="D1008" s="3">
        <v>454.0</v>
      </c>
      <c r="E1008" s="2" t="s">
        <v>72</v>
      </c>
      <c r="F1008" s="2" t="s">
        <v>506</v>
      </c>
      <c r="G1008" s="2"/>
      <c r="H1008" s="2"/>
      <c r="I1008" s="2"/>
      <c r="J1008" s="2"/>
    </row>
    <row r="1009" ht="15.75" customHeight="1">
      <c r="A1009" s="4" t="str">
        <f>HYPERLINK("https://stackoverflow.com/q/52163958", "52163958")</f>
        <v>52163958</v>
      </c>
      <c r="B1009" s="2" t="s">
        <v>1051</v>
      </c>
      <c r="C1009" s="3"/>
      <c r="D1009" s="3">
        <v>454.0</v>
      </c>
      <c r="E1009" s="2"/>
      <c r="F1009" s="2"/>
      <c r="G1009" s="2"/>
      <c r="H1009" s="2"/>
      <c r="I1009" s="2"/>
      <c r="J1009" s="2"/>
    </row>
    <row r="1010" ht="15.75" customHeight="1">
      <c r="A1010" s="4" t="str">
        <f>HYPERLINK("https://stackoverflow.com/q/49573392", "49573392")</f>
        <v>49573392</v>
      </c>
      <c r="B1010" s="2" t="s">
        <v>1052</v>
      </c>
      <c r="C1010" s="3">
        <v>1.0</v>
      </c>
      <c r="D1010" s="3">
        <v>453.0</v>
      </c>
      <c r="E1010" s="2"/>
      <c r="F1010" s="2"/>
      <c r="G1010" s="2"/>
      <c r="H1010" s="2"/>
      <c r="I1010" s="2"/>
      <c r="J1010" s="2"/>
    </row>
    <row r="1011" ht="15.75" customHeight="1">
      <c r="A1011" s="4" t="str">
        <f>HYPERLINK("https://stackoverflow.com/q/44525150", "44525150")</f>
        <v>44525150</v>
      </c>
      <c r="B1011" s="2" t="s">
        <v>1053</v>
      </c>
      <c r="C1011" s="3"/>
      <c r="D1011" s="3">
        <v>453.0</v>
      </c>
      <c r="E1011" s="2"/>
      <c r="F1011" s="2"/>
      <c r="G1011" s="2"/>
      <c r="H1011" s="2"/>
      <c r="I1011" s="2"/>
      <c r="J1011" s="2"/>
    </row>
    <row r="1012" ht="15.75" customHeight="1">
      <c r="A1012" s="4" t="str">
        <f>HYPERLINK("https://stackoverflow.com/q/50013399", "50013399")</f>
        <v>50013399</v>
      </c>
      <c r="B1012" s="2" t="s">
        <v>1054</v>
      </c>
      <c r="C1012" s="3"/>
      <c r="D1012" s="3">
        <v>453.0</v>
      </c>
      <c r="E1012" s="2"/>
      <c r="F1012" s="2"/>
      <c r="G1012" s="2"/>
      <c r="H1012" s="2"/>
      <c r="I1012" s="2"/>
      <c r="J1012" s="2"/>
    </row>
    <row r="1013" ht="15.75" customHeight="1">
      <c r="A1013" s="4" t="str">
        <f>HYPERLINK("https://stackoverflow.com/q/51133592", "51133592")</f>
        <v>51133592</v>
      </c>
      <c r="B1013" s="2" t="s">
        <v>1055</v>
      </c>
      <c r="C1013" s="3"/>
      <c r="D1013" s="3">
        <v>453.0</v>
      </c>
      <c r="E1013" s="2"/>
      <c r="F1013" s="2"/>
      <c r="G1013" s="2"/>
      <c r="H1013" s="2"/>
      <c r="I1013" s="2"/>
      <c r="J1013" s="2"/>
    </row>
    <row r="1014" ht="15.75" customHeight="1">
      <c r="A1014" s="4" t="str">
        <f>HYPERLINK("https://stackoverflow.com/q/41860322", "41860322")</f>
        <v>41860322</v>
      </c>
      <c r="B1014" s="2" t="s">
        <v>1056</v>
      </c>
      <c r="C1014" s="3"/>
      <c r="D1014" s="3">
        <v>451.0</v>
      </c>
      <c r="E1014" s="2" t="s">
        <v>11</v>
      </c>
      <c r="F1014" s="2" t="s">
        <v>12</v>
      </c>
      <c r="G1014" s="2"/>
      <c r="H1014" s="2"/>
      <c r="I1014" s="2"/>
      <c r="J1014" s="2"/>
    </row>
    <row r="1015" ht="15.75" customHeight="1">
      <c r="A1015" s="4" t="str">
        <f>HYPERLINK("https://stackoverflow.com/q/52574490", "52574490")</f>
        <v>52574490</v>
      </c>
      <c r="B1015" s="2" t="s">
        <v>1057</v>
      </c>
      <c r="C1015" s="3"/>
      <c r="D1015" s="3">
        <v>451.0</v>
      </c>
      <c r="E1015" s="2"/>
      <c r="F1015" s="2"/>
      <c r="G1015" s="2"/>
      <c r="H1015" s="2"/>
      <c r="I1015" s="2"/>
      <c r="J1015" s="2"/>
    </row>
    <row r="1016" ht="15.75" customHeight="1">
      <c r="A1016" s="4" t="str">
        <f>HYPERLINK("https://stackoverflow.com/q/57016969", "57016969")</f>
        <v>57016969</v>
      </c>
      <c r="B1016" s="2" t="s">
        <v>1058</v>
      </c>
      <c r="C1016" s="3"/>
      <c r="D1016" s="3">
        <v>450.0</v>
      </c>
      <c r="E1016" s="2"/>
      <c r="F1016" s="2"/>
      <c r="G1016" s="2"/>
      <c r="H1016" s="2"/>
      <c r="I1016" s="2"/>
      <c r="J1016" s="2"/>
    </row>
    <row r="1017" ht="15.75" customHeight="1">
      <c r="A1017" s="4" t="str">
        <f>HYPERLINK("https://stackoverflow.com/q/42238738", "42238738")</f>
        <v>42238738</v>
      </c>
      <c r="B1017" s="2" t="s">
        <v>1059</v>
      </c>
      <c r="C1017" s="3">
        <v>1.0</v>
      </c>
      <c r="D1017" s="3">
        <v>448.0</v>
      </c>
      <c r="E1017" s="2" t="s">
        <v>11</v>
      </c>
      <c r="F1017" s="2" t="s">
        <v>12</v>
      </c>
      <c r="G1017" s="2"/>
      <c r="H1017" s="2"/>
      <c r="I1017" s="2"/>
      <c r="J1017" s="2"/>
    </row>
    <row r="1018" ht="15.75" customHeight="1">
      <c r="A1018" s="4" t="str">
        <f>HYPERLINK("https://stackoverflow.com/q/44005685", "44005685")</f>
        <v>44005685</v>
      </c>
      <c r="B1018" s="2" t="s">
        <v>1060</v>
      </c>
      <c r="C1018" s="3"/>
      <c r="D1018" s="3">
        <v>448.0</v>
      </c>
      <c r="E1018" s="2" t="s">
        <v>11</v>
      </c>
      <c r="F1018" s="2" t="s">
        <v>34</v>
      </c>
      <c r="G1018" s="2" t="s">
        <v>21</v>
      </c>
      <c r="H1018" s="2"/>
      <c r="I1018" s="2"/>
      <c r="J1018" s="2"/>
    </row>
    <row r="1019" ht="15.75" customHeight="1">
      <c r="A1019" s="4" t="str">
        <f>HYPERLINK("https://stackoverflow.com/q/53755821", "53755821")</f>
        <v>53755821</v>
      </c>
      <c r="B1019" s="2" t="s">
        <v>1061</v>
      </c>
      <c r="C1019" s="3"/>
      <c r="D1019" s="3">
        <v>448.0</v>
      </c>
      <c r="E1019" s="2"/>
      <c r="F1019" s="2"/>
      <c r="G1019" s="2"/>
      <c r="H1019" s="2"/>
      <c r="I1019" s="2"/>
      <c r="J1019" s="2"/>
    </row>
    <row r="1020" ht="15.75" customHeight="1">
      <c r="A1020" s="4" t="str">
        <f>HYPERLINK("https://stackoverflow.com/q/48837776", "48837776")</f>
        <v>48837776</v>
      </c>
      <c r="B1020" s="2" t="s">
        <v>1062</v>
      </c>
      <c r="C1020" s="3"/>
      <c r="D1020" s="3">
        <v>447.0</v>
      </c>
      <c r="E1020" s="2"/>
      <c r="F1020" s="2"/>
      <c r="G1020" s="2"/>
      <c r="H1020" s="2"/>
      <c r="I1020" s="2"/>
      <c r="J1020" s="2"/>
    </row>
    <row r="1021" ht="15.75" customHeight="1">
      <c r="A1021" s="4" t="str">
        <f>HYPERLINK("https://stackoverflow.com/q/49261726", "49261726")</f>
        <v>49261726</v>
      </c>
      <c r="B1021" s="2" t="s">
        <v>1063</v>
      </c>
      <c r="C1021" s="3"/>
      <c r="D1021" s="3">
        <v>447.0</v>
      </c>
      <c r="E1021" s="2"/>
      <c r="F1021" s="2"/>
      <c r="G1021" s="2"/>
      <c r="H1021" s="2"/>
      <c r="I1021" s="2"/>
      <c r="J1021" s="2"/>
    </row>
    <row r="1022" ht="15.75" customHeight="1">
      <c r="A1022" s="4" t="str">
        <f>HYPERLINK("https://stackoverflow.com/q/50316386", "50316386")</f>
        <v>50316386</v>
      </c>
      <c r="B1022" s="2" t="s">
        <v>1064</v>
      </c>
      <c r="C1022" s="3"/>
      <c r="D1022" s="3">
        <v>447.0</v>
      </c>
      <c r="E1022" s="2"/>
      <c r="F1022" s="2"/>
      <c r="G1022" s="2"/>
      <c r="H1022" s="2"/>
      <c r="I1022" s="2"/>
      <c r="J1022" s="2"/>
    </row>
    <row r="1023" ht="15.75" customHeight="1">
      <c r="A1023" s="4" t="str">
        <f>HYPERLINK("https://stackoverflow.com/q/5552901", "5552901")</f>
        <v>5552901</v>
      </c>
      <c r="B1023" s="2" t="s">
        <v>1065</v>
      </c>
      <c r="C1023" s="3"/>
      <c r="D1023" s="3">
        <v>446.0</v>
      </c>
      <c r="E1023" s="2" t="s">
        <v>11</v>
      </c>
      <c r="F1023" s="2" t="s">
        <v>25</v>
      </c>
      <c r="G1023" s="2"/>
      <c r="H1023" s="2"/>
      <c r="I1023" s="2"/>
      <c r="J1023" s="2"/>
    </row>
    <row r="1024" ht="15.75" customHeight="1">
      <c r="A1024" s="4" t="str">
        <f>HYPERLINK("https://stackoverflow.com/q/52154790", "52154790")</f>
        <v>52154790</v>
      </c>
      <c r="B1024" s="2" t="s">
        <v>1066</v>
      </c>
      <c r="C1024" s="3">
        <v>1.0</v>
      </c>
      <c r="D1024" s="3">
        <v>444.0</v>
      </c>
      <c r="E1024" s="2"/>
      <c r="F1024" s="2"/>
      <c r="G1024" s="2"/>
      <c r="H1024" s="2"/>
      <c r="I1024" s="2"/>
      <c r="J1024" s="2"/>
    </row>
    <row r="1025" ht="15.75" customHeight="1">
      <c r="A1025" s="4" t="str">
        <f>HYPERLINK("https://stackoverflow.com/q/19112286", "19112286")</f>
        <v>19112286</v>
      </c>
      <c r="B1025" s="2" t="s">
        <v>1067</v>
      </c>
      <c r="C1025" s="3"/>
      <c r="D1025" s="3">
        <v>444.0</v>
      </c>
      <c r="E1025" s="2"/>
      <c r="F1025" s="2"/>
      <c r="G1025" s="2"/>
      <c r="H1025" s="2"/>
      <c r="I1025" s="2"/>
      <c r="J1025" s="2"/>
    </row>
    <row r="1026" ht="15.75" customHeight="1">
      <c r="A1026" s="4" t="str">
        <f>HYPERLINK("https://stackoverflow.com/q/45494320", "45494320")</f>
        <v>45494320</v>
      </c>
      <c r="B1026" s="2" t="s">
        <v>1068</v>
      </c>
      <c r="C1026" s="3"/>
      <c r="D1026" s="3">
        <v>443.0</v>
      </c>
      <c r="E1026" s="2"/>
      <c r="F1026" s="2"/>
      <c r="G1026" s="2"/>
      <c r="H1026" s="2"/>
      <c r="I1026" s="2"/>
      <c r="J1026" s="2"/>
    </row>
    <row r="1027" ht="15.75" customHeight="1">
      <c r="A1027" s="4" t="str">
        <f>HYPERLINK("https://stackoverflow.com/q/59062331", "59062331")</f>
        <v>59062331</v>
      </c>
      <c r="B1027" s="2" t="s">
        <v>1069</v>
      </c>
      <c r="C1027" s="3">
        <v>2.0</v>
      </c>
      <c r="D1027" s="3">
        <v>442.0</v>
      </c>
      <c r="E1027" s="2"/>
      <c r="F1027" s="2"/>
      <c r="G1027" s="2"/>
      <c r="H1027" s="2"/>
      <c r="I1027" s="2"/>
      <c r="J1027" s="2"/>
    </row>
    <row r="1028" ht="15.75" customHeight="1">
      <c r="A1028" s="4" t="str">
        <f>HYPERLINK("https://stackoverflow.com/q/51018281", "51018281")</f>
        <v>51018281</v>
      </c>
      <c r="B1028" s="2" t="s">
        <v>1070</v>
      </c>
      <c r="C1028" s="3">
        <v>1.0</v>
      </c>
      <c r="D1028" s="3">
        <v>442.0</v>
      </c>
      <c r="E1028" s="2"/>
      <c r="F1028" s="2"/>
      <c r="G1028" s="2"/>
      <c r="H1028" s="2"/>
      <c r="I1028" s="2"/>
      <c r="J1028" s="2"/>
    </row>
    <row r="1029" ht="15.75" customHeight="1">
      <c r="A1029" s="4" t="str">
        <f>HYPERLINK("https://stackoverflow.com/q/50491544", "50491544")</f>
        <v>50491544</v>
      </c>
      <c r="B1029" s="2" t="s">
        <v>1071</v>
      </c>
      <c r="C1029" s="3"/>
      <c r="D1029" s="3">
        <v>442.0</v>
      </c>
      <c r="E1029" s="2"/>
      <c r="F1029" s="2"/>
      <c r="G1029" s="2"/>
      <c r="H1029" s="2"/>
      <c r="I1029" s="2"/>
      <c r="J1029" s="2"/>
    </row>
    <row r="1030" ht="15.75" customHeight="1">
      <c r="A1030" s="4" t="str">
        <f>HYPERLINK("https://stackoverflow.com/q/53522196", "53522196")</f>
        <v>53522196</v>
      </c>
      <c r="B1030" s="2" t="s">
        <v>1072</v>
      </c>
      <c r="C1030" s="3"/>
      <c r="D1030" s="3">
        <v>442.0</v>
      </c>
      <c r="E1030" s="2"/>
      <c r="F1030" s="2"/>
      <c r="G1030" s="2"/>
      <c r="H1030" s="2"/>
      <c r="I1030" s="2"/>
      <c r="J1030" s="2"/>
    </row>
    <row r="1031" ht="15.75" customHeight="1">
      <c r="A1031" s="4" t="str">
        <f>HYPERLINK("https://stackoverflow.com/q/21122367", "21122367")</f>
        <v>21122367</v>
      </c>
      <c r="B1031" s="2" t="s">
        <v>1073</v>
      </c>
      <c r="C1031" s="3"/>
      <c r="D1031" s="3">
        <v>441.0</v>
      </c>
      <c r="E1031" s="2"/>
      <c r="F1031" s="2"/>
      <c r="G1031" s="2"/>
      <c r="H1031" s="2"/>
      <c r="I1031" s="2"/>
      <c r="J1031" s="2"/>
    </row>
    <row r="1032" ht="15.75" customHeight="1">
      <c r="A1032" s="4" t="str">
        <f>HYPERLINK("https://stackoverflow.com/q/51875348", "51875348")</f>
        <v>51875348</v>
      </c>
      <c r="B1032" s="2" t="s">
        <v>1074</v>
      </c>
      <c r="C1032" s="3"/>
      <c r="D1032" s="3">
        <v>441.0</v>
      </c>
      <c r="E1032" s="2"/>
      <c r="F1032" s="2"/>
      <c r="G1032" s="2"/>
      <c r="H1032" s="2"/>
      <c r="I1032" s="2"/>
      <c r="J1032" s="2"/>
    </row>
    <row r="1033" ht="15.75" customHeight="1">
      <c r="A1033" s="4" t="str">
        <f>HYPERLINK("https://stackoverflow.com/q/56941817", "56941817")</f>
        <v>56941817</v>
      </c>
      <c r="B1033" s="2" t="s">
        <v>1075</v>
      </c>
      <c r="C1033" s="3"/>
      <c r="D1033" s="3">
        <v>441.0</v>
      </c>
      <c r="E1033" s="2"/>
      <c r="F1033" s="2"/>
      <c r="G1033" s="2"/>
      <c r="H1033" s="2"/>
      <c r="I1033" s="2"/>
      <c r="J1033" s="2"/>
    </row>
    <row r="1034" ht="15.75" customHeight="1">
      <c r="A1034" s="4" t="str">
        <f>HYPERLINK("https://stackoverflow.com/q/47213805", "47213805")</f>
        <v>47213805</v>
      </c>
      <c r="B1034" s="2" t="s">
        <v>1076</v>
      </c>
      <c r="C1034" s="3"/>
      <c r="D1034" s="3">
        <v>440.0</v>
      </c>
      <c r="E1034" s="2" t="s">
        <v>11</v>
      </c>
      <c r="F1034" s="2" t="s">
        <v>21</v>
      </c>
      <c r="G1034" s="2"/>
      <c r="H1034" s="2"/>
      <c r="I1034" s="2"/>
      <c r="J1034" s="2"/>
    </row>
    <row r="1035" ht="15.75" customHeight="1">
      <c r="A1035" s="4" t="str">
        <f>HYPERLINK("https://stackoverflow.com/q/24764540", "24764540")</f>
        <v>24764540</v>
      </c>
      <c r="B1035" s="2" t="s">
        <v>1077</v>
      </c>
      <c r="C1035" s="3"/>
      <c r="D1035" s="3">
        <v>440.0</v>
      </c>
      <c r="E1035" s="2"/>
      <c r="F1035" s="2"/>
      <c r="G1035" s="2"/>
      <c r="H1035" s="2"/>
      <c r="I1035" s="2"/>
      <c r="J1035" s="2"/>
    </row>
    <row r="1036" ht="15.75" customHeight="1">
      <c r="A1036" s="4" t="str">
        <f>HYPERLINK("https://stackoverflow.com/q/35578153", "35578153")</f>
        <v>35578153</v>
      </c>
      <c r="B1036" s="2" t="s">
        <v>1078</v>
      </c>
      <c r="C1036" s="3"/>
      <c r="D1036" s="3">
        <v>440.0</v>
      </c>
      <c r="E1036" s="2"/>
      <c r="F1036" s="2"/>
      <c r="G1036" s="2"/>
      <c r="H1036" s="2"/>
      <c r="I1036" s="2"/>
      <c r="J1036" s="2"/>
    </row>
    <row r="1037" ht="15.75" customHeight="1">
      <c r="A1037" s="4" t="str">
        <f>HYPERLINK("https://stackoverflow.com/q/46342043", "46342043")</f>
        <v>46342043</v>
      </c>
      <c r="B1037" s="2" t="s">
        <v>1079</v>
      </c>
      <c r="C1037" s="3">
        <v>1.0</v>
      </c>
      <c r="D1037" s="3">
        <v>439.0</v>
      </c>
      <c r="E1037" s="2"/>
      <c r="F1037" s="2"/>
      <c r="G1037" s="2"/>
      <c r="H1037" s="2"/>
      <c r="I1037" s="2"/>
      <c r="J1037" s="2"/>
    </row>
    <row r="1038" ht="15.75" customHeight="1">
      <c r="A1038" s="4" t="str">
        <f>HYPERLINK("https://stackoverflow.com/q/54902191", "54902191")</f>
        <v>54902191</v>
      </c>
      <c r="B1038" s="2" t="s">
        <v>1080</v>
      </c>
      <c r="C1038" s="3"/>
      <c r="D1038" s="3">
        <v>439.0</v>
      </c>
      <c r="E1038" s="2" t="s">
        <v>11</v>
      </c>
      <c r="F1038" s="2" t="s">
        <v>30</v>
      </c>
      <c r="G1038" s="2"/>
      <c r="H1038" s="2"/>
      <c r="I1038" s="2"/>
      <c r="J1038" s="2"/>
    </row>
    <row r="1039" ht="15.75" customHeight="1">
      <c r="A1039" s="4" t="str">
        <f>HYPERLINK("https://stackoverflow.com/q/55269741", "55269741")</f>
        <v>55269741</v>
      </c>
      <c r="B1039" s="2" t="s">
        <v>1081</v>
      </c>
      <c r="C1039" s="3"/>
      <c r="D1039" s="3">
        <v>439.0</v>
      </c>
      <c r="E1039" s="2" t="s">
        <v>11</v>
      </c>
      <c r="F1039" s="2" t="s">
        <v>25</v>
      </c>
      <c r="G1039" s="2"/>
      <c r="H1039" s="2"/>
      <c r="I1039" s="2"/>
      <c r="J1039" s="2"/>
    </row>
    <row r="1040" ht="15.75" customHeight="1">
      <c r="A1040" s="4" t="str">
        <f>HYPERLINK("https://stackoverflow.com/q/48757984", "48757984")</f>
        <v>48757984</v>
      </c>
      <c r="B1040" s="2" t="s">
        <v>1082</v>
      </c>
      <c r="C1040" s="3"/>
      <c r="D1040" s="3">
        <v>438.0</v>
      </c>
      <c r="E1040" s="2"/>
      <c r="F1040" s="2"/>
      <c r="G1040" s="2"/>
      <c r="H1040" s="2"/>
      <c r="I1040" s="2"/>
      <c r="J1040" s="2"/>
    </row>
    <row r="1041" ht="15.75" customHeight="1">
      <c r="A1041" s="4" t="str">
        <f>HYPERLINK("https://stackoverflow.com/q/51066585", "51066585")</f>
        <v>51066585</v>
      </c>
      <c r="B1041" s="2" t="s">
        <v>1083</v>
      </c>
      <c r="C1041" s="3"/>
      <c r="D1041" s="3">
        <v>438.0</v>
      </c>
      <c r="E1041" s="2"/>
      <c r="F1041" s="2"/>
      <c r="G1041" s="2"/>
      <c r="H1041" s="2"/>
      <c r="I1041" s="2"/>
      <c r="J1041" s="2"/>
    </row>
    <row r="1042" ht="15.75" customHeight="1">
      <c r="A1042" s="4" t="str">
        <f>HYPERLINK("https://stackoverflow.com/q/56215583", "56215583")</f>
        <v>56215583</v>
      </c>
      <c r="B1042" s="2" t="s">
        <v>1084</v>
      </c>
      <c r="C1042" s="3"/>
      <c r="D1042" s="3">
        <v>438.0</v>
      </c>
      <c r="E1042" s="2"/>
      <c r="F1042" s="2"/>
      <c r="G1042" s="2"/>
      <c r="H1042" s="2"/>
      <c r="I1042" s="2"/>
      <c r="J1042" s="2"/>
    </row>
    <row r="1043" ht="15.75" customHeight="1">
      <c r="A1043" s="4" t="str">
        <f>HYPERLINK("https://stackoverflow.com/q/57575852", "57575852")</f>
        <v>57575852</v>
      </c>
      <c r="B1043" s="2" t="s">
        <v>1085</v>
      </c>
      <c r="C1043" s="3"/>
      <c r="D1043" s="3">
        <v>438.0</v>
      </c>
      <c r="E1043" s="2"/>
      <c r="F1043" s="2"/>
      <c r="G1043" s="2"/>
      <c r="H1043" s="2"/>
      <c r="I1043" s="2"/>
      <c r="J1043" s="2"/>
    </row>
    <row r="1044" ht="15.75" customHeight="1">
      <c r="A1044" s="4" t="str">
        <f>HYPERLINK("https://stackoverflow.com/q/45697947", "45697947")</f>
        <v>45697947</v>
      </c>
      <c r="B1044" s="2" t="s">
        <v>1086</v>
      </c>
      <c r="C1044" s="3"/>
      <c r="D1044" s="3">
        <v>437.0</v>
      </c>
      <c r="E1044" s="2"/>
      <c r="F1044" s="2"/>
      <c r="G1044" s="2"/>
      <c r="H1044" s="2"/>
      <c r="I1044" s="2"/>
      <c r="J1044" s="2"/>
    </row>
    <row r="1045" ht="15.75" customHeight="1">
      <c r="A1045" s="4" t="str">
        <f>HYPERLINK("https://stackoverflow.com/q/46058660", "46058660")</f>
        <v>46058660</v>
      </c>
      <c r="B1045" s="2" t="s">
        <v>1087</v>
      </c>
      <c r="C1045" s="3"/>
      <c r="D1045" s="3">
        <v>437.0</v>
      </c>
      <c r="E1045" s="2"/>
      <c r="F1045" s="2"/>
      <c r="G1045" s="2"/>
      <c r="H1045" s="2"/>
      <c r="I1045" s="2"/>
      <c r="J1045" s="2"/>
    </row>
    <row r="1046" ht="15.75" customHeight="1">
      <c r="A1046" s="4" t="str">
        <f>HYPERLINK("https://stackoverflow.com/q/49229199", "49229199")</f>
        <v>49229199</v>
      </c>
      <c r="B1046" s="2" t="s">
        <v>1088</v>
      </c>
      <c r="C1046" s="3"/>
      <c r="D1046" s="3">
        <v>437.0</v>
      </c>
      <c r="E1046" s="2"/>
      <c r="F1046" s="2"/>
      <c r="G1046" s="2"/>
      <c r="H1046" s="2"/>
      <c r="I1046" s="2"/>
      <c r="J1046" s="2"/>
    </row>
    <row r="1047" ht="15.75" customHeight="1">
      <c r="A1047" s="4" t="str">
        <f>HYPERLINK("https://stackoverflow.com/q/56995364", "56995364")</f>
        <v>56995364</v>
      </c>
      <c r="B1047" s="2" t="s">
        <v>1089</v>
      </c>
      <c r="C1047" s="3">
        <v>1.0</v>
      </c>
      <c r="D1047" s="3">
        <v>434.0</v>
      </c>
      <c r="E1047" s="2"/>
      <c r="F1047" s="2"/>
      <c r="G1047" s="2"/>
      <c r="H1047" s="2"/>
      <c r="I1047" s="2"/>
      <c r="J1047" s="2"/>
    </row>
    <row r="1048" ht="15.75" customHeight="1">
      <c r="A1048" s="4" t="str">
        <f>HYPERLINK("https://stackoverflow.com/q/27426874", "27426874")</f>
        <v>27426874</v>
      </c>
      <c r="B1048" s="2" t="s">
        <v>1090</v>
      </c>
      <c r="C1048" s="3"/>
      <c r="D1048" s="3">
        <v>434.0</v>
      </c>
      <c r="E1048" s="2"/>
      <c r="F1048" s="2"/>
      <c r="G1048" s="2"/>
      <c r="H1048" s="2"/>
      <c r="I1048" s="2"/>
      <c r="J1048" s="2"/>
    </row>
    <row r="1049" ht="15.75" customHeight="1">
      <c r="A1049" s="4" t="str">
        <f>HYPERLINK("https://stackoverflow.com/q/50882936", "50882936")</f>
        <v>50882936</v>
      </c>
      <c r="B1049" s="2" t="s">
        <v>1091</v>
      </c>
      <c r="C1049" s="3"/>
      <c r="D1049" s="3">
        <v>434.0</v>
      </c>
      <c r="E1049" s="2"/>
      <c r="F1049" s="2"/>
      <c r="G1049" s="2"/>
      <c r="H1049" s="2"/>
      <c r="I1049" s="2"/>
      <c r="J1049" s="2"/>
    </row>
    <row r="1050" ht="15.75" customHeight="1">
      <c r="A1050" s="4" t="str">
        <f>HYPERLINK("https://stackoverflow.com/q/54532079", "54532079")</f>
        <v>54532079</v>
      </c>
      <c r="B1050" s="2" t="s">
        <v>1092</v>
      </c>
      <c r="C1050" s="3">
        <v>1.0</v>
      </c>
      <c r="D1050" s="3">
        <v>431.0</v>
      </c>
      <c r="E1050" s="2" t="s">
        <v>11</v>
      </c>
      <c r="F1050" s="2" t="s">
        <v>56</v>
      </c>
      <c r="G1050" s="2"/>
      <c r="H1050" s="2"/>
      <c r="I1050" s="2"/>
      <c r="J1050" s="2"/>
    </row>
    <row r="1051" ht="15.75" customHeight="1">
      <c r="A1051" s="4" t="str">
        <f>HYPERLINK("https://stackoverflow.com/q/9187799", "9187799")</f>
        <v>9187799</v>
      </c>
      <c r="B1051" s="2" t="s">
        <v>1093</v>
      </c>
      <c r="C1051" s="3"/>
      <c r="D1051" s="3">
        <v>431.0</v>
      </c>
      <c r="E1051" s="2" t="s">
        <v>11</v>
      </c>
      <c r="F1051" s="2" t="s">
        <v>28</v>
      </c>
      <c r="G1051" s="2"/>
      <c r="H1051" s="2"/>
      <c r="I1051" s="2"/>
      <c r="J1051" s="2"/>
    </row>
    <row r="1052" ht="15.75" customHeight="1">
      <c r="A1052" s="4" t="str">
        <f>HYPERLINK("https://stackoverflow.com/q/57151076", "57151076")</f>
        <v>57151076</v>
      </c>
      <c r="B1052" s="2" t="s">
        <v>1094</v>
      </c>
      <c r="C1052" s="3"/>
      <c r="D1052" s="3">
        <v>431.0</v>
      </c>
      <c r="E1052" s="2"/>
      <c r="F1052" s="2"/>
      <c r="G1052" s="2"/>
      <c r="H1052" s="2"/>
      <c r="I1052" s="2"/>
      <c r="J1052" s="2"/>
    </row>
    <row r="1053" ht="15.75" customHeight="1">
      <c r="A1053" s="4" t="str">
        <f>HYPERLINK("https://stackoverflow.com/q/47520197", "47520197")</f>
        <v>47520197</v>
      </c>
      <c r="B1053" s="2" t="s">
        <v>1095</v>
      </c>
      <c r="C1053" s="3"/>
      <c r="D1053" s="3">
        <v>429.0</v>
      </c>
      <c r="E1053" s="2" t="s">
        <v>11</v>
      </c>
      <c r="F1053" s="2" t="s">
        <v>28</v>
      </c>
      <c r="G1053" s="2"/>
      <c r="H1053" s="2"/>
      <c r="I1053" s="2"/>
      <c r="J1053" s="2"/>
    </row>
    <row r="1054" ht="15.75" customHeight="1">
      <c r="A1054" s="4" t="str">
        <f>HYPERLINK("https://stackoverflow.com/q/45318013", "45318013")</f>
        <v>45318013</v>
      </c>
      <c r="B1054" s="2" t="s">
        <v>1096</v>
      </c>
      <c r="C1054" s="3"/>
      <c r="D1054" s="3">
        <v>429.0</v>
      </c>
      <c r="E1054" s="2"/>
      <c r="F1054" s="2"/>
      <c r="G1054" s="2"/>
      <c r="H1054" s="2"/>
      <c r="I1054" s="2"/>
      <c r="J1054" s="2"/>
    </row>
    <row r="1055" ht="15.75" customHeight="1">
      <c r="A1055" s="4" t="str">
        <f>HYPERLINK("https://stackoverflow.com/q/55118699", "55118699")</f>
        <v>55118699</v>
      </c>
      <c r="B1055" s="2" t="s">
        <v>1097</v>
      </c>
      <c r="C1055" s="3">
        <v>0.0</v>
      </c>
      <c r="D1055" s="3">
        <v>428.0</v>
      </c>
      <c r="E1055" s="9" t="s">
        <v>11</v>
      </c>
      <c r="F1055" s="2" t="s">
        <v>16</v>
      </c>
      <c r="G1055" s="2"/>
      <c r="H1055" s="2"/>
      <c r="I1055" s="2"/>
      <c r="J1055" s="2"/>
    </row>
    <row r="1056" ht="15.75" customHeight="1">
      <c r="A1056" s="4" t="str">
        <f>HYPERLINK("https://stackoverflow.com/q/40471357", "40471357")</f>
        <v>40471357</v>
      </c>
      <c r="B1056" s="2" t="s">
        <v>1098</v>
      </c>
      <c r="C1056" s="3"/>
      <c r="D1056" s="3">
        <v>428.0</v>
      </c>
      <c r="E1056" s="2"/>
      <c r="F1056" s="2"/>
      <c r="G1056" s="2"/>
      <c r="H1056" s="2"/>
      <c r="I1056" s="2"/>
      <c r="J1056" s="2"/>
    </row>
    <row r="1057" ht="15.75" customHeight="1">
      <c r="A1057" s="4" t="str">
        <f>HYPERLINK("https://stackoverflow.com/q/55122901", "55122901")</f>
        <v>55122901</v>
      </c>
      <c r="B1057" s="2" t="s">
        <v>1099</v>
      </c>
      <c r="C1057" s="3"/>
      <c r="D1057" s="3">
        <v>427.0</v>
      </c>
      <c r="E1057" s="2" t="s">
        <v>11</v>
      </c>
      <c r="F1057" s="2" t="s">
        <v>25</v>
      </c>
      <c r="G1057" s="2"/>
      <c r="H1057" s="2"/>
      <c r="I1057" s="2"/>
      <c r="J1057" s="2"/>
    </row>
    <row r="1058" ht="15.75" customHeight="1">
      <c r="A1058" s="4" t="str">
        <f>HYPERLINK("https://stackoverflow.com/q/52223085", "52223085")</f>
        <v>52223085</v>
      </c>
      <c r="B1058" s="2" t="s">
        <v>1100</v>
      </c>
      <c r="C1058" s="3"/>
      <c r="D1058" s="3">
        <v>427.0</v>
      </c>
      <c r="E1058" s="2"/>
      <c r="F1058" s="2"/>
      <c r="G1058" s="2"/>
      <c r="H1058" s="2"/>
      <c r="I1058" s="2"/>
      <c r="J1058" s="2"/>
    </row>
    <row r="1059" ht="15.75" customHeight="1">
      <c r="A1059" s="4" t="str">
        <f>HYPERLINK("https://stackoverflow.com/q/51360587", "51360587")</f>
        <v>51360587</v>
      </c>
      <c r="B1059" s="2" t="s">
        <v>1101</v>
      </c>
      <c r="C1059" s="3">
        <v>3.0</v>
      </c>
      <c r="D1059" s="3">
        <v>426.0</v>
      </c>
      <c r="E1059" s="2" t="s">
        <v>11</v>
      </c>
      <c r="F1059" s="2" t="s">
        <v>35</v>
      </c>
      <c r="G1059" s="2"/>
      <c r="H1059" s="2"/>
      <c r="I1059" s="2"/>
      <c r="J1059" s="2"/>
    </row>
    <row r="1060" ht="15.75" customHeight="1">
      <c r="A1060" s="4" t="str">
        <f>HYPERLINK("https://stackoverflow.com/q/12020334", "12020334")</f>
        <v>12020334</v>
      </c>
      <c r="B1060" s="2" t="s">
        <v>1102</v>
      </c>
      <c r="C1060" s="3"/>
      <c r="D1060" s="3">
        <v>425.0</v>
      </c>
      <c r="E1060" s="2"/>
      <c r="F1060" s="2"/>
      <c r="G1060" s="2"/>
      <c r="H1060" s="2"/>
      <c r="I1060" s="2"/>
      <c r="J1060" s="2"/>
    </row>
    <row r="1061" ht="15.75" customHeight="1">
      <c r="A1061" s="4" t="str">
        <f>HYPERLINK("https://stackoverflow.com/q/44879191", "44879191")</f>
        <v>44879191</v>
      </c>
      <c r="B1061" s="2" t="s">
        <v>1103</v>
      </c>
      <c r="C1061" s="3"/>
      <c r="D1061" s="3">
        <v>425.0</v>
      </c>
      <c r="E1061" s="2"/>
      <c r="F1061" s="2"/>
      <c r="G1061" s="2"/>
      <c r="H1061" s="2"/>
      <c r="I1061" s="2"/>
      <c r="J1061" s="2"/>
    </row>
    <row r="1062" ht="15.75" customHeight="1">
      <c r="A1062" s="4" t="str">
        <f>HYPERLINK("https://stackoverflow.com/q/52224883", "52224883")</f>
        <v>52224883</v>
      </c>
      <c r="B1062" s="2" t="s">
        <v>1104</v>
      </c>
      <c r="C1062" s="3"/>
      <c r="D1062" s="3">
        <v>425.0</v>
      </c>
      <c r="E1062" s="2"/>
      <c r="F1062" s="2"/>
      <c r="G1062" s="2"/>
      <c r="H1062" s="2"/>
      <c r="I1062" s="2"/>
      <c r="J1062" s="2"/>
    </row>
    <row r="1063" ht="15.75" customHeight="1">
      <c r="A1063" s="4" t="str">
        <f>HYPERLINK("https://stackoverflow.com/q/52975602", "52975602")</f>
        <v>52975602</v>
      </c>
      <c r="B1063" s="2" t="s">
        <v>1105</v>
      </c>
      <c r="C1063" s="3"/>
      <c r="D1063" s="3">
        <v>425.0</v>
      </c>
      <c r="E1063" s="2"/>
      <c r="F1063" s="2"/>
      <c r="G1063" s="2"/>
      <c r="H1063" s="2"/>
      <c r="I1063" s="2"/>
      <c r="J1063" s="2"/>
    </row>
    <row r="1064" ht="15.75" customHeight="1">
      <c r="A1064" s="4" t="str">
        <f>HYPERLINK("https://stackoverflow.com/q/45470211", "45470211")</f>
        <v>45470211</v>
      </c>
      <c r="B1064" s="2" t="s">
        <v>1106</v>
      </c>
      <c r="C1064" s="3"/>
      <c r="D1064" s="3">
        <v>424.0</v>
      </c>
      <c r="E1064" s="2"/>
      <c r="F1064" s="2"/>
      <c r="G1064" s="2"/>
      <c r="H1064" s="2"/>
      <c r="I1064" s="2"/>
      <c r="J1064" s="2"/>
    </row>
    <row r="1065" ht="15.75" customHeight="1">
      <c r="A1065" s="4" t="str">
        <f>HYPERLINK("https://stackoverflow.com/q/6645196", "6645196")</f>
        <v>6645196</v>
      </c>
      <c r="B1065" s="2" t="s">
        <v>1107</v>
      </c>
      <c r="C1065" s="3"/>
      <c r="D1065" s="3">
        <v>424.0</v>
      </c>
      <c r="E1065" s="2"/>
      <c r="F1065" s="2"/>
      <c r="G1065" s="2"/>
      <c r="H1065" s="2"/>
      <c r="I1065" s="2"/>
      <c r="J1065" s="2"/>
    </row>
    <row r="1066" ht="15.75" customHeight="1">
      <c r="A1066" s="4" t="str">
        <f>HYPERLINK("https://stackoverflow.com/q/45068055", "45068055")</f>
        <v>45068055</v>
      </c>
      <c r="B1066" s="2" t="s">
        <v>1108</v>
      </c>
      <c r="C1066" s="3"/>
      <c r="D1066" s="3">
        <v>423.0</v>
      </c>
      <c r="E1066" s="2"/>
      <c r="F1066" s="2"/>
      <c r="G1066" s="2"/>
      <c r="H1066" s="2"/>
      <c r="I1066" s="2"/>
      <c r="J1066" s="2"/>
    </row>
    <row r="1067" ht="15.75" customHeight="1">
      <c r="A1067" s="4" t="str">
        <f>HYPERLINK("https://stackoverflow.com/q/49020892", "49020892")</f>
        <v>49020892</v>
      </c>
      <c r="B1067" s="2" t="s">
        <v>1109</v>
      </c>
      <c r="C1067" s="3"/>
      <c r="D1067" s="3">
        <v>423.0</v>
      </c>
      <c r="E1067" s="2"/>
      <c r="F1067" s="2"/>
      <c r="G1067" s="2"/>
      <c r="H1067" s="2"/>
      <c r="I1067" s="2"/>
      <c r="J1067" s="2"/>
    </row>
    <row r="1068" ht="15.75" customHeight="1">
      <c r="A1068" s="4" t="str">
        <f>HYPERLINK("https://stackoverflow.com/q/52733497", "52733497")</f>
        <v>52733497</v>
      </c>
      <c r="B1068" s="2" t="s">
        <v>1110</v>
      </c>
      <c r="C1068" s="3"/>
      <c r="D1068" s="3">
        <v>423.0</v>
      </c>
      <c r="E1068" s="2"/>
      <c r="F1068" s="2"/>
      <c r="G1068" s="2"/>
      <c r="H1068" s="2"/>
      <c r="I1068" s="2"/>
      <c r="J1068" s="2"/>
    </row>
    <row r="1069" ht="15.75" customHeight="1">
      <c r="A1069" s="4" t="str">
        <f>HYPERLINK("https://stackoverflow.com/q/53154744", "53154744")</f>
        <v>53154744</v>
      </c>
      <c r="B1069" s="2" t="s">
        <v>1111</v>
      </c>
      <c r="C1069" s="3"/>
      <c r="D1069" s="3">
        <v>423.0</v>
      </c>
      <c r="E1069" s="2"/>
      <c r="F1069" s="2"/>
      <c r="G1069" s="2"/>
      <c r="H1069" s="2"/>
      <c r="I1069" s="2"/>
      <c r="J1069" s="2"/>
    </row>
    <row r="1070" ht="15.75" customHeight="1">
      <c r="A1070" s="4" t="str">
        <f>HYPERLINK("https://stackoverflow.com/q/59730597", "59730597")</f>
        <v>59730597</v>
      </c>
      <c r="B1070" s="2" t="s">
        <v>1112</v>
      </c>
      <c r="C1070" s="3"/>
      <c r="D1070" s="3">
        <v>423.0</v>
      </c>
      <c r="E1070" s="2"/>
      <c r="F1070" s="2"/>
      <c r="G1070" s="2"/>
      <c r="H1070" s="2"/>
      <c r="I1070" s="2"/>
      <c r="J1070" s="2"/>
    </row>
    <row r="1071" ht="15.75" customHeight="1">
      <c r="A1071" s="4" t="str">
        <f>HYPERLINK("https://stackoverflow.com/q/50624609", "50624609")</f>
        <v>50624609</v>
      </c>
      <c r="B1071" s="2" t="s">
        <v>1113</v>
      </c>
      <c r="C1071" s="3"/>
      <c r="D1071" s="3">
        <v>422.0</v>
      </c>
      <c r="E1071" s="2"/>
      <c r="F1071" s="2"/>
      <c r="G1071" s="2"/>
      <c r="H1071" s="2"/>
      <c r="I1071" s="2"/>
      <c r="J1071" s="2"/>
    </row>
    <row r="1072" ht="15.75" customHeight="1">
      <c r="A1072" s="4" t="str">
        <f>HYPERLINK("https://stackoverflow.com/q/53174186", "53174186")</f>
        <v>53174186</v>
      </c>
      <c r="B1072" s="2" t="s">
        <v>1114</v>
      </c>
      <c r="C1072" s="3"/>
      <c r="D1072" s="3">
        <v>422.0</v>
      </c>
      <c r="E1072" s="2"/>
      <c r="F1072" s="2"/>
      <c r="G1072" s="2"/>
      <c r="H1072" s="2"/>
      <c r="I1072" s="2"/>
      <c r="J1072" s="2"/>
    </row>
    <row r="1073" ht="15.75" customHeight="1">
      <c r="A1073" s="4" t="str">
        <f>HYPERLINK("https://stackoverflow.com/q/29308113", "29308113")</f>
        <v>29308113</v>
      </c>
      <c r="B1073" s="2" t="s">
        <v>1115</v>
      </c>
      <c r="C1073" s="3">
        <v>1.0</v>
      </c>
      <c r="D1073" s="3">
        <v>419.0</v>
      </c>
      <c r="E1073" s="2"/>
      <c r="F1073" s="2"/>
      <c r="G1073" s="2"/>
      <c r="H1073" s="2"/>
      <c r="I1073" s="2"/>
      <c r="J1073" s="2"/>
    </row>
    <row r="1074" ht="15.75" customHeight="1">
      <c r="A1074" s="4" t="str">
        <f>HYPERLINK("https://stackoverflow.com/q/44293572", "44293572")</f>
        <v>44293572</v>
      </c>
      <c r="B1074" s="2" t="s">
        <v>1116</v>
      </c>
      <c r="C1074" s="3"/>
      <c r="D1074" s="3">
        <v>418.0</v>
      </c>
      <c r="E1074" s="2"/>
      <c r="F1074" s="2"/>
      <c r="G1074" s="2"/>
      <c r="H1074" s="2"/>
      <c r="I1074" s="2"/>
      <c r="J1074" s="2"/>
    </row>
    <row r="1075" ht="15.75" customHeight="1">
      <c r="A1075" s="4" t="str">
        <f>HYPERLINK("https://stackoverflow.com/q/56924243", "56924243")</f>
        <v>56924243</v>
      </c>
      <c r="B1075" s="2" t="s">
        <v>1117</v>
      </c>
      <c r="C1075" s="3"/>
      <c r="D1075" s="3">
        <v>418.0</v>
      </c>
      <c r="E1075" s="2"/>
      <c r="F1075" s="2"/>
      <c r="G1075" s="2"/>
      <c r="H1075" s="2"/>
      <c r="I1075" s="2"/>
      <c r="J1075" s="2"/>
    </row>
    <row r="1076" ht="15.75" customHeight="1">
      <c r="A1076" s="4" t="str">
        <f>HYPERLINK("https://stackoverflow.com/q/49994108", "49994108")</f>
        <v>49994108</v>
      </c>
      <c r="B1076" s="2" t="s">
        <v>1118</v>
      </c>
      <c r="C1076" s="3"/>
      <c r="D1076" s="3">
        <v>416.0</v>
      </c>
      <c r="E1076" s="2"/>
      <c r="F1076" s="2"/>
      <c r="G1076" s="2"/>
      <c r="H1076" s="2"/>
      <c r="I1076" s="2"/>
      <c r="J1076" s="2"/>
    </row>
    <row r="1077" ht="15.75" customHeight="1">
      <c r="A1077" s="4" t="str">
        <f>HYPERLINK("https://stackoverflow.com/q/55220499", "55220499")</f>
        <v>55220499</v>
      </c>
      <c r="B1077" s="2" t="s">
        <v>1119</v>
      </c>
      <c r="C1077" s="3"/>
      <c r="D1077" s="3">
        <v>415.0</v>
      </c>
      <c r="E1077" s="2" t="s">
        <v>59</v>
      </c>
      <c r="F1077" s="2" t="s">
        <v>21</v>
      </c>
      <c r="G1077" s="2" t="s">
        <v>28</v>
      </c>
      <c r="H1077" s="2"/>
      <c r="I1077" s="2"/>
      <c r="J1077" s="2"/>
    </row>
    <row r="1078" ht="15.75" customHeight="1">
      <c r="A1078" s="4" t="str">
        <f>HYPERLINK("https://stackoverflow.com/q/38866325", "38866325")</f>
        <v>38866325</v>
      </c>
      <c r="B1078" s="2" t="s">
        <v>1120</v>
      </c>
      <c r="C1078" s="3"/>
      <c r="D1078" s="3">
        <v>415.0</v>
      </c>
      <c r="E1078" s="2"/>
      <c r="F1078" s="2"/>
      <c r="G1078" s="2"/>
      <c r="H1078" s="2"/>
      <c r="I1078" s="2"/>
      <c r="J1078" s="2"/>
    </row>
    <row r="1079" ht="15.75" customHeight="1">
      <c r="A1079" s="4" t="str">
        <f>HYPERLINK("https://stackoverflow.com/q/58010768", "58010768")</f>
        <v>58010768</v>
      </c>
      <c r="B1079" s="2" t="s">
        <v>1121</v>
      </c>
      <c r="C1079" s="3"/>
      <c r="D1079" s="3">
        <v>415.0</v>
      </c>
      <c r="E1079" s="2"/>
      <c r="F1079" s="2"/>
      <c r="G1079" s="2"/>
      <c r="H1079" s="2"/>
      <c r="I1079" s="2"/>
      <c r="J1079" s="2"/>
    </row>
    <row r="1080" ht="15.75" customHeight="1">
      <c r="A1080" s="4" t="str">
        <f>HYPERLINK("https://stackoverflow.com/q/46801400", "46801400")</f>
        <v>46801400</v>
      </c>
      <c r="B1080" s="2" t="s">
        <v>1122</v>
      </c>
      <c r="C1080" s="3">
        <v>1.0</v>
      </c>
      <c r="D1080" s="3">
        <v>414.0</v>
      </c>
      <c r="E1080" s="2" t="s">
        <v>11</v>
      </c>
      <c r="F1080" s="2" t="s">
        <v>30</v>
      </c>
      <c r="G1080" s="2"/>
      <c r="H1080" s="2"/>
      <c r="I1080" s="2"/>
      <c r="J1080" s="2"/>
    </row>
    <row r="1081" ht="15.75" customHeight="1">
      <c r="A1081" s="4" t="str">
        <f>HYPERLINK("https://stackoverflow.com/q/31139620", "31139620")</f>
        <v>31139620</v>
      </c>
      <c r="B1081" s="2" t="s">
        <v>1123</v>
      </c>
      <c r="C1081" s="3"/>
      <c r="D1081" s="3">
        <v>414.0</v>
      </c>
      <c r="E1081" s="2"/>
      <c r="F1081" s="2"/>
      <c r="G1081" s="2"/>
      <c r="H1081" s="2"/>
      <c r="I1081" s="2"/>
      <c r="J1081" s="2"/>
    </row>
    <row r="1082" ht="15.75" customHeight="1">
      <c r="A1082" s="4" t="str">
        <f>HYPERLINK("https://stackoverflow.com/q/49447462", "49447462")</f>
        <v>49447462</v>
      </c>
      <c r="B1082" s="2" t="s">
        <v>1124</v>
      </c>
      <c r="C1082" s="3"/>
      <c r="D1082" s="3">
        <v>414.0</v>
      </c>
      <c r="E1082" s="2"/>
      <c r="F1082" s="2"/>
      <c r="G1082" s="2"/>
      <c r="H1082" s="2"/>
      <c r="I1082" s="2"/>
      <c r="J1082" s="2"/>
    </row>
    <row r="1083" ht="15.75" customHeight="1">
      <c r="A1083" s="4" t="str">
        <f>HYPERLINK("https://stackoverflow.com/q/52525320", "52525320")</f>
        <v>52525320</v>
      </c>
      <c r="B1083" s="2" t="s">
        <v>1125</v>
      </c>
      <c r="C1083" s="3"/>
      <c r="D1083" s="3">
        <v>414.0</v>
      </c>
      <c r="E1083" s="2"/>
      <c r="F1083" s="2"/>
      <c r="G1083" s="2"/>
      <c r="H1083" s="2"/>
      <c r="I1083" s="2"/>
      <c r="J1083" s="2"/>
    </row>
    <row r="1084" ht="15.75" customHeight="1">
      <c r="A1084" s="4" t="str">
        <f>HYPERLINK("https://stackoverflow.com/q/9054254", "9054254")</f>
        <v>9054254</v>
      </c>
      <c r="B1084" s="2" t="s">
        <v>1126</v>
      </c>
      <c r="C1084" s="3">
        <v>1.0</v>
      </c>
      <c r="D1084" s="3">
        <v>413.0</v>
      </c>
      <c r="E1084" s="2" t="s">
        <v>11</v>
      </c>
      <c r="F1084" s="2" t="s">
        <v>263</v>
      </c>
      <c r="G1084" s="17"/>
      <c r="H1084" s="2"/>
      <c r="I1084" s="2"/>
      <c r="J1084" s="2"/>
    </row>
    <row r="1085" ht="15.75" customHeight="1">
      <c r="A1085" s="4" t="str">
        <f>HYPERLINK("https://stackoverflow.com/q/55511963", "55511963")</f>
        <v>55511963</v>
      </c>
      <c r="B1085" s="2" t="s">
        <v>1127</v>
      </c>
      <c r="C1085" s="3"/>
      <c r="D1085" s="3">
        <v>412.0</v>
      </c>
      <c r="E1085" s="2" t="s">
        <v>11</v>
      </c>
      <c r="F1085" s="2" t="s">
        <v>67</v>
      </c>
      <c r="G1085" s="2"/>
      <c r="H1085" s="2"/>
      <c r="I1085" s="2"/>
      <c r="J1085" s="2"/>
    </row>
    <row r="1086" ht="15.75" customHeight="1">
      <c r="A1086" s="4" t="str">
        <f>HYPERLINK("https://stackoverflow.com/q/50868194", "50868194")</f>
        <v>50868194</v>
      </c>
      <c r="B1086" s="2" t="s">
        <v>1128</v>
      </c>
      <c r="C1086" s="3"/>
      <c r="D1086" s="3">
        <v>411.0</v>
      </c>
      <c r="E1086" s="2"/>
      <c r="F1086" s="2"/>
      <c r="G1086" s="2"/>
      <c r="H1086" s="2"/>
      <c r="I1086" s="2"/>
      <c r="J1086" s="2"/>
    </row>
    <row r="1087" ht="15.75" customHeight="1">
      <c r="A1087" s="4" t="str">
        <f>HYPERLINK("https://stackoverflow.com/q/47518599", "47518599")</f>
        <v>47518599</v>
      </c>
      <c r="B1087" s="2" t="s">
        <v>1129</v>
      </c>
      <c r="C1087" s="3">
        <v>1.0</v>
      </c>
      <c r="D1087" s="3">
        <v>410.0</v>
      </c>
      <c r="E1087" s="2" t="s">
        <v>11</v>
      </c>
      <c r="F1087" s="2" t="s">
        <v>67</v>
      </c>
      <c r="G1087" s="2"/>
      <c r="H1087" s="2"/>
      <c r="I1087" s="2"/>
      <c r="J1087" s="2"/>
    </row>
    <row r="1088" ht="15.75" customHeight="1">
      <c r="A1088" s="4" t="str">
        <f>HYPERLINK("https://stackoverflow.com/q/54216119", "54216119")</f>
        <v>54216119</v>
      </c>
      <c r="B1088" s="2" t="s">
        <v>1130</v>
      </c>
      <c r="C1088" s="3">
        <v>1.0</v>
      </c>
      <c r="D1088" s="3">
        <v>410.0</v>
      </c>
      <c r="E1088" s="2" t="s">
        <v>11</v>
      </c>
      <c r="F1088" s="2" t="s">
        <v>18</v>
      </c>
      <c r="G1088" s="2"/>
      <c r="H1088" s="2"/>
      <c r="I1088" s="2"/>
      <c r="J1088" s="2"/>
    </row>
    <row r="1089" ht="15.75" customHeight="1">
      <c r="A1089" s="4" t="str">
        <f>HYPERLINK("https://stackoverflow.com/q/11446885", "11446885")</f>
        <v>11446885</v>
      </c>
      <c r="B1089" s="2" t="s">
        <v>1131</v>
      </c>
      <c r="C1089" s="3"/>
      <c r="D1089" s="3">
        <v>410.0</v>
      </c>
      <c r="E1089" s="2"/>
      <c r="F1089" s="2"/>
      <c r="G1089" s="2"/>
      <c r="H1089" s="2"/>
      <c r="I1089" s="2"/>
      <c r="J1089" s="2"/>
    </row>
    <row r="1090" ht="15.75" customHeight="1">
      <c r="A1090" s="4" t="str">
        <f>HYPERLINK("https://stackoverflow.com/q/50867815", "50867815")</f>
        <v>50867815</v>
      </c>
      <c r="B1090" s="2" t="s">
        <v>1132</v>
      </c>
      <c r="C1090" s="3"/>
      <c r="D1090" s="3">
        <v>410.0</v>
      </c>
      <c r="E1090" s="2"/>
      <c r="F1090" s="2"/>
      <c r="G1090" s="2"/>
      <c r="H1090" s="2"/>
      <c r="I1090" s="2"/>
      <c r="J1090" s="2"/>
    </row>
    <row r="1091" ht="15.75" customHeight="1">
      <c r="A1091" s="4" t="str">
        <f>HYPERLINK("https://stackoverflow.com/q/31413681", "31413681")</f>
        <v>31413681</v>
      </c>
      <c r="B1091" s="2" t="s">
        <v>1133</v>
      </c>
      <c r="C1091" s="3"/>
      <c r="D1091" s="3">
        <v>409.0</v>
      </c>
      <c r="E1091" s="2"/>
      <c r="F1091" s="2"/>
      <c r="G1091" s="2"/>
      <c r="H1091" s="2"/>
      <c r="I1091" s="2"/>
      <c r="J1091" s="2"/>
    </row>
    <row r="1092" ht="15.75" customHeight="1">
      <c r="A1092" s="4" t="str">
        <f>HYPERLINK("https://stackoverflow.com/q/41574944", "41574944")</f>
        <v>41574944</v>
      </c>
      <c r="B1092" s="2" t="s">
        <v>1134</v>
      </c>
      <c r="C1092" s="3"/>
      <c r="D1092" s="3">
        <v>408.0</v>
      </c>
      <c r="E1092" s="2" t="s">
        <v>11</v>
      </c>
      <c r="F1092" s="2" t="s">
        <v>30</v>
      </c>
      <c r="G1092" s="2"/>
      <c r="H1092" s="2"/>
      <c r="I1092" s="2"/>
      <c r="J1092" s="2"/>
    </row>
    <row r="1093" ht="15.75" customHeight="1">
      <c r="A1093" s="4" t="str">
        <f>HYPERLINK("https://stackoverflow.com/q/45202450", "45202450")</f>
        <v>45202450</v>
      </c>
      <c r="B1093" s="2" t="s">
        <v>1135</v>
      </c>
      <c r="C1093" s="3"/>
      <c r="D1093" s="3">
        <v>408.0</v>
      </c>
      <c r="E1093" s="2"/>
      <c r="F1093" s="2"/>
      <c r="G1093" s="2"/>
      <c r="H1093" s="2"/>
      <c r="I1093" s="2"/>
      <c r="J1093" s="2"/>
    </row>
    <row r="1094" ht="15.75" customHeight="1">
      <c r="A1094" s="4" t="str">
        <f>HYPERLINK("https://stackoverflow.com/q/45418662", "45418662")</f>
        <v>45418662</v>
      </c>
      <c r="B1094" s="2" t="s">
        <v>1136</v>
      </c>
      <c r="C1094" s="3"/>
      <c r="D1094" s="3">
        <v>408.0</v>
      </c>
      <c r="E1094" s="2"/>
      <c r="F1094" s="2"/>
      <c r="G1094" s="2"/>
      <c r="H1094" s="2"/>
      <c r="I1094" s="2"/>
      <c r="J1094" s="2"/>
    </row>
    <row r="1095" ht="15.75" customHeight="1">
      <c r="A1095" s="4" t="str">
        <f>HYPERLINK("https://stackoverflow.com/q/58400948", "58400948")</f>
        <v>58400948</v>
      </c>
      <c r="B1095" s="2" t="s">
        <v>1137</v>
      </c>
      <c r="C1095" s="3"/>
      <c r="D1095" s="3">
        <v>408.0</v>
      </c>
      <c r="E1095" s="2"/>
      <c r="F1095" s="2"/>
      <c r="G1095" s="2"/>
      <c r="H1095" s="2"/>
      <c r="I1095" s="2"/>
      <c r="J1095" s="2"/>
    </row>
    <row r="1096" ht="15.75" customHeight="1">
      <c r="A1096" s="4" t="str">
        <f>HYPERLINK("https://stackoverflow.com/q/59425853", "59425853")</f>
        <v>59425853</v>
      </c>
      <c r="B1096" s="2" t="s">
        <v>1138</v>
      </c>
      <c r="C1096" s="3">
        <v>1.0</v>
      </c>
      <c r="D1096" s="3">
        <v>407.0</v>
      </c>
      <c r="E1096" s="2"/>
      <c r="F1096" s="2"/>
      <c r="G1096" s="2"/>
      <c r="H1096" s="2"/>
      <c r="I1096" s="2"/>
      <c r="J1096" s="2"/>
    </row>
    <row r="1097" ht="15.75" customHeight="1">
      <c r="A1097" s="4" t="str">
        <f>HYPERLINK("https://stackoverflow.com/q/38168927", "38168927")</f>
        <v>38168927</v>
      </c>
      <c r="B1097" s="2" t="s">
        <v>1139</v>
      </c>
      <c r="C1097" s="3"/>
      <c r="D1097" s="3">
        <v>407.0</v>
      </c>
      <c r="E1097" s="2"/>
      <c r="F1097" s="2"/>
      <c r="G1097" s="2"/>
      <c r="H1097" s="2"/>
      <c r="I1097" s="2"/>
      <c r="J1097" s="2"/>
    </row>
    <row r="1098" ht="15.75" customHeight="1">
      <c r="A1098" s="4" t="str">
        <f>HYPERLINK("https://stackoverflow.com/q/55525227", "55525227")</f>
        <v>55525227</v>
      </c>
      <c r="B1098" s="2" t="s">
        <v>1140</v>
      </c>
      <c r="C1098" s="3">
        <v>1.0</v>
      </c>
      <c r="D1098" s="3">
        <v>404.0</v>
      </c>
      <c r="E1098" s="2" t="s">
        <v>11</v>
      </c>
      <c r="F1098" s="2" t="s">
        <v>44</v>
      </c>
      <c r="G1098" s="2"/>
      <c r="H1098" s="2"/>
      <c r="I1098" s="2"/>
      <c r="J1098" s="2"/>
    </row>
    <row r="1099" ht="15.75" customHeight="1">
      <c r="A1099" s="4" t="str">
        <f>HYPERLINK("https://stackoverflow.com/q/34305838", "34305838")</f>
        <v>34305838</v>
      </c>
      <c r="B1099" s="2" t="s">
        <v>1141</v>
      </c>
      <c r="C1099" s="3"/>
      <c r="D1099" s="3">
        <v>404.0</v>
      </c>
      <c r="E1099" s="2"/>
      <c r="F1099" s="2"/>
      <c r="G1099" s="2"/>
      <c r="H1099" s="2"/>
      <c r="I1099" s="2"/>
      <c r="J1099" s="2"/>
    </row>
    <row r="1100" ht="15.75" customHeight="1">
      <c r="A1100" s="4" t="str">
        <f>HYPERLINK("https://stackoverflow.com/q/29035915", "29035915")</f>
        <v>29035915</v>
      </c>
      <c r="B1100" s="2" t="s">
        <v>1142</v>
      </c>
      <c r="C1100" s="3"/>
      <c r="D1100" s="3">
        <v>403.0</v>
      </c>
      <c r="E1100" s="2"/>
      <c r="F1100" s="2"/>
      <c r="G1100" s="2"/>
      <c r="H1100" s="2"/>
      <c r="I1100" s="2"/>
      <c r="J1100" s="2"/>
    </row>
    <row r="1101" ht="15.75" customHeight="1">
      <c r="A1101" s="4" t="str">
        <f>HYPERLINK("https://stackoverflow.com/q/49933936", "49933936")</f>
        <v>49933936</v>
      </c>
      <c r="B1101" s="2" t="s">
        <v>1143</v>
      </c>
      <c r="C1101" s="3"/>
      <c r="D1101" s="3">
        <v>403.0</v>
      </c>
      <c r="E1101" s="2"/>
      <c r="F1101" s="2"/>
      <c r="G1101" s="2"/>
      <c r="H1101" s="2"/>
      <c r="I1101" s="2"/>
      <c r="J1101" s="2"/>
    </row>
    <row r="1102" ht="15.75" customHeight="1">
      <c r="A1102" s="4" t="str">
        <f>HYPERLINK("https://stackoverflow.com/q/41983737", "41983737")</f>
        <v>41983737</v>
      </c>
      <c r="B1102" s="2" t="s">
        <v>1144</v>
      </c>
      <c r="C1102" s="3"/>
      <c r="D1102" s="3">
        <v>402.0</v>
      </c>
      <c r="E1102" s="2" t="s">
        <v>11</v>
      </c>
      <c r="F1102" s="2" t="s">
        <v>67</v>
      </c>
      <c r="G1102" s="2"/>
      <c r="H1102" s="2"/>
      <c r="I1102" s="2"/>
      <c r="J1102" s="2"/>
    </row>
    <row r="1103" ht="15.75" customHeight="1">
      <c r="A1103" s="4" t="str">
        <f>HYPERLINK("https://stackoverflow.com/q/54822913", "54822913")</f>
        <v>54822913</v>
      </c>
      <c r="B1103" s="2" t="s">
        <v>1145</v>
      </c>
      <c r="C1103" s="3"/>
      <c r="D1103" s="3">
        <v>402.0</v>
      </c>
      <c r="E1103" s="2" t="s">
        <v>11</v>
      </c>
      <c r="F1103" s="2" t="s">
        <v>25</v>
      </c>
      <c r="G1103" s="2"/>
      <c r="H1103" s="2"/>
      <c r="I1103" s="2"/>
      <c r="J1103" s="2"/>
    </row>
    <row r="1104" ht="15.75" customHeight="1">
      <c r="A1104" s="4" t="str">
        <f>HYPERLINK("https://stackoverflow.com/q/41272558", "41272558")</f>
        <v>41272558</v>
      </c>
      <c r="B1104" s="2" t="s">
        <v>1146</v>
      </c>
      <c r="C1104" s="3"/>
      <c r="D1104" s="3">
        <v>401.0</v>
      </c>
      <c r="E1104" s="2"/>
      <c r="F1104" s="2"/>
      <c r="G1104" s="2"/>
      <c r="H1104" s="2"/>
      <c r="I1104" s="2"/>
      <c r="J1104" s="2"/>
    </row>
    <row r="1105" ht="15.75" customHeight="1">
      <c r="A1105" s="4" t="str">
        <f>HYPERLINK("https://stackoverflow.com/q/46257017", "46257017")</f>
        <v>46257017</v>
      </c>
      <c r="B1105" s="2" t="s">
        <v>1147</v>
      </c>
      <c r="C1105" s="3"/>
      <c r="D1105" s="3">
        <v>400.0</v>
      </c>
      <c r="E1105" s="2" t="s">
        <v>11</v>
      </c>
      <c r="F1105" s="2" t="s">
        <v>67</v>
      </c>
      <c r="G1105" s="2"/>
      <c r="H1105" s="2"/>
      <c r="I1105" s="2"/>
      <c r="J1105" s="2"/>
    </row>
    <row r="1106" ht="15.75" customHeight="1">
      <c r="A1106" s="4" t="str">
        <f>HYPERLINK("https://stackoverflow.com/q/53305663", "53305663")</f>
        <v>53305663</v>
      </c>
      <c r="B1106" s="2" t="s">
        <v>1148</v>
      </c>
      <c r="C1106" s="3"/>
      <c r="D1106" s="3">
        <v>400.0</v>
      </c>
      <c r="E1106" s="2"/>
      <c r="F1106" s="2"/>
      <c r="G1106" s="2"/>
      <c r="H1106" s="2"/>
      <c r="I1106" s="2"/>
      <c r="J1106" s="2"/>
    </row>
    <row r="1107" ht="15.75" customHeight="1">
      <c r="A1107" s="4" t="str">
        <f>HYPERLINK("https://stackoverflow.com/q/54174575", "54174575")</f>
        <v>54174575</v>
      </c>
      <c r="B1107" s="2" t="s">
        <v>1149</v>
      </c>
      <c r="C1107" s="3"/>
      <c r="D1107" s="3">
        <v>399.0</v>
      </c>
      <c r="E1107" s="2"/>
      <c r="F1107" s="2"/>
      <c r="G1107" s="2"/>
      <c r="H1107" s="2"/>
      <c r="I1107" s="2"/>
      <c r="J1107" s="2"/>
    </row>
    <row r="1108" ht="15.75" customHeight="1">
      <c r="A1108" s="4" t="str">
        <f>HYPERLINK("https://stackoverflow.com/q/53701218", "53701218")</f>
        <v>53701218</v>
      </c>
      <c r="B1108" s="2" t="s">
        <v>1150</v>
      </c>
      <c r="C1108" s="3"/>
      <c r="D1108" s="3">
        <v>398.0</v>
      </c>
      <c r="E1108" s="2"/>
      <c r="F1108" s="2"/>
      <c r="G1108" s="2"/>
      <c r="H1108" s="2"/>
      <c r="I1108" s="2"/>
      <c r="J1108" s="2"/>
    </row>
    <row r="1109" ht="15.75" customHeight="1">
      <c r="A1109" s="4" t="str">
        <f>HYPERLINK("https://stackoverflow.com/q/51306484", "51306484")</f>
        <v>51306484</v>
      </c>
      <c r="B1109" s="2" t="s">
        <v>1151</v>
      </c>
      <c r="C1109" s="3"/>
      <c r="D1109" s="3">
        <v>397.0</v>
      </c>
      <c r="E1109" s="2"/>
      <c r="F1109" s="2"/>
      <c r="G1109" s="2"/>
      <c r="H1109" s="2"/>
      <c r="I1109" s="2"/>
      <c r="J1109" s="2"/>
    </row>
    <row r="1110" ht="15.75" customHeight="1">
      <c r="A1110" s="4" t="str">
        <f>HYPERLINK("https://stackoverflow.com/q/55628468", "55628468")</f>
        <v>55628468</v>
      </c>
      <c r="B1110" s="2" t="s">
        <v>1152</v>
      </c>
      <c r="C1110" s="3"/>
      <c r="D1110" s="3">
        <v>397.0</v>
      </c>
      <c r="E1110" s="2"/>
      <c r="F1110" s="2"/>
      <c r="G1110" s="2"/>
      <c r="H1110" s="2"/>
      <c r="I1110" s="2"/>
      <c r="J1110" s="2"/>
    </row>
    <row r="1111" ht="15.75" customHeight="1">
      <c r="A1111" s="4" t="str">
        <f>HYPERLINK("https://stackoverflow.com/q/56355331", "56355331")</f>
        <v>56355331</v>
      </c>
      <c r="B1111" s="2" t="s">
        <v>1153</v>
      </c>
      <c r="C1111" s="3"/>
      <c r="D1111" s="3">
        <v>396.0</v>
      </c>
      <c r="E1111" s="2"/>
      <c r="F1111" s="2"/>
      <c r="G1111" s="2"/>
      <c r="H1111" s="2"/>
      <c r="I1111" s="2"/>
      <c r="J1111" s="2"/>
    </row>
    <row r="1112" ht="15.75" customHeight="1">
      <c r="A1112" s="4" t="str">
        <f>HYPERLINK("https://stackoverflow.com/q/55594848", "55594848")</f>
        <v>55594848</v>
      </c>
      <c r="B1112" s="2" t="s">
        <v>1154</v>
      </c>
      <c r="C1112" s="3"/>
      <c r="D1112" s="3">
        <v>395.0</v>
      </c>
      <c r="E1112" s="2" t="s">
        <v>11</v>
      </c>
      <c r="F1112" s="2" t="s">
        <v>56</v>
      </c>
      <c r="G1112" s="2"/>
      <c r="H1112" s="2"/>
      <c r="I1112" s="2"/>
      <c r="J1112" s="2"/>
    </row>
    <row r="1113" ht="15.75" customHeight="1">
      <c r="A1113" s="4" t="str">
        <f>HYPERLINK("https://stackoverflow.com/q/58028882", "58028882")</f>
        <v>58028882</v>
      </c>
      <c r="B1113" s="2" t="s">
        <v>1155</v>
      </c>
      <c r="C1113" s="3"/>
      <c r="D1113" s="3">
        <v>395.0</v>
      </c>
      <c r="E1113" s="2"/>
      <c r="F1113" s="2"/>
      <c r="G1113" s="2"/>
      <c r="H1113" s="2"/>
      <c r="I1113" s="2"/>
      <c r="J1113" s="2"/>
    </row>
    <row r="1114" ht="15.75" customHeight="1">
      <c r="A1114" s="4" t="str">
        <f>HYPERLINK("https://stackoverflow.com/q/52744026", "52744026")</f>
        <v>52744026</v>
      </c>
      <c r="B1114" s="2" t="s">
        <v>1156</v>
      </c>
      <c r="C1114" s="3"/>
      <c r="D1114" s="3">
        <v>394.0</v>
      </c>
      <c r="E1114" s="2" t="s">
        <v>11</v>
      </c>
      <c r="F1114" s="2" t="s">
        <v>56</v>
      </c>
      <c r="G1114" s="2"/>
      <c r="H1114" s="2"/>
      <c r="I1114" s="2"/>
      <c r="J1114" s="2"/>
    </row>
    <row r="1115" ht="15.75" customHeight="1">
      <c r="A1115" s="4" t="str">
        <f>HYPERLINK("https://stackoverflow.com/q/53933243", "53933243")</f>
        <v>53933243</v>
      </c>
      <c r="B1115" s="2" t="s">
        <v>1157</v>
      </c>
      <c r="C1115" s="3"/>
      <c r="D1115" s="3">
        <v>394.0</v>
      </c>
      <c r="E1115" s="2" t="s">
        <v>72</v>
      </c>
      <c r="F1115" s="2" t="s">
        <v>506</v>
      </c>
      <c r="G1115" s="2"/>
      <c r="H1115" s="2"/>
      <c r="I1115" s="2"/>
      <c r="J1115" s="2"/>
    </row>
    <row r="1116" ht="15.75" customHeight="1">
      <c r="A1116" s="4" t="str">
        <f>HYPERLINK("https://stackoverflow.com/q/45197195", "45197195")</f>
        <v>45197195</v>
      </c>
      <c r="B1116" s="2" t="s">
        <v>1158</v>
      </c>
      <c r="C1116" s="3">
        <v>1.0</v>
      </c>
      <c r="D1116" s="3">
        <v>393.0</v>
      </c>
      <c r="E1116" s="2"/>
      <c r="F1116" s="2"/>
      <c r="G1116" s="2"/>
      <c r="H1116" s="2"/>
      <c r="I1116" s="2"/>
      <c r="J1116" s="2"/>
    </row>
    <row r="1117" ht="15.75" customHeight="1">
      <c r="A1117" s="4" t="str">
        <f>HYPERLINK("https://stackoverflow.com/q/36287339", "36287339")</f>
        <v>36287339</v>
      </c>
      <c r="B1117" s="2" t="s">
        <v>1159</v>
      </c>
      <c r="C1117" s="3"/>
      <c r="D1117" s="3">
        <v>393.0</v>
      </c>
      <c r="E1117" s="2"/>
      <c r="F1117" s="2"/>
      <c r="G1117" s="2"/>
      <c r="H1117" s="2"/>
      <c r="I1117" s="2"/>
      <c r="J1117" s="2"/>
    </row>
    <row r="1118" ht="15.75" customHeight="1">
      <c r="A1118" s="4" t="str">
        <f>HYPERLINK("https://stackoverflow.com/q/51415990", "51415990")</f>
        <v>51415990</v>
      </c>
      <c r="B1118" s="2" t="s">
        <v>1160</v>
      </c>
      <c r="C1118" s="3"/>
      <c r="D1118" s="3">
        <v>393.0</v>
      </c>
      <c r="E1118" s="2"/>
      <c r="F1118" s="2"/>
      <c r="G1118" s="2"/>
      <c r="H1118" s="2"/>
      <c r="I1118" s="2"/>
      <c r="J1118" s="2"/>
    </row>
    <row r="1119" ht="15.75" customHeight="1">
      <c r="A1119" s="4" t="str">
        <f>HYPERLINK("https://stackoverflow.com/q/29905159", "29905159")</f>
        <v>29905159</v>
      </c>
      <c r="B1119" s="2" t="s">
        <v>1161</v>
      </c>
      <c r="C1119" s="3">
        <v>1.0</v>
      </c>
      <c r="D1119" s="3">
        <v>392.0</v>
      </c>
      <c r="E1119" s="2"/>
      <c r="F1119" s="2"/>
      <c r="G1119" s="2"/>
      <c r="H1119" s="2"/>
      <c r="I1119" s="2"/>
      <c r="J1119" s="2"/>
    </row>
    <row r="1120" ht="15.75" customHeight="1">
      <c r="A1120" s="4" t="str">
        <f>HYPERLINK("https://stackoverflow.com/q/44526400", "44526400")</f>
        <v>44526400</v>
      </c>
      <c r="B1120" s="2" t="s">
        <v>1162</v>
      </c>
      <c r="C1120" s="3"/>
      <c r="D1120" s="3">
        <v>391.0</v>
      </c>
      <c r="E1120" s="2"/>
      <c r="F1120" s="2"/>
      <c r="G1120" s="2"/>
      <c r="H1120" s="2"/>
      <c r="I1120" s="2"/>
      <c r="J1120" s="2"/>
    </row>
    <row r="1121" ht="15.75" customHeight="1">
      <c r="A1121" s="4" t="str">
        <f>HYPERLINK("https://stackoverflow.com/q/50121723", "50121723")</f>
        <v>50121723</v>
      </c>
      <c r="B1121" s="2" t="s">
        <v>1163</v>
      </c>
      <c r="C1121" s="3"/>
      <c r="D1121" s="3">
        <v>391.0</v>
      </c>
      <c r="E1121" s="2"/>
      <c r="F1121" s="2"/>
      <c r="G1121" s="2"/>
      <c r="H1121" s="2"/>
      <c r="I1121" s="2"/>
      <c r="J1121" s="2"/>
    </row>
    <row r="1122" ht="15.75" customHeight="1">
      <c r="A1122" s="4" t="str">
        <f>HYPERLINK("https://stackoverflow.com/q/51032451", "51032451")</f>
        <v>51032451</v>
      </c>
      <c r="B1122" s="2" t="s">
        <v>1164</v>
      </c>
      <c r="C1122" s="3">
        <v>0.0</v>
      </c>
      <c r="D1122" s="3">
        <v>390.0</v>
      </c>
      <c r="E1122" s="2"/>
      <c r="F1122" s="2"/>
      <c r="G1122" s="2"/>
      <c r="H1122" s="2"/>
      <c r="I1122" s="2"/>
      <c r="J1122" s="2"/>
    </row>
    <row r="1123" ht="15.75" customHeight="1">
      <c r="A1123" s="4" t="str">
        <f>HYPERLINK("https://stackoverflow.com/q/53916396", "53916396")</f>
        <v>53916396</v>
      </c>
      <c r="B1123" s="2" t="s">
        <v>1165</v>
      </c>
      <c r="C1123" s="3"/>
      <c r="D1123" s="3">
        <v>390.0</v>
      </c>
      <c r="E1123" s="2" t="s">
        <v>11</v>
      </c>
      <c r="F1123" s="2" t="s">
        <v>12</v>
      </c>
      <c r="G1123" s="2"/>
      <c r="H1123" s="2"/>
      <c r="I1123" s="2"/>
      <c r="J1123" s="2"/>
    </row>
    <row r="1124" ht="15.75" customHeight="1">
      <c r="A1124" s="4" t="str">
        <f>HYPERLINK("https://stackoverflow.com/q/50635277", "50635277")</f>
        <v>50635277</v>
      </c>
      <c r="B1124" s="2" t="s">
        <v>1166</v>
      </c>
      <c r="C1124" s="3">
        <v>0.0</v>
      </c>
      <c r="D1124" s="3">
        <v>389.0</v>
      </c>
      <c r="E1124" s="2"/>
      <c r="F1124" s="2"/>
      <c r="G1124" s="2"/>
      <c r="H1124" s="2"/>
      <c r="I1124" s="2"/>
      <c r="J1124" s="2"/>
    </row>
    <row r="1125" ht="15.75" customHeight="1">
      <c r="A1125" s="4" t="str">
        <f>HYPERLINK("https://stackoverflow.com/q/47178776", "47178776")</f>
        <v>47178776</v>
      </c>
      <c r="B1125" s="2" t="s">
        <v>1167</v>
      </c>
      <c r="C1125" s="3"/>
      <c r="D1125" s="3">
        <v>389.0</v>
      </c>
      <c r="E1125" s="2" t="s">
        <v>11</v>
      </c>
      <c r="F1125" s="2" t="s">
        <v>25</v>
      </c>
      <c r="G1125" s="2"/>
      <c r="H1125" s="2"/>
      <c r="I1125" s="2"/>
      <c r="J1125" s="2"/>
    </row>
    <row r="1126" ht="15.75" customHeight="1">
      <c r="A1126" s="4" t="str">
        <f>HYPERLINK("https://stackoverflow.com/q/45678498", "45678498")</f>
        <v>45678498</v>
      </c>
      <c r="B1126" s="2" t="s">
        <v>1168</v>
      </c>
      <c r="C1126" s="3"/>
      <c r="D1126" s="3">
        <v>389.0</v>
      </c>
      <c r="E1126" s="2"/>
      <c r="F1126" s="2"/>
      <c r="G1126" s="2"/>
      <c r="H1126" s="2"/>
      <c r="I1126" s="2"/>
      <c r="J1126" s="2"/>
    </row>
    <row r="1127" ht="15.75" customHeight="1">
      <c r="A1127" s="4" t="str">
        <f>HYPERLINK("https://stackoverflow.com/q/13393253", "13393253")</f>
        <v>13393253</v>
      </c>
      <c r="B1127" s="2" t="s">
        <v>1169</v>
      </c>
      <c r="C1127" s="3"/>
      <c r="D1127" s="3">
        <v>388.0</v>
      </c>
      <c r="E1127" s="2"/>
      <c r="F1127" s="2"/>
      <c r="G1127" s="2"/>
      <c r="H1127" s="2"/>
      <c r="I1127" s="2"/>
      <c r="J1127" s="2"/>
    </row>
    <row r="1128" ht="15.75" customHeight="1">
      <c r="A1128" s="4" t="str">
        <f>HYPERLINK("https://stackoverflow.com/q/35974311", "35974311")</f>
        <v>35974311</v>
      </c>
      <c r="B1128" s="2" t="s">
        <v>1170</v>
      </c>
      <c r="C1128" s="3"/>
      <c r="D1128" s="3">
        <v>388.0</v>
      </c>
      <c r="E1128" s="2"/>
      <c r="F1128" s="2"/>
      <c r="G1128" s="2"/>
      <c r="H1128" s="2"/>
      <c r="I1128" s="2"/>
      <c r="J1128" s="2"/>
    </row>
    <row r="1129" ht="15.75" customHeight="1">
      <c r="A1129" s="4" t="str">
        <f>HYPERLINK("https://stackoverflow.com/q/51828297", "51828297")</f>
        <v>51828297</v>
      </c>
      <c r="B1129" s="2" t="s">
        <v>1171</v>
      </c>
      <c r="C1129" s="3"/>
      <c r="D1129" s="3">
        <v>388.0</v>
      </c>
      <c r="E1129" s="2"/>
      <c r="F1129" s="2"/>
      <c r="G1129" s="2"/>
      <c r="H1129" s="2"/>
      <c r="I1129" s="2"/>
      <c r="J1129" s="2"/>
    </row>
    <row r="1130" ht="15.75" customHeight="1">
      <c r="A1130" s="4" t="str">
        <f>HYPERLINK("https://stackoverflow.com/q/49929362", "49929362")</f>
        <v>49929362</v>
      </c>
      <c r="B1130" s="2" t="s">
        <v>1172</v>
      </c>
      <c r="C1130" s="3">
        <v>1.0</v>
      </c>
      <c r="D1130" s="3">
        <v>387.0</v>
      </c>
      <c r="E1130" s="2"/>
      <c r="F1130" s="2"/>
      <c r="G1130" s="2"/>
      <c r="H1130" s="2"/>
      <c r="I1130" s="2"/>
      <c r="J1130" s="2"/>
    </row>
    <row r="1131" ht="15.75" customHeight="1">
      <c r="A1131" s="4" t="str">
        <f>HYPERLINK("https://stackoverflow.com/q/46417978", "46417978")</f>
        <v>46417978</v>
      </c>
      <c r="B1131" s="2" t="s">
        <v>1173</v>
      </c>
      <c r="C1131" s="3"/>
      <c r="D1131" s="3">
        <v>387.0</v>
      </c>
      <c r="E1131" s="9" t="s">
        <v>11</v>
      </c>
      <c r="F1131" s="2" t="s">
        <v>18</v>
      </c>
      <c r="G1131" s="2"/>
      <c r="H1131" s="2"/>
      <c r="I1131" s="2"/>
      <c r="J1131" s="2"/>
    </row>
    <row r="1132" ht="15.75" customHeight="1">
      <c r="A1132" s="4" t="str">
        <f>HYPERLINK("https://stackoverflow.com/q/54967399", "54967399")</f>
        <v>54967399</v>
      </c>
      <c r="B1132" s="2" t="s">
        <v>1174</v>
      </c>
      <c r="C1132" s="3"/>
      <c r="D1132" s="3">
        <v>387.0</v>
      </c>
      <c r="E1132" s="2" t="s">
        <v>11</v>
      </c>
      <c r="F1132" s="2" t="s">
        <v>30</v>
      </c>
      <c r="G1132" s="2"/>
      <c r="H1132" s="2"/>
      <c r="I1132" s="2"/>
      <c r="J1132" s="2"/>
    </row>
    <row r="1133" ht="15.75" customHeight="1">
      <c r="A1133" s="4" t="str">
        <f>HYPERLINK("https://stackoverflow.com/q/44588246", "44588246")</f>
        <v>44588246</v>
      </c>
      <c r="B1133" s="2" t="s">
        <v>1175</v>
      </c>
      <c r="C1133" s="3"/>
      <c r="D1133" s="3">
        <v>387.0</v>
      </c>
      <c r="E1133" s="2"/>
      <c r="F1133" s="2"/>
      <c r="G1133" s="2"/>
      <c r="H1133" s="2"/>
      <c r="I1133" s="2"/>
      <c r="J1133" s="2"/>
    </row>
    <row r="1134" ht="15.75" customHeight="1">
      <c r="A1134" s="4" t="str">
        <f>HYPERLINK("https://stackoverflow.com/q/49789544", "49789544")</f>
        <v>49789544</v>
      </c>
      <c r="B1134" s="2" t="s">
        <v>1176</v>
      </c>
      <c r="C1134" s="3"/>
      <c r="D1134" s="3">
        <v>387.0</v>
      </c>
      <c r="E1134" s="2"/>
      <c r="F1134" s="2"/>
      <c r="G1134" s="2"/>
      <c r="H1134" s="2"/>
      <c r="I1134" s="2"/>
      <c r="J1134" s="2"/>
    </row>
    <row r="1135" ht="15.75" customHeight="1">
      <c r="A1135" s="4" t="str">
        <f>HYPERLINK("https://stackoverflow.com/q/30003533", "30003533")</f>
        <v>30003533</v>
      </c>
      <c r="B1135" s="2" t="s">
        <v>1177</v>
      </c>
      <c r="C1135" s="3"/>
      <c r="D1135" s="3">
        <v>386.0</v>
      </c>
      <c r="E1135" s="2"/>
      <c r="F1135" s="2"/>
      <c r="G1135" s="2"/>
      <c r="H1135" s="2"/>
      <c r="I1135" s="2"/>
      <c r="J1135" s="2"/>
    </row>
    <row r="1136" ht="15.75" customHeight="1">
      <c r="A1136" s="4" t="str">
        <f>HYPERLINK("https://stackoverflow.com/q/44193732", "44193732")</f>
        <v>44193732</v>
      </c>
      <c r="B1136" s="2" t="s">
        <v>1178</v>
      </c>
      <c r="C1136" s="3"/>
      <c r="D1136" s="3">
        <v>386.0</v>
      </c>
      <c r="E1136" s="2"/>
      <c r="F1136" s="2"/>
      <c r="G1136" s="2"/>
      <c r="H1136" s="2"/>
      <c r="I1136" s="2"/>
      <c r="J1136" s="2"/>
    </row>
    <row r="1137" ht="15.75" customHeight="1">
      <c r="A1137" s="4" t="str">
        <f>HYPERLINK("https://stackoverflow.com/q/49372027", "49372027")</f>
        <v>49372027</v>
      </c>
      <c r="B1137" s="2" t="s">
        <v>1179</v>
      </c>
      <c r="C1137" s="3"/>
      <c r="D1137" s="3">
        <v>386.0</v>
      </c>
      <c r="E1137" s="2"/>
      <c r="F1137" s="2"/>
      <c r="G1137" s="2"/>
      <c r="H1137" s="2"/>
      <c r="I1137" s="2"/>
      <c r="J1137" s="2"/>
    </row>
    <row r="1138" ht="15.75" customHeight="1">
      <c r="A1138" s="4" t="str">
        <f>HYPERLINK("https://stackoverflow.com/q/53487133", "53487133")</f>
        <v>53487133</v>
      </c>
      <c r="B1138" s="2" t="s">
        <v>1180</v>
      </c>
      <c r="C1138" s="3"/>
      <c r="D1138" s="3">
        <v>386.0</v>
      </c>
      <c r="E1138" s="2"/>
      <c r="F1138" s="2"/>
      <c r="G1138" s="2"/>
      <c r="H1138" s="2"/>
      <c r="I1138" s="2"/>
      <c r="J1138" s="2"/>
    </row>
    <row r="1139" ht="15.75" customHeight="1">
      <c r="A1139" s="4" t="str">
        <f>HYPERLINK("https://stackoverflow.com/q/60209158", "60209158")</f>
        <v>60209158</v>
      </c>
      <c r="B1139" s="2" t="s">
        <v>1181</v>
      </c>
      <c r="C1139" s="3"/>
      <c r="D1139" s="3">
        <v>386.0</v>
      </c>
      <c r="E1139" s="2"/>
      <c r="F1139" s="2"/>
      <c r="G1139" s="2"/>
      <c r="H1139" s="2"/>
      <c r="I1139" s="2"/>
      <c r="J1139" s="2"/>
    </row>
    <row r="1140" ht="15.75" customHeight="1">
      <c r="A1140" s="4" t="str">
        <f>HYPERLINK("https://stackoverflow.com/q/9139207", "9139207")</f>
        <v>9139207</v>
      </c>
      <c r="B1140" s="2" t="s">
        <v>1182</v>
      </c>
      <c r="C1140" s="3"/>
      <c r="D1140" s="3">
        <v>385.0</v>
      </c>
      <c r="E1140" s="9" t="s">
        <v>11</v>
      </c>
      <c r="F1140" s="2" t="s">
        <v>18</v>
      </c>
      <c r="G1140" s="2"/>
      <c r="H1140" s="2"/>
      <c r="I1140" s="2"/>
      <c r="J1140" s="2"/>
    </row>
    <row r="1141" ht="15.75" customHeight="1">
      <c r="A1141" s="4" t="str">
        <f>HYPERLINK("https://stackoverflow.com/q/48439868", "48439868")</f>
        <v>48439868</v>
      </c>
      <c r="B1141" s="2" t="s">
        <v>1183</v>
      </c>
      <c r="C1141" s="3"/>
      <c r="D1141" s="3">
        <v>384.0</v>
      </c>
      <c r="E1141" s="2"/>
      <c r="F1141" s="2"/>
      <c r="G1141" s="2"/>
      <c r="H1141" s="2"/>
      <c r="I1141" s="2"/>
      <c r="J1141" s="2"/>
    </row>
    <row r="1142" ht="15.75" customHeight="1">
      <c r="A1142" s="4" t="str">
        <f>HYPERLINK("https://stackoverflow.com/q/48591858", "48591858")</f>
        <v>48591858</v>
      </c>
      <c r="B1142" s="2" t="s">
        <v>1184</v>
      </c>
      <c r="C1142" s="3"/>
      <c r="D1142" s="3">
        <v>384.0</v>
      </c>
      <c r="E1142" s="2"/>
      <c r="F1142" s="2"/>
      <c r="G1142" s="2"/>
      <c r="H1142" s="2"/>
      <c r="I1142" s="2"/>
      <c r="J1142" s="2"/>
    </row>
    <row r="1143" ht="15.75" customHeight="1">
      <c r="A1143" s="4" t="str">
        <f>HYPERLINK("https://stackoverflow.com/q/56830039", "56830039")</f>
        <v>56830039</v>
      </c>
      <c r="B1143" s="2" t="s">
        <v>1185</v>
      </c>
      <c r="C1143" s="3"/>
      <c r="D1143" s="3">
        <v>384.0</v>
      </c>
      <c r="E1143" s="2"/>
      <c r="F1143" s="2"/>
      <c r="G1143" s="2"/>
      <c r="H1143" s="2"/>
      <c r="I1143" s="2"/>
      <c r="J1143" s="2"/>
    </row>
    <row r="1144" ht="15.75" customHeight="1">
      <c r="A1144" s="4" t="str">
        <f>HYPERLINK("https://stackoverflow.com/q/58698121", "58698121")</f>
        <v>58698121</v>
      </c>
      <c r="B1144" s="2" t="s">
        <v>1186</v>
      </c>
      <c r="C1144" s="3"/>
      <c r="D1144" s="3">
        <v>384.0</v>
      </c>
      <c r="E1144" s="2"/>
      <c r="F1144" s="2"/>
      <c r="G1144" s="2"/>
      <c r="H1144" s="2"/>
      <c r="I1144" s="2"/>
      <c r="J1144" s="2"/>
    </row>
    <row r="1145" ht="15.75" customHeight="1">
      <c r="A1145" s="4" t="str">
        <f>HYPERLINK("https://stackoverflow.com/q/58325798", "58325798")</f>
        <v>58325798</v>
      </c>
      <c r="B1145" s="2" t="s">
        <v>1187</v>
      </c>
      <c r="C1145" s="3">
        <v>1.0</v>
      </c>
      <c r="D1145" s="3">
        <v>382.0</v>
      </c>
      <c r="E1145" s="2"/>
      <c r="F1145" s="2"/>
      <c r="G1145" s="2"/>
      <c r="H1145" s="2"/>
      <c r="I1145" s="2"/>
      <c r="J1145" s="2"/>
    </row>
    <row r="1146" ht="15.75" customHeight="1">
      <c r="A1146" s="4" t="str">
        <f>HYPERLINK("https://stackoverflow.com/q/52872674", "52872674")</f>
        <v>52872674</v>
      </c>
      <c r="B1146" s="2" t="s">
        <v>1188</v>
      </c>
      <c r="C1146" s="3">
        <v>1.0</v>
      </c>
      <c r="D1146" s="3">
        <v>381.0</v>
      </c>
      <c r="E1146" s="2"/>
      <c r="F1146" s="2"/>
      <c r="G1146" s="2"/>
      <c r="H1146" s="2"/>
      <c r="I1146" s="2"/>
      <c r="J1146" s="2"/>
    </row>
    <row r="1147" ht="15.75" customHeight="1">
      <c r="A1147" s="4" t="str">
        <f>HYPERLINK("https://stackoverflow.com/q/48913880", "48913880")</f>
        <v>48913880</v>
      </c>
      <c r="B1147" s="2" t="s">
        <v>1189</v>
      </c>
      <c r="C1147" s="3">
        <v>0.0</v>
      </c>
      <c r="D1147" s="3">
        <v>381.0</v>
      </c>
      <c r="E1147" s="2"/>
      <c r="F1147" s="2"/>
      <c r="G1147" s="2"/>
      <c r="H1147" s="2"/>
      <c r="I1147" s="2"/>
      <c r="J1147" s="2"/>
    </row>
    <row r="1148" ht="15.75" customHeight="1">
      <c r="A1148" s="4" t="str">
        <f>HYPERLINK("https://stackoverflow.com/q/23695745", "23695745")</f>
        <v>23695745</v>
      </c>
      <c r="B1148" s="2" t="s">
        <v>1190</v>
      </c>
      <c r="C1148" s="3"/>
      <c r="D1148" s="3">
        <v>381.0</v>
      </c>
      <c r="E1148" s="2"/>
      <c r="F1148" s="2"/>
      <c r="G1148" s="2"/>
      <c r="H1148" s="2"/>
      <c r="I1148" s="2"/>
      <c r="J1148" s="2"/>
    </row>
    <row r="1149" ht="15.75" customHeight="1">
      <c r="A1149" s="4" t="str">
        <f>HYPERLINK("https://stackoverflow.com/q/45480663", "45480663")</f>
        <v>45480663</v>
      </c>
      <c r="B1149" s="2" t="s">
        <v>1191</v>
      </c>
      <c r="C1149" s="3"/>
      <c r="D1149" s="3">
        <v>381.0</v>
      </c>
      <c r="E1149" s="2"/>
      <c r="F1149" s="2"/>
      <c r="G1149" s="2"/>
      <c r="H1149" s="2"/>
      <c r="I1149" s="2"/>
      <c r="J1149" s="2"/>
    </row>
    <row r="1150" ht="15.75" customHeight="1">
      <c r="A1150" s="4" t="str">
        <f>HYPERLINK("https://stackoverflow.com/q/16306006", "16306006")</f>
        <v>16306006</v>
      </c>
      <c r="B1150" s="2" t="s">
        <v>1192</v>
      </c>
      <c r="C1150" s="3"/>
      <c r="D1150" s="3">
        <v>380.0</v>
      </c>
      <c r="E1150" s="2"/>
      <c r="F1150" s="2"/>
      <c r="G1150" s="2"/>
      <c r="H1150" s="2"/>
      <c r="I1150" s="2"/>
      <c r="J1150" s="2"/>
    </row>
    <row r="1151" ht="15.75" customHeight="1">
      <c r="A1151" s="4" t="str">
        <f>HYPERLINK("https://stackoverflow.com/q/34814017", "34814017")</f>
        <v>34814017</v>
      </c>
      <c r="B1151" s="2" t="s">
        <v>1193</v>
      </c>
      <c r="C1151" s="3"/>
      <c r="D1151" s="3">
        <v>380.0</v>
      </c>
      <c r="E1151" s="2"/>
      <c r="F1151" s="2"/>
      <c r="G1151" s="2"/>
      <c r="H1151" s="2"/>
      <c r="I1151" s="2"/>
      <c r="J1151" s="2"/>
    </row>
    <row r="1152" ht="15.75" customHeight="1">
      <c r="A1152" s="4" t="str">
        <f>HYPERLINK("https://stackoverflow.com/q/19438872", "19438872")</f>
        <v>19438872</v>
      </c>
      <c r="B1152" s="2" t="s">
        <v>1194</v>
      </c>
      <c r="C1152" s="3"/>
      <c r="D1152" s="3">
        <v>378.0</v>
      </c>
      <c r="E1152" s="2"/>
      <c r="F1152" s="2"/>
      <c r="G1152" s="2"/>
      <c r="H1152" s="2"/>
      <c r="I1152" s="2"/>
      <c r="J1152" s="2"/>
    </row>
    <row r="1153" ht="15.75" customHeight="1">
      <c r="A1153" s="4" t="str">
        <f>HYPERLINK("https://stackoverflow.com/q/48950826", "48950826")</f>
        <v>48950826</v>
      </c>
      <c r="B1153" s="2" t="s">
        <v>1195</v>
      </c>
      <c r="C1153" s="3"/>
      <c r="D1153" s="3">
        <v>377.0</v>
      </c>
      <c r="E1153" s="2"/>
      <c r="F1153" s="2"/>
      <c r="G1153" s="2"/>
      <c r="H1153" s="2"/>
      <c r="I1153" s="2"/>
      <c r="J1153" s="2"/>
    </row>
    <row r="1154" ht="15.75" customHeight="1">
      <c r="A1154" s="4" t="str">
        <f>HYPERLINK("https://stackoverflow.com/q/21404255", "21404255")</f>
        <v>21404255</v>
      </c>
      <c r="B1154" s="2" t="s">
        <v>1196</v>
      </c>
      <c r="C1154" s="3"/>
      <c r="D1154" s="3">
        <v>375.0</v>
      </c>
      <c r="E1154" s="2"/>
      <c r="F1154" s="2"/>
      <c r="G1154" s="2"/>
      <c r="H1154" s="2"/>
      <c r="I1154" s="2"/>
      <c r="J1154" s="2"/>
    </row>
    <row r="1155" ht="15.75" customHeight="1">
      <c r="A1155" s="4" t="str">
        <f>HYPERLINK("https://stackoverflow.com/q/36341976", "36341976")</f>
        <v>36341976</v>
      </c>
      <c r="B1155" s="2" t="s">
        <v>1197</v>
      </c>
      <c r="C1155" s="3"/>
      <c r="D1155" s="3">
        <v>375.0</v>
      </c>
      <c r="E1155" s="2"/>
      <c r="F1155" s="2"/>
      <c r="G1155" s="2"/>
      <c r="H1155" s="2"/>
      <c r="I1155" s="2"/>
      <c r="J1155" s="2"/>
    </row>
    <row r="1156" ht="15.75" customHeight="1">
      <c r="A1156" s="4" t="str">
        <f>HYPERLINK("https://stackoverflow.com/q/47943399", "47943399")</f>
        <v>47943399</v>
      </c>
      <c r="B1156" s="2" t="s">
        <v>1198</v>
      </c>
      <c r="C1156" s="3"/>
      <c r="D1156" s="3">
        <v>374.0</v>
      </c>
      <c r="E1156" s="2" t="s">
        <v>11</v>
      </c>
      <c r="F1156" s="2" t="s">
        <v>67</v>
      </c>
      <c r="G1156" s="2"/>
      <c r="H1156" s="2"/>
      <c r="I1156" s="2"/>
      <c r="J1156" s="2"/>
    </row>
    <row r="1157" ht="15.75" customHeight="1">
      <c r="A1157" s="4" t="str">
        <f>HYPERLINK("https://stackoverflow.com/q/37916645", "37916645")</f>
        <v>37916645</v>
      </c>
      <c r="B1157" s="2" t="s">
        <v>1199</v>
      </c>
      <c r="C1157" s="3"/>
      <c r="D1157" s="3">
        <v>374.0</v>
      </c>
      <c r="E1157" s="2"/>
      <c r="F1157" s="2"/>
      <c r="G1157" s="2"/>
      <c r="H1157" s="2"/>
      <c r="I1157" s="2"/>
      <c r="J1157" s="2"/>
    </row>
    <row r="1158" ht="15.75" customHeight="1">
      <c r="A1158" s="4" t="str">
        <f>HYPERLINK("https://stackoverflow.com/q/51876478", "51876478")</f>
        <v>51876478</v>
      </c>
      <c r="B1158" s="2" t="s">
        <v>1200</v>
      </c>
      <c r="C1158" s="3"/>
      <c r="D1158" s="3">
        <v>373.0</v>
      </c>
      <c r="E1158" s="2"/>
      <c r="F1158" s="2"/>
      <c r="G1158" s="2"/>
      <c r="H1158" s="2"/>
      <c r="I1158" s="2"/>
      <c r="J1158" s="2"/>
    </row>
    <row r="1159" ht="15.75" customHeight="1">
      <c r="A1159" s="4" t="str">
        <f>HYPERLINK("https://stackoverflow.com/q/25560603", "25560603")</f>
        <v>25560603</v>
      </c>
      <c r="B1159" s="2" t="s">
        <v>1201</v>
      </c>
      <c r="C1159" s="3"/>
      <c r="D1159" s="3">
        <v>372.0</v>
      </c>
      <c r="E1159" s="2"/>
      <c r="F1159" s="2"/>
      <c r="G1159" s="2"/>
      <c r="H1159" s="2"/>
      <c r="I1159" s="2"/>
      <c r="J1159" s="2"/>
    </row>
    <row r="1160" ht="15.75" customHeight="1">
      <c r="A1160" s="4" t="str">
        <f>HYPERLINK("https://stackoverflow.com/q/22187852", "22187852")</f>
        <v>22187852</v>
      </c>
      <c r="B1160" s="2" t="s">
        <v>1202</v>
      </c>
      <c r="C1160" s="3"/>
      <c r="D1160" s="3">
        <v>371.0</v>
      </c>
      <c r="E1160" s="2"/>
      <c r="F1160" s="2"/>
      <c r="G1160" s="2"/>
      <c r="H1160" s="2"/>
      <c r="I1160" s="2"/>
      <c r="J1160" s="2"/>
    </row>
    <row r="1161" ht="15.75" customHeight="1">
      <c r="A1161" s="4" t="str">
        <f>HYPERLINK("https://stackoverflow.com/q/48881818", "48881818")</f>
        <v>48881818</v>
      </c>
      <c r="B1161" s="2" t="s">
        <v>1203</v>
      </c>
      <c r="C1161" s="3"/>
      <c r="D1161" s="3">
        <v>371.0</v>
      </c>
      <c r="E1161" s="2"/>
      <c r="F1161" s="2"/>
      <c r="G1161" s="2"/>
      <c r="H1161" s="2"/>
      <c r="I1161" s="2"/>
      <c r="J1161" s="2"/>
    </row>
    <row r="1162" ht="15.75" customHeight="1">
      <c r="A1162" s="4" t="str">
        <f>HYPERLINK("https://stackoverflow.com/q/41803929", "41803929")</f>
        <v>41803929</v>
      </c>
      <c r="B1162" s="2" t="s">
        <v>1204</v>
      </c>
      <c r="C1162" s="3"/>
      <c r="D1162" s="3">
        <v>370.0</v>
      </c>
      <c r="E1162" s="2" t="s">
        <v>11</v>
      </c>
      <c r="F1162" s="2" t="s">
        <v>30</v>
      </c>
      <c r="G1162" s="2"/>
      <c r="H1162" s="2"/>
      <c r="I1162" s="2"/>
      <c r="J1162" s="2"/>
    </row>
    <row r="1163" ht="15.75" customHeight="1">
      <c r="A1163" s="4" t="str">
        <f>HYPERLINK("https://stackoverflow.com/q/46016758", "46016758")</f>
        <v>46016758</v>
      </c>
      <c r="B1163" s="2" t="s">
        <v>1205</v>
      </c>
      <c r="C1163" s="3"/>
      <c r="D1163" s="3">
        <v>370.0</v>
      </c>
      <c r="E1163" s="2"/>
      <c r="F1163" s="2"/>
      <c r="G1163" s="2"/>
      <c r="H1163" s="2"/>
      <c r="I1163" s="2"/>
      <c r="J1163" s="2"/>
    </row>
    <row r="1164" ht="15.75" customHeight="1">
      <c r="A1164" s="4" t="str">
        <f>HYPERLINK("https://stackoverflow.com/q/50184405", "50184405")</f>
        <v>50184405</v>
      </c>
      <c r="B1164" s="2" t="s">
        <v>1206</v>
      </c>
      <c r="C1164" s="3"/>
      <c r="D1164" s="3">
        <v>370.0</v>
      </c>
      <c r="E1164" s="2"/>
      <c r="F1164" s="2"/>
      <c r="G1164" s="2"/>
      <c r="H1164" s="2"/>
      <c r="I1164" s="2"/>
      <c r="J1164" s="2"/>
    </row>
    <row r="1165" ht="15.75" customHeight="1">
      <c r="A1165" s="4" t="str">
        <f>HYPERLINK("https://stackoverflow.com/q/52825572", "52825572")</f>
        <v>52825572</v>
      </c>
      <c r="B1165" s="2" t="s">
        <v>1207</v>
      </c>
      <c r="C1165" s="3"/>
      <c r="D1165" s="3">
        <v>369.0</v>
      </c>
      <c r="E1165" s="2"/>
      <c r="F1165" s="2"/>
      <c r="G1165" s="2"/>
      <c r="H1165" s="2"/>
      <c r="I1165" s="2"/>
      <c r="J1165" s="2"/>
    </row>
    <row r="1166" ht="15.75" customHeight="1">
      <c r="A1166" s="4" t="str">
        <f>HYPERLINK("https://stackoverflow.com/q/58161171", "58161171")</f>
        <v>58161171</v>
      </c>
      <c r="B1166" s="2" t="s">
        <v>1208</v>
      </c>
      <c r="C1166" s="3"/>
      <c r="D1166" s="3">
        <v>369.0</v>
      </c>
      <c r="E1166" s="2"/>
      <c r="F1166" s="2"/>
      <c r="G1166" s="2"/>
      <c r="H1166" s="2"/>
      <c r="I1166" s="2"/>
      <c r="J1166" s="2"/>
    </row>
    <row r="1167" ht="15.75" customHeight="1">
      <c r="A1167" s="4" t="str">
        <f>HYPERLINK("https://stackoverflow.com/q/58207245", "58207245")</f>
        <v>58207245</v>
      </c>
      <c r="B1167" s="2" t="s">
        <v>1209</v>
      </c>
      <c r="C1167" s="3"/>
      <c r="D1167" s="3">
        <v>369.0</v>
      </c>
      <c r="E1167" s="2"/>
      <c r="F1167" s="2"/>
      <c r="G1167" s="2"/>
      <c r="H1167" s="2"/>
      <c r="I1167" s="2"/>
      <c r="J1167" s="2"/>
    </row>
    <row r="1168" ht="15.75" customHeight="1">
      <c r="A1168" s="4" t="str">
        <f>HYPERLINK("https://stackoverflow.com/q/48649652", "48649652")</f>
        <v>48649652</v>
      </c>
      <c r="B1168" s="2" t="s">
        <v>1210</v>
      </c>
      <c r="C1168" s="3"/>
      <c r="D1168" s="3">
        <v>368.0</v>
      </c>
      <c r="E1168" s="2"/>
      <c r="F1168" s="2"/>
      <c r="G1168" s="2"/>
      <c r="H1168" s="2"/>
      <c r="I1168" s="2"/>
      <c r="J1168" s="2"/>
    </row>
    <row r="1169" ht="15.75" customHeight="1">
      <c r="A1169" s="4" t="str">
        <f>HYPERLINK("https://stackoverflow.com/q/58072710", "58072710")</f>
        <v>58072710</v>
      </c>
      <c r="B1169" s="2" t="s">
        <v>1211</v>
      </c>
      <c r="C1169" s="3"/>
      <c r="D1169" s="3">
        <v>368.0</v>
      </c>
      <c r="E1169" s="2"/>
      <c r="F1169" s="2"/>
      <c r="G1169" s="2"/>
      <c r="H1169" s="2"/>
      <c r="I1169" s="2"/>
      <c r="J1169" s="2"/>
    </row>
    <row r="1170" ht="15.75" customHeight="1">
      <c r="A1170" s="4" t="str">
        <f>HYPERLINK("https://stackoverflow.com/q/52480985", "52480985")</f>
        <v>52480985</v>
      </c>
      <c r="B1170" s="2" t="s">
        <v>1212</v>
      </c>
      <c r="C1170" s="3"/>
      <c r="D1170" s="3">
        <v>367.0</v>
      </c>
      <c r="E1170" s="2"/>
      <c r="F1170" s="2"/>
      <c r="G1170" s="2"/>
      <c r="H1170" s="2"/>
      <c r="I1170" s="2"/>
      <c r="J1170" s="2"/>
    </row>
    <row r="1171" ht="15.75" customHeight="1">
      <c r="A1171" s="4" t="str">
        <f>HYPERLINK("https://stackoverflow.com/q/17969305", "17969305")</f>
        <v>17969305</v>
      </c>
      <c r="B1171" s="2" t="s">
        <v>1213</v>
      </c>
      <c r="C1171" s="3">
        <v>1.0</v>
      </c>
      <c r="D1171" s="3">
        <v>366.0</v>
      </c>
      <c r="E1171" s="2"/>
      <c r="F1171" s="2"/>
      <c r="G1171" s="2"/>
      <c r="H1171" s="2"/>
      <c r="I1171" s="2"/>
      <c r="J1171" s="2"/>
    </row>
    <row r="1172" ht="15.75" customHeight="1">
      <c r="A1172" s="4" t="str">
        <f>HYPERLINK("https://stackoverflow.com/q/51394376", "51394376")</f>
        <v>51394376</v>
      </c>
      <c r="B1172" s="2" t="s">
        <v>1214</v>
      </c>
      <c r="C1172" s="3">
        <v>1.0</v>
      </c>
      <c r="D1172" s="3">
        <v>366.0</v>
      </c>
      <c r="E1172" s="2"/>
      <c r="F1172" s="2"/>
      <c r="G1172" s="2"/>
      <c r="H1172" s="2"/>
      <c r="I1172" s="2"/>
      <c r="J1172" s="2"/>
    </row>
    <row r="1173" ht="15.75" customHeight="1">
      <c r="A1173" s="4" t="str">
        <f>HYPERLINK("https://stackoverflow.com/q/38699998", "38699998")</f>
        <v>38699998</v>
      </c>
      <c r="B1173" s="2" t="s">
        <v>1215</v>
      </c>
      <c r="C1173" s="3"/>
      <c r="D1173" s="3">
        <v>366.0</v>
      </c>
      <c r="E1173" s="2"/>
      <c r="F1173" s="2"/>
      <c r="G1173" s="2"/>
      <c r="H1173" s="2"/>
      <c r="I1173" s="2"/>
      <c r="J1173" s="2"/>
    </row>
    <row r="1174" ht="15.75" customHeight="1">
      <c r="A1174" s="4" t="str">
        <f>HYPERLINK("https://stackoverflow.com/q/34860991", "34860991")</f>
        <v>34860991</v>
      </c>
      <c r="B1174" s="2" t="s">
        <v>1216</v>
      </c>
      <c r="C1174" s="3"/>
      <c r="D1174" s="3">
        <v>365.0</v>
      </c>
      <c r="E1174" s="2"/>
      <c r="F1174" s="2"/>
      <c r="G1174" s="2"/>
      <c r="H1174" s="2"/>
      <c r="I1174" s="2"/>
      <c r="J1174" s="2"/>
    </row>
    <row r="1175" ht="15.75" customHeight="1">
      <c r="A1175" s="4" t="str">
        <f>HYPERLINK("https://stackoverflow.com/q/55851306", "55851306")</f>
        <v>55851306</v>
      </c>
      <c r="B1175" s="2" t="s">
        <v>1217</v>
      </c>
      <c r="C1175" s="3"/>
      <c r="D1175" s="3">
        <v>365.0</v>
      </c>
      <c r="E1175" s="2"/>
      <c r="F1175" s="2"/>
      <c r="G1175" s="2"/>
      <c r="H1175" s="2"/>
      <c r="I1175" s="2"/>
      <c r="J1175" s="2"/>
    </row>
    <row r="1176" ht="15.75" customHeight="1">
      <c r="A1176" s="4" t="str">
        <f>HYPERLINK("https://stackoverflow.com/q/56300833", "56300833")</f>
        <v>56300833</v>
      </c>
      <c r="B1176" s="2" t="s">
        <v>1218</v>
      </c>
      <c r="C1176" s="3"/>
      <c r="D1176" s="3">
        <v>365.0</v>
      </c>
      <c r="E1176" s="2"/>
      <c r="F1176" s="2"/>
      <c r="G1176" s="2"/>
      <c r="H1176" s="2"/>
      <c r="I1176" s="2"/>
      <c r="J1176" s="2"/>
    </row>
    <row r="1177" ht="15.75" customHeight="1">
      <c r="A1177" s="4" t="str">
        <f>HYPERLINK("https://stackoverflow.com/q/56540608", "56540608")</f>
        <v>56540608</v>
      </c>
      <c r="B1177" s="2" t="s">
        <v>1219</v>
      </c>
      <c r="C1177" s="3"/>
      <c r="D1177" s="3">
        <v>365.0</v>
      </c>
      <c r="E1177" s="2"/>
      <c r="F1177" s="2"/>
      <c r="G1177" s="2"/>
      <c r="H1177" s="2"/>
      <c r="I1177" s="2"/>
      <c r="J1177" s="2"/>
    </row>
    <row r="1178" ht="15.75" customHeight="1">
      <c r="A1178" s="4" t="str">
        <f>HYPERLINK("https://stackoverflow.com/q/40522198", "40522198")</f>
        <v>40522198</v>
      </c>
      <c r="B1178" s="2" t="s">
        <v>1220</v>
      </c>
      <c r="C1178" s="3">
        <v>1.0</v>
      </c>
      <c r="D1178" s="3">
        <v>364.0</v>
      </c>
      <c r="E1178" s="2"/>
      <c r="F1178" s="2"/>
      <c r="G1178" s="2"/>
      <c r="H1178" s="2"/>
      <c r="I1178" s="2"/>
      <c r="J1178" s="2"/>
    </row>
    <row r="1179" ht="15.75" customHeight="1">
      <c r="A1179" s="4" t="str">
        <f>HYPERLINK("https://stackoverflow.com/q/35041549", "35041549")</f>
        <v>35041549</v>
      </c>
      <c r="B1179" s="2" t="s">
        <v>1221</v>
      </c>
      <c r="C1179" s="3"/>
      <c r="D1179" s="3">
        <v>363.0</v>
      </c>
      <c r="E1179" s="2"/>
      <c r="F1179" s="2"/>
      <c r="G1179" s="2"/>
      <c r="H1179" s="2"/>
      <c r="I1179" s="2"/>
      <c r="J1179" s="2"/>
    </row>
    <row r="1180" ht="15.75" customHeight="1">
      <c r="A1180" s="4" t="str">
        <f>HYPERLINK("https://stackoverflow.com/q/51472013", "51472013")</f>
        <v>51472013</v>
      </c>
      <c r="B1180" s="2" t="s">
        <v>1222</v>
      </c>
      <c r="C1180" s="3"/>
      <c r="D1180" s="3">
        <v>363.0</v>
      </c>
      <c r="E1180" s="2"/>
      <c r="F1180" s="2"/>
      <c r="G1180" s="2"/>
      <c r="H1180" s="2"/>
      <c r="I1180" s="2"/>
      <c r="J1180" s="2"/>
    </row>
    <row r="1181" ht="15.75" customHeight="1">
      <c r="A1181" s="4" t="str">
        <f>HYPERLINK("https://stackoverflow.com/q/51836618", "51836618")</f>
        <v>51836618</v>
      </c>
      <c r="B1181" s="2" t="s">
        <v>1223</v>
      </c>
      <c r="C1181" s="3"/>
      <c r="D1181" s="3">
        <v>363.0</v>
      </c>
      <c r="E1181" s="2"/>
      <c r="F1181" s="2"/>
      <c r="G1181" s="2"/>
      <c r="H1181" s="2"/>
      <c r="I1181" s="2"/>
      <c r="J1181" s="2"/>
    </row>
    <row r="1182" ht="15.75" customHeight="1">
      <c r="A1182" s="4" t="str">
        <f>HYPERLINK("https://stackoverflow.com/q/51965019", "51965019")</f>
        <v>51965019</v>
      </c>
      <c r="B1182" s="2" t="s">
        <v>1224</v>
      </c>
      <c r="C1182" s="3"/>
      <c r="D1182" s="3">
        <v>363.0</v>
      </c>
      <c r="E1182" s="2"/>
      <c r="F1182" s="2"/>
      <c r="G1182" s="2"/>
      <c r="H1182" s="2"/>
      <c r="I1182" s="2"/>
      <c r="J1182" s="2"/>
    </row>
    <row r="1183" ht="15.75" customHeight="1">
      <c r="A1183" s="4" t="str">
        <f>HYPERLINK("https://stackoverflow.com/q/53763970", "53763970")</f>
        <v>53763970</v>
      </c>
      <c r="B1183" s="2" t="s">
        <v>1225</v>
      </c>
      <c r="C1183" s="3"/>
      <c r="D1183" s="3">
        <v>363.0</v>
      </c>
      <c r="E1183" s="2"/>
      <c r="F1183" s="2"/>
      <c r="G1183" s="2"/>
      <c r="H1183" s="2"/>
      <c r="I1183" s="2"/>
      <c r="J1183" s="2"/>
    </row>
    <row r="1184" ht="15.75" customHeight="1">
      <c r="A1184" s="4" t="str">
        <f>HYPERLINK("https://stackoverflow.com/q/45224565", "45224565")</f>
        <v>45224565</v>
      </c>
      <c r="B1184" s="2" t="s">
        <v>1226</v>
      </c>
      <c r="C1184" s="3"/>
      <c r="D1184" s="3">
        <v>362.0</v>
      </c>
      <c r="E1184" s="2"/>
      <c r="F1184" s="2"/>
      <c r="G1184" s="2"/>
      <c r="H1184" s="2"/>
      <c r="I1184" s="2"/>
      <c r="J1184" s="2"/>
    </row>
    <row r="1185" ht="15.75" customHeight="1">
      <c r="A1185" s="4" t="str">
        <f>HYPERLINK("https://stackoverflow.com/q/49718975", "49718975")</f>
        <v>49718975</v>
      </c>
      <c r="B1185" s="2" t="s">
        <v>1227</v>
      </c>
      <c r="C1185" s="3"/>
      <c r="D1185" s="3">
        <v>362.0</v>
      </c>
      <c r="E1185" s="2"/>
      <c r="F1185" s="2"/>
      <c r="G1185" s="2"/>
      <c r="H1185" s="2"/>
      <c r="I1185" s="2"/>
      <c r="J1185" s="2"/>
    </row>
    <row r="1186" ht="15.75" customHeight="1">
      <c r="A1186" s="4" t="str">
        <f>HYPERLINK("https://stackoverflow.com/q/52497823", "52497823")</f>
        <v>52497823</v>
      </c>
      <c r="B1186" s="2" t="s">
        <v>1228</v>
      </c>
      <c r="C1186" s="3"/>
      <c r="D1186" s="3">
        <v>362.0</v>
      </c>
      <c r="E1186" s="2"/>
      <c r="F1186" s="2"/>
      <c r="G1186" s="2"/>
      <c r="H1186" s="2"/>
      <c r="I1186" s="2"/>
      <c r="J1186" s="2"/>
    </row>
    <row r="1187" ht="15.75" customHeight="1">
      <c r="A1187" s="4" t="str">
        <f>HYPERLINK("https://stackoverflow.com/q/56789911", "56789911")</f>
        <v>56789911</v>
      </c>
      <c r="B1187" s="2" t="s">
        <v>1229</v>
      </c>
      <c r="C1187" s="3"/>
      <c r="D1187" s="3">
        <v>362.0</v>
      </c>
      <c r="E1187" s="2"/>
      <c r="F1187" s="2"/>
      <c r="G1187" s="2"/>
      <c r="H1187" s="2"/>
      <c r="I1187" s="2"/>
      <c r="J1187" s="2"/>
    </row>
    <row r="1188" ht="15.75" customHeight="1">
      <c r="A1188" s="4" t="str">
        <f>HYPERLINK("https://stackoverflow.com/q/17958629", "17958629")</f>
        <v>17958629</v>
      </c>
      <c r="B1188" s="2" t="s">
        <v>1230</v>
      </c>
      <c r="C1188" s="3"/>
      <c r="D1188" s="3">
        <v>361.0</v>
      </c>
      <c r="E1188" s="2"/>
      <c r="F1188" s="2"/>
      <c r="G1188" s="2"/>
      <c r="H1188" s="2"/>
      <c r="I1188" s="2"/>
      <c r="J1188" s="2"/>
    </row>
    <row r="1189" ht="15.75" customHeight="1">
      <c r="A1189" s="4" t="str">
        <f>HYPERLINK("https://stackoverflow.com/q/47762700", "47762700")</f>
        <v>47762700</v>
      </c>
      <c r="B1189" s="2" t="s">
        <v>1231</v>
      </c>
      <c r="C1189" s="3"/>
      <c r="D1189" s="3">
        <v>359.0</v>
      </c>
      <c r="E1189" s="2" t="s">
        <v>11</v>
      </c>
      <c r="F1189" s="2" t="s">
        <v>44</v>
      </c>
      <c r="G1189" s="2"/>
      <c r="H1189" s="2"/>
      <c r="I1189" s="2"/>
      <c r="J1189" s="2"/>
    </row>
    <row r="1190" ht="15.75" customHeight="1">
      <c r="A1190" s="4" t="str">
        <f>HYPERLINK("https://stackoverflow.com/q/25499141", "25499141")</f>
        <v>25499141</v>
      </c>
      <c r="B1190" s="2" t="s">
        <v>1232</v>
      </c>
      <c r="C1190" s="3"/>
      <c r="D1190" s="3">
        <v>358.0</v>
      </c>
      <c r="E1190" s="2"/>
      <c r="F1190" s="2"/>
      <c r="G1190" s="2"/>
      <c r="H1190" s="2"/>
      <c r="I1190" s="2"/>
      <c r="J1190" s="2"/>
    </row>
    <row r="1191" ht="15.75" customHeight="1">
      <c r="A1191" s="4" t="str">
        <f>HYPERLINK("https://stackoverflow.com/q/56312879", "56312879")</f>
        <v>56312879</v>
      </c>
      <c r="B1191" s="2" t="s">
        <v>1233</v>
      </c>
      <c r="C1191" s="3"/>
      <c r="D1191" s="3">
        <v>358.0</v>
      </c>
      <c r="E1191" s="2"/>
      <c r="F1191" s="2"/>
      <c r="G1191" s="2"/>
      <c r="H1191" s="2"/>
      <c r="I1191" s="2"/>
      <c r="J1191" s="2"/>
    </row>
    <row r="1192" ht="15.75" customHeight="1">
      <c r="A1192" s="4" t="str">
        <f>HYPERLINK("https://stackoverflow.com/q/33282820", "33282820")</f>
        <v>33282820</v>
      </c>
      <c r="B1192" s="2" t="s">
        <v>1234</v>
      </c>
      <c r="C1192" s="3">
        <v>1.0</v>
      </c>
      <c r="D1192" s="3">
        <v>357.0</v>
      </c>
      <c r="E1192" s="2"/>
      <c r="F1192" s="2"/>
      <c r="G1192" s="2"/>
      <c r="H1192" s="2"/>
      <c r="I1192" s="2"/>
      <c r="J1192" s="2"/>
    </row>
    <row r="1193" ht="15.75" customHeight="1">
      <c r="A1193" s="4" t="str">
        <f>HYPERLINK("https://stackoverflow.com/q/49895043", "49895043")</f>
        <v>49895043</v>
      </c>
      <c r="B1193" s="2" t="s">
        <v>1235</v>
      </c>
      <c r="C1193" s="3">
        <v>1.0</v>
      </c>
      <c r="D1193" s="3">
        <v>357.0</v>
      </c>
      <c r="E1193" s="2"/>
      <c r="F1193" s="2"/>
      <c r="G1193" s="2"/>
      <c r="H1193" s="2"/>
      <c r="I1193" s="2"/>
      <c r="J1193" s="2"/>
    </row>
    <row r="1194" ht="15.75" customHeight="1">
      <c r="A1194" s="4" t="str">
        <f>HYPERLINK("https://stackoverflow.com/q/41345102", "41345102")</f>
        <v>41345102</v>
      </c>
      <c r="B1194" s="2" t="s">
        <v>1236</v>
      </c>
      <c r="C1194" s="3"/>
      <c r="D1194" s="3">
        <v>357.0</v>
      </c>
      <c r="E1194" s="2"/>
      <c r="F1194" s="2"/>
      <c r="G1194" s="2"/>
      <c r="H1194" s="2"/>
      <c r="I1194" s="2"/>
      <c r="J1194" s="2"/>
    </row>
    <row r="1195" ht="15.75" customHeight="1">
      <c r="A1195" s="4" t="str">
        <f>HYPERLINK("https://stackoverflow.com/q/52186852", "52186852")</f>
        <v>52186852</v>
      </c>
      <c r="B1195" s="2" t="s">
        <v>1237</v>
      </c>
      <c r="C1195" s="3"/>
      <c r="D1195" s="3">
        <v>357.0</v>
      </c>
      <c r="E1195" s="2"/>
      <c r="F1195" s="2"/>
      <c r="G1195" s="2"/>
      <c r="H1195" s="2"/>
      <c r="I1195" s="2"/>
      <c r="J1195" s="2"/>
    </row>
    <row r="1196" ht="15.75" customHeight="1">
      <c r="A1196" s="4" t="str">
        <f>HYPERLINK("https://stackoverflow.com/q/52325612", "52325612")</f>
        <v>52325612</v>
      </c>
      <c r="B1196" s="2" t="s">
        <v>1238</v>
      </c>
      <c r="C1196" s="3"/>
      <c r="D1196" s="3">
        <v>357.0</v>
      </c>
      <c r="E1196" s="2"/>
      <c r="F1196" s="2"/>
      <c r="G1196" s="2"/>
      <c r="H1196" s="2"/>
      <c r="I1196" s="2"/>
      <c r="J1196" s="2"/>
    </row>
    <row r="1197" ht="15.75" customHeight="1">
      <c r="A1197" s="4" t="str">
        <f>HYPERLINK("https://stackoverflow.com/q/44165995", "44165995")</f>
        <v>44165995</v>
      </c>
      <c r="B1197" s="2" t="s">
        <v>1239</v>
      </c>
      <c r="C1197" s="3"/>
      <c r="D1197" s="3">
        <v>356.0</v>
      </c>
      <c r="E1197" s="2" t="s">
        <v>59</v>
      </c>
      <c r="F1197" s="2" t="s">
        <v>28</v>
      </c>
      <c r="G1197" s="2"/>
      <c r="H1197" s="2"/>
      <c r="I1197" s="2"/>
      <c r="J1197" s="2"/>
    </row>
    <row r="1198" ht="15.75" customHeight="1">
      <c r="A1198" s="4" t="str">
        <f>HYPERLINK("https://stackoverflow.com/q/45565228", "45565228")</f>
        <v>45565228</v>
      </c>
      <c r="B1198" s="2" t="s">
        <v>1240</v>
      </c>
      <c r="C1198" s="3"/>
      <c r="D1198" s="3">
        <v>356.0</v>
      </c>
      <c r="E1198" s="2"/>
      <c r="F1198" s="2"/>
      <c r="G1198" s="2"/>
      <c r="H1198" s="2"/>
      <c r="I1198" s="2"/>
      <c r="J1198" s="2"/>
    </row>
    <row r="1199" ht="15.75" customHeight="1">
      <c r="A1199" s="4" t="str">
        <f>HYPERLINK("https://stackoverflow.com/q/58222198", "58222198")</f>
        <v>58222198</v>
      </c>
      <c r="B1199" s="2" t="s">
        <v>1241</v>
      </c>
      <c r="C1199" s="3"/>
      <c r="D1199" s="3">
        <v>356.0</v>
      </c>
      <c r="E1199" s="2"/>
      <c r="F1199" s="2"/>
      <c r="G1199" s="2"/>
      <c r="H1199" s="2"/>
      <c r="I1199" s="2"/>
      <c r="J1199" s="2"/>
    </row>
    <row r="1200" ht="15.75" customHeight="1">
      <c r="A1200" s="4" t="str">
        <f>HYPERLINK("https://stackoverflow.com/q/58982487", "58982487")</f>
        <v>58982487</v>
      </c>
      <c r="B1200" s="2" t="s">
        <v>1242</v>
      </c>
      <c r="C1200" s="3"/>
      <c r="D1200" s="3">
        <v>356.0</v>
      </c>
      <c r="E1200" s="2"/>
      <c r="F1200" s="2"/>
      <c r="G1200" s="2"/>
      <c r="H1200" s="2"/>
      <c r="I1200" s="2"/>
      <c r="J1200" s="2"/>
    </row>
    <row r="1201" ht="15.75" customHeight="1">
      <c r="A1201" s="4" t="str">
        <f>HYPERLINK("https://stackoverflow.com/q/59640223", "59640223")</f>
        <v>59640223</v>
      </c>
      <c r="B1201" s="2" t="s">
        <v>1243</v>
      </c>
      <c r="C1201" s="3"/>
      <c r="D1201" s="3">
        <v>355.0</v>
      </c>
      <c r="E1201" s="2"/>
      <c r="F1201" s="2"/>
      <c r="G1201" s="2"/>
      <c r="H1201" s="2"/>
      <c r="I1201" s="2"/>
      <c r="J1201" s="2"/>
    </row>
    <row r="1202" ht="15.75" customHeight="1">
      <c r="A1202" s="4" t="str">
        <f>HYPERLINK("https://stackoverflow.com/q/46776955", "46776955")</f>
        <v>46776955</v>
      </c>
      <c r="B1202" s="2" t="s">
        <v>1244</v>
      </c>
      <c r="C1202" s="3">
        <v>2.0</v>
      </c>
      <c r="D1202" s="3">
        <v>354.0</v>
      </c>
      <c r="E1202" s="2" t="s">
        <v>11</v>
      </c>
      <c r="F1202" s="2" t="s">
        <v>30</v>
      </c>
      <c r="G1202" s="2"/>
      <c r="H1202" s="2"/>
      <c r="I1202" s="2"/>
      <c r="J1202" s="2"/>
    </row>
    <row r="1203" ht="15.75" customHeight="1">
      <c r="A1203" s="4" t="str">
        <f>HYPERLINK("https://stackoverflow.com/q/54700894", "54700894")</f>
        <v>54700894</v>
      </c>
      <c r="B1203" s="2" t="s">
        <v>1245</v>
      </c>
      <c r="C1203" s="3"/>
      <c r="D1203" s="3">
        <v>354.0</v>
      </c>
      <c r="E1203" s="2" t="s">
        <v>11</v>
      </c>
      <c r="F1203" s="2" t="s">
        <v>56</v>
      </c>
      <c r="G1203" s="2"/>
      <c r="H1203" s="2"/>
      <c r="I1203" s="2"/>
      <c r="J1203" s="2"/>
    </row>
    <row r="1204" ht="15.75" customHeight="1">
      <c r="A1204" s="4" t="str">
        <f>HYPERLINK("https://stackoverflow.com/q/35476777", "35476777")</f>
        <v>35476777</v>
      </c>
      <c r="B1204" s="2" t="s">
        <v>1246</v>
      </c>
      <c r="C1204" s="3"/>
      <c r="D1204" s="3">
        <v>354.0</v>
      </c>
      <c r="E1204" s="2"/>
      <c r="F1204" s="2"/>
      <c r="G1204" s="2"/>
      <c r="H1204" s="2"/>
      <c r="I1204" s="2"/>
      <c r="J1204" s="2"/>
    </row>
    <row r="1205" ht="15.75" customHeight="1">
      <c r="A1205" s="4" t="str">
        <f>HYPERLINK("https://stackoverflow.com/q/53728623", "53728623")</f>
        <v>53728623</v>
      </c>
      <c r="B1205" s="2" t="s">
        <v>1247</v>
      </c>
      <c r="C1205" s="3"/>
      <c r="D1205" s="3">
        <v>354.0</v>
      </c>
      <c r="E1205" s="2"/>
      <c r="F1205" s="2"/>
      <c r="G1205" s="2"/>
      <c r="H1205" s="2"/>
      <c r="I1205" s="2"/>
      <c r="J1205" s="2"/>
    </row>
    <row r="1206" ht="15.75" customHeight="1">
      <c r="A1206" s="4" t="str">
        <f>HYPERLINK("https://stackoverflow.com/q/56920479", "56920479")</f>
        <v>56920479</v>
      </c>
      <c r="B1206" s="2" t="s">
        <v>1248</v>
      </c>
      <c r="C1206" s="3"/>
      <c r="D1206" s="3">
        <v>354.0</v>
      </c>
      <c r="E1206" s="2"/>
      <c r="F1206" s="2"/>
      <c r="G1206" s="2"/>
      <c r="H1206" s="2"/>
      <c r="I1206" s="2"/>
      <c r="J1206" s="2"/>
    </row>
    <row r="1207" ht="15.75" customHeight="1">
      <c r="A1207" s="4" t="str">
        <f>HYPERLINK("https://stackoverflow.com/q/57034340", "57034340")</f>
        <v>57034340</v>
      </c>
      <c r="B1207" s="2" t="s">
        <v>1249</v>
      </c>
      <c r="C1207" s="3"/>
      <c r="D1207" s="3">
        <v>353.0</v>
      </c>
      <c r="E1207" s="2"/>
      <c r="F1207" s="2"/>
      <c r="G1207" s="2"/>
      <c r="H1207" s="2"/>
      <c r="I1207" s="2"/>
      <c r="J1207" s="2"/>
    </row>
    <row r="1208" ht="15.75" customHeight="1">
      <c r="A1208" s="4" t="str">
        <f>HYPERLINK("https://stackoverflow.com/q/50636935", "50636935")</f>
        <v>50636935</v>
      </c>
      <c r="B1208" s="2" t="s">
        <v>1250</v>
      </c>
      <c r="C1208" s="3"/>
      <c r="D1208" s="3">
        <v>352.0</v>
      </c>
      <c r="E1208" s="2"/>
      <c r="F1208" s="2"/>
      <c r="G1208" s="2"/>
      <c r="H1208" s="2"/>
      <c r="I1208" s="2"/>
      <c r="J1208" s="2"/>
    </row>
    <row r="1209" ht="15.75" customHeight="1">
      <c r="A1209" s="4" t="str">
        <f>HYPERLINK("https://stackoverflow.com/q/59897345", "59897345")</f>
        <v>59897345</v>
      </c>
      <c r="B1209" s="2" t="s">
        <v>1251</v>
      </c>
      <c r="C1209" s="3"/>
      <c r="D1209" s="3">
        <v>352.0</v>
      </c>
      <c r="E1209" s="2"/>
      <c r="F1209" s="2"/>
      <c r="G1209" s="2"/>
      <c r="H1209" s="2"/>
      <c r="I1209" s="2"/>
      <c r="J1209" s="2"/>
    </row>
    <row r="1210" ht="15.75" customHeight="1">
      <c r="A1210" s="4" t="str">
        <f>HYPERLINK("https://stackoverflow.com/q/18270581", "18270581")</f>
        <v>18270581</v>
      </c>
      <c r="B1210" s="2" t="s">
        <v>1252</v>
      </c>
      <c r="C1210" s="3"/>
      <c r="D1210" s="3">
        <v>350.0</v>
      </c>
      <c r="E1210" s="2"/>
      <c r="F1210" s="2"/>
      <c r="G1210" s="2"/>
      <c r="H1210" s="2"/>
      <c r="I1210" s="2"/>
      <c r="J1210" s="2"/>
    </row>
    <row r="1211" ht="15.75" customHeight="1">
      <c r="A1211" s="4" t="str">
        <f>HYPERLINK("https://stackoverflow.com/q/34631941", "34631941")</f>
        <v>34631941</v>
      </c>
      <c r="B1211" s="2" t="s">
        <v>1253</v>
      </c>
      <c r="C1211" s="3"/>
      <c r="D1211" s="3">
        <v>350.0</v>
      </c>
      <c r="E1211" s="2"/>
      <c r="F1211" s="2"/>
      <c r="G1211" s="2"/>
      <c r="H1211" s="2"/>
      <c r="I1211" s="2"/>
      <c r="J1211" s="2"/>
    </row>
    <row r="1212" ht="15.75" customHeight="1">
      <c r="A1212" s="4" t="str">
        <f>HYPERLINK("https://stackoverflow.com/q/36813793", "36813793")</f>
        <v>36813793</v>
      </c>
      <c r="B1212" s="2" t="s">
        <v>1254</v>
      </c>
      <c r="C1212" s="3"/>
      <c r="D1212" s="3">
        <v>350.0</v>
      </c>
      <c r="E1212" s="2"/>
      <c r="F1212" s="2"/>
      <c r="G1212" s="2"/>
      <c r="H1212" s="2"/>
      <c r="I1212" s="2"/>
      <c r="J1212" s="2"/>
    </row>
    <row r="1213" ht="15.75" customHeight="1">
      <c r="A1213" s="4" t="str">
        <f>HYPERLINK("https://stackoverflow.com/q/38568792", "38568792")</f>
        <v>38568792</v>
      </c>
      <c r="B1213" s="2" t="s">
        <v>1255</v>
      </c>
      <c r="C1213" s="3"/>
      <c r="D1213" s="3">
        <v>350.0</v>
      </c>
      <c r="E1213" s="2"/>
      <c r="F1213" s="2"/>
      <c r="G1213" s="2"/>
      <c r="H1213" s="2"/>
      <c r="I1213" s="2"/>
      <c r="J1213" s="2"/>
    </row>
    <row r="1214" ht="15.75" customHeight="1">
      <c r="A1214" s="4" t="str">
        <f>HYPERLINK("https://stackoverflow.com/q/49701465", "49701465")</f>
        <v>49701465</v>
      </c>
      <c r="B1214" s="2" t="s">
        <v>1256</v>
      </c>
      <c r="C1214" s="3"/>
      <c r="D1214" s="3">
        <v>350.0</v>
      </c>
      <c r="E1214" s="2"/>
      <c r="F1214" s="2"/>
      <c r="G1214" s="2"/>
      <c r="H1214" s="2"/>
      <c r="I1214" s="2"/>
      <c r="J1214" s="2"/>
    </row>
    <row r="1215" ht="15.75" customHeight="1">
      <c r="A1215" s="4" t="str">
        <f>HYPERLINK("https://stackoverflow.com/q/49865996", "49865996")</f>
        <v>49865996</v>
      </c>
      <c r="B1215" s="2" t="s">
        <v>1257</v>
      </c>
      <c r="C1215" s="3"/>
      <c r="D1215" s="3">
        <v>350.0</v>
      </c>
      <c r="E1215" s="2"/>
      <c r="F1215" s="2"/>
      <c r="G1215" s="2"/>
      <c r="H1215" s="2"/>
      <c r="I1215" s="2"/>
      <c r="J1215" s="2"/>
    </row>
    <row r="1216" ht="15.75" customHeight="1">
      <c r="A1216" s="4" t="str">
        <f>HYPERLINK("https://stackoverflow.com/q/51973789", "51973789")</f>
        <v>51973789</v>
      </c>
      <c r="B1216" s="2" t="s">
        <v>1258</v>
      </c>
      <c r="C1216" s="3"/>
      <c r="D1216" s="3">
        <v>350.0</v>
      </c>
      <c r="E1216" s="2"/>
      <c r="F1216" s="2"/>
      <c r="G1216" s="2"/>
      <c r="H1216" s="2"/>
      <c r="I1216" s="2"/>
      <c r="J1216" s="2"/>
    </row>
    <row r="1217" ht="15.75" customHeight="1">
      <c r="A1217" s="4" t="str">
        <f>HYPERLINK("https://stackoverflow.com/q/54171073", "54171073")</f>
        <v>54171073</v>
      </c>
      <c r="B1217" s="2" t="s">
        <v>1259</v>
      </c>
      <c r="C1217" s="3"/>
      <c r="D1217" s="3">
        <v>350.0</v>
      </c>
      <c r="E1217" s="2"/>
      <c r="F1217" s="2"/>
      <c r="G1217" s="2"/>
      <c r="H1217" s="2"/>
      <c r="I1217" s="2"/>
      <c r="J1217" s="2"/>
    </row>
    <row r="1218" ht="15.75" customHeight="1">
      <c r="A1218" s="4" t="str">
        <f>HYPERLINK("https://stackoverflow.com/q/43401120", "43401120")</f>
        <v>43401120</v>
      </c>
      <c r="B1218" s="2" t="s">
        <v>1260</v>
      </c>
      <c r="C1218" s="3"/>
      <c r="D1218" s="3">
        <v>348.0</v>
      </c>
      <c r="E1218" s="2" t="s">
        <v>11</v>
      </c>
      <c r="F1218" s="2" t="s">
        <v>30</v>
      </c>
      <c r="G1218" s="2"/>
      <c r="H1218" s="2"/>
      <c r="I1218" s="2"/>
      <c r="J1218" s="2"/>
    </row>
    <row r="1219" ht="15.75" customHeight="1">
      <c r="A1219" s="4" t="str">
        <f>HYPERLINK("https://stackoverflow.com/q/11306027", "11306027")</f>
        <v>11306027</v>
      </c>
      <c r="B1219" s="2" t="s">
        <v>1261</v>
      </c>
      <c r="C1219" s="3"/>
      <c r="D1219" s="3">
        <v>348.0</v>
      </c>
      <c r="E1219" s="2"/>
      <c r="F1219" s="2"/>
      <c r="G1219" s="2"/>
      <c r="H1219" s="2"/>
      <c r="I1219" s="2"/>
      <c r="J1219" s="2"/>
    </row>
    <row r="1220" ht="15.75" customHeight="1">
      <c r="A1220" s="4" t="str">
        <f>HYPERLINK("https://stackoverflow.com/q/53257076", "53257076")</f>
        <v>53257076</v>
      </c>
      <c r="B1220" s="2" t="s">
        <v>1262</v>
      </c>
      <c r="C1220" s="3"/>
      <c r="D1220" s="3">
        <v>348.0</v>
      </c>
      <c r="E1220" s="2"/>
      <c r="F1220" s="2"/>
      <c r="G1220" s="2"/>
      <c r="H1220" s="2"/>
      <c r="I1220" s="2"/>
      <c r="J1220" s="2"/>
    </row>
    <row r="1221" ht="15.75" customHeight="1">
      <c r="A1221" s="4" t="str">
        <f>HYPERLINK("https://stackoverflow.com/q/38556074", "38556074")</f>
        <v>38556074</v>
      </c>
      <c r="B1221" s="2" t="s">
        <v>1263</v>
      </c>
      <c r="C1221" s="3">
        <v>1.0</v>
      </c>
      <c r="D1221" s="3">
        <v>347.0</v>
      </c>
      <c r="E1221" s="2"/>
      <c r="F1221" s="2"/>
      <c r="G1221" s="2"/>
      <c r="H1221" s="2"/>
      <c r="I1221" s="2"/>
      <c r="J1221" s="2"/>
    </row>
    <row r="1222" ht="15.75" customHeight="1">
      <c r="A1222" s="4" t="str">
        <f>HYPERLINK("https://stackoverflow.com/q/17926933", "17926933")</f>
        <v>17926933</v>
      </c>
      <c r="B1222" s="2" t="s">
        <v>1264</v>
      </c>
      <c r="C1222" s="3"/>
      <c r="D1222" s="3">
        <v>347.0</v>
      </c>
      <c r="E1222" s="2"/>
      <c r="F1222" s="2"/>
      <c r="G1222" s="2"/>
      <c r="H1222" s="2"/>
      <c r="I1222" s="2"/>
      <c r="J1222" s="2"/>
    </row>
    <row r="1223" ht="15.75" customHeight="1">
      <c r="A1223" s="4" t="str">
        <f>HYPERLINK("https://stackoverflow.com/q/45507738", "45507738")</f>
        <v>45507738</v>
      </c>
      <c r="B1223" s="2" t="s">
        <v>1265</v>
      </c>
      <c r="C1223" s="3"/>
      <c r="D1223" s="3">
        <v>347.0</v>
      </c>
      <c r="E1223" s="2"/>
      <c r="F1223" s="2"/>
      <c r="G1223" s="2"/>
      <c r="H1223" s="2"/>
      <c r="I1223" s="2"/>
      <c r="J1223" s="2"/>
    </row>
    <row r="1224" ht="15.75" customHeight="1">
      <c r="A1224" s="4" t="str">
        <f>HYPERLINK("https://stackoverflow.com/q/49738995", "49738995")</f>
        <v>49738995</v>
      </c>
      <c r="B1224" s="2" t="s">
        <v>1266</v>
      </c>
      <c r="C1224" s="3"/>
      <c r="D1224" s="3">
        <v>347.0</v>
      </c>
      <c r="E1224" s="2"/>
      <c r="F1224" s="2"/>
      <c r="G1224" s="2"/>
      <c r="H1224" s="2"/>
      <c r="I1224" s="2"/>
      <c r="J1224" s="2"/>
    </row>
    <row r="1225" ht="15.75" customHeight="1">
      <c r="A1225" s="4" t="str">
        <f>HYPERLINK("https://stackoverflow.com/q/52518944", "52518944")</f>
        <v>52518944</v>
      </c>
      <c r="B1225" s="2" t="s">
        <v>1267</v>
      </c>
      <c r="C1225" s="3"/>
      <c r="D1225" s="3">
        <v>347.0</v>
      </c>
      <c r="E1225" s="2"/>
      <c r="F1225" s="2"/>
      <c r="G1225" s="2"/>
      <c r="H1225" s="2"/>
      <c r="I1225" s="2"/>
      <c r="J1225" s="2"/>
    </row>
    <row r="1226" ht="15.75" customHeight="1">
      <c r="A1226" s="4" t="str">
        <f>HYPERLINK("https://stackoverflow.com/q/55729338", "55729338")</f>
        <v>55729338</v>
      </c>
      <c r="B1226" s="2" t="s">
        <v>1268</v>
      </c>
      <c r="C1226" s="3"/>
      <c r="D1226" s="3">
        <v>347.0</v>
      </c>
      <c r="E1226" s="2"/>
      <c r="F1226" s="2"/>
      <c r="G1226" s="2"/>
      <c r="H1226" s="2"/>
      <c r="I1226" s="2"/>
      <c r="J1226" s="2"/>
    </row>
    <row r="1227" ht="15.75" customHeight="1">
      <c r="A1227" s="4" t="str">
        <f>HYPERLINK("https://stackoverflow.com/q/57293526", "57293526")</f>
        <v>57293526</v>
      </c>
      <c r="B1227" s="2" t="s">
        <v>1269</v>
      </c>
      <c r="C1227" s="3"/>
      <c r="D1227" s="3">
        <v>347.0</v>
      </c>
      <c r="E1227" s="2"/>
      <c r="F1227" s="2"/>
      <c r="G1227" s="2"/>
      <c r="H1227" s="2"/>
      <c r="I1227" s="2"/>
      <c r="J1227" s="2"/>
    </row>
    <row r="1228" ht="15.75" customHeight="1">
      <c r="A1228" s="4" t="str">
        <f>HYPERLINK("https://stackoverflow.com/q/53503894", "53503894")</f>
        <v>53503894</v>
      </c>
      <c r="B1228" s="2" t="s">
        <v>1270</v>
      </c>
      <c r="C1228" s="3"/>
      <c r="D1228" s="3">
        <v>346.0</v>
      </c>
      <c r="E1228" s="2"/>
      <c r="F1228" s="2"/>
      <c r="G1228" s="2"/>
      <c r="H1228" s="2"/>
      <c r="I1228" s="2"/>
      <c r="J1228" s="2"/>
    </row>
    <row r="1229" ht="15.75" customHeight="1">
      <c r="A1229" s="4" t="str">
        <f>HYPERLINK("https://stackoverflow.com/q/49544718", "49544718")</f>
        <v>49544718</v>
      </c>
      <c r="B1229" s="2" t="s">
        <v>1271</v>
      </c>
      <c r="C1229" s="3"/>
      <c r="D1229" s="3">
        <v>345.0</v>
      </c>
      <c r="E1229" s="2"/>
      <c r="F1229" s="2"/>
      <c r="G1229" s="2"/>
      <c r="H1229" s="2"/>
      <c r="I1229" s="2"/>
      <c r="J1229" s="2"/>
    </row>
    <row r="1230" ht="15.75" customHeight="1">
      <c r="A1230" s="4" t="str">
        <f>HYPERLINK("https://stackoverflow.com/q/50285253", "50285253")</f>
        <v>50285253</v>
      </c>
      <c r="B1230" s="2" t="s">
        <v>1272</v>
      </c>
      <c r="C1230" s="3"/>
      <c r="D1230" s="3">
        <v>345.0</v>
      </c>
      <c r="E1230" s="2"/>
      <c r="F1230" s="2"/>
      <c r="G1230" s="2"/>
      <c r="H1230" s="2"/>
      <c r="I1230" s="2"/>
      <c r="J1230" s="2"/>
    </row>
    <row r="1231" ht="15.75" customHeight="1">
      <c r="A1231" s="4" t="str">
        <f>HYPERLINK("https://stackoverflow.com/q/9588748", "9588748")</f>
        <v>9588748</v>
      </c>
      <c r="B1231" s="2" t="s">
        <v>1273</v>
      </c>
      <c r="C1231" s="3"/>
      <c r="D1231" s="3">
        <v>345.0</v>
      </c>
      <c r="E1231" s="2"/>
      <c r="F1231" s="2"/>
      <c r="G1231" s="2"/>
      <c r="H1231" s="2"/>
      <c r="I1231" s="2"/>
      <c r="J1231" s="2"/>
    </row>
    <row r="1232" ht="15.75" customHeight="1">
      <c r="A1232" s="4" t="str">
        <f>HYPERLINK("https://stackoverflow.com/q/47317006", "47317006")</f>
        <v>47317006</v>
      </c>
      <c r="B1232" s="2" t="s">
        <v>1274</v>
      </c>
      <c r="C1232" s="3">
        <v>1.0</v>
      </c>
      <c r="D1232" s="3">
        <v>343.0</v>
      </c>
      <c r="E1232" s="2" t="s">
        <v>11</v>
      </c>
      <c r="F1232" s="2" t="s">
        <v>14</v>
      </c>
      <c r="G1232" s="2"/>
      <c r="H1232" s="2"/>
      <c r="I1232" s="2"/>
      <c r="J1232" s="2"/>
    </row>
    <row r="1233" ht="15.75" customHeight="1">
      <c r="A1233" s="4" t="str">
        <f>HYPERLINK("https://stackoverflow.com/q/52840363", "52840363")</f>
        <v>52840363</v>
      </c>
      <c r="B1233" s="2" t="s">
        <v>1275</v>
      </c>
      <c r="C1233" s="3"/>
      <c r="D1233" s="3">
        <v>343.0</v>
      </c>
      <c r="E1233" s="2"/>
      <c r="F1233" s="2"/>
      <c r="G1233" s="2"/>
      <c r="H1233" s="2"/>
      <c r="I1233" s="2"/>
      <c r="J1233" s="2"/>
    </row>
    <row r="1234" ht="15.75" customHeight="1">
      <c r="A1234" s="4" t="str">
        <f>HYPERLINK("https://stackoverflow.com/q/51289884", "51289884")</f>
        <v>51289884</v>
      </c>
      <c r="B1234" s="2" t="s">
        <v>1276</v>
      </c>
      <c r="C1234" s="3"/>
      <c r="D1234" s="3">
        <v>342.0</v>
      </c>
      <c r="E1234" s="2"/>
      <c r="F1234" s="2"/>
      <c r="G1234" s="2"/>
      <c r="H1234" s="2"/>
      <c r="I1234" s="2"/>
      <c r="J1234" s="2"/>
    </row>
    <row r="1235" ht="15.75" customHeight="1">
      <c r="A1235" s="4" t="str">
        <f>HYPERLINK("https://stackoverflow.com/q/15224492", "15224492")</f>
        <v>15224492</v>
      </c>
      <c r="B1235" s="2" t="s">
        <v>1277</v>
      </c>
      <c r="C1235" s="3">
        <v>1.0</v>
      </c>
      <c r="D1235" s="3">
        <v>341.0</v>
      </c>
      <c r="E1235" s="2"/>
      <c r="F1235" s="2"/>
      <c r="G1235" s="2"/>
      <c r="H1235" s="2"/>
      <c r="I1235" s="2"/>
      <c r="J1235" s="2"/>
    </row>
    <row r="1236" ht="15.75" customHeight="1">
      <c r="A1236" s="4" t="str">
        <f>HYPERLINK("https://stackoverflow.com/q/48869897", "48869897")</f>
        <v>48869897</v>
      </c>
      <c r="B1236" s="2" t="s">
        <v>1278</v>
      </c>
      <c r="C1236" s="3"/>
      <c r="D1236" s="3">
        <v>341.0</v>
      </c>
      <c r="E1236" s="2"/>
      <c r="F1236" s="2"/>
      <c r="G1236" s="2"/>
      <c r="H1236" s="2"/>
      <c r="I1236" s="2"/>
      <c r="J1236" s="2"/>
    </row>
    <row r="1237" ht="15.75" customHeight="1">
      <c r="A1237" s="4" t="str">
        <f>HYPERLINK("https://stackoverflow.com/q/51869363", "51869363")</f>
        <v>51869363</v>
      </c>
      <c r="B1237" s="2" t="s">
        <v>1279</v>
      </c>
      <c r="C1237" s="3"/>
      <c r="D1237" s="3">
        <v>341.0</v>
      </c>
      <c r="E1237" s="2"/>
      <c r="F1237" s="2"/>
      <c r="G1237" s="2"/>
      <c r="H1237" s="2"/>
      <c r="I1237" s="2"/>
      <c r="J1237" s="2"/>
    </row>
    <row r="1238" ht="15.75" customHeight="1">
      <c r="A1238" s="4" t="str">
        <f>HYPERLINK("https://stackoverflow.com/q/52083694", "52083694")</f>
        <v>52083694</v>
      </c>
      <c r="B1238" s="2" t="s">
        <v>1280</v>
      </c>
      <c r="C1238" s="3"/>
      <c r="D1238" s="3">
        <v>341.0</v>
      </c>
      <c r="E1238" s="2"/>
      <c r="F1238" s="2"/>
      <c r="G1238" s="2"/>
      <c r="H1238" s="2"/>
      <c r="I1238" s="2"/>
      <c r="J1238" s="2"/>
    </row>
    <row r="1239" ht="15.75" customHeight="1">
      <c r="A1239" s="4" t="str">
        <f>HYPERLINK("https://stackoverflow.com/q/50932709", "50932709")</f>
        <v>50932709</v>
      </c>
      <c r="B1239" s="2" t="s">
        <v>1281</v>
      </c>
      <c r="C1239" s="3"/>
      <c r="D1239" s="3">
        <v>340.0</v>
      </c>
      <c r="E1239" s="2"/>
      <c r="F1239" s="2"/>
      <c r="G1239" s="2"/>
      <c r="H1239" s="2"/>
      <c r="I1239" s="2"/>
      <c r="J1239" s="2"/>
    </row>
    <row r="1240" ht="15.75" customHeight="1">
      <c r="A1240" s="4" t="str">
        <f>HYPERLINK("https://stackoverflow.com/q/51186512", "51186512")</f>
        <v>51186512</v>
      </c>
      <c r="B1240" s="2" t="s">
        <v>1282</v>
      </c>
      <c r="C1240" s="3"/>
      <c r="D1240" s="3">
        <v>340.0</v>
      </c>
      <c r="E1240" s="2"/>
      <c r="F1240" s="2"/>
      <c r="G1240" s="2"/>
      <c r="H1240" s="2"/>
      <c r="I1240" s="2"/>
      <c r="J1240" s="2"/>
    </row>
    <row r="1241" ht="15.75" customHeight="1">
      <c r="A1241" s="4" t="str">
        <f>HYPERLINK("https://stackoverflow.com/q/53290593", "53290593")</f>
        <v>53290593</v>
      </c>
      <c r="B1241" s="2" t="s">
        <v>1283</v>
      </c>
      <c r="C1241" s="3"/>
      <c r="D1241" s="3">
        <v>340.0</v>
      </c>
      <c r="E1241" s="2"/>
      <c r="F1241" s="2"/>
      <c r="G1241" s="2"/>
      <c r="H1241" s="2"/>
      <c r="I1241" s="2"/>
      <c r="J1241" s="2"/>
    </row>
    <row r="1242" ht="15.75" customHeight="1">
      <c r="A1242" s="4" t="str">
        <f>HYPERLINK("https://stackoverflow.com/q/56990210", "56990210")</f>
        <v>56990210</v>
      </c>
      <c r="B1242" s="2" t="s">
        <v>1284</v>
      </c>
      <c r="C1242" s="3"/>
      <c r="D1242" s="3">
        <v>340.0</v>
      </c>
      <c r="E1242" s="2"/>
      <c r="F1242" s="2"/>
      <c r="G1242" s="2"/>
      <c r="H1242" s="2"/>
      <c r="I1242" s="2"/>
      <c r="J1242" s="2"/>
    </row>
    <row r="1243" ht="15.75" customHeight="1">
      <c r="A1243" s="4" t="str">
        <f>HYPERLINK("https://stackoverflow.com/q/46061585", "46061585")</f>
        <v>46061585</v>
      </c>
      <c r="B1243" s="2" t="s">
        <v>1285</v>
      </c>
      <c r="C1243" s="3">
        <v>1.0</v>
      </c>
      <c r="D1243" s="3">
        <v>339.0</v>
      </c>
      <c r="E1243" s="2"/>
      <c r="F1243" s="2"/>
      <c r="G1243" s="2"/>
      <c r="H1243" s="2"/>
      <c r="I1243" s="2"/>
      <c r="J1243" s="2"/>
    </row>
    <row r="1244" ht="15.75" customHeight="1">
      <c r="A1244" s="4" t="str">
        <f>HYPERLINK("https://stackoverflow.com/q/38264023", "38264023")</f>
        <v>38264023</v>
      </c>
      <c r="B1244" s="2" t="s">
        <v>1286</v>
      </c>
      <c r="C1244" s="3">
        <v>0.0</v>
      </c>
      <c r="D1244" s="3">
        <v>339.0</v>
      </c>
      <c r="E1244" s="2"/>
      <c r="F1244" s="2"/>
      <c r="G1244" s="2"/>
      <c r="H1244" s="2"/>
      <c r="I1244" s="2"/>
      <c r="J1244" s="2"/>
    </row>
    <row r="1245" ht="15.75" customHeight="1">
      <c r="A1245" s="4" t="str">
        <f>HYPERLINK("https://stackoverflow.com/q/43849977", "43849977")</f>
        <v>43849977</v>
      </c>
      <c r="B1245" s="2" t="s">
        <v>1287</v>
      </c>
      <c r="C1245" s="3"/>
      <c r="D1245" s="3">
        <v>339.0</v>
      </c>
      <c r="E1245" s="2" t="s">
        <v>11</v>
      </c>
      <c r="F1245" s="2" t="s">
        <v>67</v>
      </c>
      <c r="G1245" s="2"/>
      <c r="H1245" s="2"/>
      <c r="I1245" s="2"/>
      <c r="J1245" s="2"/>
    </row>
    <row r="1246" ht="15.75" customHeight="1">
      <c r="A1246" s="4" t="str">
        <f>HYPERLINK("https://stackoverflow.com/q/36028847", "36028847")</f>
        <v>36028847</v>
      </c>
      <c r="B1246" s="2" t="s">
        <v>1288</v>
      </c>
      <c r="C1246" s="3"/>
      <c r="D1246" s="3">
        <v>339.0</v>
      </c>
      <c r="E1246" s="2"/>
      <c r="F1246" s="2"/>
      <c r="G1246" s="2"/>
      <c r="H1246" s="2"/>
      <c r="I1246" s="2"/>
      <c r="J1246" s="2"/>
    </row>
    <row r="1247" ht="15.75" customHeight="1">
      <c r="A1247" s="4" t="str">
        <f>HYPERLINK("https://stackoverflow.com/q/40064989", "40064989")</f>
        <v>40064989</v>
      </c>
      <c r="B1247" s="2" t="s">
        <v>1289</v>
      </c>
      <c r="C1247" s="3"/>
      <c r="D1247" s="3">
        <v>339.0</v>
      </c>
      <c r="E1247" s="2"/>
      <c r="F1247" s="2"/>
      <c r="G1247" s="2"/>
      <c r="H1247" s="2"/>
      <c r="I1247" s="2"/>
      <c r="J1247" s="2"/>
    </row>
    <row r="1248" ht="15.75" customHeight="1">
      <c r="A1248" s="4" t="str">
        <f>HYPERLINK("https://stackoverflow.com/q/52187749", "52187749")</f>
        <v>52187749</v>
      </c>
      <c r="B1248" s="2" t="s">
        <v>1290</v>
      </c>
      <c r="C1248" s="3"/>
      <c r="D1248" s="3">
        <v>339.0</v>
      </c>
      <c r="E1248" s="2"/>
      <c r="F1248" s="2"/>
      <c r="G1248" s="2"/>
      <c r="H1248" s="2"/>
      <c r="I1248" s="2"/>
      <c r="J1248" s="2"/>
    </row>
    <row r="1249" ht="15.75" customHeight="1">
      <c r="A1249" s="4" t="str">
        <f>HYPERLINK("https://stackoverflow.com/q/52904363", "52904363")</f>
        <v>52904363</v>
      </c>
      <c r="B1249" s="2" t="s">
        <v>1291</v>
      </c>
      <c r="C1249" s="3"/>
      <c r="D1249" s="3">
        <v>339.0</v>
      </c>
      <c r="E1249" s="2"/>
      <c r="F1249" s="2"/>
      <c r="G1249" s="2"/>
      <c r="H1249" s="2"/>
      <c r="I1249" s="2"/>
      <c r="J1249" s="2"/>
    </row>
    <row r="1250" ht="15.75" customHeight="1">
      <c r="A1250" s="4" t="str">
        <f>HYPERLINK("https://stackoverflow.com/q/47013133", "47013133")</f>
        <v>47013133</v>
      </c>
      <c r="B1250" s="2" t="s">
        <v>1292</v>
      </c>
      <c r="C1250" s="3"/>
      <c r="D1250" s="3">
        <v>338.0</v>
      </c>
      <c r="E1250" s="9" t="s">
        <v>11</v>
      </c>
      <c r="F1250" s="2" t="s">
        <v>18</v>
      </c>
      <c r="G1250" s="2"/>
      <c r="H1250" s="2"/>
      <c r="I1250" s="2"/>
      <c r="J1250" s="2"/>
    </row>
    <row r="1251" ht="15.75" customHeight="1">
      <c r="A1251" s="4" t="str">
        <f>HYPERLINK("https://stackoverflow.com/q/48105880", "48105880")</f>
        <v>48105880</v>
      </c>
      <c r="B1251" s="2" t="s">
        <v>1293</v>
      </c>
      <c r="C1251" s="3"/>
      <c r="D1251" s="3">
        <v>338.0</v>
      </c>
      <c r="E1251" s="9" t="s">
        <v>11</v>
      </c>
      <c r="F1251" s="2" t="s">
        <v>18</v>
      </c>
      <c r="G1251" s="2"/>
      <c r="H1251" s="2"/>
      <c r="I1251" s="2"/>
      <c r="J1251" s="2"/>
    </row>
    <row r="1252" ht="15.75" customHeight="1">
      <c r="A1252" s="4" t="str">
        <f>HYPERLINK("https://stackoverflow.com/q/51431318", "51431318")</f>
        <v>51431318</v>
      </c>
      <c r="B1252" s="2" t="s">
        <v>1294</v>
      </c>
      <c r="C1252" s="3"/>
      <c r="D1252" s="3">
        <v>338.0</v>
      </c>
      <c r="E1252" s="2"/>
      <c r="F1252" s="2"/>
      <c r="G1252" s="2"/>
      <c r="H1252" s="2"/>
      <c r="I1252" s="2"/>
      <c r="J1252" s="2"/>
    </row>
    <row r="1253" ht="15.75" customHeight="1">
      <c r="A1253" s="4" t="str">
        <f>HYPERLINK("https://stackoverflow.com/q/52098303", "52098303")</f>
        <v>52098303</v>
      </c>
      <c r="B1253" s="2" t="s">
        <v>1295</v>
      </c>
      <c r="C1253" s="3"/>
      <c r="D1253" s="3">
        <v>338.0</v>
      </c>
      <c r="E1253" s="2"/>
      <c r="F1253" s="2"/>
      <c r="G1253" s="2"/>
      <c r="H1253" s="2"/>
      <c r="I1253" s="2"/>
      <c r="J1253" s="2"/>
    </row>
    <row r="1254" ht="15.75" customHeight="1">
      <c r="A1254" s="4" t="str">
        <f>HYPERLINK("https://stackoverflow.com/q/47731051", "47731051")</f>
        <v>47731051</v>
      </c>
      <c r="B1254" s="2" t="s">
        <v>1296</v>
      </c>
      <c r="C1254" s="3"/>
      <c r="D1254" s="3">
        <v>337.0</v>
      </c>
      <c r="E1254" s="2" t="s">
        <v>11</v>
      </c>
      <c r="F1254" s="2" t="s">
        <v>12</v>
      </c>
      <c r="G1254" s="2"/>
      <c r="H1254" s="2"/>
      <c r="I1254" s="2"/>
      <c r="J1254" s="2"/>
    </row>
    <row r="1255" ht="15.75" customHeight="1">
      <c r="A1255" s="4" t="str">
        <f>HYPERLINK("https://stackoverflow.com/q/48775484", "48775484")</f>
        <v>48775484</v>
      </c>
      <c r="B1255" s="2" t="s">
        <v>1297</v>
      </c>
      <c r="C1255" s="3"/>
      <c r="D1255" s="3">
        <v>337.0</v>
      </c>
      <c r="E1255" s="2"/>
      <c r="F1255" s="2"/>
      <c r="G1255" s="2"/>
      <c r="H1255" s="2"/>
      <c r="I1255" s="2"/>
      <c r="J1255" s="2"/>
    </row>
    <row r="1256" ht="15.75" customHeight="1">
      <c r="A1256" s="4" t="str">
        <f>HYPERLINK("https://stackoverflow.com/q/52441440", "52441440")</f>
        <v>52441440</v>
      </c>
      <c r="B1256" s="2" t="s">
        <v>1298</v>
      </c>
      <c r="C1256" s="3"/>
      <c r="D1256" s="3">
        <v>337.0</v>
      </c>
      <c r="E1256" s="2"/>
      <c r="F1256" s="2"/>
      <c r="G1256" s="2"/>
      <c r="H1256" s="2"/>
      <c r="I1256" s="2"/>
      <c r="J1256" s="2"/>
    </row>
    <row r="1257" ht="15.75" customHeight="1">
      <c r="A1257" s="4" t="str">
        <f>HYPERLINK("https://stackoverflow.com/q/22861584", "22861584")</f>
        <v>22861584</v>
      </c>
      <c r="B1257" s="2" t="s">
        <v>1299</v>
      </c>
      <c r="C1257" s="3"/>
      <c r="D1257" s="3">
        <v>336.0</v>
      </c>
      <c r="E1257" s="2"/>
      <c r="F1257" s="2"/>
      <c r="G1257" s="2"/>
      <c r="H1257" s="2"/>
      <c r="I1257" s="2"/>
      <c r="J1257" s="2"/>
    </row>
    <row r="1258" ht="15.75" customHeight="1">
      <c r="A1258" s="4" t="str">
        <f>HYPERLINK("https://stackoverflow.com/q/48291882", "48291882")</f>
        <v>48291882</v>
      </c>
      <c r="B1258" s="2" t="s">
        <v>1300</v>
      </c>
      <c r="C1258" s="3"/>
      <c r="D1258" s="3">
        <v>336.0</v>
      </c>
      <c r="E1258" s="2"/>
      <c r="F1258" s="2"/>
      <c r="G1258" s="2"/>
      <c r="H1258" s="2"/>
      <c r="I1258" s="2"/>
      <c r="J1258" s="2"/>
    </row>
    <row r="1259" ht="15.75" customHeight="1">
      <c r="A1259" s="4" t="str">
        <f>HYPERLINK("https://stackoverflow.com/q/49986234", "49986234")</f>
        <v>49986234</v>
      </c>
      <c r="B1259" s="2" t="s">
        <v>1301</v>
      </c>
      <c r="C1259" s="3"/>
      <c r="D1259" s="3">
        <v>336.0</v>
      </c>
      <c r="E1259" s="2"/>
      <c r="F1259" s="2"/>
      <c r="G1259" s="2"/>
      <c r="H1259" s="2"/>
      <c r="I1259" s="2"/>
      <c r="J1259" s="2"/>
    </row>
    <row r="1260" ht="15.75" customHeight="1">
      <c r="A1260" s="4" t="str">
        <f>HYPERLINK("https://stackoverflow.com/q/59394560", "59394560")</f>
        <v>59394560</v>
      </c>
      <c r="B1260" s="2" t="s">
        <v>1302</v>
      </c>
      <c r="C1260" s="3"/>
      <c r="D1260" s="3">
        <v>336.0</v>
      </c>
      <c r="E1260" s="2"/>
      <c r="F1260" s="2"/>
      <c r="G1260" s="2"/>
      <c r="H1260" s="2"/>
      <c r="I1260" s="2"/>
      <c r="J1260" s="2"/>
    </row>
    <row r="1261" ht="15.75" customHeight="1">
      <c r="A1261" s="4" t="str">
        <f>HYPERLINK("https://stackoverflow.com/q/41886336", "41886336")</f>
        <v>41886336</v>
      </c>
      <c r="B1261" s="2" t="s">
        <v>1303</v>
      </c>
      <c r="C1261" s="3">
        <v>1.0</v>
      </c>
      <c r="D1261" s="3">
        <v>335.0</v>
      </c>
      <c r="E1261" s="2" t="s">
        <v>11</v>
      </c>
      <c r="F1261" s="2" t="s">
        <v>44</v>
      </c>
      <c r="G1261" s="2" t="s">
        <v>14</v>
      </c>
      <c r="H1261" s="2"/>
      <c r="I1261" s="2"/>
      <c r="J1261" s="2"/>
    </row>
    <row r="1262" ht="15.75" customHeight="1">
      <c r="A1262" s="4" t="str">
        <f>HYPERLINK("https://stackoverflow.com/q/47174045", "47174045")</f>
        <v>47174045</v>
      </c>
      <c r="B1262" s="2" t="s">
        <v>1304</v>
      </c>
      <c r="C1262" s="3"/>
      <c r="D1262" s="3">
        <v>335.0</v>
      </c>
      <c r="E1262" s="2" t="s">
        <v>11</v>
      </c>
      <c r="F1262" s="2" t="s">
        <v>25</v>
      </c>
      <c r="G1262" s="2"/>
      <c r="H1262" s="2"/>
      <c r="I1262" s="2"/>
      <c r="J1262" s="2"/>
    </row>
    <row r="1263" ht="15.75" customHeight="1">
      <c r="A1263" s="4" t="str">
        <f>HYPERLINK("https://stackoverflow.com/q/17313690", "17313690")</f>
        <v>17313690</v>
      </c>
      <c r="B1263" s="2" t="s">
        <v>1305</v>
      </c>
      <c r="C1263" s="3"/>
      <c r="D1263" s="3">
        <v>335.0</v>
      </c>
      <c r="E1263" s="2"/>
      <c r="F1263" s="2"/>
      <c r="G1263" s="2"/>
      <c r="H1263" s="2"/>
      <c r="I1263" s="2"/>
      <c r="J1263" s="2"/>
    </row>
    <row r="1264" ht="15.75" customHeight="1">
      <c r="A1264" s="4" t="str">
        <f>HYPERLINK("https://stackoverflow.com/q/44694808", "44694808")</f>
        <v>44694808</v>
      </c>
      <c r="B1264" s="2" t="s">
        <v>1306</v>
      </c>
      <c r="C1264" s="3"/>
      <c r="D1264" s="3">
        <v>335.0</v>
      </c>
      <c r="E1264" s="2"/>
      <c r="F1264" s="2"/>
      <c r="G1264" s="2"/>
      <c r="H1264" s="2"/>
      <c r="I1264" s="2"/>
      <c r="J1264" s="2"/>
    </row>
    <row r="1265" ht="15.75" customHeight="1">
      <c r="A1265" s="4" t="str">
        <f>HYPERLINK("https://stackoverflow.com/q/48914817", "48914817")</f>
        <v>48914817</v>
      </c>
      <c r="B1265" s="2" t="s">
        <v>1307</v>
      </c>
      <c r="C1265" s="3">
        <v>1.0</v>
      </c>
      <c r="D1265" s="3">
        <v>334.0</v>
      </c>
      <c r="E1265" s="2"/>
      <c r="F1265" s="2"/>
      <c r="G1265" s="2"/>
      <c r="H1265" s="2"/>
      <c r="I1265" s="2"/>
      <c r="J1265" s="2"/>
    </row>
    <row r="1266" ht="15.75" customHeight="1">
      <c r="A1266" s="4" t="str">
        <f>HYPERLINK("https://stackoverflow.com/q/47820964", "47820964")</f>
        <v>47820964</v>
      </c>
      <c r="B1266" s="2" t="s">
        <v>1308</v>
      </c>
      <c r="C1266" s="3"/>
      <c r="D1266" s="3">
        <v>334.0</v>
      </c>
      <c r="E1266" s="2"/>
      <c r="F1266" s="2"/>
      <c r="G1266" s="2"/>
      <c r="H1266" s="2"/>
      <c r="I1266" s="2"/>
      <c r="J1266" s="2"/>
    </row>
    <row r="1267" ht="15.75" customHeight="1">
      <c r="A1267" s="4" t="str">
        <f>HYPERLINK("https://stackoverflow.com/q/57197790", "57197790")</f>
        <v>57197790</v>
      </c>
      <c r="B1267" s="2" t="s">
        <v>1309</v>
      </c>
      <c r="C1267" s="3">
        <v>1.0</v>
      </c>
      <c r="D1267" s="3">
        <v>333.0</v>
      </c>
      <c r="E1267" s="2"/>
      <c r="F1267" s="2"/>
      <c r="G1267" s="2"/>
      <c r="H1267" s="2"/>
      <c r="I1267" s="2"/>
      <c r="J1267" s="2"/>
    </row>
    <row r="1268" ht="15.75" customHeight="1">
      <c r="A1268" s="4" t="str">
        <f>HYPERLINK("https://stackoverflow.com/q/54468229", "54468229")</f>
        <v>54468229</v>
      </c>
      <c r="B1268" s="2" t="s">
        <v>1310</v>
      </c>
      <c r="C1268" s="3"/>
      <c r="D1268" s="3">
        <v>333.0</v>
      </c>
      <c r="E1268" s="2" t="s">
        <v>11</v>
      </c>
      <c r="F1268" s="2" t="s">
        <v>14</v>
      </c>
      <c r="G1268" s="2"/>
      <c r="H1268" s="2"/>
      <c r="I1268" s="2"/>
      <c r="J1268" s="2"/>
    </row>
    <row r="1269" ht="15.75" customHeight="1">
      <c r="A1269" s="4" t="str">
        <f>HYPERLINK("https://stackoverflow.com/q/38342186", "38342186")</f>
        <v>38342186</v>
      </c>
      <c r="B1269" s="2" t="s">
        <v>1311</v>
      </c>
      <c r="C1269" s="3"/>
      <c r="D1269" s="3">
        <v>333.0</v>
      </c>
      <c r="E1269" s="2"/>
      <c r="F1269" s="2"/>
      <c r="G1269" s="2"/>
      <c r="H1269" s="2"/>
      <c r="I1269" s="2"/>
      <c r="J1269" s="2"/>
    </row>
    <row r="1270" ht="15.75" customHeight="1">
      <c r="A1270" s="4" t="str">
        <f>HYPERLINK("https://stackoverflow.com/q/58036007", "58036007")</f>
        <v>58036007</v>
      </c>
      <c r="B1270" s="2" t="s">
        <v>1312</v>
      </c>
      <c r="C1270" s="3"/>
      <c r="D1270" s="3">
        <v>333.0</v>
      </c>
      <c r="E1270" s="2"/>
      <c r="F1270" s="2"/>
      <c r="G1270" s="2"/>
      <c r="H1270" s="2"/>
      <c r="I1270" s="2"/>
      <c r="J1270" s="2"/>
    </row>
    <row r="1271" ht="15.75" customHeight="1">
      <c r="A1271" s="4" t="str">
        <f>HYPERLINK("https://stackoverflow.com/q/40797686", "40797686")</f>
        <v>40797686</v>
      </c>
      <c r="B1271" s="2" t="s">
        <v>1313</v>
      </c>
      <c r="C1271" s="3"/>
      <c r="D1271" s="3">
        <v>332.0</v>
      </c>
      <c r="E1271" s="2"/>
      <c r="F1271" s="2"/>
      <c r="G1271" s="2"/>
      <c r="H1271" s="2"/>
      <c r="I1271" s="2"/>
      <c r="J1271" s="2"/>
    </row>
    <row r="1272" ht="15.75" customHeight="1">
      <c r="A1272" s="4" t="str">
        <f>HYPERLINK("https://stackoverflow.com/q/49715967", "49715967")</f>
        <v>49715967</v>
      </c>
      <c r="B1272" s="2" t="s">
        <v>1314</v>
      </c>
      <c r="C1272" s="3"/>
      <c r="D1272" s="3">
        <v>332.0</v>
      </c>
      <c r="E1272" s="2"/>
      <c r="F1272" s="2"/>
      <c r="G1272" s="2"/>
      <c r="H1272" s="2"/>
      <c r="I1272" s="2"/>
      <c r="J1272" s="2"/>
    </row>
    <row r="1273" ht="15.75" customHeight="1">
      <c r="A1273" s="4" t="str">
        <f>HYPERLINK("https://stackoverflow.com/q/50701731", "50701731")</f>
        <v>50701731</v>
      </c>
      <c r="B1273" s="2" t="s">
        <v>1315</v>
      </c>
      <c r="C1273" s="3"/>
      <c r="D1273" s="3">
        <v>332.0</v>
      </c>
      <c r="E1273" s="2"/>
      <c r="F1273" s="2"/>
      <c r="G1273" s="2"/>
      <c r="H1273" s="2"/>
      <c r="I1273" s="2"/>
      <c r="J1273" s="2"/>
    </row>
    <row r="1274" ht="15.75" customHeight="1">
      <c r="A1274" s="4" t="str">
        <f>HYPERLINK("https://stackoverflow.com/q/50846243", "50846243")</f>
        <v>50846243</v>
      </c>
      <c r="B1274" s="2" t="s">
        <v>1316</v>
      </c>
      <c r="C1274" s="3"/>
      <c r="D1274" s="3">
        <v>332.0</v>
      </c>
      <c r="E1274" s="2"/>
      <c r="F1274" s="2"/>
      <c r="G1274" s="2"/>
      <c r="H1274" s="2"/>
      <c r="I1274" s="2"/>
      <c r="J1274" s="2"/>
    </row>
    <row r="1275" ht="15.75" customHeight="1">
      <c r="A1275" s="4" t="str">
        <f>HYPERLINK("https://stackoverflow.com/q/2377082", "2377082")</f>
        <v>2377082</v>
      </c>
      <c r="B1275" s="2" t="s">
        <v>1317</v>
      </c>
      <c r="C1275" s="3"/>
      <c r="D1275" s="3">
        <v>331.0</v>
      </c>
      <c r="E1275" s="2" t="s">
        <v>11</v>
      </c>
      <c r="F1275" s="2" t="s">
        <v>35</v>
      </c>
      <c r="G1275" s="2"/>
      <c r="H1275" s="2"/>
      <c r="I1275" s="2"/>
      <c r="J1275" s="2"/>
    </row>
    <row r="1276" ht="15.75" customHeight="1">
      <c r="A1276" s="4" t="str">
        <f>HYPERLINK("https://stackoverflow.com/q/14475459", "14475459")</f>
        <v>14475459</v>
      </c>
      <c r="B1276" s="2" t="s">
        <v>1318</v>
      </c>
      <c r="C1276" s="3"/>
      <c r="D1276" s="3">
        <v>331.0</v>
      </c>
      <c r="E1276" s="2"/>
      <c r="F1276" s="2"/>
      <c r="G1276" s="2"/>
      <c r="H1276" s="2"/>
      <c r="I1276" s="2"/>
      <c r="J1276" s="2"/>
    </row>
    <row r="1277" ht="15.75" customHeight="1">
      <c r="A1277" s="4" t="str">
        <f>HYPERLINK("https://stackoverflow.com/q/24617605", "24617605")</f>
        <v>24617605</v>
      </c>
      <c r="B1277" s="2" t="s">
        <v>1319</v>
      </c>
      <c r="C1277" s="3"/>
      <c r="D1277" s="3">
        <v>331.0</v>
      </c>
      <c r="E1277" s="2"/>
      <c r="F1277" s="2"/>
      <c r="G1277" s="2"/>
      <c r="H1277" s="2"/>
      <c r="I1277" s="2"/>
      <c r="J1277" s="2"/>
    </row>
    <row r="1278" ht="15.75" customHeight="1">
      <c r="A1278" s="4" t="str">
        <f>HYPERLINK("https://stackoverflow.com/q/44634946", "44634946")</f>
        <v>44634946</v>
      </c>
      <c r="B1278" s="2" t="s">
        <v>1320</v>
      </c>
      <c r="C1278" s="3"/>
      <c r="D1278" s="3">
        <v>331.0</v>
      </c>
      <c r="E1278" s="2"/>
      <c r="F1278" s="2"/>
      <c r="G1278" s="2"/>
      <c r="H1278" s="2"/>
      <c r="I1278" s="2"/>
      <c r="J1278" s="2"/>
    </row>
    <row r="1279" ht="15.75" customHeight="1">
      <c r="A1279" s="4" t="str">
        <f>HYPERLINK("https://stackoverflow.com/q/50829992", "50829992")</f>
        <v>50829992</v>
      </c>
      <c r="B1279" s="2" t="s">
        <v>1321</v>
      </c>
      <c r="C1279" s="3">
        <v>1.0</v>
      </c>
      <c r="D1279" s="3">
        <v>330.0</v>
      </c>
      <c r="E1279" s="2"/>
      <c r="F1279" s="2"/>
      <c r="G1279" s="2"/>
      <c r="H1279" s="2"/>
      <c r="I1279" s="2"/>
      <c r="J1279" s="2"/>
    </row>
    <row r="1280" ht="15.75" customHeight="1">
      <c r="A1280" s="4" t="str">
        <f>HYPERLINK("https://stackoverflow.com/q/51324328", "51324328")</f>
        <v>51324328</v>
      </c>
      <c r="B1280" s="2" t="s">
        <v>1322</v>
      </c>
      <c r="C1280" s="3"/>
      <c r="D1280" s="3">
        <v>330.0</v>
      </c>
      <c r="E1280" s="2" t="s">
        <v>11</v>
      </c>
      <c r="F1280" s="2" t="s">
        <v>44</v>
      </c>
      <c r="G1280" s="2"/>
      <c r="H1280" s="2"/>
      <c r="I1280" s="2"/>
      <c r="J1280" s="2"/>
    </row>
    <row r="1281" ht="15.75" customHeight="1">
      <c r="A1281" s="4" t="str">
        <f>HYPERLINK("https://stackoverflow.com/q/359717", "359717")</f>
        <v>359717</v>
      </c>
      <c r="B1281" s="2" t="s">
        <v>1323</v>
      </c>
      <c r="C1281" s="3">
        <v>1.0</v>
      </c>
      <c r="D1281" s="3">
        <v>329.0</v>
      </c>
      <c r="E1281" s="2" t="s">
        <v>20</v>
      </c>
      <c r="F1281" s="2" t="s">
        <v>21</v>
      </c>
      <c r="G1281" s="2" t="s">
        <v>25</v>
      </c>
      <c r="H1281" s="2"/>
      <c r="I1281" s="2"/>
      <c r="J1281" s="2"/>
    </row>
    <row r="1282" ht="15.75" customHeight="1">
      <c r="A1282" s="4" t="str">
        <f>HYPERLINK("https://stackoverflow.com/q/44102892", "44102892")</f>
        <v>44102892</v>
      </c>
      <c r="B1282" s="2" t="s">
        <v>1324</v>
      </c>
      <c r="C1282" s="3">
        <v>0.0</v>
      </c>
      <c r="D1282" s="3">
        <v>329.0</v>
      </c>
      <c r="E1282" s="2" t="s">
        <v>11</v>
      </c>
      <c r="F1282" s="2" t="s">
        <v>35</v>
      </c>
      <c r="G1282" s="2"/>
      <c r="H1282" s="2"/>
      <c r="I1282" s="2"/>
      <c r="J1282" s="2"/>
    </row>
    <row r="1283" ht="15.75" customHeight="1">
      <c r="A1283" s="4" t="str">
        <f>HYPERLINK("https://stackoverflow.com/q/48383905", "48383905")</f>
        <v>48383905</v>
      </c>
      <c r="B1283" s="2" t="s">
        <v>1325</v>
      </c>
      <c r="C1283" s="3">
        <v>1.0</v>
      </c>
      <c r="D1283" s="3">
        <v>328.0</v>
      </c>
      <c r="E1283" s="2"/>
      <c r="F1283" s="2"/>
      <c r="G1283" s="2"/>
      <c r="H1283" s="2"/>
      <c r="I1283" s="2"/>
      <c r="J1283" s="2"/>
    </row>
    <row r="1284" ht="15.75" customHeight="1">
      <c r="A1284" s="4" t="str">
        <f>HYPERLINK("https://stackoverflow.com/q/51230134", "51230134")</f>
        <v>51230134</v>
      </c>
      <c r="B1284" s="2" t="s">
        <v>1326</v>
      </c>
      <c r="C1284" s="3"/>
      <c r="D1284" s="3">
        <v>328.0</v>
      </c>
      <c r="E1284" s="2"/>
      <c r="F1284" s="2"/>
      <c r="G1284" s="2"/>
      <c r="H1284" s="2"/>
      <c r="I1284" s="2"/>
      <c r="J1284" s="2"/>
    </row>
    <row r="1285" ht="15.75" customHeight="1">
      <c r="A1285" s="4" t="str">
        <f>HYPERLINK("https://stackoverflow.com/q/36936830", "36936830")</f>
        <v>36936830</v>
      </c>
      <c r="B1285" s="2" t="s">
        <v>1327</v>
      </c>
      <c r="C1285" s="3">
        <v>1.0</v>
      </c>
      <c r="D1285" s="3">
        <v>327.0</v>
      </c>
      <c r="E1285" s="2"/>
      <c r="F1285" s="2"/>
      <c r="G1285" s="2"/>
      <c r="H1285" s="2"/>
      <c r="I1285" s="2"/>
      <c r="J1285" s="2"/>
    </row>
    <row r="1286" ht="15.75" customHeight="1">
      <c r="A1286" s="4" t="str">
        <f>HYPERLINK("https://stackoverflow.com/q/46921029", "46921029")</f>
        <v>46921029</v>
      </c>
      <c r="B1286" s="2" t="s">
        <v>1328</v>
      </c>
      <c r="C1286" s="3"/>
      <c r="D1286" s="3">
        <v>327.0</v>
      </c>
      <c r="E1286" s="9" t="s">
        <v>11</v>
      </c>
      <c r="F1286" s="2" t="s">
        <v>16</v>
      </c>
      <c r="G1286" s="2"/>
      <c r="H1286" s="2"/>
      <c r="I1286" s="2"/>
      <c r="J1286" s="2"/>
    </row>
    <row r="1287" ht="15.75" customHeight="1">
      <c r="A1287" s="4" t="str">
        <f>HYPERLINK("https://stackoverflow.com/q/44590497", "44590497")</f>
        <v>44590497</v>
      </c>
      <c r="B1287" s="2" t="s">
        <v>1329</v>
      </c>
      <c r="C1287" s="3"/>
      <c r="D1287" s="3">
        <v>327.0</v>
      </c>
      <c r="E1287" s="2"/>
      <c r="F1287" s="2"/>
      <c r="G1287" s="2"/>
      <c r="H1287" s="2"/>
      <c r="I1287" s="2"/>
      <c r="J1287" s="2"/>
    </row>
    <row r="1288" ht="15.75" customHeight="1">
      <c r="A1288" s="4" t="str">
        <f>HYPERLINK("https://stackoverflow.com/q/41755842", "41755842")</f>
        <v>41755842</v>
      </c>
      <c r="B1288" s="2" t="s">
        <v>1330</v>
      </c>
      <c r="C1288" s="3"/>
      <c r="D1288" s="3">
        <v>326.0</v>
      </c>
      <c r="E1288" s="2" t="s">
        <v>11</v>
      </c>
      <c r="F1288" s="2" t="s">
        <v>30</v>
      </c>
      <c r="G1288" s="2"/>
      <c r="H1288" s="2"/>
      <c r="I1288" s="2"/>
      <c r="J1288" s="2"/>
    </row>
    <row r="1289" ht="15.75" customHeight="1">
      <c r="A1289" s="4" t="str">
        <f>HYPERLINK("https://stackoverflow.com/q/18102800", "18102800")</f>
        <v>18102800</v>
      </c>
      <c r="B1289" s="2" t="s">
        <v>1331</v>
      </c>
      <c r="C1289" s="3"/>
      <c r="D1289" s="3">
        <v>326.0</v>
      </c>
      <c r="E1289" s="2"/>
      <c r="F1289" s="2"/>
      <c r="G1289" s="2"/>
      <c r="H1289" s="2"/>
      <c r="I1289" s="2"/>
      <c r="J1289" s="2"/>
    </row>
    <row r="1290" ht="15.75" customHeight="1">
      <c r="A1290" s="4" t="str">
        <f>HYPERLINK("https://stackoverflow.com/q/58542085", "58542085")</f>
        <v>58542085</v>
      </c>
      <c r="B1290" s="2" t="s">
        <v>1332</v>
      </c>
      <c r="C1290" s="3"/>
      <c r="D1290" s="3">
        <v>326.0</v>
      </c>
      <c r="E1290" s="2"/>
      <c r="F1290" s="2"/>
      <c r="G1290" s="2"/>
      <c r="H1290" s="2"/>
      <c r="I1290" s="2"/>
      <c r="J1290" s="2"/>
    </row>
    <row r="1291" ht="15.75" customHeight="1">
      <c r="A1291" s="4" t="str">
        <f>HYPERLINK("https://stackoverflow.com/q/43008145", "43008145")</f>
        <v>43008145</v>
      </c>
      <c r="B1291" s="2" t="s">
        <v>1333</v>
      </c>
      <c r="C1291" s="3"/>
      <c r="D1291" s="3">
        <v>325.0</v>
      </c>
      <c r="E1291" s="2" t="s">
        <v>11</v>
      </c>
      <c r="F1291" s="2" t="s">
        <v>21</v>
      </c>
      <c r="G1291" s="2"/>
      <c r="H1291" s="2"/>
      <c r="I1291" s="2"/>
      <c r="J1291" s="2"/>
    </row>
    <row r="1292" ht="15.75" customHeight="1">
      <c r="A1292" s="4" t="str">
        <f>HYPERLINK("https://stackoverflow.com/q/46038130", "46038130")</f>
        <v>46038130</v>
      </c>
      <c r="B1292" s="2" t="s">
        <v>1334</v>
      </c>
      <c r="C1292" s="3"/>
      <c r="D1292" s="3">
        <v>325.0</v>
      </c>
      <c r="E1292" s="2"/>
      <c r="F1292" s="2"/>
      <c r="G1292" s="2"/>
      <c r="H1292" s="2"/>
      <c r="I1292" s="2"/>
      <c r="J1292" s="2"/>
    </row>
    <row r="1293" ht="15.75" customHeight="1">
      <c r="A1293" s="4" t="str">
        <f>HYPERLINK("https://stackoverflow.com/q/48641569", "48641569")</f>
        <v>48641569</v>
      </c>
      <c r="B1293" s="2" t="s">
        <v>1335</v>
      </c>
      <c r="C1293" s="3"/>
      <c r="D1293" s="3">
        <v>325.0</v>
      </c>
      <c r="E1293" s="2"/>
      <c r="F1293" s="2"/>
      <c r="G1293" s="2"/>
      <c r="H1293" s="2"/>
      <c r="I1293" s="2"/>
      <c r="J1293" s="2"/>
    </row>
    <row r="1294" ht="15.75" customHeight="1">
      <c r="A1294" s="4" t="str">
        <f>HYPERLINK("https://stackoverflow.com/q/50506366", "50506366")</f>
        <v>50506366</v>
      </c>
      <c r="B1294" s="2" t="s">
        <v>1336</v>
      </c>
      <c r="C1294" s="3"/>
      <c r="D1294" s="3">
        <v>325.0</v>
      </c>
      <c r="E1294" s="2"/>
      <c r="F1294" s="2"/>
      <c r="G1294" s="2"/>
      <c r="H1294" s="2"/>
      <c r="I1294" s="2"/>
      <c r="J1294" s="2"/>
    </row>
    <row r="1295" ht="15.75" customHeight="1">
      <c r="A1295" s="4" t="str">
        <f>HYPERLINK("https://stackoverflow.com/q/50197317", "50197317")</f>
        <v>50197317</v>
      </c>
      <c r="B1295" s="2" t="s">
        <v>1337</v>
      </c>
      <c r="C1295" s="3"/>
      <c r="D1295" s="3">
        <v>324.0</v>
      </c>
      <c r="E1295" s="2"/>
      <c r="F1295" s="2"/>
      <c r="G1295" s="2"/>
      <c r="H1295" s="2"/>
      <c r="I1295" s="2"/>
      <c r="J1295" s="2"/>
    </row>
    <row r="1296" ht="15.75" customHeight="1">
      <c r="A1296" s="4" t="str">
        <f>HYPERLINK("https://stackoverflow.com/q/42227249", "42227249")</f>
        <v>42227249</v>
      </c>
      <c r="B1296" s="2" t="s">
        <v>1338</v>
      </c>
      <c r="C1296" s="3"/>
      <c r="D1296" s="3">
        <v>323.0</v>
      </c>
      <c r="E1296" s="9" t="s">
        <v>11</v>
      </c>
      <c r="F1296" s="2" t="s">
        <v>18</v>
      </c>
      <c r="G1296" s="2"/>
      <c r="H1296" s="2"/>
      <c r="I1296" s="2"/>
      <c r="J1296" s="2"/>
    </row>
    <row r="1297" ht="15.75" customHeight="1">
      <c r="A1297" s="4" t="str">
        <f>HYPERLINK("https://stackoverflow.com/q/32466898", "32466898")</f>
        <v>32466898</v>
      </c>
      <c r="B1297" s="2" t="s">
        <v>1339</v>
      </c>
      <c r="C1297" s="3"/>
      <c r="D1297" s="3">
        <v>323.0</v>
      </c>
      <c r="E1297" s="2"/>
      <c r="F1297" s="2"/>
      <c r="G1297" s="2"/>
      <c r="H1297" s="2"/>
      <c r="I1297" s="2"/>
      <c r="J1297" s="2"/>
    </row>
    <row r="1298" ht="15.75" customHeight="1">
      <c r="A1298" s="4" t="str">
        <f>HYPERLINK("https://stackoverflow.com/q/58521055", "58521055")</f>
        <v>58521055</v>
      </c>
      <c r="B1298" s="2" t="s">
        <v>1340</v>
      </c>
      <c r="C1298" s="3">
        <v>2.0</v>
      </c>
      <c r="D1298" s="3">
        <v>322.0</v>
      </c>
      <c r="E1298" s="2"/>
      <c r="F1298" s="2"/>
      <c r="G1298" s="2"/>
      <c r="H1298" s="2"/>
      <c r="I1298" s="2"/>
      <c r="J1298" s="2"/>
    </row>
    <row r="1299" ht="15.75" customHeight="1">
      <c r="A1299" s="4" t="str">
        <f>HYPERLINK("https://stackoverflow.com/q/37001598", "37001598")</f>
        <v>37001598</v>
      </c>
      <c r="B1299" s="2" t="s">
        <v>1341</v>
      </c>
      <c r="C1299" s="3"/>
      <c r="D1299" s="3">
        <v>322.0</v>
      </c>
      <c r="E1299" s="2"/>
      <c r="F1299" s="2"/>
      <c r="G1299" s="2"/>
      <c r="H1299" s="2"/>
      <c r="I1299" s="2"/>
      <c r="J1299" s="2"/>
    </row>
    <row r="1300" ht="15.75" customHeight="1">
      <c r="A1300" s="4" t="str">
        <f>HYPERLINK("https://stackoverflow.com/q/50611776", "50611776")</f>
        <v>50611776</v>
      </c>
      <c r="B1300" s="2" t="s">
        <v>1342</v>
      </c>
      <c r="C1300" s="3"/>
      <c r="D1300" s="3">
        <v>322.0</v>
      </c>
      <c r="E1300" s="2"/>
      <c r="F1300" s="2"/>
      <c r="G1300" s="2"/>
      <c r="H1300" s="2"/>
      <c r="I1300" s="2"/>
      <c r="J1300" s="2"/>
    </row>
    <row r="1301" ht="15.75" customHeight="1">
      <c r="A1301" s="4" t="str">
        <f>HYPERLINK("https://stackoverflow.com/q/58701030", "58701030")</f>
        <v>58701030</v>
      </c>
      <c r="B1301" s="2" t="s">
        <v>1343</v>
      </c>
      <c r="C1301" s="3"/>
      <c r="D1301" s="3">
        <v>322.0</v>
      </c>
      <c r="E1301" s="2"/>
      <c r="F1301" s="2"/>
      <c r="G1301" s="2"/>
      <c r="H1301" s="2"/>
      <c r="I1301" s="2"/>
      <c r="J1301" s="2"/>
    </row>
    <row r="1302" ht="15.75" customHeight="1">
      <c r="A1302" s="4" t="str">
        <f>HYPERLINK("https://stackoverflow.com/q/59557099", "59557099")</f>
        <v>59557099</v>
      </c>
      <c r="B1302" s="2" t="s">
        <v>1344</v>
      </c>
      <c r="C1302" s="3"/>
      <c r="D1302" s="3">
        <v>322.0</v>
      </c>
      <c r="E1302" s="2"/>
      <c r="F1302" s="2"/>
      <c r="G1302" s="2"/>
      <c r="H1302" s="2"/>
      <c r="I1302" s="2"/>
      <c r="J1302" s="2"/>
    </row>
    <row r="1303" ht="15.75" customHeight="1">
      <c r="A1303" s="4" t="str">
        <f>HYPERLINK("https://stackoverflow.com/q/55217961", "55217961")</f>
        <v>55217961</v>
      </c>
      <c r="B1303" s="2" t="s">
        <v>1345</v>
      </c>
      <c r="C1303" s="3"/>
      <c r="D1303" s="3">
        <v>321.0</v>
      </c>
      <c r="E1303" s="2" t="s">
        <v>11</v>
      </c>
      <c r="F1303" s="2" t="s">
        <v>12</v>
      </c>
      <c r="G1303" s="2"/>
      <c r="H1303" s="2"/>
      <c r="I1303" s="2"/>
      <c r="J1303" s="2"/>
    </row>
    <row r="1304" ht="15.75" customHeight="1">
      <c r="A1304" s="4" t="str">
        <f>HYPERLINK("https://stackoverflow.com/q/24365142", "24365142")</f>
        <v>24365142</v>
      </c>
      <c r="B1304" s="2" t="s">
        <v>1346</v>
      </c>
      <c r="C1304" s="3"/>
      <c r="D1304" s="3">
        <v>320.0</v>
      </c>
      <c r="E1304" s="2"/>
      <c r="F1304" s="2"/>
      <c r="G1304" s="2"/>
      <c r="H1304" s="2"/>
      <c r="I1304" s="2"/>
      <c r="J1304" s="2"/>
    </row>
    <row r="1305" ht="15.75" customHeight="1">
      <c r="A1305" s="4" t="str">
        <f>HYPERLINK("https://stackoverflow.com/q/45101901", "45101901")</f>
        <v>45101901</v>
      </c>
      <c r="B1305" s="2" t="s">
        <v>1347</v>
      </c>
      <c r="C1305" s="3"/>
      <c r="D1305" s="3">
        <v>320.0</v>
      </c>
      <c r="E1305" s="2"/>
      <c r="F1305" s="2"/>
      <c r="G1305" s="2"/>
      <c r="H1305" s="2"/>
      <c r="I1305" s="2"/>
      <c r="J1305" s="2"/>
    </row>
    <row r="1306" ht="15.75" customHeight="1">
      <c r="A1306" s="4" t="str">
        <f>HYPERLINK("https://stackoverflow.com/q/45709701", "45709701")</f>
        <v>45709701</v>
      </c>
      <c r="B1306" s="2" t="s">
        <v>1348</v>
      </c>
      <c r="C1306" s="3"/>
      <c r="D1306" s="3">
        <v>320.0</v>
      </c>
      <c r="E1306" s="2"/>
      <c r="F1306" s="2"/>
      <c r="G1306" s="2"/>
      <c r="H1306" s="2"/>
      <c r="I1306" s="2"/>
      <c r="J1306" s="2"/>
    </row>
    <row r="1307" ht="15.75" customHeight="1">
      <c r="A1307" s="4" t="str">
        <f>HYPERLINK("https://stackoverflow.com/q/51779833", "51779833")</f>
        <v>51779833</v>
      </c>
      <c r="B1307" s="2" t="s">
        <v>1349</v>
      </c>
      <c r="C1307" s="3"/>
      <c r="D1307" s="3">
        <v>320.0</v>
      </c>
      <c r="E1307" s="2"/>
      <c r="F1307" s="2"/>
      <c r="G1307" s="2"/>
      <c r="H1307" s="2"/>
      <c r="I1307" s="2"/>
      <c r="J1307" s="2"/>
    </row>
    <row r="1308" ht="15.75" customHeight="1">
      <c r="A1308" s="4" t="str">
        <f>HYPERLINK("https://stackoverflow.com/q/51364441", "51364441")</f>
        <v>51364441</v>
      </c>
      <c r="B1308" s="2" t="s">
        <v>1350</v>
      </c>
      <c r="C1308" s="3"/>
      <c r="D1308" s="3">
        <v>318.0</v>
      </c>
      <c r="E1308" s="9" t="s">
        <v>11</v>
      </c>
      <c r="F1308" s="2" t="s">
        <v>16</v>
      </c>
      <c r="G1308" s="2"/>
      <c r="H1308" s="2"/>
      <c r="I1308" s="2"/>
      <c r="J1308" s="2"/>
    </row>
    <row r="1309" ht="15.75" customHeight="1">
      <c r="A1309" s="4" t="str">
        <f>HYPERLINK("https://stackoverflow.com/q/54548422", "54548422")</f>
        <v>54548422</v>
      </c>
      <c r="B1309" s="2" t="s">
        <v>1351</v>
      </c>
      <c r="C1309" s="3"/>
      <c r="D1309" s="3">
        <v>318.0</v>
      </c>
      <c r="E1309" s="2" t="s">
        <v>11</v>
      </c>
      <c r="F1309" s="2" t="s">
        <v>35</v>
      </c>
      <c r="G1309" s="2"/>
      <c r="H1309" s="2"/>
      <c r="I1309" s="2"/>
      <c r="J1309" s="2"/>
    </row>
    <row r="1310" ht="15.75" customHeight="1">
      <c r="A1310" s="4" t="str">
        <f>HYPERLINK("https://stackoverflow.com/q/56654096", "56654096")</f>
        <v>56654096</v>
      </c>
      <c r="B1310" s="2" t="s">
        <v>1352</v>
      </c>
      <c r="C1310" s="3"/>
      <c r="D1310" s="3">
        <v>317.0</v>
      </c>
      <c r="E1310" s="2"/>
      <c r="F1310" s="2"/>
      <c r="G1310" s="2"/>
      <c r="H1310" s="2"/>
      <c r="I1310" s="2"/>
      <c r="J1310" s="2"/>
    </row>
    <row r="1311" ht="15.75" customHeight="1">
      <c r="A1311" s="4" t="str">
        <f>HYPERLINK("https://stackoverflow.com/q/38532528", "38532528")</f>
        <v>38532528</v>
      </c>
      <c r="B1311" s="2" t="s">
        <v>1353</v>
      </c>
      <c r="C1311" s="3">
        <v>1.0</v>
      </c>
      <c r="D1311" s="3">
        <v>316.0</v>
      </c>
      <c r="E1311" s="2"/>
      <c r="F1311" s="2"/>
      <c r="G1311" s="2"/>
      <c r="H1311" s="2"/>
      <c r="I1311" s="2"/>
      <c r="J1311" s="2"/>
    </row>
    <row r="1312" ht="15.75" customHeight="1">
      <c r="A1312" s="4" t="str">
        <f>HYPERLINK("https://stackoverflow.com/q/30531307", "30531307")</f>
        <v>30531307</v>
      </c>
      <c r="B1312" s="2" t="s">
        <v>1354</v>
      </c>
      <c r="C1312" s="3"/>
      <c r="D1312" s="3">
        <v>316.0</v>
      </c>
      <c r="E1312" s="2"/>
      <c r="F1312" s="2"/>
      <c r="G1312" s="2"/>
      <c r="H1312" s="2"/>
      <c r="I1312" s="2"/>
      <c r="J1312" s="2"/>
    </row>
    <row r="1313" ht="15.75" customHeight="1">
      <c r="A1313" s="4" t="str">
        <f>HYPERLINK("https://stackoverflow.com/q/32833023", "32833023")</f>
        <v>32833023</v>
      </c>
      <c r="B1313" s="2" t="s">
        <v>1355</v>
      </c>
      <c r="C1313" s="3"/>
      <c r="D1313" s="3">
        <v>316.0</v>
      </c>
      <c r="E1313" s="2"/>
      <c r="F1313" s="2"/>
      <c r="G1313" s="2"/>
      <c r="H1313" s="2"/>
      <c r="I1313" s="2"/>
      <c r="J1313" s="2"/>
    </row>
    <row r="1314" ht="15.75" customHeight="1">
      <c r="A1314" s="4" t="str">
        <f>HYPERLINK("https://stackoverflow.com/q/36766698", "36766698")</f>
        <v>36766698</v>
      </c>
      <c r="B1314" s="2" t="s">
        <v>1356</v>
      </c>
      <c r="C1314" s="3"/>
      <c r="D1314" s="3">
        <v>316.0</v>
      </c>
      <c r="E1314" s="2"/>
      <c r="F1314" s="2"/>
      <c r="G1314" s="2"/>
      <c r="H1314" s="2"/>
      <c r="I1314" s="2"/>
      <c r="J1314" s="2"/>
    </row>
    <row r="1315" ht="15.75" customHeight="1">
      <c r="A1315" s="4" t="str">
        <f>HYPERLINK("https://stackoverflow.com/q/56741525", "56741525")</f>
        <v>56741525</v>
      </c>
      <c r="B1315" s="2" t="s">
        <v>1357</v>
      </c>
      <c r="C1315" s="3"/>
      <c r="D1315" s="3">
        <v>316.0</v>
      </c>
      <c r="E1315" s="2"/>
      <c r="F1315" s="2"/>
      <c r="G1315" s="2"/>
      <c r="H1315" s="2"/>
      <c r="I1315" s="2"/>
      <c r="J1315" s="2"/>
    </row>
    <row r="1316" ht="15.75" customHeight="1">
      <c r="A1316" s="4" t="str">
        <f>HYPERLINK("https://stackoverflow.com/q/52953534", "52953534")</f>
        <v>52953534</v>
      </c>
      <c r="B1316" s="2" t="s">
        <v>1358</v>
      </c>
      <c r="C1316" s="3"/>
      <c r="D1316" s="3">
        <v>315.0</v>
      </c>
      <c r="E1316" s="2"/>
      <c r="F1316" s="2"/>
      <c r="G1316" s="2"/>
      <c r="H1316" s="2"/>
      <c r="I1316" s="2"/>
      <c r="J1316" s="2"/>
    </row>
    <row r="1317" ht="15.75" customHeight="1">
      <c r="A1317" s="4" t="str">
        <f>HYPERLINK("https://stackoverflow.com/q/50125193", "50125193")</f>
        <v>50125193</v>
      </c>
      <c r="B1317" s="2" t="s">
        <v>1359</v>
      </c>
      <c r="C1317" s="3"/>
      <c r="D1317" s="3">
        <v>314.0</v>
      </c>
      <c r="E1317" s="2"/>
      <c r="F1317" s="2"/>
      <c r="G1317" s="2"/>
      <c r="H1317" s="2"/>
      <c r="I1317" s="2"/>
      <c r="J1317" s="2"/>
    </row>
    <row r="1318" ht="15.75" customHeight="1">
      <c r="A1318" s="4" t="str">
        <f>HYPERLINK("https://stackoverflow.com/q/51999779", "51999779")</f>
        <v>51999779</v>
      </c>
      <c r="B1318" s="2" t="s">
        <v>1360</v>
      </c>
      <c r="C1318" s="3"/>
      <c r="D1318" s="3">
        <v>313.0</v>
      </c>
      <c r="E1318" s="2"/>
      <c r="F1318" s="2"/>
      <c r="G1318" s="2"/>
      <c r="H1318" s="2"/>
      <c r="I1318" s="2"/>
      <c r="J1318" s="2"/>
    </row>
    <row r="1319" ht="15.75" customHeight="1">
      <c r="A1319" s="4" t="str">
        <f>HYPERLINK("https://stackoverflow.com/q/31386733", "31386733")</f>
        <v>31386733</v>
      </c>
      <c r="B1319" s="2" t="s">
        <v>1361</v>
      </c>
      <c r="C1319" s="3">
        <v>1.0</v>
      </c>
      <c r="D1319" s="3">
        <v>311.0</v>
      </c>
      <c r="E1319" s="2"/>
      <c r="F1319" s="2"/>
      <c r="G1319" s="2"/>
      <c r="H1319" s="2"/>
      <c r="I1319" s="2"/>
      <c r="J1319" s="2"/>
    </row>
    <row r="1320" ht="15.75" customHeight="1">
      <c r="A1320" s="4" t="str">
        <f>HYPERLINK("https://stackoverflow.com/q/19290354", "19290354")</f>
        <v>19290354</v>
      </c>
      <c r="B1320" s="2" t="s">
        <v>1362</v>
      </c>
      <c r="C1320" s="3"/>
      <c r="D1320" s="3">
        <v>311.0</v>
      </c>
      <c r="E1320" s="2"/>
      <c r="F1320" s="2"/>
      <c r="G1320" s="2"/>
      <c r="H1320" s="2"/>
      <c r="I1320" s="2"/>
      <c r="J1320" s="2"/>
    </row>
    <row r="1321" ht="15.75" customHeight="1">
      <c r="A1321" s="4" t="str">
        <f>HYPERLINK("https://stackoverflow.com/q/52519202", "52519202")</f>
        <v>52519202</v>
      </c>
      <c r="B1321" s="2" t="s">
        <v>1363</v>
      </c>
      <c r="C1321" s="3"/>
      <c r="D1321" s="3">
        <v>311.0</v>
      </c>
      <c r="E1321" s="2"/>
      <c r="F1321" s="2"/>
      <c r="G1321" s="2"/>
      <c r="H1321" s="2"/>
      <c r="I1321" s="2"/>
      <c r="J1321" s="2"/>
    </row>
    <row r="1322" ht="15.75" customHeight="1">
      <c r="A1322" s="4" t="str">
        <f>HYPERLINK("https://stackoverflow.com/q/45133010", "45133010")</f>
        <v>45133010</v>
      </c>
      <c r="B1322" s="2" t="s">
        <v>1364</v>
      </c>
      <c r="C1322" s="3"/>
      <c r="D1322" s="3">
        <v>310.0</v>
      </c>
      <c r="E1322" s="2"/>
      <c r="F1322" s="2"/>
      <c r="G1322" s="2"/>
      <c r="H1322" s="2"/>
      <c r="I1322" s="2"/>
      <c r="J1322" s="2"/>
    </row>
    <row r="1323" ht="15.75" customHeight="1">
      <c r="A1323" s="4" t="str">
        <f>HYPERLINK("https://stackoverflow.com/q/49615281", "49615281")</f>
        <v>49615281</v>
      </c>
      <c r="B1323" s="2" t="s">
        <v>1365</v>
      </c>
      <c r="C1323" s="3"/>
      <c r="D1323" s="3">
        <v>310.0</v>
      </c>
      <c r="E1323" s="2"/>
      <c r="F1323" s="2"/>
      <c r="G1323" s="2"/>
      <c r="H1323" s="2"/>
      <c r="I1323" s="2"/>
      <c r="J1323" s="2"/>
    </row>
    <row r="1324" ht="15.75" customHeight="1">
      <c r="A1324" s="4" t="str">
        <f>HYPERLINK("https://stackoverflow.com/q/49740870", "49740870")</f>
        <v>49740870</v>
      </c>
      <c r="B1324" s="2" t="s">
        <v>1366</v>
      </c>
      <c r="C1324" s="3"/>
      <c r="D1324" s="3">
        <v>310.0</v>
      </c>
      <c r="E1324" s="2"/>
      <c r="F1324" s="2"/>
      <c r="G1324" s="2"/>
      <c r="H1324" s="2"/>
      <c r="I1324" s="2"/>
      <c r="J1324" s="2"/>
    </row>
    <row r="1325" ht="15.75" customHeight="1">
      <c r="A1325" s="4" t="str">
        <f>HYPERLINK("https://stackoverflow.com/q/46978495", "46978495")</f>
        <v>46978495</v>
      </c>
      <c r="B1325" s="2" t="s">
        <v>1367</v>
      </c>
      <c r="C1325" s="3"/>
      <c r="D1325" s="3">
        <v>309.0</v>
      </c>
      <c r="E1325" s="2" t="s">
        <v>11</v>
      </c>
      <c r="F1325" s="2" t="s">
        <v>14</v>
      </c>
      <c r="G1325" s="2"/>
      <c r="H1325" s="2"/>
      <c r="I1325" s="2"/>
      <c r="J1325" s="2"/>
    </row>
    <row r="1326" ht="15.75" customHeight="1">
      <c r="A1326" s="4" t="str">
        <f>HYPERLINK("https://stackoverflow.com/q/26712480", "26712480")</f>
        <v>26712480</v>
      </c>
      <c r="B1326" s="2" t="s">
        <v>1368</v>
      </c>
      <c r="C1326" s="3"/>
      <c r="D1326" s="3">
        <v>309.0</v>
      </c>
      <c r="E1326" s="2"/>
      <c r="F1326" s="2"/>
      <c r="G1326" s="2"/>
      <c r="H1326" s="2"/>
      <c r="I1326" s="2"/>
      <c r="J1326" s="2"/>
    </row>
    <row r="1327" ht="15.75" customHeight="1">
      <c r="A1327" s="4" t="str">
        <f>HYPERLINK("https://stackoverflow.com/q/50156366", "50156366")</f>
        <v>50156366</v>
      </c>
      <c r="B1327" s="2" t="s">
        <v>1369</v>
      </c>
      <c r="C1327" s="3"/>
      <c r="D1327" s="3">
        <v>309.0</v>
      </c>
      <c r="E1327" s="2"/>
      <c r="F1327" s="2"/>
      <c r="G1327" s="2"/>
      <c r="H1327" s="2"/>
      <c r="I1327" s="2"/>
      <c r="J1327" s="2"/>
    </row>
    <row r="1328" ht="15.75" customHeight="1">
      <c r="A1328" s="4" t="str">
        <f>HYPERLINK("https://stackoverflow.com/q/57035108", "57035108")</f>
        <v>57035108</v>
      </c>
      <c r="B1328" s="2" t="s">
        <v>1370</v>
      </c>
      <c r="C1328" s="3"/>
      <c r="D1328" s="3">
        <v>309.0</v>
      </c>
      <c r="E1328" s="2"/>
      <c r="F1328" s="2"/>
      <c r="G1328" s="2"/>
      <c r="H1328" s="2"/>
      <c r="I1328" s="2"/>
      <c r="J1328" s="2"/>
    </row>
    <row r="1329" ht="15.75" customHeight="1">
      <c r="A1329" s="4" t="str">
        <f>HYPERLINK("https://stackoverflow.com/q/38006238", "38006238")</f>
        <v>38006238</v>
      </c>
      <c r="B1329" s="2" t="s">
        <v>1371</v>
      </c>
      <c r="C1329" s="3">
        <v>1.0</v>
      </c>
      <c r="D1329" s="3">
        <v>307.0</v>
      </c>
      <c r="E1329" s="2"/>
      <c r="F1329" s="2"/>
      <c r="G1329" s="2"/>
      <c r="H1329" s="2"/>
      <c r="I1329" s="2"/>
      <c r="J1329" s="2"/>
    </row>
    <row r="1330" ht="15.75" customHeight="1">
      <c r="A1330" s="4" t="str">
        <f>HYPERLINK("https://stackoverflow.com/q/47522277", "47522277")</f>
        <v>47522277</v>
      </c>
      <c r="B1330" s="2" t="s">
        <v>1372</v>
      </c>
      <c r="C1330" s="3"/>
      <c r="D1330" s="3">
        <v>307.0</v>
      </c>
      <c r="E1330" s="2" t="s">
        <v>11</v>
      </c>
      <c r="F1330" s="2" t="s">
        <v>28</v>
      </c>
      <c r="G1330" s="2"/>
      <c r="H1330" s="2"/>
      <c r="I1330" s="2"/>
      <c r="J1330" s="2"/>
    </row>
    <row r="1331" ht="15.75" customHeight="1">
      <c r="A1331" s="4" t="str">
        <f>HYPERLINK("https://stackoverflow.com/q/14487518", "14487518")</f>
        <v>14487518</v>
      </c>
      <c r="B1331" s="2" t="s">
        <v>1373</v>
      </c>
      <c r="C1331" s="3"/>
      <c r="D1331" s="3">
        <v>307.0</v>
      </c>
      <c r="E1331" s="2"/>
      <c r="F1331" s="2"/>
      <c r="G1331" s="2"/>
      <c r="H1331" s="2"/>
      <c r="I1331" s="2"/>
      <c r="J1331" s="2"/>
    </row>
    <row r="1332" ht="15.75" customHeight="1">
      <c r="A1332" s="4" t="str">
        <f>HYPERLINK("https://stackoverflow.com/q/43299948", "43299948")</f>
        <v>43299948</v>
      </c>
      <c r="B1332" s="2" t="s">
        <v>1374</v>
      </c>
      <c r="C1332" s="3">
        <v>1.0</v>
      </c>
      <c r="D1332" s="3">
        <v>306.0</v>
      </c>
      <c r="E1332" s="2" t="s">
        <v>11</v>
      </c>
      <c r="F1332" s="2" t="s">
        <v>35</v>
      </c>
      <c r="G1332" s="2"/>
      <c r="H1332" s="2"/>
      <c r="I1332" s="2"/>
      <c r="J1332" s="2"/>
    </row>
    <row r="1333" ht="15.75" customHeight="1">
      <c r="A1333" s="4" t="str">
        <f>HYPERLINK("https://stackoverflow.com/q/50710541", "50710541")</f>
        <v>50710541</v>
      </c>
      <c r="B1333" s="2" t="s">
        <v>1375</v>
      </c>
      <c r="C1333" s="3">
        <v>1.0</v>
      </c>
      <c r="D1333" s="3">
        <v>306.0</v>
      </c>
      <c r="E1333" s="2"/>
      <c r="F1333" s="2"/>
      <c r="G1333" s="2"/>
      <c r="H1333" s="2"/>
      <c r="I1333" s="2"/>
      <c r="J1333" s="2"/>
    </row>
    <row r="1334" ht="15.75" customHeight="1">
      <c r="A1334" s="4" t="str">
        <f>HYPERLINK("https://stackoverflow.com/q/37306094", "37306094")</f>
        <v>37306094</v>
      </c>
      <c r="B1334" s="2" t="s">
        <v>1376</v>
      </c>
      <c r="C1334" s="3"/>
      <c r="D1334" s="3">
        <v>306.0</v>
      </c>
      <c r="E1334" s="2"/>
      <c r="F1334" s="2"/>
      <c r="G1334" s="2"/>
      <c r="H1334" s="2"/>
      <c r="I1334" s="2"/>
      <c r="J1334" s="2"/>
    </row>
    <row r="1335" ht="15.75" customHeight="1">
      <c r="A1335" s="4" t="str">
        <f>HYPERLINK("https://stackoverflow.com/q/59268690", "59268690")</f>
        <v>59268690</v>
      </c>
      <c r="B1335" s="2" t="s">
        <v>1377</v>
      </c>
      <c r="C1335" s="3"/>
      <c r="D1335" s="3">
        <v>306.0</v>
      </c>
      <c r="E1335" s="2"/>
      <c r="F1335" s="2"/>
      <c r="G1335" s="2"/>
      <c r="H1335" s="2"/>
      <c r="I1335" s="2"/>
      <c r="J1335" s="2"/>
    </row>
    <row r="1336" ht="15.75" customHeight="1">
      <c r="A1336" s="4" t="str">
        <f>HYPERLINK("https://stackoverflow.com/q/51731481", "51731481")</f>
        <v>51731481</v>
      </c>
      <c r="B1336" s="2" t="s">
        <v>1378</v>
      </c>
      <c r="C1336" s="3"/>
      <c r="D1336" s="3">
        <v>305.0</v>
      </c>
      <c r="E1336" s="2"/>
      <c r="F1336" s="2"/>
      <c r="G1336" s="2"/>
      <c r="H1336" s="2"/>
      <c r="I1336" s="2"/>
      <c r="J1336" s="2"/>
    </row>
    <row r="1337" ht="15.75" customHeight="1">
      <c r="A1337" s="4" t="str">
        <f>HYPERLINK("https://stackoverflow.com/q/51775608", "51775608")</f>
        <v>51775608</v>
      </c>
      <c r="B1337" s="2" t="s">
        <v>1379</v>
      </c>
      <c r="C1337" s="3"/>
      <c r="D1337" s="3">
        <v>305.0</v>
      </c>
      <c r="E1337" s="2"/>
      <c r="F1337" s="2"/>
      <c r="G1337" s="2"/>
      <c r="H1337" s="2"/>
      <c r="I1337" s="2"/>
      <c r="J1337" s="2"/>
    </row>
    <row r="1338" ht="15.75" customHeight="1">
      <c r="A1338" s="4" t="str">
        <f>HYPERLINK("https://stackoverflow.com/q/55710608", "55710608")</f>
        <v>55710608</v>
      </c>
      <c r="B1338" s="2" t="s">
        <v>1380</v>
      </c>
      <c r="C1338" s="3"/>
      <c r="D1338" s="3">
        <v>305.0</v>
      </c>
      <c r="E1338" s="2"/>
      <c r="F1338" s="2"/>
      <c r="G1338" s="2"/>
      <c r="H1338" s="2"/>
      <c r="I1338" s="2"/>
      <c r="J1338" s="2"/>
    </row>
    <row r="1339" ht="15.75" customHeight="1">
      <c r="A1339" s="4" t="str">
        <f>HYPERLINK("https://stackoverflow.com/q/53195363", "53195363")</f>
        <v>53195363</v>
      </c>
      <c r="B1339" s="2" t="s">
        <v>1381</v>
      </c>
      <c r="C1339" s="3"/>
      <c r="D1339" s="3">
        <v>304.0</v>
      </c>
      <c r="E1339" s="2"/>
      <c r="F1339" s="2"/>
      <c r="G1339" s="2"/>
      <c r="H1339" s="2"/>
      <c r="I1339" s="2"/>
      <c r="J1339" s="2"/>
    </row>
    <row r="1340" ht="15.75" customHeight="1">
      <c r="A1340" s="4" t="str">
        <f>HYPERLINK("https://stackoverflow.com/q/51592581", "51592581")</f>
        <v>51592581</v>
      </c>
      <c r="B1340" s="2" t="s">
        <v>1382</v>
      </c>
      <c r="C1340" s="3">
        <v>1.0</v>
      </c>
      <c r="D1340" s="3">
        <v>303.0</v>
      </c>
      <c r="E1340" s="2"/>
      <c r="F1340" s="2"/>
      <c r="G1340" s="2"/>
      <c r="H1340" s="2"/>
      <c r="I1340" s="2"/>
      <c r="J1340" s="2"/>
    </row>
    <row r="1341" ht="15.75" customHeight="1">
      <c r="A1341" s="4" t="str">
        <f>HYPERLINK("https://stackoverflow.com/q/54241538", "54241538")</f>
        <v>54241538</v>
      </c>
      <c r="B1341" s="2" t="s">
        <v>1383</v>
      </c>
      <c r="C1341" s="3"/>
      <c r="D1341" s="3">
        <v>303.0</v>
      </c>
      <c r="E1341" s="2" t="s">
        <v>11</v>
      </c>
      <c r="F1341" s="2" t="s">
        <v>56</v>
      </c>
      <c r="G1341" s="2"/>
      <c r="H1341" s="2"/>
      <c r="I1341" s="2"/>
      <c r="J1341" s="2"/>
    </row>
    <row r="1342" ht="15.75" customHeight="1">
      <c r="A1342" s="4" t="str">
        <f>HYPERLINK("https://stackoverflow.com/q/11316689", "11316689")</f>
        <v>11316689</v>
      </c>
      <c r="B1342" s="2" t="s">
        <v>1384</v>
      </c>
      <c r="C1342" s="3"/>
      <c r="D1342" s="3">
        <v>303.0</v>
      </c>
      <c r="E1342" s="2"/>
      <c r="F1342" s="2"/>
      <c r="G1342" s="2"/>
      <c r="H1342" s="2"/>
      <c r="I1342" s="2"/>
      <c r="J1342" s="2"/>
    </row>
    <row r="1343" ht="15.75" customHeight="1">
      <c r="A1343" s="4" t="str">
        <f>HYPERLINK("https://stackoverflow.com/q/21896490", "21896490")</f>
        <v>21896490</v>
      </c>
      <c r="B1343" s="2" t="s">
        <v>1385</v>
      </c>
      <c r="C1343" s="3"/>
      <c r="D1343" s="3">
        <v>303.0</v>
      </c>
      <c r="E1343" s="2"/>
      <c r="F1343" s="2"/>
      <c r="G1343" s="2"/>
      <c r="H1343" s="2"/>
      <c r="I1343" s="2"/>
      <c r="J1343" s="2"/>
    </row>
    <row r="1344" ht="15.75" customHeight="1">
      <c r="A1344" s="4" t="str">
        <f>HYPERLINK("https://stackoverflow.com/q/49097763", "49097763")</f>
        <v>49097763</v>
      </c>
      <c r="B1344" s="2" t="s">
        <v>1386</v>
      </c>
      <c r="C1344" s="3"/>
      <c r="D1344" s="3">
        <v>302.0</v>
      </c>
      <c r="E1344" s="2"/>
      <c r="F1344" s="2"/>
      <c r="G1344" s="2"/>
      <c r="H1344" s="2"/>
      <c r="I1344" s="2"/>
      <c r="J1344" s="2"/>
    </row>
    <row r="1345" ht="15.75" customHeight="1">
      <c r="A1345" s="4" t="str">
        <f>HYPERLINK("https://stackoverflow.com/q/9257823", "9257823")</f>
        <v>9257823</v>
      </c>
      <c r="B1345" s="2" t="s">
        <v>1387</v>
      </c>
      <c r="C1345" s="3"/>
      <c r="D1345" s="3">
        <v>302.0</v>
      </c>
      <c r="E1345" s="2"/>
      <c r="F1345" s="2"/>
      <c r="G1345" s="2"/>
      <c r="H1345" s="2"/>
      <c r="I1345" s="2"/>
      <c r="J1345" s="2"/>
    </row>
    <row r="1346" ht="15.75" customHeight="1">
      <c r="A1346" s="4" t="str">
        <f>HYPERLINK("https://stackoverflow.com/q/34679862", "34679862")</f>
        <v>34679862</v>
      </c>
      <c r="B1346" s="2" t="s">
        <v>1388</v>
      </c>
      <c r="C1346" s="3"/>
      <c r="D1346" s="3">
        <v>301.0</v>
      </c>
      <c r="E1346" s="2"/>
      <c r="F1346" s="2"/>
      <c r="G1346" s="2"/>
      <c r="H1346" s="2"/>
      <c r="I1346" s="2"/>
      <c r="J1346" s="2"/>
    </row>
    <row r="1347" ht="15.75" customHeight="1">
      <c r="A1347" s="4" t="str">
        <f>HYPERLINK("https://stackoverflow.com/q/53577204", "53577204")</f>
        <v>53577204</v>
      </c>
      <c r="B1347" s="2" t="s">
        <v>1389</v>
      </c>
      <c r="C1347" s="3">
        <v>1.0</v>
      </c>
      <c r="D1347" s="3">
        <v>300.0</v>
      </c>
      <c r="E1347" s="2"/>
      <c r="F1347" s="2"/>
      <c r="G1347" s="2"/>
      <c r="H1347" s="2"/>
      <c r="I1347" s="2"/>
      <c r="J1347" s="2"/>
    </row>
    <row r="1348" ht="15.75" customHeight="1">
      <c r="A1348" s="4" t="str">
        <f>HYPERLINK("https://stackoverflow.com/q/54515593", "54515593")</f>
        <v>54515593</v>
      </c>
      <c r="B1348" s="2" t="s">
        <v>1390</v>
      </c>
      <c r="C1348" s="3"/>
      <c r="D1348" s="3">
        <v>300.0</v>
      </c>
      <c r="E1348" s="2" t="s">
        <v>11</v>
      </c>
      <c r="F1348" s="2" t="s">
        <v>12</v>
      </c>
      <c r="G1348" s="2"/>
      <c r="H1348" s="2"/>
      <c r="I1348" s="2"/>
      <c r="J1348" s="2"/>
    </row>
    <row r="1349" ht="15.75" customHeight="1">
      <c r="A1349" s="4" t="str">
        <f>HYPERLINK("https://stackoverflow.com/q/11171081", "11171081")</f>
        <v>11171081</v>
      </c>
      <c r="B1349" s="2" t="s">
        <v>1391</v>
      </c>
      <c r="C1349" s="3"/>
      <c r="D1349" s="3">
        <v>300.0</v>
      </c>
      <c r="E1349" s="2"/>
      <c r="F1349" s="2"/>
      <c r="G1349" s="2"/>
      <c r="H1349" s="2"/>
      <c r="I1349" s="2"/>
      <c r="J1349" s="2"/>
    </row>
    <row r="1350" ht="15.75" customHeight="1">
      <c r="A1350" s="4" t="str">
        <f>HYPERLINK("https://stackoverflow.com/q/35764295", "35764295")</f>
        <v>35764295</v>
      </c>
      <c r="B1350" s="2" t="s">
        <v>1392</v>
      </c>
      <c r="C1350" s="3"/>
      <c r="D1350" s="3">
        <v>300.0</v>
      </c>
      <c r="E1350" s="2"/>
      <c r="F1350" s="2"/>
      <c r="G1350" s="2"/>
      <c r="H1350" s="2"/>
      <c r="I1350" s="2"/>
      <c r="J1350" s="2"/>
    </row>
    <row r="1351" ht="15.75" customHeight="1">
      <c r="A1351" s="4" t="str">
        <f>HYPERLINK("https://stackoverflow.com/q/51031354", "51031354")</f>
        <v>51031354</v>
      </c>
      <c r="B1351" s="2" t="s">
        <v>1393</v>
      </c>
      <c r="C1351" s="3"/>
      <c r="D1351" s="3">
        <v>300.0</v>
      </c>
      <c r="E1351" s="2"/>
      <c r="F1351" s="2"/>
      <c r="G1351" s="2"/>
      <c r="H1351" s="2"/>
      <c r="I1351" s="2"/>
      <c r="J1351" s="2"/>
    </row>
    <row r="1352" ht="15.75" customHeight="1">
      <c r="A1352" s="4" t="str">
        <f>HYPERLINK("https://stackoverflow.com/q/54143107", "54143107")</f>
        <v>54143107</v>
      </c>
      <c r="B1352" s="2" t="s">
        <v>1394</v>
      </c>
      <c r="C1352" s="3"/>
      <c r="D1352" s="3">
        <v>300.0</v>
      </c>
      <c r="E1352" s="2"/>
      <c r="F1352" s="2"/>
      <c r="G1352" s="2"/>
      <c r="H1352" s="2"/>
      <c r="I1352" s="2"/>
      <c r="J1352" s="2"/>
    </row>
    <row r="1353" ht="15.75" customHeight="1">
      <c r="A1353" s="4" t="str">
        <f>HYPERLINK("https://stackoverflow.com/q/55101284", "55101284")</f>
        <v>55101284</v>
      </c>
      <c r="B1353" s="2" t="s">
        <v>1395</v>
      </c>
      <c r="C1353" s="3"/>
      <c r="D1353" s="3">
        <v>299.0</v>
      </c>
      <c r="E1353" s="2" t="s">
        <v>11</v>
      </c>
      <c r="F1353" s="2" t="s">
        <v>35</v>
      </c>
      <c r="G1353" s="2"/>
      <c r="H1353" s="2"/>
      <c r="I1353" s="2"/>
      <c r="J1353" s="2"/>
    </row>
    <row r="1354" ht="15.75" customHeight="1">
      <c r="A1354" s="4" t="str">
        <f>HYPERLINK("https://stackoverflow.com/q/59524629", "59524629")</f>
        <v>59524629</v>
      </c>
      <c r="B1354" s="2" t="s">
        <v>1396</v>
      </c>
      <c r="C1354" s="3"/>
      <c r="D1354" s="3">
        <v>297.0</v>
      </c>
      <c r="E1354" s="2" t="s">
        <v>11</v>
      </c>
      <c r="F1354" s="2" t="s">
        <v>34</v>
      </c>
      <c r="G1354" s="2"/>
      <c r="H1354" s="2"/>
      <c r="I1354" s="2"/>
      <c r="J1354" s="2"/>
    </row>
    <row r="1355" ht="15.75" customHeight="1">
      <c r="A1355" s="4" t="str">
        <f>HYPERLINK("https://stackoverflow.com/q/45091910", "45091910")</f>
        <v>45091910</v>
      </c>
      <c r="B1355" s="2" t="s">
        <v>1397</v>
      </c>
      <c r="C1355" s="3"/>
      <c r="D1355" s="3">
        <v>297.0</v>
      </c>
      <c r="E1355" s="2"/>
      <c r="F1355" s="2"/>
      <c r="G1355" s="2"/>
      <c r="H1355" s="2"/>
      <c r="I1355" s="2"/>
      <c r="J1355" s="2"/>
    </row>
    <row r="1356" ht="15.75" customHeight="1">
      <c r="A1356" s="4" t="str">
        <f>HYPERLINK("https://stackoverflow.com/q/51369708", "51369708")</f>
        <v>51369708</v>
      </c>
      <c r="B1356" s="2" t="s">
        <v>1398</v>
      </c>
      <c r="C1356" s="3">
        <v>0.0</v>
      </c>
      <c r="D1356" s="3">
        <v>296.0</v>
      </c>
      <c r="E1356" s="2" t="s">
        <v>11</v>
      </c>
      <c r="F1356" s="2" t="s">
        <v>25</v>
      </c>
      <c r="G1356" s="2"/>
      <c r="H1356" s="2"/>
      <c r="I1356" s="2"/>
      <c r="J1356" s="2"/>
    </row>
    <row r="1357" ht="15.75" customHeight="1">
      <c r="A1357" s="4" t="str">
        <f>HYPERLINK("https://stackoverflow.com/q/46238759", "46238759")</f>
        <v>46238759</v>
      </c>
      <c r="B1357" s="2" t="s">
        <v>1399</v>
      </c>
      <c r="C1357" s="3"/>
      <c r="D1357" s="3">
        <v>296.0</v>
      </c>
      <c r="E1357" s="2" t="s">
        <v>11</v>
      </c>
      <c r="F1357" s="2" t="s">
        <v>14</v>
      </c>
      <c r="G1357" s="2"/>
      <c r="H1357" s="2"/>
      <c r="I1357" s="2"/>
      <c r="J1357" s="2"/>
    </row>
    <row r="1358" ht="15.75" customHeight="1">
      <c r="A1358" s="4" t="str">
        <f>HYPERLINK("https://stackoverflow.com/q/54323760", "54323760")</f>
        <v>54323760</v>
      </c>
      <c r="B1358" s="2" t="s">
        <v>1400</v>
      </c>
      <c r="C1358" s="3"/>
      <c r="D1358" s="3">
        <v>296.0</v>
      </c>
      <c r="E1358" s="2" t="s">
        <v>11</v>
      </c>
      <c r="F1358" s="2" t="s">
        <v>35</v>
      </c>
      <c r="G1358" s="2"/>
      <c r="H1358" s="2"/>
      <c r="I1358" s="2"/>
      <c r="J1358" s="2"/>
    </row>
    <row r="1359" ht="15.75" customHeight="1">
      <c r="A1359" s="4" t="str">
        <f>HYPERLINK("https://stackoverflow.com/q/52054618", "52054618")</f>
        <v>52054618</v>
      </c>
      <c r="B1359" s="2" t="s">
        <v>1401</v>
      </c>
      <c r="C1359" s="3"/>
      <c r="D1359" s="3">
        <v>296.0</v>
      </c>
      <c r="E1359" s="2"/>
      <c r="F1359" s="2"/>
      <c r="G1359" s="2"/>
      <c r="H1359" s="2"/>
      <c r="I1359" s="2"/>
      <c r="J1359" s="2"/>
    </row>
    <row r="1360" ht="15.75" customHeight="1">
      <c r="A1360" s="4" t="str">
        <f>HYPERLINK("https://stackoverflow.com/q/45978094", "45978094")</f>
        <v>45978094</v>
      </c>
      <c r="B1360" s="2" t="s">
        <v>1402</v>
      </c>
      <c r="C1360" s="3"/>
      <c r="D1360" s="3">
        <v>295.0</v>
      </c>
      <c r="E1360" s="2"/>
      <c r="F1360" s="2"/>
      <c r="G1360" s="2"/>
      <c r="H1360" s="2"/>
      <c r="I1360" s="2"/>
      <c r="J1360" s="2"/>
    </row>
    <row r="1361" ht="15.75" customHeight="1">
      <c r="A1361" s="4" t="str">
        <f>HYPERLINK("https://stackoverflow.com/q/52215703", "52215703")</f>
        <v>52215703</v>
      </c>
      <c r="B1361" s="2" t="s">
        <v>1403</v>
      </c>
      <c r="C1361" s="3"/>
      <c r="D1361" s="3">
        <v>295.0</v>
      </c>
      <c r="E1361" s="2"/>
      <c r="F1361" s="2"/>
      <c r="G1361" s="2"/>
      <c r="H1361" s="2"/>
      <c r="I1361" s="2"/>
      <c r="J1361" s="2"/>
    </row>
    <row r="1362" ht="15.75" customHeight="1">
      <c r="A1362" s="4" t="str">
        <f>HYPERLINK("https://stackoverflow.com/q/58738924", "58738924")</f>
        <v>58738924</v>
      </c>
      <c r="B1362" s="2" t="s">
        <v>1404</v>
      </c>
      <c r="C1362" s="3"/>
      <c r="D1362" s="3">
        <v>295.0</v>
      </c>
      <c r="E1362" s="2"/>
      <c r="F1362" s="2"/>
      <c r="G1362" s="2"/>
      <c r="H1362" s="2"/>
      <c r="I1362" s="2"/>
      <c r="J1362" s="2"/>
    </row>
    <row r="1363" ht="15.75" customHeight="1">
      <c r="A1363" s="4" t="str">
        <f>HYPERLINK("https://stackoverflow.com/q/54474013", "54474013")</f>
        <v>54474013</v>
      </c>
      <c r="B1363" s="2" t="s">
        <v>1405</v>
      </c>
      <c r="C1363" s="3"/>
      <c r="D1363" s="3">
        <v>294.0</v>
      </c>
      <c r="E1363" s="2" t="s">
        <v>59</v>
      </c>
      <c r="F1363" s="2" t="s">
        <v>21</v>
      </c>
      <c r="G1363" s="2"/>
      <c r="H1363" s="2"/>
      <c r="I1363" s="2"/>
      <c r="J1363" s="2"/>
    </row>
    <row r="1364" ht="15.75" customHeight="1">
      <c r="A1364" s="4" t="str">
        <f>HYPERLINK("https://stackoverflow.com/q/51000955", "51000955")</f>
        <v>51000955</v>
      </c>
      <c r="B1364" s="2" t="s">
        <v>1406</v>
      </c>
      <c r="C1364" s="3"/>
      <c r="D1364" s="3">
        <v>294.0</v>
      </c>
      <c r="E1364" s="2"/>
      <c r="F1364" s="2"/>
      <c r="G1364" s="2"/>
      <c r="H1364" s="2"/>
      <c r="I1364" s="2"/>
      <c r="J1364" s="2"/>
    </row>
    <row r="1365" ht="15.75" customHeight="1">
      <c r="A1365" s="4" t="str">
        <f>HYPERLINK("https://stackoverflow.com/q/55967992", "55967992")</f>
        <v>55967992</v>
      </c>
      <c r="B1365" s="2" t="s">
        <v>1407</v>
      </c>
      <c r="C1365" s="3"/>
      <c r="D1365" s="3">
        <v>294.0</v>
      </c>
      <c r="E1365" s="2"/>
      <c r="F1365" s="2"/>
      <c r="G1365" s="2"/>
      <c r="H1365" s="2"/>
      <c r="I1365" s="2"/>
      <c r="J1365" s="2"/>
    </row>
    <row r="1366" ht="15.75" customHeight="1">
      <c r="A1366" s="4" t="str">
        <f>HYPERLINK("https://stackoverflow.com/q/56467589", "56467589")</f>
        <v>56467589</v>
      </c>
      <c r="B1366" s="2" t="s">
        <v>1408</v>
      </c>
      <c r="C1366" s="3"/>
      <c r="D1366" s="3">
        <v>293.0</v>
      </c>
      <c r="E1366" s="2"/>
      <c r="F1366" s="2"/>
      <c r="G1366" s="2"/>
      <c r="H1366" s="2"/>
      <c r="I1366" s="2"/>
      <c r="J1366" s="2"/>
    </row>
    <row r="1367" ht="15.75" customHeight="1">
      <c r="A1367" s="4" t="str">
        <f>HYPERLINK("https://stackoverflow.com/q/34164510", "34164510")</f>
        <v>34164510</v>
      </c>
      <c r="B1367" s="2" t="s">
        <v>1409</v>
      </c>
      <c r="C1367" s="3"/>
      <c r="D1367" s="3">
        <v>292.0</v>
      </c>
      <c r="E1367" s="2"/>
      <c r="F1367" s="2"/>
      <c r="G1367" s="2"/>
      <c r="H1367" s="2"/>
      <c r="I1367" s="2"/>
      <c r="J1367" s="2"/>
    </row>
    <row r="1368" ht="15.75" customHeight="1">
      <c r="A1368" s="4" t="str">
        <f>HYPERLINK("https://stackoverflow.com/q/56321389", "56321389")</f>
        <v>56321389</v>
      </c>
      <c r="B1368" s="2" t="s">
        <v>1410</v>
      </c>
      <c r="C1368" s="3"/>
      <c r="D1368" s="3">
        <v>292.0</v>
      </c>
      <c r="E1368" s="2"/>
      <c r="F1368" s="2"/>
      <c r="G1368" s="2"/>
      <c r="H1368" s="2"/>
      <c r="I1368" s="2"/>
      <c r="J1368" s="2"/>
    </row>
    <row r="1369" ht="15.75" customHeight="1">
      <c r="A1369" s="4" t="str">
        <f>HYPERLINK("https://stackoverflow.com/q/49242888", "49242888")</f>
        <v>49242888</v>
      </c>
      <c r="B1369" s="2" t="s">
        <v>1411</v>
      </c>
      <c r="C1369" s="3"/>
      <c r="D1369" s="3">
        <v>291.0</v>
      </c>
      <c r="E1369" s="2"/>
      <c r="F1369" s="2"/>
      <c r="G1369" s="2"/>
      <c r="H1369" s="2"/>
      <c r="I1369" s="2"/>
      <c r="J1369" s="2"/>
    </row>
    <row r="1370" ht="15.75" customHeight="1">
      <c r="A1370" s="4" t="str">
        <f>HYPERLINK("https://stackoverflow.com/q/49544447", "49544447")</f>
        <v>49544447</v>
      </c>
      <c r="B1370" s="2" t="s">
        <v>1412</v>
      </c>
      <c r="C1370" s="3"/>
      <c r="D1370" s="3">
        <v>291.0</v>
      </c>
      <c r="E1370" s="2"/>
      <c r="F1370" s="2"/>
      <c r="G1370" s="2"/>
      <c r="H1370" s="2"/>
      <c r="I1370" s="2"/>
      <c r="J1370" s="2"/>
    </row>
    <row r="1371" ht="15.75" customHeight="1">
      <c r="A1371" s="4" t="str">
        <f>HYPERLINK("https://stackoverflow.com/q/54603982", "54603982")</f>
        <v>54603982</v>
      </c>
      <c r="B1371" s="2" t="s">
        <v>1413</v>
      </c>
      <c r="C1371" s="3"/>
      <c r="D1371" s="3">
        <v>289.0</v>
      </c>
      <c r="E1371" s="2" t="s">
        <v>11</v>
      </c>
      <c r="F1371" s="2" t="s">
        <v>14</v>
      </c>
      <c r="G1371" s="2"/>
      <c r="H1371" s="2"/>
      <c r="I1371" s="2"/>
      <c r="J1371" s="2"/>
    </row>
    <row r="1372" ht="15.75" customHeight="1">
      <c r="A1372" s="4" t="str">
        <f>HYPERLINK("https://stackoverflow.com/q/58083482", "58083482")</f>
        <v>58083482</v>
      </c>
      <c r="B1372" s="2" t="s">
        <v>1414</v>
      </c>
      <c r="C1372" s="3">
        <v>1.0</v>
      </c>
      <c r="D1372" s="3">
        <v>288.0</v>
      </c>
      <c r="E1372" s="2"/>
      <c r="F1372" s="2"/>
      <c r="G1372" s="2"/>
      <c r="H1372" s="2"/>
      <c r="I1372" s="2"/>
      <c r="J1372" s="2"/>
    </row>
    <row r="1373" ht="15.75" customHeight="1">
      <c r="A1373" s="4" t="str">
        <f>HYPERLINK("https://stackoverflow.com/q/26475674", "26475674")</f>
        <v>26475674</v>
      </c>
      <c r="B1373" s="2" t="s">
        <v>1415</v>
      </c>
      <c r="C1373" s="3"/>
      <c r="D1373" s="3">
        <v>288.0</v>
      </c>
      <c r="E1373" s="2"/>
      <c r="F1373" s="2"/>
      <c r="G1373" s="2"/>
      <c r="H1373" s="2"/>
      <c r="I1373" s="2"/>
      <c r="J1373" s="2"/>
    </row>
    <row r="1374" ht="15.75" customHeight="1">
      <c r="A1374" s="4" t="str">
        <f>HYPERLINK("https://stackoverflow.com/q/50641477", "50641477")</f>
        <v>50641477</v>
      </c>
      <c r="B1374" s="2" t="s">
        <v>1416</v>
      </c>
      <c r="C1374" s="3"/>
      <c r="D1374" s="3">
        <v>288.0</v>
      </c>
      <c r="E1374" s="2"/>
      <c r="F1374" s="2"/>
      <c r="G1374" s="2"/>
      <c r="H1374" s="2"/>
      <c r="I1374" s="2"/>
      <c r="J1374" s="2"/>
    </row>
    <row r="1375" ht="15.75" customHeight="1">
      <c r="A1375" s="4" t="str">
        <f>HYPERLINK("https://stackoverflow.com/q/59043054", "59043054")</f>
        <v>59043054</v>
      </c>
      <c r="B1375" s="2" t="s">
        <v>1417</v>
      </c>
      <c r="C1375" s="3"/>
      <c r="D1375" s="3">
        <v>288.0</v>
      </c>
      <c r="E1375" s="2"/>
      <c r="F1375" s="2"/>
      <c r="G1375" s="2"/>
      <c r="H1375" s="2"/>
      <c r="I1375" s="2"/>
      <c r="J1375" s="2"/>
    </row>
    <row r="1376" ht="15.75" customHeight="1">
      <c r="A1376" s="4" t="str">
        <f>HYPERLINK("https://stackoverflow.com/q/29606122", "29606122")</f>
        <v>29606122</v>
      </c>
      <c r="B1376" s="2" t="s">
        <v>1418</v>
      </c>
      <c r="C1376" s="3"/>
      <c r="D1376" s="3">
        <v>287.0</v>
      </c>
      <c r="E1376" s="2"/>
      <c r="F1376" s="2"/>
      <c r="G1376" s="2"/>
      <c r="H1376" s="2"/>
      <c r="I1376" s="2"/>
      <c r="J1376" s="2"/>
    </row>
    <row r="1377" ht="15.75" customHeight="1">
      <c r="A1377" s="4" t="str">
        <f>HYPERLINK("https://stackoverflow.com/q/50877919", "50877919")</f>
        <v>50877919</v>
      </c>
      <c r="B1377" s="2" t="s">
        <v>1419</v>
      </c>
      <c r="C1377" s="3"/>
      <c r="D1377" s="3">
        <v>287.0</v>
      </c>
      <c r="E1377" s="2"/>
      <c r="F1377" s="2"/>
      <c r="G1377" s="2"/>
      <c r="H1377" s="2"/>
      <c r="I1377" s="2"/>
      <c r="J1377" s="2"/>
    </row>
    <row r="1378" ht="15.75" customHeight="1">
      <c r="A1378" s="4" t="str">
        <f>HYPERLINK("https://stackoverflow.com/q/58101336", "58101336")</f>
        <v>58101336</v>
      </c>
      <c r="B1378" s="2" t="s">
        <v>1420</v>
      </c>
      <c r="C1378" s="3">
        <v>1.0</v>
      </c>
      <c r="D1378" s="3">
        <v>286.0</v>
      </c>
      <c r="E1378" s="2"/>
      <c r="F1378" s="2"/>
      <c r="G1378" s="2"/>
      <c r="H1378" s="2"/>
      <c r="I1378" s="2"/>
      <c r="J1378" s="2"/>
    </row>
    <row r="1379" ht="15.75" customHeight="1">
      <c r="A1379" s="4" t="str">
        <f>HYPERLINK("https://stackoverflow.com/q/52486527", "52486527")</f>
        <v>52486527</v>
      </c>
      <c r="B1379" s="2" t="s">
        <v>1421</v>
      </c>
      <c r="C1379" s="3"/>
      <c r="D1379" s="3">
        <v>286.0</v>
      </c>
      <c r="E1379" s="2"/>
      <c r="F1379" s="2"/>
      <c r="G1379" s="2"/>
      <c r="H1379" s="2"/>
      <c r="I1379" s="2"/>
      <c r="J1379" s="2"/>
    </row>
    <row r="1380" ht="15.75" customHeight="1">
      <c r="A1380" s="4" t="str">
        <f>HYPERLINK("https://stackoverflow.com/q/45004378", "45004378")</f>
        <v>45004378</v>
      </c>
      <c r="B1380" s="2" t="s">
        <v>1422</v>
      </c>
      <c r="C1380" s="3"/>
      <c r="D1380" s="3">
        <v>285.0</v>
      </c>
      <c r="E1380" s="2"/>
      <c r="F1380" s="2"/>
      <c r="G1380" s="2"/>
      <c r="H1380" s="2"/>
      <c r="I1380" s="2"/>
      <c r="J1380" s="2"/>
    </row>
    <row r="1381" ht="15.75" customHeight="1">
      <c r="A1381" s="4" t="str">
        <f>HYPERLINK("https://stackoverflow.com/q/52085701", "52085701")</f>
        <v>52085701</v>
      </c>
      <c r="B1381" s="2" t="s">
        <v>1423</v>
      </c>
      <c r="C1381" s="3">
        <v>1.0</v>
      </c>
      <c r="D1381" s="3">
        <v>284.0</v>
      </c>
      <c r="E1381" s="2"/>
      <c r="F1381" s="2"/>
      <c r="G1381" s="2"/>
      <c r="H1381" s="2"/>
      <c r="I1381" s="2"/>
      <c r="J1381" s="2"/>
    </row>
    <row r="1382" ht="15.75" customHeight="1">
      <c r="A1382" s="4" t="str">
        <f>HYPERLINK("https://stackoverflow.com/q/47772835", "47772835")</f>
        <v>47772835</v>
      </c>
      <c r="B1382" s="2" t="s">
        <v>1424</v>
      </c>
      <c r="C1382" s="3"/>
      <c r="D1382" s="3">
        <v>284.0</v>
      </c>
      <c r="E1382" s="9" t="s">
        <v>11</v>
      </c>
      <c r="F1382" s="2" t="s">
        <v>16</v>
      </c>
      <c r="G1382" s="2"/>
      <c r="H1382" s="2"/>
      <c r="I1382" s="2"/>
      <c r="J1382" s="2"/>
    </row>
    <row r="1383" ht="15.75" customHeight="1">
      <c r="A1383" s="4" t="str">
        <f>HYPERLINK("https://stackoverflow.com/q/44963674", "44963674")</f>
        <v>44963674</v>
      </c>
      <c r="B1383" s="2" t="s">
        <v>1425</v>
      </c>
      <c r="C1383" s="3"/>
      <c r="D1383" s="3">
        <v>284.0</v>
      </c>
      <c r="E1383" s="2"/>
      <c r="F1383" s="2"/>
      <c r="G1383" s="2"/>
      <c r="H1383" s="2"/>
      <c r="I1383" s="2"/>
      <c r="J1383" s="2"/>
    </row>
    <row r="1384" ht="15.75" customHeight="1">
      <c r="A1384" s="4" t="str">
        <f>HYPERLINK("https://stackoverflow.com/q/43164321", "43164321")</f>
        <v>43164321</v>
      </c>
      <c r="B1384" s="2" t="s">
        <v>1426</v>
      </c>
      <c r="C1384" s="3"/>
      <c r="D1384" s="3">
        <v>282.0</v>
      </c>
      <c r="E1384" s="9" t="s">
        <v>11</v>
      </c>
      <c r="F1384" s="2" t="s">
        <v>18</v>
      </c>
      <c r="G1384" s="2"/>
      <c r="H1384" s="2"/>
      <c r="I1384" s="2"/>
      <c r="J1384" s="2"/>
    </row>
    <row r="1385" ht="15.75" customHeight="1">
      <c r="A1385" s="4" t="str">
        <f>HYPERLINK("https://stackoverflow.com/q/40935625", "40935625")</f>
        <v>40935625</v>
      </c>
      <c r="B1385" s="2" t="s">
        <v>1427</v>
      </c>
      <c r="C1385" s="3"/>
      <c r="D1385" s="3">
        <v>282.0</v>
      </c>
      <c r="E1385" s="2"/>
      <c r="F1385" s="2"/>
      <c r="G1385" s="2"/>
      <c r="H1385" s="2"/>
      <c r="I1385" s="2"/>
      <c r="J1385" s="2"/>
    </row>
    <row r="1386" ht="15.75" customHeight="1">
      <c r="A1386" s="4" t="str">
        <f>HYPERLINK("https://stackoverflow.com/q/49969127", "49969127")</f>
        <v>49969127</v>
      </c>
      <c r="B1386" s="2" t="s">
        <v>1428</v>
      </c>
      <c r="C1386" s="3"/>
      <c r="D1386" s="3">
        <v>282.0</v>
      </c>
      <c r="E1386" s="2"/>
      <c r="F1386" s="2"/>
      <c r="G1386" s="2"/>
      <c r="H1386" s="2"/>
      <c r="I1386" s="2"/>
      <c r="J1386" s="2"/>
    </row>
    <row r="1387" ht="15.75" customHeight="1">
      <c r="A1387" s="4" t="str">
        <f>HYPERLINK("https://stackoverflow.com/q/51847975", "51847975")</f>
        <v>51847975</v>
      </c>
      <c r="B1387" s="2" t="s">
        <v>1429</v>
      </c>
      <c r="C1387" s="3"/>
      <c r="D1387" s="3">
        <v>282.0</v>
      </c>
      <c r="E1387" s="2"/>
      <c r="F1387" s="2"/>
      <c r="G1387" s="2"/>
      <c r="H1387" s="2"/>
      <c r="I1387" s="2"/>
      <c r="J1387" s="2"/>
    </row>
    <row r="1388" ht="15.75" customHeight="1">
      <c r="A1388" s="4" t="str">
        <f>HYPERLINK("https://stackoverflow.com/q/55117661", "55117661")</f>
        <v>55117661</v>
      </c>
      <c r="B1388" s="2" t="s">
        <v>1430</v>
      </c>
      <c r="C1388" s="3"/>
      <c r="D1388" s="3">
        <v>282.0</v>
      </c>
      <c r="E1388" s="2"/>
      <c r="F1388" s="2"/>
      <c r="G1388" s="2"/>
      <c r="H1388" s="2"/>
      <c r="I1388" s="2"/>
      <c r="J1388" s="2"/>
    </row>
    <row r="1389" ht="15.75" customHeight="1">
      <c r="A1389" s="4" t="str">
        <f>HYPERLINK("https://stackoverflow.com/q/32571070", "32571070")</f>
        <v>32571070</v>
      </c>
      <c r="B1389" s="2" t="s">
        <v>1431</v>
      </c>
      <c r="C1389" s="3">
        <v>1.0</v>
      </c>
      <c r="D1389" s="3">
        <v>281.0</v>
      </c>
      <c r="E1389" s="2"/>
      <c r="F1389" s="2"/>
      <c r="G1389" s="2"/>
      <c r="H1389" s="2"/>
      <c r="I1389" s="2"/>
      <c r="J1389" s="2"/>
    </row>
    <row r="1390" ht="15.75" customHeight="1">
      <c r="A1390" s="4" t="str">
        <f>HYPERLINK("https://stackoverflow.com/q/41881534", "41881534")</f>
        <v>41881534</v>
      </c>
      <c r="B1390" s="2" t="s">
        <v>1432</v>
      </c>
      <c r="C1390" s="3"/>
      <c r="D1390" s="3">
        <v>281.0</v>
      </c>
      <c r="E1390" s="2" t="s">
        <v>11</v>
      </c>
      <c r="F1390" s="2" t="s">
        <v>67</v>
      </c>
      <c r="G1390" s="2" t="s">
        <v>30</v>
      </c>
      <c r="H1390" s="2"/>
      <c r="I1390" s="2"/>
      <c r="J1390" s="2"/>
    </row>
    <row r="1391" ht="15.75" customHeight="1">
      <c r="A1391" s="4" t="str">
        <f>HYPERLINK("https://stackoverflow.com/q/53262784", "53262784")</f>
        <v>53262784</v>
      </c>
      <c r="B1391" s="2" t="s">
        <v>1433</v>
      </c>
      <c r="C1391" s="3"/>
      <c r="D1391" s="3">
        <v>281.0</v>
      </c>
      <c r="E1391" s="2"/>
      <c r="F1391" s="2"/>
      <c r="G1391" s="2"/>
      <c r="H1391" s="2"/>
      <c r="I1391" s="2"/>
      <c r="J1391" s="2"/>
    </row>
    <row r="1392" ht="15.75" customHeight="1">
      <c r="A1392" s="4" t="str">
        <f>HYPERLINK("https://stackoverflow.com/q/21177958", "21177958")</f>
        <v>21177958</v>
      </c>
      <c r="B1392" s="2" t="s">
        <v>1434</v>
      </c>
      <c r="C1392" s="3">
        <v>0.0</v>
      </c>
      <c r="D1392" s="3">
        <v>280.0</v>
      </c>
      <c r="E1392" s="2"/>
      <c r="F1392" s="2"/>
      <c r="G1392" s="2"/>
      <c r="H1392" s="2"/>
      <c r="I1392" s="2"/>
      <c r="J1392" s="2"/>
    </row>
    <row r="1393" ht="15.75" customHeight="1">
      <c r="A1393" s="4" t="str">
        <f>HYPERLINK("https://stackoverflow.com/q/51257658", "51257658")</f>
        <v>51257658</v>
      </c>
      <c r="B1393" s="2" t="s">
        <v>1435</v>
      </c>
      <c r="C1393" s="3"/>
      <c r="D1393" s="3">
        <v>280.0</v>
      </c>
      <c r="E1393" s="2"/>
      <c r="F1393" s="2"/>
      <c r="G1393" s="2"/>
      <c r="H1393" s="2"/>
      <c r="I1393" s="2"/>
      <c r="J1393" s="2"/>
    </row>
    <row r="1394" ht="15.75" customHeight="1">
      <c r="A1394" s="4" t="str">
        <f>HYPERLINK("https://stackoverflow.com/q/57216381", "57216381")</f>
        <v>57216381</v>
      </c>
      <c r="B1394" s="2" t="s">
        <v>1436</v>
      </c>
      <c r="C1394" s="3"/>
      <c r="D1394" s="3">
        <v>280.0</v>
      </c>
      <c r="E1394" s="2"/>
      <c r="F1394" s="2"/>
      <c r="G1394" s="2"/>
      <c r="H1394" s="2"/>
      <c r="I1394" s="2"/>
      <c r="J1394" s="2"/>
    </row>
    <row r="1395" ht="15.75" customHeight="1">
      <c r="A1395" s="4" t="str">
        <f>HYPERLINK("https://stackoverflow.com/q/42305224", "42305224")</f>
        <v>42305224</v>
      </c>
      <c r="B1395" s="2" t="s">
        <v>1437</v>
      </c>
      <c r="C1395" s="3"/>
      <c r="D1395" s="3">
        <v>279.0</v>
      </c>
      <c r="E1395" s="9" t="s">
        <v>11</v>
      </c>
      <c r="F1395" s="2" t="s">
        <v>18</v>
      </c>
      <c r="G1395" s="2"/>
      <c r="H1395" s="2"/>
      <c r="I1395" s="2"/>
      <c r="J1395" s="2"/>
    </row>
    <row r="1396" ht="15.75" customHeight="1">
      <c r="A1396" s="4" t="str">
        <f>HYPERLINK("https://stackoverflow.com/q/56961193", "56961193")</f>
        <v>56961193</v>
      </c>
      <c r="B1396" s="2" t="s">
        <v>1438</v>
      </c>
      <c r="C1396" s="3"/>
      <c r="D1396" s="3">
        <v>278.0</v>
      </c>
      <c r="E1396" s="2"/>
      <c r="F1396" s="2"/>
      <c r="G1396" s="2"/>
      <c r="H1396" s="2"/>
      <c r="I1396" s="2"/>
      <c r="J1396" s="2"/>
    </row>
    <row r="1397" ht="15.75" customHeight="1">
      <c r="A1397" s="4" t="str">
        <f>HYPERLINK("https://stackoverflow.com/q/59442097", "59442097")</f>
        <v>59442097</v>
      </c>
      <c r="B1397" s="2" t="s">
        <v>1439</v>
      </c>
      <c r="C1397" s="3"/>
      <c r="D1397" s="3">
        <v>278.0</v>
      </c>
      <c r="E1397" s="2"/>
      <c r="F1397" s="2"/>
      <c r="G1397" s="2"/>
      <c r="H1397" s="2"/>
      <c r="I1397" s="2"/>
      <c r="J1397" s="2"/>
    </row>
    <row r="1398" ht="15.75" customHeight="1">
      <c r="A1398" s="4" t="str">
        <f>HYPERLINK("https://stackoverflow.com/q/54271510", "54271510")</f>
        <v>54271510</v>
      </c>
      <c r="B1398" s="2" t="s">
        <v>1440</v>
      </c>
      <c r="C1398" s="3">
        <v>1.0</v>
      </c>
      <c r="D1398" s="3">
        <v>276.0</v>
      </c>
      <c r="E1398" s="9" t="s">
        <v>11</v>
      </c>
      <c r="F1398" s="2" t="s">
        <v>16</v>
      </c>
      <c r="G1398" s="2"/>
      <c r="H1398" s="2"/>
      <c r="I1398" s="2"/>
      <c r="J1398" s="2"/>
    </row>
    <row r="1399" ht="15.75" customHeight="1">
      <c r="A1399" s="4" t="str">
        <f>HYPERLINK("https://stackoverflow.com/q/45805113", "45805113")</f>
        <v>45805113</v>
      </c>
      <c r="B1399" s="2" t="s">
        <v>1441</v>
      </c>
      <c r="C1399" s="3"/>
      <c r="D1399" s="3">
        <v>276.0</v>
      </c>
      <c r="E1399" s="2"/>
      <c r="F1399" s="2"/>
      <c r="G1399" s="2"/>
      <c r="H1399" s="2"/>
      <c r="I1399" s="2"/>
      <c r="J1399" s="2"/>
    </row>
    <row r="1400" ht="15.75" customHeight="1">
      <c r="A1400" s="4" t="str">
        <f>HYPERLINK("https://stackoverflow.com/q/50629028", "50629028")</f>
        <v>50629028</v>
      </c>
      <c r="B1400" s="2" t="s">
        <v>1442</v>
      </c>
      <c r="C1400" s="3"/>
      <c r="D1400" s="3">
        <v>276.0</v>
      </c>
      <c r="E1400" s="2"/>
      <c r="F1400" s="2"/>
      <c r="G1400" s="2"/>
      <c r="H1400" s="2"/>
      <c r="I1400" s="2"/>
      <c r="J1400" s="2"/>
    </row>
    <row r="1401" ht="15.75" customHeight="1">
      <c r="A1401" s="4" t="str">
        <f>HYPERLINK("https://stackoverflow.com/q/58832626", "58832626")</f>
        <v>58832626</v>
      </c>
      <c r="B1401" s="2" t="s">
        <v>1443</v>
      </c>
      <c r="C1401" s="3"/>
      <c r="D1401" s="3">
        <v>276.0</v>
      </c>
      <c r="E1401" s="2"/>
      <c r="F1401" s="2"/>
      <c r="G1401" s="2"/>
      <c r="H1401" s="2"/>
      <c r="I1401" s="2"/>
      <c r="J1401" s="2"/>
    </row>
    <row r="1402" ht="15.75" customHeight="1">
      <c r="A1402" s="4" t="str">
        <f>HYPERLINK("https://stackoverflow.com/q/49220818", "49220818")</f>
        <v>49220818</v>
      </c>
      <c r="B1402" s="2" t="s">
        <v>1444</v>
      </c>
      <c r="C1402" s="3"/>
      <c r="D1402" s="3">
        <v>273.0</v>
      </c>
      <c r="E1402" s="2"/>
      <c r="F1402" s="2"/>
      <c r="G1402" s="2"/>
      <c r="H1402" s="2"/>
      <c r="I1402" s="2"/>
      <c r="J1402" s="2"/>
    </row>
    <row r="1403" ht="15.75" customHeight="1">
      <c r="A1403" s="4" t="str">
        <f>HYPERLINK("https://stackoverflow.com/q/58337924", "58337924")</f>
        <v>58337924</v>
      </c>
      <c r="B1403" s="2" t="s">
        <v>1445</v>
      </c>
      <c r="C1403" s="3"/>
      <c r="D1403" s="3">
        <v>273.0</v>
      </c>
      <c r="E1403" s="2"/>
      <c r="F1403" s="2"/>
      <c r="G1403" s="2"/>
      <c r="H1403" s="2"/>
      <c r="I1403" s="2"/>
      <c r="J1403" s="2"/>
    </row>
    <row r="1404" ht="15.75" customHeight="1">
      <c r="A1404" s="4" t="str">
        <f>HYPERLINK("https://stackoverflow.com/q/47795639", "47795639")</f>
        <v>47795639</v>
      </c>
      <c r="B1404" s="2" t="s">
        <v>1446</v>
      </c>
      <c r="C1404" s="3"/>
      <c r="D1404" s="3">
        <v>272.0</v>
      </c>
      <c r="E1404" s="2" t="s">
        <v>537</v>
      </c>
      <c r="F1404" s="2" t="s">
        <v>21</v>
      </c>
      <c r="G1404" s="2" t="s">
        <v>21</v>
      </c>
      <c r="H1404" s="2"/>
      <c r="I1404" s="2"/>
      <c r="J1404" s="2"/>
    </row>
    <row r="1405" ht="15.75" customHeight="1">
      <c r="A1405" s="4" t="str">
        <f>HYPERLINK("https://stackoverflow.com/q/30025388", "30025388")</f>
        <v>30025388</v>
      </c>
      <c r="B1405" s="2" t="s">
        <v>1447</v>
      </c>
      <c r="C1405" s="3"/>
      <c r="D1405" s="3">
        <v>271.0</v>
      </c>
      <c r="E1405" s="2"/>
      <c r="F1405" s="2"/>
      <c r="G1405" s="2"/>
      <c r="H1405" s="2"/>
      <c r="I1405" s="2"/>
      <c r="J1405" s="2"/>
    </row>
    <row r="1406" ht="15.75" customHeight="1">
      <c r="A1406" s="4" t="str">
        <f>HYPERLINK("https://stackoverflow.com/q/50142255", "50142255")</f>
        <v>50142255</v>
      </c>
      <c r="B1406" s="2" t="s">
        <v>1448</v>
      </c>
      <c r="C1406" s="3">
        <v>1.0</v>
      </c>
      <c r="D1406" s="3">
        <v>270.0</v>
      </c>
      <c r="E1406" s="2"/>
      <c r="F1406" s="2"/>
      <c r="G1406" s="2"/>
      <c r="H1406" s="2"/>
      <c r="I1406" s="2"/>
      <c r="J1406" s="2"/>
    </row>
    <row r="1407" ht="15.75" customHeight="1">
      <c r="A1407" s="4" t="str">
        <f>HYPERLINK("https://stackoverflow.com/q/42006707", "42006707")</f>
        <v>42006707</v>
      </c>
      <c r="B1407" s="2" t="s">
        <v>1449</v>
      </c>
      <c r="C1407" s="3"/>
      <c r="D1407" s="3">
        <v>270.0</v>
      </c>
      <c r="E1407" s="2" t="s">
        <v>11</v>
      </c>
      <c r="F1407" s="2" t="s">
        <v>44</v>
      </c>
      <c r="G1407" s="2"/>
      <c r="H1407" s="2"/>
      <c r="I1407" s="2"/>
      <c r="J1407" s="2"/>
    </row>
    <row r="1408" ht="15.75" customHeight="1">
      <c r="A1408" s="4" t="str">
        <f>HYPERLINK("https://stackoverflow.com/q/43634549", "43634549")</f>
        <v>43634549</v>
      </c>
      <c r="B1408" s="2" t="s">
        <v>1450</v>
      </c>
      <c r="C1408" s="3"/>
      <c r="D1408" s="3">
        <v>270.0</v>
      </c>
      <c r="E1408" s="2" t="s">
        <v>11</v>
      </c>
      <c r="F1408" s="2" t="s">
        <v>73</v>
      </c>
      <c r="G1408" s="2"/>
      <c r="H1408" s="2"/>
      <c r="I1408" s="2"/>
      <c r="J1408" s="2"/>
    </row>
    <row r="1409" ht="15.75" customHeight="1">
      <c r="A1409" s="4" t="str">
        <f>HYPERLINK("https://stackoverflow.com/q/53884162", "53884162")</f>
        <v>53884162</v>
      </c>
      <c r="B1409" s="2" t="s">
        <v>1451</v>
      </c>
      <c r="C1409" s="3"/>
      <c r="D1409" s="3">
        <v>270.0</v>
      </c>
      <c r="E1409" s="2" t="s">
        <v>72</v>
      </c>
      <c r="F1409" s="2" t="s">
        <v>506</v>
      </c>
      <c r="G1409" s="2"/>
      <c r="H1409" s="2"/>
      <c r="I1409" s="2"/>
      <c r="J1409" s="2"/>
    </row>
    <row r="1410" ht="15.75" customHeight="1">
      <c r="A1410" s="4" t="str">
        <f>HYPERLINK("https://stackoverflow.com/q/41351244", "41351244")</f>
        <v>41351244</v>
      </c>
      <c r="B1410" s="2" t="s">
        <v>1452</v>
      </c>
      <c r="C1410" s="3"/>
      <c r="D1410" s="3">
        <v>269.0</v>
      </c>
      <c r="E1410" s="2"/>
      <c r="F1410" s="2"/>
      <c r="G1410" s="2"/>
      <c r="H1410" s="2"/>
      <c r="I1410" s="2"/>
      <c r="J1410" s="2"/>
    </row>
    <row r="1411" ht="15.75" customHeight="1">
      <c r="A1411" s="4" t="str">
        <f>HYPERLINK("https://stackoverflow.com/q/50713215", "50713215")</f>
        <v>50713215</v>
      </c>
      <c r="B1411" s="2" t="s">
        <v>1453</v>
      </c>
      <c r="C1411" s="3"/>
      <c r="D1411" s="3">
        <v>269.0</v>
      </c>
      <c r="E1411" s="2"/>
      <c r="F1411" s="2"/>
      <c r="G1411" s="2"/>
      <c r="H1411" s="2"/>
      <c r="I1411" s="2"/>
      <c r="J1411" s="2"/>
    </row>
    <row r="1412" ht="15.75" customHeight="1">
      <c r="A1412" s="4" t="str">
        <f>HYPERLINK("https://stackoverflow.com/q/55304547", "55304547")</f>
        <v>55304547</v>
      </c>
      <c r="B1412" s="2" t="s">
        <v>1454</v>
      </c>
      <c r="C1412" s="3">
        <v>2.0</v>
      </c>
      <c r="D1412" s="3">
        <v>268.0</v>
      </c>
      <c r="E1412" s="2" t="s">
        <v>59</v>
      </c>
      <c r="F1412" s="2" t="s">
        <v>21</v>
      </c>
      <c r="G1412" s="2"/>
      <c r="H1412" s="2"/>
      <c r="I1412" s="2"/>
      <c r="J1412" s="2"/>
    </row>
    <row r="1413" ht="15.75" customHeight="1">
      <c r="A1413" s="4" t="str">
        <f>HYPERLINK("https://stackoverflow.com/q/54754818", "54754818")</f>
        <v>54754818</v>
      </c>
      <c r="B1413" s="2" t="s">
        <v>1455</v>
      </c>
      <c r="C1413" s="3"/>
      <c r="D1413" s="3">
        <v>268.0</v>
      </c>
      <c r="E1413" s="2" t="s">
        <v>11</v>
      </c>
      <c r="F1413" s="2" t="s">
        <v>35</v>
      </c>
      <c r="G1413" s="2"/>
      <c r="H1413" s="2"/>
      <c r="I1413" s="2"/>
      <c r="J1413" s="2"/>
    </row>
    <row r="1414" ht="15.75" customHeight="1">
      <c r="A1414" s="4" t="str">
        <f>HYPERLINK("https://stackoverflow.com/q/51739637", "51739637")</f>
        <v>51739637</v>
      </c>
      <c r="B1414" s="2" t="s">
        <v>1456</v>
      </c>
      <c r="C1414" s="3"/>
      <c r="D1414" s="3">
        <v>268.0</v>
      </c>
      <c r="E1414" s="2"/>
      <c r="F1414" s="2"/>
      <c r="G1414" s="2"/>
      <c r="H1414" s="2"/>
      <c r="I1414" s="2"/>
      <c r="J1414" s="2"/>
    </row>
    <row r="1415" ht="15.75" customHeight="1">
      <c r="A1415" s="4" t="str">
        <f>HYPERLINK("https://stackoverflow.com/q/49175094", "49175094")</f>
        <v>49175094</v>
      </c>
      <c r="B1415" s="2" t="s">
        <v>1457</v>
      </c>
      <c r="C1415" s="3"/>
      <c r="D1415" s="3">
        <v>267.0</v>
      </c>
      <c r="E1415" s="2"/>
      <c r="F1415" s="2"/>
      <c r="G1415" s="2"/>
      <c r="H1415" s="2"/>
      <c r="I1415" s="2"/>
      <c r="J1415" s="2"/>
    </row>
    <row r="1416" ht="15.75" customHeight="1">
      <c r="A1416" s="4" t="str">
        <f>HYPERLINK("https://stackoverflow.com/q/57762017", "57762017")</f>
        <v>57762017</v>
      </c>
      <c r="B1416" s="2" t="s">
        <v>1458</v>
      </c>
      <c r="C1416" s="3">
        <v>1.0</v>
      </c>
      <c r="D1416" s="3">
        <v>266.0</v>
      </c>
      <c r="E1416" s="2"/>
      <c r="F1416" s="2"/>
      <c r="G1416" s="2"/>
      <c r="H1416" s="2"/>
      <c r="I1416" s="2"/>
      <c r="J1416" s="2"/>
    </row>
    <row r="1417" ht="15.75" customHeight="1">
      <c r="A1417" s="4" t="str">
        <f>HYPERLINK("https://stackoverflow.com/q/26634391", "26634391")</f>
        <v>26634391</v>
      </c>
      <c r="B1417" s="2" t="s">
        <v>1459</v>
      </c>
      <c r="C1417" s="3"/>
      <c r="D1417" s="3">
        <v>266.0</v>
      </c>
      <c r="E1417" s="2"/>
      <c r="F1417" s="2"/>
      <c r="G1417" s="2"/>
      <c r="H1417" s="2"/>
      <c r="I1417" s="2"/>
      <c r="J1417" s="2"/>
    </row>
    <row r="1418" ht="15.75" customHeight="1">
      <c r="A1418" s="4" t="str">
        <f>HYPERLINK("https://stackoverflow.com/q/45686397", "45686397")</f>
        <v>45686397</v>
      </c>
      <c r="B1418" s="2" t="s">
        <v>1460</v>
      </c>
      <c r="C1418" s="3"/>
      <c r="D1418" s="3">
        <v>266.0</v>
      </c>
      <c r="E1418" s="2"/>
      <c r="F1418" s="2"/>
      <c r="G1418" s="2"/>
      <c r="H1418" s="2"/>
      <c r="I1418" s="2"/>
      <c r="J1418" s="2"/>
    </row>
    <row r="1419" ht="15.75" customHeight="1">
      <c r="A1419" s="4" t="str">
        <f>HYPERLINK("https://stackoverflow.com/q/51853310", "51853310")</f>
        <v>51853310</v>
      </c>
      <c r="B1419" s="2" t="s">
        <v>1461</v>
      </c>
      <c r="C1419" s="3"/>
      <c r="D1419" s="3">
        <v>266.0</v>
      </c>
      <c r="E1419" s="2"/>
      <c r="F1419" s="2"/>
      <c r="G1419" s="2"/>
      <c r="H1419" s="2"/>
      <c r="I1419" s="2"/>
      <c r="J1419" s="2"/>
    </row>
    <row r="1420" ht="15.75" customHeight="1">
      <c r="A1420" s="4" t="str">
        <f>HYPERLINK("https://stackoverflow.com/q/48284673", "48284673")</f>
        <v>48284673</v>
      </c>
      <c r="B1420" s="2" t="s">
        <v>1462</v>
      </c>
      <c r="C1420" s="3">
        <v>1.0</v>
      </c>
      <c r="D1420" s="3">
        <v>265.0</v>
      </c>
      <c r="E1420" s="2"/>
      <c r="F1420" s="2"/>
      <c r="G1420" s="2"/>
      <c r="H1420" s="2"/>
      <c r="I1420" s="2"/>
      <c r="J1420" s="2"/>
    </row>
    <row r="1421" ht="15.75" customHeight="1">
      <c r="A1421" s="4" t="str">
        <f>HYPERLINK("https://stackoverflow.com/q/49803583", "49803583")</f>
        <v>49803583</v>
      </c>
      <c r="B1421" s="2" t="s">
        <v>1463</v>
      </c>
      <c r="C1421" s="3">
        <v>2.0</v>
      </c>
      <c r="D1421" s="3">
        <v>264.0</v>
      </c>
      <c r="E1421" s="2"/>
      <c r="F1421" s="2"/>
      <c r="G1421" s="2"/>
      <c r="H1421" s="2"/>
      <c r="I1421" s="2"/>
      <c r="J1421" s="2"/>
    </row>
    <row r="1422" ht="15.75" customHeight="1">
      <c r="A1422" s="4" t="str">
        <f>HYPERLINK("https://stackoverflow.com/q/58307208", "58307208")</f>
        <v>58307208</v>
      </c>
      <c r="B1422" s="2" t="s">
        <v>1464</v>
      </c>
      <c r="C1422" s="3"/>
      <c r="D1422" s="3">
        <v>264.0</v>
      </c>
      <c r="E1422" s="2"/>
      <c r="F1422" s="2"/>
      <c r="G1422" s="2"/>
      <c r="H1422" s="2"/>
      <c r="I1422" s="2"/>
      <c r="J1422" s="2"/>
    </row>
    <row r="1423" ht="15.75" customHeight="1">
      <c r="A1423" s="4" t="str">
        <f>HYPERLINK("https://stackoverflow.com/q/51077496", "51077496")</f>
        <v>51077496</v>
      </c>
      <c r="B1423" s="2" t="s">
        <v>1465</v>
      </c>
      <c r="C1423" s="3"/>
      <c r="D1423" s="3">
        <v>263.0</v>
      </c>
      <c r="E1423" s="2"/>
      <c r="F1423" s="2"/>
      <c r="G1423" s="2"/>
      <c r="H1423" s="2"/>
      <c r="I1423" s="2"/>
      <c r="J1423" s="2"/>
    </row>
    <row r="1424" ht="15.75" customHeight="1">
      <c r="A1424" s="4" t="str">
        <f>HYPERLINK("https://stackoverflow.com/q/56140676", "56140676")</f>
        <v>56140676</v>
      </c>
      <c r="B1424" s="2" t="s">
        <v>1466</v>
      </c>
      <c r="C1424" s="3"/>
      <c r="D1424" s="3">
        <v>263.0</v>
      </c>
      <c r="E1424" s="2"/>
      <c r="F1424" s="2"/>
      <c r="G1424" s="2"/>
      <c r="H1424" s="2"/>
      <c r="I1424" s="2"/>
      <c r="J1424" s="2"/>
    </row>
    <row r="1425" ht="15.75" customHeight="1">
      <c r="A1425" s="4" t="str">
        <f>HYPERLINK("https://stackoverflow.com/q/58644060", "58644060")</f>
        <v>58644060</v>
      </c>
      <c r="B1425" s="2" t="s">
        <v>1467</v>
      </c>
      <c r="C1425" s="3"/>
      <c r="D1425" s="3">
        <v>263.0</v>
      </c>
      <c r="E1425" s="2"/>
      <c r="F1425" s="2"/>
      <c r="G1425" s="2"/>
      <c r="H1425" s="2"/>
      <c r="I1425" s="2"/>
      <c r="J1425" s="2"/>
    </row>
    <row r="1426" ht="15.75" customHeight="1">
      <c r="A1426" s="4" t="str">
        <f>HYPERLINK("https://stackoverflow.com/q/51384016", "51384016")</f>
        <v>51384016</v>
      </c>
      <c r="B1426" s="2" t="s">
        <v>1468</v>
      </c>
      <c r="C1426" s="3"/>
      <c r="D1426" s="3">
        <v>262.0</v>
      </c>
      <c r="E1426" s="9" t="s">
        <v>11</v>
      </c>
      <c r="F1426" s="2" t="s">
        <v>18</v>
      </c>
      <c r="G1426" s="2" t="s">
        <v>34</v>
      </c>
      <c r="H1426" s="2"/>
      <c r="I1426" s="2"/>
      <c r="J1426" s="2"/>
    </row>
    <row r="1427" ht="15.75" customHeight="1">
      <c r="A1427" s="4" t="str">
        <f>HYPERLINK("https://stackoverflow.com/q/41233968", "41233968")</f>
        <v>41233968</v>
      </c>
      <c r="B1427" s="2" t="s">
        <v>1469</v>
      </c>
      <c r="C1427" s="3"/>
      <c r="D1427" s="3">
        <v>261.0</v>
      </c>
      <c r="E1427" s="2"/>
      <c r="F1427" s="2"/>
      <c r="G1427" s="2"/>
      <c r="H1427" s="2"/>
      <c r="I1427" s="2"/>
      <c r="J1427" s="2"/>
    </row>
    <row r="1428" ht="15.75" customHeight="1">
      <c r="A1428" s="4" t="str">
        <f>HYPERLINK("https://stackoverflow.com/q/15045253", "15045253")</f>
        <v>15045253</v>
      </c>
      <c r="B1428" s="2" t="s">
        <v>1470</v>
      </c>
      <c r="C1428" s="3"/>
      <c r="D1428" s="3">
        <v>260.0</v>
      </c>
      <c r="E1428" s="2"/>
      <c r="F1428" s="2"/>
      <c r="G1428" s="2"/>
      <c r="H1428" s="2"/>
      <c r="I1428" s="2"/>
      <c r="J1428" s="2"/>
    </row>
    <row r="1429" ht="15.75" customHeight="1">
      <c r="A1429" s="4" t="str">
        <f>HYPERLINK("https://stackoverflow.com/q/36070513", "36070513")</f>
        <v>36070513</v>
      </c>
      <c r="B1429" s="2" t="s">
        <v>1471</v>
      </c>
      <c r="C1429" s="3"/>
      <c r="D1429" s="3">
        <v>260.0</v>
      </c>
      <c r="E1429" s="2"/>
      <c r="F1429" s="2"/>
      <c r="G1429" s="2"/>
      <c r="H1429" s="2"/>
      <c r="I1429" s="2"/>
      <c r="J1429" s="2"/>
    </row>
    <row r="1430" ht="15.75" customHeight="1">
      <c r="A1430" s="4" t="str">
        <f>HYPERLINK("https://stackoverflow.com/q/51483123", "51483123")</f>
        <v>51483123</v>
      </c>
      <c r="B1430" s="2" t="s">
        <v>1472</v>
      </c>
      <c r="C1430" s="3"/>
      <c r="D1430" s="3">
        <v>260.0</v>
      </c>
      <c r="E1430" s="2"/>
      <c r="F1430" s="2"/>
      <c r="G1430" s="2"/>
      <c r="H1430" s="2"/>
      <c r="I1430" s="2"/>
      <c r="J1430" s="2"/>
    </row>
    <row r="1431" ht="15.75" customHeight="1">
      <c r="A1431" s="4" t="str">
        <f>HYPERLINK("https://stackoverflow.com/q/52045267", "52045267")</f>
        <v>52045267</v>
      </c>
      <c r="B1431" s="2" t="s">
        <v>1473</v>
      </c>
      <c r="C1431" s="3"/>
      <c r="D1431" s="3">
        <v>260.0</v>
      </c>
      <c r="E1431" s="2"/>
      <c r="F1431" s="2"/>
      <c r="G1431" s="2"/>
      <c r="H1431" s="2"/>
      <c r="I1431" s="2"/>
      <c r="J1431" s="2"/>
    </row>
    <row r="1432" ht="15.75" customHeight="1">
      <c r="A1432" s="4" t="str">
        <f>HYPERLINK("https://stackoverflow.com/q/56420263", "56420263")</f>
        <v>56420263</v>
      </c>
      <c r="B1432" s="2" t="s">
        <v>1474</v>
      </c>
      <c r="C1432" s="3"/>
      <c r="D1432" s="3">
        <v>260.0</v>
      </c>
      <c r="E1432" s="2"/>
      <c r="F1432" s="2"/>
      <c r="G1432" s="2"/>
      <c r="H1432" s="2"/>
      <c r="I1432" s="2"/>
      <c r="J1432" s="2"/>
    </row>
    <row r="1433" ht="15.75" customHeight="1">
      <c r="A1433" s="4" t="str">
        <f>HYPERLINK("https://stackoverflow.com/q/52436007", "52436007")</f>
        <v>52436007</v>
      </c>
      <c r="B1433" s="2" t="s">
        <v>1475</v>
      </c>
      <c r="C1433" s="3"/>
      <c r="D1433" s="3">
        <v>259.0</v>
      </c>
      <c r="E1433" s="2"/>
      <c r="F1433" s="2"/>
      <c r="G1433" s="2"/>
      <c r="H1433" s="2"/>
      <c r="I1433" s="2"/>
      <c r="J1433" s="2"/>
    </row>
    <row r="1434" ht="15.75" customHeight="1">
      <c r="A1434" s="4" t="str">
        <f>HYPERLINK("https://stackoverflow.com/q/57304116", "57304116")</f>
        <v>57304116</v>
      </c>
      <c r="B1434" s="2" t="s">
        <v>1476</v>
      </c>
      <c r="C1434" s="3"/>
      <c r="D1434" s="3">
        <v>259.0</v>
      </c>
      <c r="E1434" s="2"/>
      <c r="F1434" s="2"/>
      <c r="G1434" s="2"/>
      <c r="H1434" s="2"/>
      <c r="I1434" s="2"/>
      <c r="J1434" s="2"/>
    </row>
    <row r="1435" ht="15.75" customHeight="1">
      <c r="A1435" s="4" t="str">
        <f>HYPERLINK("https://stackoverflow.com/q/51884008", "51884008")</f>
        <v>51884008</v>
      </c>
      <c r="B1435" s="2" t="s">
        <v>1477</v>
      </c>
      <c r="C1435" s="3"/>
      <c r="D1435" s="3">
        <v>257.0</v>
      </c>
      <c r="E1435" s="2" t="s">
        <v>20</v>
      </c>
      <c r="F1435" s="2" t="s">
        <v>34</v>
      </c>
      <c r="G1435" s="2"/>
      <c r="H1435" s="2"/>
      <c r="I1435" s="2"/>
      <c r="J1435" s="2"/>
    </row>
    <row r="1436" ht="15.75" customHeight="1">
      <c r="A1436" s="4" t="str">
        <f>HYPERLINK("https://stackoverflow.com/q/46483388", "46483388")</f>
        <v>46483388</v>
      </c>
      <c r="B1436" s="2" t="s">
        <v>1478</v>
      </c>
      <c r="C1436" s="3"/>
      <c r="D1436" s="3">
        <v>257.0</v>
      </c>
      <c r="E1436" s="2" t="s">
        <v>11</v>
      </c>
      <c r="F1436" s="2" t="s">
        <v>35</v>
      </c>
      <c r="G1436" s="2"/>
      <c r="H1436" s="2"/>
      <c r="I1436" s="2"/>
      <c r="J1436" s="2"/>
    </row>
    <row r="1437" ht="15.75" customHeight="1">
      <c r="A1437" s="4" t="str">
        <f>HYPERLINK("https://stackoverflow.com/q/45120914", "45120914")</f>
        <v>45120914</v>
      </c>
      <c r="B1437" s="2" t="s">
        <v>1479</v>
      </c>
      <c r="C1437" s="3"/>
      <c r="D1437" s="3">
        <v>257.0</v>
      </c>
      <c r="E1437" s="2"/>
      <c r="F1437" s="2"/>
      <c r="G1437" s="2"/>
      <c r="H1437" s="2"/>
      <c r="I1437" s="2"/>
      <c r="J1437" s="2"/>
    </row>
    <row r="1438" ht="15.75" customHeight="1">
      <c r="A1438" s="4" t="str">
        <f>HYPERLINK("https://stackoverflow.com/q/46558510", "46558510")</f>
        <v>46558510</v>
      </c>
      <c r="B1438" s="2" t="s">
        <v>1480</v>
      </c>
      <c r="C1438" s="3"/>
      <c r="D1438" s="3">
        <v>256.0</v>
      </c>
      <c r="E1438" s="2" t="s">
        <v>11</v>
      </c>
      <c r="F1438" s="2" t="s">
        <v>263</v>
      </c>
      <c r="G1438" s="2"/>
      <c r="H1438" s="2"/>
      <c r="I1438" s="2"/>
      <c r="J1438" s="2"/>
    </row>
    <row r="1439" ht="15.75" customHeight="1">
      <c r="A1439" s="4" t="str">
        <f>HYPERLINK("https://stackoverflow.com/q/47910518", "47910518")</f>
        <v>47910518</v>
      </c>
      <c r="B1439" s="2" t="s">
        <v>1481</v>
      </c>
      <c r="C1439" s="3"/>
      <c r="D1439" s="3">
        <v>256.0</v>
      </c>
      <c r="E1439" s="2" t="s">
        <v>11</v>
      </c>
      <c r="F1439" s="2" t="s">
        <v>25</v>
      </c>
      <c r="G1439" s="2"/>
      <c r="H1439" s="2"/>
      <c r="I1439" s="2"/>
      <c r="J1439" s="2"/>
    </row>
    <row r="1440" ht="15.75" customHeight="1">
      <c r="A1440" s="4" t="str">
        <f>HYPERLINK("https://stackoverflow.com/q/49157019", "49157019")</f>
        <v>49157019</v>
      </c>
      <c r="B1440" s="2" t="s">
        <v>1482</v>
      </c>
      <c r="C1440" s="3"/>
      <c r="D1440" s="3">
        <v>256.0</v>
      </c>
      <c r="E1440" s="2"/>
      <c r="F1440" s="2"/>
      <c r="G1440" s="2"/>
      <c r="H1440" s="2"/>
      <c r="I1440" s="2"/>
      <c r="J1440" s="2"/>
    </row>
    <row r="1441" ht="15.75" customHeight="1">
      <c r="A1441" s="4" t="str">
        <f>HYPERLINK("https://stackoverflow.com/q/49428459", "49428459")</f>
        <v>49428459</v>
      </c>
      <c r="B1441" s="2" t="s">
        <v>1483</v>
      </c>
      <c r="C1441" s="3"/>
      <c r="D1441" s="3">
        <v>256.0</v>
      </c>
      <c r="E1441" s="2"/>
      <c r="F1441" s="2"/>
      <c r="G1441" s="2"/>
      <c r="H1441" s="2"/>
      <c r="I1441" s="2"/>
      <c r="J1441" s="2"/>
    </row>
    <row r="1442" ht="15.75" customHeight="1">
      <c r="A1442" s="4" t="str">
        <f>HYPERLINK("https://stackoverflow.com/q/49848538", "49848538")</f>
        <v>49848538</v>
      </c>
      <c r="B1442" s="2" t="s">
        <v>1484</v>
      </c>
      <c r="C1442" s="3"/>
      <c r="D1442" s="3">
        <v>255.0</v>
      </c>
      <c r="E1442" s="2"/>
      <c r="F1442" s="2"/>
      <c r="G1442" s="2"/>
      <c r="H1442" s="2"/>
      <c r="I1442" s="2"/>
      <c r="J1442" s="2"/>
    </row>
    <row r="1443" ht="15.75" customHeight="1">
      <c r="A1443" s="4" t="str">
        <f>HYPERLINK("https://stackoverflow.com/q/58804879", "58804879")</f>
        <v>58804879</v>
      </c>
      <c r="B1443" s="2" t="s">
        <v>1485</v>
      </c>
      <c r="C1443" s="3"/>
      <c r="D1443" s="3">
        <v>255.0</v>
      </c>
      <c r="E1443" s="2"/>
      <c r="F1443" s="2"/>
      <c r="G1443" s="2"/>
      <c r="H1443" s="2"/>
      <c r="I1443" s="2"/>
      <c r="J1443" s="2"/>
    </row>
    <row r="1444" ht="15.75" customHeight="1">
      <c r="A1444" s="4" t="str">
        <f>HYPERLINK("https://stackoverflow.com/q/37489706", "37489706")</f>
        <v>37489706</v>
      </c>
      <c r="B1444" s="2" t="s">
        <v>1486</v>
      </c>
      <c r="C1444" s="3">
        <v>1.0</v>
      </c>
      <c r="D1444" s="3">
        <v>254.0</v>
      </c>
      <c r="E1444" s="2"/>
      <c r="F1444" s="2"/>
      <c r="G1444" s="2"/>
      <c r="H1444" s="2"/>
      <c r="I1444" s="2"/>
      <c r="J1444" s="2"/>
    </row>
    <row r="1445" ht="15.75" customHeight="1">
      <c r="A1445" s="4" t="str">
        <f>HYPERLINK("https://stackoverflow.com/q/50280733", "50280733")</f>
        <v>50280733</v>
      </c>
      <c r="B1445" s="2" t="s">
        <v>1487</v>
      </c>
      <c r="C1445" s="3"/>
      <c r="D1445" s="3">
        <v>254.0</v>
      </c>
      <c r="E1445" s="2"/>
      <c r="F1445" s="2"/>
      <c r="G1445" s="2"/>
      <c r="H1445" s="2"/>
      <c r="I1445" s="2"/>
      <c r="J1445" s="2"/>
    </row>
    <row r="1446" ht="15.75" customHeight="1">
      <c r="A1446" s="4" t="str">
        <f>HYPERLINK("https://stackoverflow.com/q/53538056", "53538056")</f>
        <v>53538056</v>
      </c>
      <c r="B1446" s="2" t="s">
        <v>1488</v>
      </c>
      <c r="C1446" s="3"/>
      <c r="D1446" s="3">
        <v>254.0</v>
      </c>
      <c r="E1446" s="2"/>
      <c r="F1446" s="2"/>
      <c r="G1446" s="2"/>
      <c r="H1446" s="2"/>
      <c r="I1446" s="2"/>
      <c r="J1446" s="2"/>
    </row>
    <row r="1447" ht="15.75" customHeight="1">
      <c r="A1447" s="4" t="str">
        <f>HYPERLINK("https://stackoverflow.com/q/60763258", "60763258")</f>
        <v>60763258</v>
      </c>
      <c r="B1447" s="2" t="s">
        <v>1489</v>
      </c>
      <c r="C1447" s="3"/>
      <c r="D1447" s="3">
        <v>254.0</v>
      </c>
      <c r="E1447" s="2"/>
      <c r="F1447" s="2"/>
      <c r="G1447" s="2"/>
      <c r="H1447" s="2"/>
      <c r="I1447" s="2"/>
      <c r="J1447" s="2"/>
    </row>
    <row r="1448" ht="15.75" customHeight="1">
      <c r="A1448" s="4" t="str">
        <f>HYPERLINK("https://stackoverflow.com/q/45928071", "45928071")</f>
        <v>45928071</v>
      </c>
      <c r="B1448" s="2" t="s">
        <v>1490</v>
      </c>
      <c r="C1448" s="3"/>
      <c r="D1448" s="3">
        <v>253.0</v>
      </c>
      <c r="E1448" s="2"/>
      <c r="F1448" s="2"/>
      <c r="G1448" s="2"/>
      <c r="H1448" s="2"/>
      <c r="I1448" s="2"/>
      <c r="J1448" s="2"/>
    </row>
    <row r="1449" ht="15.75" customHeight="1">
      <c r="A1449" s="4" t="str">
        <f>HYPERLINK("https://stackoverflow.com/q/49379459", "49379459")</f>
        <v>49379459</v>
      </c>
      <c r="B1449" s="2" t="s">
        <v>1491</v>
      </c>
      <c r="C1449" s="3"/>
      <c r="D1449" s="3">
        <v>253.0</v>
      </c>
      <c r="E1449" s="2"/>
      <c r="F1449" s="2"/>
      <c r="G1449" s="2"/>
      <c r="H1449" s="2"/>
      <c r="I1449" s="2"/>
      <c r="J1449" s="2"/>
    </row>
    <row r="1450" ht="15.75" customHeight="1">
      <c r="A1450" s="4" t="str">
        <f>HYPERLINK("https://stackoverflow.com/q/53267924", "53267924")</f>
        <v>53267924</v>
      </c>
      <c r="B1450" s="2" t="s">
        <v>1492</v>
      </c>
      <c r="C1450" s="3"/>
      <c r="D1450" s="3">
        <v>253.0</v>
      </c>
      <c r="E1450" s="2"/>
      <c r="F1450" s="2"/>
      <c r="G1450" s="2"/>
      <c r="H1450" s="2"/>
      <c r="I1450" s="2"/>
      <c r="J1450" s="2"/>
    </row>
    <row r="1451" ht="15.75" customHeight="1">
      <c r="A1451" s="4" t="str">
        <f>HYPERLINK("https://stackoverflow.com/q/54884332", "54884332")</f>
        <v>54884332</v>
      </c>
      <c r="B1451" s="2" t="s">
        <v>1493</v>
      </c>
      <c r="C1451" s="3"/>
      <c r="D1451" s="3">
        <v>252.0</v>
      </c>
      <c r="E1451" s="2" t="s">
        <v>11</v>
      </c>
      <c r="F1451" s="2" t="s">
        <v>56</v>
      </c>
      <c r="G1451" s="2"/>
      <c r="H1451" s="2"/>
      <c r="I1451" s="2"/>
      <c r="J1451" s="2"/>
    </row>
    <row r="1452" ht="15.75" customHeight="1">
      <c r="A1452" s="4" t="str">
        <f>HYPERLINK("https://stackoverflow.com/q/57163127", "57163127")</f>
        <v>57163127</v>
      </c>
      <c r="B1452" s="2" t="s">
        <v>1494</v>
      </c>
      <c r="C1452" s="3"/>
      <c r="D1452" s="3">
        <v>252.0</v>
      </c>
      <c r="E1452" s="2"/>
      <c r="F1452" s="2"/>
      <c r="G1452" s="2"/>
      <c r="H1452" s="2"/>
      <c r="I1452" s="2"/>
      <c r="J1452" s="2"/>
    </row>
    <row r="1453" ht="15.75" customHeight="1">
      <c r="A1453" s="4" t="str">
        <f>HYPERLINK("https://stackoverflow.com/q/57494649", "57494649")</f>
        <v>57494649</v>
      </c>
      <c r="B1453" s="2" t="s">
        <v>1495</v>
      </c>
      <c r="C1453" s="3"/>
      <c r="D1453" s="3">
        <v>252.0</v>
      </c>
      <c r="E1453" s="2"/>
      <c r="F1453" s="2"/>
      <c r="G1453" s="2"/>
      <c r="H1453" s="2"/>
      <c r="I1453" s="2"/>
      <c r="J1453" s="2"/>
    </row>
    <row r="1454" ht="15.75" customHeight="1">
      <c r="A1454" s="4" t="str">
        <f>HYPERLINK("https://stackoverflow.com/q/60609166", "60609166")</f>
        <v>60609166</v>
      </c>
      <c r="B1454" s="2" t="s">
        <v>1496</v>
      </c>
      <c r="C1454" s="3"/>
      <c r="D1454" s="3">
        <v>252.0</v>
      </c>
      <c r="E1454" s="2"/>
      <c r="F1454" s="2"/>
      <c r="G1454" s="2"/>
      <c r="H1454" s="2"/>
      <c r="I1454" s="2"/>
      <c r="J1454" s="2"/>
    </row>
    <row r="1455" ht="15.75" customHeight="1">
      <c r="A1455" s="4" t="str">
        <f>HYPERLINK("https://stackoverflow.com/q/54178050", "54178050")</f>
        <v>54178050</v>
      </c>
      <c r="B1455" s="2" t="s">
        <v>1497</v>
      </c>
      <c r="C1455" s="3"/>
      <c r="D1455" s="3">
        <v>251.0</v>
      </c>
      <c r="E1455" s="9" t="s">
        <v>11</v>
      </c>
      <c r="F1455" s="2" t="s">
        <v>18</v>
      </c>
      <c r="G1455" s="2"/>
      <c r="H1455" s="2"/>
      <c r="I1455" s="2"/>
      <c r="J1455" s="2"/>
    </row>
    <row r="1456" ht="15.75" customHeight="1">
      <c r="A1456" s="4" t="str">
        <f>HYPERLINK("https://stackoverflow.com/q/35618897", "35618897")</f>
        <v>35618897</v>
      </c>
      <c r="B1456" s="2" t="s">
        <v>1498</v>
      </c>
      <c r="C1456" s="3"/>
      <c r="D1456" s="3">
        <v>251.0</v>
      </c>
      <c r="E1456" s="2"/>
      <c r="F1456" s="2"/>
      <c r="G1456" s="2"/>
      <c r="H1456" s="2"/>
      <c r="I1456" s="2"/>
      <c r="J1456" s="2"/>
    </row>
    <row r="1457" ht="15.75" customHeight="1">
      <c r="A1457" s="4" t="str">
        <f>HYPERLINK("https://stackoverflow.com/q/44980903", "44980903")</f>
        <v>44980903</v>
      </c>
      <c r="B1457" s="2" t="s">
        <v>1499</v>
      </c>
      <c r="C1457" s="3"/>
      <c r="D1457" s="3">
        <v>251.0</v>
      </c>
      <c r="E1457" s="2"/>
      <c r="F1457" s="2"/>
      <c r="G1457" s="2"/>
      <c r="H1457" s="2"/>
      <c r="I1457" s="2"/>
      <c r="J1457" s="2"/>
    </row>
    <row r="1458" ht="15.75" customHeight="1">
      <c r="A1458" s="4" t="str">
        <f>HYPERLINK("https://stackoverflow.com/q/44106979", "44106979")</f>
        <v>44106979</v>
      </c>
      <c r="B1458" s="2" t="s">
        <v>1500</v>
      </c>
      <c r="C1458" s="3"/>
      <c r="D1458" s="3">
        <v>250.0</v>
      </c>
      <c r="E1458" s="9" t="s">
        <v>11</v>
      </c>
      <c r="F1458" s="2" t="s">
        <v>18</v>
      </c>
      <c r="G1458" s="2" t="s">
        <v>44</v>
      </c>
      <c r="H1458" s="2"/>
      <c r="I1458" s="2"/>
      <c r="J1458" s="2"/>
    </row>
    <row r="1459" ht="15.75" customHeight="1">
      <c r="A1459" s="4" t="str">
        <f>HYPERLINK("https://stackoverflow.com/q/7383641", "7383641")</f>
        <v>7383641</v>
      </c>
      <c r="B1459" s="2" t="s">
        <v>1501</v>
      </c>
      <c r="C1459" s="3"/>
      <c r="D1459" s="3">
        <v>250.0</v>
      </c>
      <c r="E1459" s="2" t="s">
        <v>11</v>
      </c>
      <c r="F1459" s="2" t="s">
        <v>25</v>
      </c>
      <c r="G1459" s="2"/>
      <c r="H1459" s="2"/>
      <c r="I1459" s="2"/>
      <c r="J1459" s="2"/>
    </row>
    <row r="1460" ht="15.75" customHeight="1">
      <c r="A1460" s="4" t="str">
        <f>HYPERLINK("https://stackoverflow.com/q/44800423", "44800423")</f>
        <v>44800423</v>
      </c>
      <c r="B1460" s="2" t="s">
        <v>1502</v>
      </c>
      <c r="C1460" s="3"/>
      <c r="D1460" s="3">
        <v>250.0</v>
      </c>
      <c r="E1460" s="2"/>
      <c r="F1460" s="2"/>
      <c r="G1460" s="2"/>
      <c r="H1460" s="2"/>
      <c r="I1460" s="2"/>
      <c r="J1460" s="2"/>
    </row>
    <row r="1461" ht="15.75" customHeight="1">
      <c r="A1461" s="4" t="str">
        <f>HYPERLINK("https://stackoverflow.com/q/56838816", "56838816")</f>
        <v>56838816</v>
      </c>
      <c r="B1461" s="2" t="s">
        <v>1503</v>
      </c>
      <c r="C1461" s="3"/>
      <c r="D1461" s="3">
        <v>250.0</v>
      </c>
      <c r="E1461" s="2"/>
      <c r="F1461" s="2"/>
      <c r="G1461" s="2"/>
      <c r="H1461" s="2"/>
      <c r="I1461" s="2"/>
      <c r="J1461" s="2"/>
    </row>
    <row r="1462" ht="15.75" customHeight="1">
      <c r="A1462" s="4" t="str">
        <f>HYPERLINK("https://stackoverflow.com/q/57775247", "57775247")</f>
        <v>57775247</v>
      </c>
      <c r="B1462" s="2" t="s">
        <v>1504</v>
      </c>
      <c r="C1462" s="3"/>
      <c r="D1462" s="3">
        <v>250.0</v>
      </c>
      <c r="E1462" s="2"/>
      <c r="F1462" s="2"/>
      <c r="G1462" s="2"/>
      <c r="H1462" s="2"/>
      <c r="I1462" s="2"/>
      <c r="J1462" s="2"/>
    </row>
    <row r="1463" ht="15.75" customHeight="1">
      <c r="A1463" s="4" t="str">
        <f>HYPERLINK("https://stackoverflow.com/q/47442099", "47442099")</f>
        <v>47442099</v>
      </c>
      <c r="B1463" s="2" t="s">
        <v>1505</v>
      </c>
      <c r="C1463" s="3"/>
      <c r="D1463" s="3">
        <v>249.0</v>
      </c>
      <c r="E1463" s="2" t="s">
        <v>11</v>
      </c>
      <c r="F1463" s="2" t="s">
        <v>35</v>
      </c>
      <c r="G1463" s="2"/>
      <c r="H1463" s="2"/>
      <c r="I1463" s="2"/>
      <c r="J1463" s="2"/>
    </row>
    <row r="1464" ht="15.75" customHeight="1">
      <c r="A1464" s="4" t="str">
        <f>HYPERLINK("https://stackoverflow.com/q/37124035", "37124035")</f>
        <v>37124035</v>
      </c>
      <c r="B1464" s="2" t="s">
        <v>1506</v>
      </c>
      <c r="C1464" s="3"/>
      <c r="D1464" s="3">
        <v>249.0</v>
      </c>
      <c r="E1464" s="2"/>
      <c r="F1464" s="2"/>
      <c r="G1464" s="2"/>
      <c r="H1464" s="2"/>
      <c r="I1464" s="2"/>
      <c r="J1464" s="2"/>
    </row>
    <row r="1465" ht="15.75" customHeight="1">
      <c r="A1465" s="4" t="str">
        <f>HYPERLINK("https://stackoverflow.com/q/45842944", "45842944")</f>
        <v>45842944</v>
      </c>
      <c r="B1465" s="2" t="s">
        <v>1507</v>
      </c>
      <c r="C1465" s="3"/>
      <c r="D1465" s="3">
        <v>249.0</v>
      </c>
      <c r="E1465" s="2"/>
      <c r="F1465" s="2"/>
      <c r="G1465" s="2"/>
      <c r="H1465" s="2"/>
      <c r="I1465" s="2"/>
      <c r="J1465" s="2"/>
    </row>
    <row r="1466" ht="15.75" customHeight="1">
      <c r="A1466" s="4" t="str">
        <f>HYPERLINK("https://stackoverflow.com/q/44528282", "44528282")</f>
        <v>44528282</v>
      </c>
      <c r="B1466" s="2" t="s">
        <v>1508</v>
      </c>
      <c r="C1466" s="3">
        <v>1.0</v>
      </c>
      <c r="D1466" s="3">
        <v>247.0</v>
      </c>
      <c r="E1466" s="2"/>
      <c r="F1466" s="2"/>
      <c r="G1466" s="2"/>
      <c r="H1466" s="2"/>
      <c r="I1466" s="2"/>
      <c r="J1466" s="2"/>
    </row>
    <row r="1467" ht="15.75" customHeight="1">
      <c r="A1467" s="4" t="str">
        <f>HYPERLINK("https://stackoverflow.com/q/48736701", "48736701")</f>
        <v>48736701</v>
      </c>
      <c r="B1467" s="2" t="s">
        <v>1509</v>
      </c>
      <c r="C1467" s="3">
        <v>1.0</v>
      </c>
      <c r="D1467" s="3">
        <v>247.0</v>
      </c>
      <c r="E1467" s="2"/>
      <c r="F1467" s="2"/>
      <c r="G1467" s="2"/>
      <c r="H1467" s="2"/>
      <c r="I1467" s="2"/>
      <c r="J1467" s="2"/>
    </row>
    <row r="1468" ht="15.75" customHeight="1">
      <c r="A1468" s="4" t="str">
        <f>HYPERLINK("https://stackoverflow.com/q/10152372", "10152372")</f>
        <v>10152372</v>
      </c>
      <c r="B1468" s="2" t="s">
        <v>1510</v>
      </c>
      <c r="C1468" s="3"/>
      <c r="D1468" s="3">
        <v>247.0</v>
      </c>
      <c r="E1468" s="2"/>
      <c r="F1468" s="2"/>
      <c r="G1468" s="2"/>
      <c r="H1468" s="2"/>
      <c r="I1468" s="2"/>
      <c r="J1468" s="2"/>
    </row>
    <row r="1469" ht="15.75" customHeight="1">
      <c r="A1469" s="4" t="str">
        <f>HYPERLINK("https://stackoverflow.com/q/51044647", "51044647")</f>
        <v>51044647</v>
      </c>
      <c r="B1469" s="2" t="s">
        <v>1511</v>
      </c>
      <c r="C1469" s="3"/>
      <c r="D1469" s="3">
        <v>247.0</v>
      </c>
      <c r="E1469" s="2"/>
      <c r="F1469" s="2"/>
      <c r="G1469" s="2"/>
      <c r="H1469" s="2"/>
      <c r="I1469" s="2"/>
      <c r="J1469" s="2"/>
    </row>
    <row r="1470" ht="15.75" customHeight="1">
      <c r="A1470" s="4" t="str">
        <f>HYPERLINK("https://stackoverflow.com/q/52919137", "52919137")</f>
        <v>52919137</v>
      </c>
      <c r="B1470" s="2" t="s">
        <v>1512</v>
      </c>
      <c r="C1470" s="3">
        <v>2.0</v>
      </c>
      <c r="D1470" s="3">
        <v>246.0</v>
      </c>
      <c r="E1470" s="2"/>
      <c r="F1470" s="2"/>
      <c r="G1470" s="2"/>
      <c r="H1470" s="2"/>
      <c r="I1470" s="2"/>
      <c r="J1470" s="2"/>
    </row>
    <row r="1471" ht="15.75" customHeight="1">
      <c r="A1471" s="4" t="str">
        <f>HYPERLINK("https://stackoverflow.com/q/58039038", "58039038")</f>
        <v>58039038</v>
      </c>
      <c r="B1471" s="2" t="s">
        <v>1513</v>
      </c>
      <c r="C1471" s="3">
        <v>2.0</v>
      </c>
      <c r="D1471" s="3">
        <v>246.0</v>
      </c>
      <c r="E1471" s="2"/>
      <c r="F1471" s="2"/>
      <c r="G1471" s="2"/>
      <c r="H1471" s="2"/>
      <c r="I1471" s="2"/>
      <c r="J1471" s="2"/>
    </row>
    <row r="1472" ht="15.75" customHeight="1">
      <c r="A1472" s="4" t="str">
        <f>HYPERLINK("https://stackoverflow.com/q/54848296", "54848296")</f>
        <v>54848296</v>
      </c>
      <c r="B1472" s="2" t="s">
        <v>1514</v>
      </c>
      <c r="C1472" s="3"/>
      <c r="D1472" s="3">
        <v>245.0</v>
      </c>
      <c r="E1472" s="2" t="s">
        <v>11</v>
      </c>
      <c r="F1472" s="2" t="s">
        <v>38</v>
      </c>
      <c r="G1472" s="2"/>
      <c r="H1472" s="2"/>
      <c r="I1472" s="2"/>
      <c r="J1472" s="2"/>
    </row>
    <row r="1473" ht="15.75" customHeight="1">
      <c r="A1473" s="4" t="str">
        <f>HYPERLINK("https://stackoverflow.com/q/49689289", "49689289")</f>
        <v>49689289</v>
      </c>
      <c r="B1473" s="2" t="s">
        <v>1515</v>
      </c>
      <c r="C1473" s="3"/>
      <c r="D1473" s="3">
        <v>245.0</v>
      </c>
      <c r="E1473" s="2"/>
      <c r="F1473" s="2"/>
      <c r="G1473" s="2"/>
      <c r="H1473" s="2"/>
      <c r="I1473" s="2"/>
      <c r="J1473" s="2"/>
    </row>
    <row r="1474" ht="15.75" customHeight="1">
      <c r="A1474" s="4" t="str">
        <f>HYPERLINK("https://stackoverflow.com/q/53433521", "53433521")</f>
        <v>53433521</v>
      </c>
      <c r="B1474" s="2" t="s">
        <v>1516</v>
      </c>
      <c r="C1474" s="3"/>
      <c r="D1474" s="3">
        <v>245.0</v>
      </c>
      <c r="E1474" s="2"/>
      <c r="F1474" s="2"/>
      <c r="G1474" s="2"/>
      <c r="H1474" s="2"/>
      <c r="I1474" s="2"/>
      <c r="J1474" s="2"/>
    </row>
    <row r="1475" ht="15.75" customHeight="1">
      <c r="A1475" s="4" t="str">
        <f>HYPERLINK("https://stackoverflow.com/q/56024475", "56024475")</f>
        <v>56024475</v>
      </c>
      <c r="B1475" s="2" t="s">
        <v>1517</v>
      </c>
      <c r="C1475" s="3"/>
      <c r="D1475" s="3">
        <v>245.0</v>
      </c>
      <c r="E1475" s="2"/>
      <c r="F1475" s="2"/>
      <c r="G1475" s="2"/>
      <c r="H1475" s="2"/>
      <c r="I1475" s="2"/>
      <c r="J1475" s="2"/>
    </row>
    <row r="1476" ht="15.75" customHeight="1">
      <c r="A1476" s="4" t="str">
        <f>HYPERLINK("https://stackoverflow.com/q/58032332", "58032332")</f>
        <v>58032332</v>
      </c>
      <c r="B1476" s="2" t="s">
        <v>1518</v>
      </c>
      <c r="C1476" s="3"/>
      <c r="D1476" s="3">
        <v>245.0</v>
      </c>
      <c r="E1476" s="2"/>
      <c r="F1476" s="2"/>
      <c r="G1476" s="2"/>
      <c r="H1476" s="2"/>
      <c r="I1476" s="2"/>
      <c r="J1476" s="2"/>
    </row>
    <row r="1477" ht="15.75" customHeight="1">
      <c r="A1477" s="4" t="str">
        <f>HYPERLINK("https://stackoverflow.com/q/48324549", "48324549")</f>
        <v>48324549</v>
      </c>
      <c r="B1477" s="2" t="s">
        <v>1519</v>
      </c>
      <c r="C1477" s="3"/>
      <c r="D1477" s="3">
        <v>244.0</v>
      </c>
      <c r="E1477" s="2"/>
      <c r="F1477" s="2"/>
      <c r="G1477" s="2"/>
      <c r="H1477" s="2"/>
      <c r="I1477" s="2"/>
      <c r="J1477" s="2"/>
    </row>
    <row r="1478" ht="15.75" customHeight="1">
      <c r="A1478" s="4" t="str">
        <f>HYPERLINK("https://stackoverflow.com/q/37159918", "37159918")</f>
        <v>37159918</v>
      </c>
      <c r="B1478" s="2" t="s">
        <v>1520</v>
      </c>
      <c r="C1478" s="3">
        <v>2.0</v>
      </c>
      <c r="D1478" s="3">
        <v>243.0</v>
      </c>
      <c r="E1478" s="2"/>
      <c r="F1478" s="2"/>
      <c r="G1478" s="2"/>
      <c r="H1478" s="2"/>
      <c r="I1478" s="2"/>
      <c r="J1478" s="2"/>
    </row>
    <row r="1479" ht="15.75" customHeight="1">
      <c r="A1479" s="4" t="str">
        <f>HYPERLINK("https://stackoverflow.com/q/48794510", "48794510")</f>
        <v>48794510</v>
      </c>
      <c r="B1479" s="2" t="s">
        <v>1521</v>
      </c>
      <c r="C1479" s="3">
        <v>1.0</v>
      </c>
      <c r="D1479" s="3">
        <v>243.0</v>
      </c>
      <c r="E1479" s="2"/>
      <c r="F1479" s="2"/>
      <c r="G1479" s="2"/>
      <c r="H1479" s="2"/>
      <c r="I1479" s="2"/>
      <c r="J1479" s="2"/>
    </row>
    <row r="1480" ht="15.75" customHeight="1">
      <c r="A1480" s="4" t="str">
        <f>HYPERLINK("https://stackoverflow.com/q/39104959", "39104959")</f>
        <v>39104959</v>
      </c>
      <c r="B1480" s="2" t="s">
        <v>1522</v>
      </c>
      <c r="C1480" s="3"/>
      <c r="D1480" s="3">
        <v>242.0</v>
      </c>
      <c r="E1480" s="2"/>
      <c r="F1480" s="2"/>
      <c r="G1480" s="2"/>
      <c r="H1480" s="2"/>
      <c r="I1480" s="2"/>
      <c r="J1480" s="2"/>
    </row>
    <row r="1481" ht="15.75" customHeight="1">
      <c r="A1481" s="4" t="str">
        <f>HYPERLINK("https://stackoverflow.com/q/44680025", "44680025")</f>
        <v>44680025</v>
      </c>
      <c r="B1481" s="2" t="s">
        <v>1523</v>
      </c>
      <c r="C1481" s="3"/>
      <c r="D1481" s="3">
        <v>242.0</v>
      </c>
      <c r="E1481" s="2"/>
      <c r="F1481" s="2"/>
      <c r="G1481" s="2"/>
      <c r="H1481" s="2"/>
      <c r="I1481" s="2"/>
      <c r="J1481" s="2"/>
    </row>
    <row r="1482" ht="15.75" customHeight="1">
      <c r="A1482" s="4" t="str">
        <f>HYPERLINK("https://stackoverflow.com/q/51895945", "51895945")</f>
        <v>51895945</v>
      </c>
      <c r="B1482" s="2" t="s">
        <v>1524</v>
      </c>
      <c r="C1482" s="3"/>
      <c r="D1482" s="3">
        <v>242.0</v>
      </c>
      <c r="E1482" s="2"/>
      <c r="F1482" s="2"/>
      <c r="G1482" s="2"/>
      <c r="H1482" s="2"/>
      <c r="I1482" s="2"/>
      <c r="J1482" s="2"/>
    </row>
    <row r="1483" ht="15.75" customHeight="1">
      <c r="A1483" s="4" t="str">
        <f>HYPERLINK("https://stackoverflow.com/q/56937356", "56937356")</f>
        <v>56937356</v>
      </c>
      <c r="B1483" s="2" t="s">
        <v>1525</v>
      </c>
      <c r="C1483" s="3"/>
      <c r="D1483" s="3">
        <v>242.0</v>
      </c>
      <c r="E1483" s="2"/>
      <c r="F1483" s="2"/>
      <c r="G1483" s="2"/>
      <c r="H1483" s="2"/>
      <c r="I1483" s="2"/>
      <c r="J1483" s="2"/>
    </row>
    <row r="1484" ht="15.75" customHeight="1">
      <c r="A1484" s="4" t="str">
        <f>HYPERLINK("https://stackoverflow.com/q/52559551", "52559551")</f>
        <v>52559551</v>
      </c>
      <c r="B1484" s="2" t="s">
        <v>1526</v>
      </c>
      <c r="C1484" s="3"/>
      <c r="D1484" s="3">
        <v>241.0</v>
      </c>
      <c r="E1484" s="2"/>
      <c r="F1484" s="2"/>
      <c r="G1484" s="2"/>
      <c r="H1484" s="2"/>
      <c r="I1484" s="2"/>
      <c r="J1484" s="2"/>
    </row>
    <row r="1485" ht="15.75" customHeight="1">
      <c r="A1485" s="4" t="str">
        <f>HYPERLINK("https://stackoverflow.com/q/56072556", "56072556")</f>
        <v>56072556</v>
      </c>
      <c r="B1485" s="2" t="s">
        <v>1527</v>
      </c>
      <c r="C1485" s="3"/>
      <c r="D1485" s="3">
        <v>241.0</v>
      </c>
      <c r="E1485" s="2"/>
      <c r="F1485" s="2"/>
      <c r="G1485" s="2"/>
      <c r="H1485" s="2"/>
      <c r="I1485" s="2"/>
      <c r="J1485" s="2"/>
    </row>
    <row r="1486" ht="15.75" customHeight="1">
      <c r="A1486" s="4" t="str">
        <f>HYPERLINK("https://stackoverflow.com/q/54995158", "54995158")</f>
        <v>54995158</v>
      </c>
      <c r="B1486" s="2" t="s">
        <v>1528</v>
      </c>
      <c r="C1486" s="3"/>
      <c r="D1486" s="3">
        <v>240.0</v>
      </c>
      <c r="E1486" s="2" t="s">
        <v>11</v>
      </c>
      <c r="F1486" s="2" t="s">
        <v>25</v>
      </c>
      <c r="G1486" s="2"/>
      <c r="H1486" s="2"/>
      <c r="I1486" s="2"/>
      <c r="J1486" s="2"/>
    </row>
    <row r="1487" ht="15.75" customHeight="1">
      <c r="A1487" s="4" t="str">
        <f>HYPERLINK("https://stackoverflow.com/q/18617586", "18617586")</f>
        <v>18617586</v>
      </c>
      <c r="B1487" s="2" t="s">
        <v>1529</v>
      </c>
      <c r="C1487" s="3"/>
      <c r="D1487" s="3">
        <v>240.0</v>
      </c>
      <c r="E1487" s="2"/>
      <c r="F1487" s="2"/>
      <c r="G1487" s="2"/>
      <c r="H1487" s="2"/>
      <c r="I1487" s="2"/>
      <c r="J1487" s="2"/>
    </row>
    <row r="1488" ht="15.75" customHeight="1">
      <c r="A1488" s="4" t="str">
        <f>HYPERLINK("https://stackoverflow.com/q/50749813", "50749813")</f>
        <v>50749813</v>
      </c>
      <c r="B1488" s="2" t="s">
        <v>1530</v>
      </c>
      <c r="C1488" s="3"/>
      <c r="D1488" s="3">
        <v>240.0</v>
      </c>
      <c r="E1488" s="2"/>
      <c r="F1488" s="2"/>
      <c r="G1488" s="2"/>
      <c r="H1488" s="2"/>
      <c r="I1488" s="2"/>
      <c r="J1488" s="2"/>
    </row>
    <row r="1489" ht="15.75" customHeight="1">
      <c r="A1489" s="4" t="str">
        <f>HYPERLINK("https://stackoverflow.com/q/56235510", "56235510")</f>
        <v>56235510</v>
      </c>
      <c r="B1489" s="2" t="s">
        <v>1531</v>
      </c>
      <c r="C1489" s="3"/>
      <c r="D1489" s="3">
        <v>240.0</v>
      </c>
      <c r="E1489" s="2"/>
      <c r="F1489" s="2"/>
      <c r="G1489" s="2"/>
      <c r="H1489" s="2"/>
      <c r="I1489" s="2"/>
      <c r="J1489" s="2"/>
    </row>
    <row r="1490" ht="15.75" customHeight="1">
      <c r="A1490" s="4" t="str">
        <f>HYPERLINK("https://stackoverflow.com/q/57306224", "57306224")</f>
        <v>57306224</v>
      </c>
      <c r="B1490" s="2" t="s">
        <v>1532</v>
      </c>
      <c r="C1490" s="3"/>
      <c r="D1490" s="3">
        <v>240.0</v>
      </c>
      <c r="E1490" s="2"/>
      <c r="F1490" s="2"/>
      <c r="G1490" s="2"/>
      <c r="H1490" s="2"/>
      <c r="I1490" s="2"/>
      <c r="J1490" s="2"/>
    </row>
    <row r="1491" ht="15.75" customHeight="1">
      <c r="A1491" s="4" t="str">
        <f>HYPERLINK("https://stackoverflow.com/q/58054575", "58054575")</f>
        <v>58054575</v>
      </c>
      <c r="B1491" s="2" t="s">
        <v>1533</v>
      </c>
      <c r="C1491" s="3"/>
      <c r="D1491" s="3">
        <v>240.0</v>
      </c>
      <c r="E1491" s="2"/>
      <c r="F1491" s="2"/>
      <c r="G1491" s="2"/>
      <c r="H1491" s="2"/>
      <c r="I1491" s="2"/>
      <c r="J1491" s="2"/>
    </row>
    <row r="1492" ht="15.75" customHeight="1">
      <c r="A1492" s="4" t="str">
        <f>HYPERLINK("https://stackoverflow.com/q/52510724", "52510724")</f>
        <v>52510724</v>
      </c>
      <c r="B1492" s="2" t="s">
        <v>1534</v>
      </c>
      <c r="C1492" s="3">
        <v>1.0</v>
      </c>
      <c r="D1492" s="3">
        <v>239.0</v>
      </c>
      <c r="E1492" s="2"/>
      <c r="F1492" s="2"/>
      <c r="G1492" s="2"/>
      <c r="H1492" s="2"/>
      <c r="I1492" s="2"/>
      <c r="J1492" s="2"/>
    </row>
    <row r="1493" ht="15.75" customHeight="1">
      <c r="A1493" s="4" t="str">
        <f>HYPERLINK("https://stackoverflow.com/q/49434916", "49434916")</f>
        <v>49434916</v>
      </c>
      <c r="B1493" s="2" t="s">
        <v>1535</v>
      </c>
      <c r="C1493" s="3"/>
      <c r="D1493" s="3">
        <v>239.0</v>
      </c>
      <c r="E1493" s="2"/>
      <c r="F1493" s="2"/>
      <c r="G1493" s="2"/>
      <c r="H1493" s="2"/>
      <c r="I1493" s="2"/>
      <c r="J1493" s="2"/>
    </row>
    <row r="1494" ht="15.75" customHeight="1">
      <c r="A1494" s="4" t="str">
        <f>HYPERLINK("https://stackoverflow.com/q/57359876", "57359876")</f>
        <v>57359876</v>
      </c>
      <c r="B1494" s="2" t="s">
        <v>1536</v>
      </c>
      <c r="C1494" s="3">
        <v>1.0</v>
      </c>
      <c r="D1494" s="3">
        <v>238.0</v>
      </c>
      <c r="E1494" s="2"/>
      <c r="F1494" s="2"/>
      <c r="G1494" s="2"/>
      <c r="H1494" s="2"/>
      <c r="I1494" s="2"/>
      <c r="J1494" s="2"/>
    </row>
    <row r="1495" ht="15.75" customHeight="1">
      <c r="A1495" s="4" t="str">
        <f>HYPERLINK("https://stackoverflow.com/q/52776119", "52776119")</f>
        <v>52776119</v>
      </c>
      <c r="B1495" s="2" t="s">
        <v>1537</v>
      </c>
      <c r="C1495" s="3"/>
      <c r="D1495" s="3">
        <v>238.0</v>
      </c>
      <c r="E1495" s="2"/>
      <c r="F1495" s="2"/>
      <c r="G1495" s="2"/>
      <c r="H1495" s="2"/>
      <c r="I1495" s="2"/>
      <c r="J1495" s="2"/>
    </row>
    <row r="1496" ht="15.75" customHeight="1">
      <c r="A1496" s="4" t="str">
        <f>HYPERLINK("https://stackoverflow.com/q/48979623", "48979623")</f>
        <v>48979623</v>
      </c>
      <c r="B1496" s="2" t="s">
        <v>1538</v>
      </c>
      <c r="C1496" s="3"/>
      <c r="D1496" s="3">
        <v>237.0</v>
      </c>
      <c r="E1496" s="2"/>
      <c r="F1496" s="2"/>
      <c r="G1496" s="2"/>
      <c r="H1496" s="2"/>
      <c r="I1496" s="2"/>
      <c r="J1496" s="2"/>
    </row>
    <row r="1497" ht="15.75" customHeight="1">
      <c r="A1497" s="4" t="str">
        <f>HYPERLINK("https://stackoverflow.com/q/51464538", "51464538")</f>
        <v>51464538</v>
      </c>
      <c r="B1497" s="2" t="s">
        <v>1539</v>
      </c>
      <c r="C1497" s="3"/>
      <c r="D1497" s="3">
        <v>237.0</v>
      </c>
      <c r="E1497" s="2"/>
      <c r="F1497" s="2"/>
      <c r="G1497" s="2"/>
      <c r="H1497" s="2"/>
      <c r="I1497" s="2"/>
      <c r="J1497" s="2"/>
    </row>
    <row r="1498" ht="15.75" customHeight="1">
      <c r="A1498" s="4" t="str">
        <f>HYPERLINK("https://stackoverflow.com/q/53439446", "53439446")</f>
        <v>53439446</v>
      </c>
      <c r="B1498" s="2" t="s">
        <v>1540</v>
      </c>
      <c r="C1498" s="3"/>
      <c r="D1498" s="3">
        <v>237.0</v>
      </c>
      <c r="E1498" s="2"/>
      <c r="F1498" s="2"/>
      <c r="G1498" s="2"/>
      <c r="H1498" s="2"/>
      <c r="I1498" s="2"/>
      <c r="J1498" s="2"/>
    </row>
    <row r="1499" ht="15.75" customHeight="1">
      <c r="A1499" s="4" t="str">
        <f>HYPERLINK("https://stackoverflow.com/q/53528663", "53528663")</f>
        <v>53528663</v>
      </c>
      <c r="B1499" s="2" t="s">
        <v>1541</v>
      </c>
      <c r="C1499" s="3"/>
      <c r="D1499" s="3">
        <v>237.0</v>
      </c>
      <c r="E1499" s="2"/>
      <c r="F1499" s="2"/>
      <c r="G1499" s="2"/>
      <c r="H1499" s="2"/>
      <c r="I1499" s="2"/>
      <c r="J1499" s="2"/>
    </row>
    <row r="1500" ht="15.75" customHeight="1">
      <c r="A1500" s="4" t="str">
        <f>HYPERLINK("https://stackoverflow.com/q/53171048", "53171048")</f>
        <v>53171048</v>
      </c>
      <c r="B1500" s="2" t="s">
        <v>1542</v>
      </c>
      <c r="C1500" s="3">
        <v>1.0</v>
      </c>
      <c r="D1500" s="3">
        <v>236.0</v>
      </c>
      <c r="E1500" s="2"/>
      <c r="F1500" s="2"/>
      <c r="G1500" s="2"/>
      <c r="H1500" s="2"/>
      <c r="I1500" s="2"/>
      <c r="J1500" s="2"/>
    </row>
    <row r="1501" ht="15.75" customHeight="1">
      <c r="A1501" s="4" t="str">
        <f>HYPERLINK("https://stackoverflow.com/q/44136328", "44136328")</f>
        <v>44136328</v>
      </c>
      <c r="B1501" s="2" t="s">
        <v>1543</v>
      </c>
      <c r="C1501" s="3"/>
      <c r="D1501" s="3">
        <v>236.0</v>
      </c>
      <c r="E1501" s="2" t="s">
        <v>72</v>
      </c>
      <c r="F1501" s="2" t="s">
        <v>506</v>
      </c>
      <c r="G1501" s="2" t="s">
        <v>194</v>
      </c>
      <c r="H1501" s="2"/>
      <c r="I1501" s="2"/>
      <c r="J1501" s="2"/>
    </row>
    <row r="1502" ht="15.75" customHeight="1">
      <c r="A1502" s="4" t="str">
        <f>HYPERLINK("https://stackoverflow.com/q/44532598", "44532598")</f>
        <v>44532598</v>
      </c>
      <c r="B1502" s="2" t="s">
        <v>1544</v>
      </c>
      <c r="C1502" s="3"/>
      <c r="D1502" s="3">
        <v>236.0</v>
      </c>
      <c r="E1502" s="2"/>
      <c r="F1502" s="2"/>
      <c r="G1502" s="2"/>
      <c r="H1502" s="2"/>
      <c r="I1502" s="2"/>
      <c r="J1502" s="2"/>
    </row>
    <row r="1503" ht="15.75" customHeight="1">
      <c r="A1503" s="4" t="str">
        <f>HYPERLINK("https://stackoverflow.com/q/50632954", "50632954")</f>
        <v>50632954</v>
      </c>
      <c r="B1503" s="2" t="s">
        <v>1545</v>
      </c>
      <c r="C1503" s="3"/>
      <c r="D1503" s="3">
        <v>236.0</v>
      </c>
      <c r="E1503" s="2"/>
      <c r="F1503" s="2"/>
      <c r="G1503" s="2"/>
      <c r="H1503" s="2"/>
      <c r="I1503" s="2"/>
      <c r="J1503" s="2"/>
    </row>
    <row r="1504" ht="15.75" customHeight="1">
      <c r="A1504" s="4" t="str">
        <f>HYPERLINK("https://stackoverflow.com/q/58513216", "58513216")</f>
        <v>58513216</v>
      </c>
      <c r="B1504" s="2" t="s">
        <v>1546</v>
      </c>
      <c r="C1504" s="3"/>
      <c r="D1504" s="3">
        <v>236.0</v>
      </c>
      <c r="E1504" s="2"/>
      <c r="F1504" s="2"/>
      <c r="G1504" s="2"/>
      <c r="H1504" s="2"/>
      <c r="I1504" s="2"/>
      <c r="J1504" s="2"/>
    </row>
    <row r="1505" ht="15.75" customHeight="1">
      <c r="A1505" s="4" t="str">
        <f>HYPERLINK("https://stackoverflow.com/q/52300209", "52300209")</f>
        <v>52300209</v>
      </c>
      <c r="B1505" s="2" t="s">
        <v>1547</v>
      </c>
      <c r="C1505" s="3"/>
      <c r="D1505" s="3">
        <v>235.0</v>
      </c>
      <c r="E1505" s="2"/>
      <c r="F1505" s="2"/>
      <c r="G1505" s="2"/>
      <c r="H1505" s="2"/>
      <c r="I1505" s="2"/>
      <c r="J1505" s="2"/>
    </row>
    <row r="1506" ht="15.75" customHeight="1">
      <c r="A1506" s="4" t="str">
        <f>HYPERLINK("https://stackoverflow.com/q/52370526", "52370526")</f>
        <v>52370526</v>
      </c>
      <c r="B1506" s="2" t="s">
        <v>1548</v>
      </c>
      <c r="C1506" s="3"/>
      <c r="D1506" s="3">
        <v>235.0</v>
      </c>
      <c r="E1506" s="2"/>
      <c r="F1506" s="2"/>
      <c r="G1506" s="2"/>
      <c r="H1506" s="2"/>
      <c r="I1506" s="2"/>
      <c r="J1506" s="2"/>
    </row>
    <row r="1507" ht="15.75" customHeight="1">
      <c r="A1507" s="4" t="str">
        <f>HYPERLINK("https://stackoverflow.com/q/57156494", "57156494")</f>
        <v>57156494</v>
      </c>
      <c r="B1507" s="2" t="s">
        <v>1549</v>
      </c>
      <c r="C1507" s="3"/>
      <c r="D1507" s="3">
        <v>235.0</v>
      </c>
      <c r="E1507" s="2"/>
      <c r="F1507" s="2"/>
      <c r="G1507" s="2"/>
      <c r="H1507" s="2"/>
      <c r="I1507" s="2"/>
      <c r="J1507" s="2"/>
    </row>
    <row r="1508" ht="15.75" customHeight="1">
      <c r="A1508" s="4" t="str">
        <f>HYPERLINK("https://stackoverflow.com/q/52144189", "52144189")</f>
        <v>52144189</v>
      </c>
      <c r="B1508" s="2" t="s">
        <v>1550</v>
      </c>
      <c r="C1508" s="3">
        <v>0.0</v>
      </c>
      <c r="D1508" s="3">
        <v>234.0</v>
      </c>
      <c r="E1508" s="2"/>
      <c r="F1508" s="2"/>
      <c r="G1508" s="2"/>
      <c r="H1508" s="2"/>
      <c r="I1508" s="2"/>
      <c r="J1508" s="2"/>
    </row>
    <row r="1509" ht="15.75" customHeight="1">
      <c r="A1509" s="4" t="str">
        <f>HYPERLINK("https://stackoverflow.com/q/47087186", "47087186")</f>
        <v>47087186</v>
      </c>
      <c r="B1509" s="2" t="s">
        <v>1551</v>
      </c>
      <c r="C1509" s="3"/>
      <c r="D1509" s="3">
        <v>234.0</v>
      </c>
      <c r="E1509" s="2" t="s">
        <v>11</v>
      </c>
      <c r="F1509" s="2" t="s">
        <v>12</v>
      </c>
      <c r="G1509" s="2"/>
      <c r="H1509" s="2"/>
      <c r="I1509" s="2"/>
      <c r="J1509" s="2"/>
    </row>
    <row r="1510" ht="15.75" customHeight="1">
      <c r="A1510" s="4" t="str">
        <f>HYPERLINK("https://stackoverflow.com/q/35865098", "35865098")</f>
        <v>35865098</v>
      </c>
      <c r="B1510" s="2" t="s">
        <v>1552</v>
      </c>
      <c r="C1510" s="3"/>
      <c r="D1510" s="3">
        <v>234.0</v>
      </c>
      <c r="E1510" s="2"/>
      <c r="F1510" s="2"/>
      <c r="G1510" s="2"/>
      <c r="H1510" s="2"/>
      <c r="I1510" s="2"/>
      <c r="J1510" s="2"/>
    </row>
    <row r="1511" ht="15.75" customHeight="1">
      <c r="A1511" s="4" t="str">
        <f>HYPERLINK("https://stackoverflow.com/q/51079139", "51079139")</f>
        <v>51079139</v>
      </c>
      <c r="B1511" s="2" t="s">
        <v>1553</v>
      </c>
      <c r="C1511" s="3"/>
      <c r="D1511" s="3">
        <v>234.0</v>
      </c>
      <c r="E1511" s="2"/>
      <c r="F1511" s="2"/>
      <c r="G1511" s="2"/>
      <c r="H1511" s="2"/>
      <c r="I1511" s="2"/>
      <c r="J1511" s="2"/>
    </row>
    <row r="1512" ht="15.75" customHeight="1">
      <c r="A1512" s="4" t="str">
        <f>HYPERLINK("https://stackoverflow.com/q/56127535", "56127535")</f>
        <v>56127535</v>
      </c>
      <c r="B1512" s="2" t="s">
        <v>1554</v>
      </c>
      <c r="C1512" s="3"/>
      <c r="D1512" s="3">
        <v>234.0</v>
      </c>
      <c r="E1512" s="2"/>
      <c r="F1512" s="2"/>
      <c r="G1512" s="2"/>
      <c r="H1512" s="2"/>
      <c r="I1512" s="2"/>
      <c r="J1512" s="2"/>
    </row>
    <row r="1513" ht="15.75" customHeight="1">
      <c r="A1513" s="4" t="str">
        <f>HYPERLINK("https://stackoverflow.com/q/42730602", "42730602")</f>
        <v>42730602</v>
      </c>
      <c r="B1513" s="2" t="s">
        <v>1555</v>
      </c>
      <c r="C1513" s="3">
        <v>1.0</v>
      </c>
      <c r="D1513" s="3">
        <v>233.0</v>
      </c>
      <c r="E1513" s="2" t="s">
        <v>537</v>
      </c>
      <c r="F1513" s="2" t="s">
        <v>538</v>
      </c>
      <c r="G1513" s="2"/>
      <c r="H1513" s="2"/>
      <c r="I1513" s="2"/>
      <c r="J1513" s="2"/>
    </row>
    <row r="1514" ht="15.75" customHeight="1">
      <c r="A1514" s="4" t="str">
        <f>HYPERLINK("https://stackoverflow.com/q/48026832", "48026832")</f>
        <v>48026832</v>
      </c>
      <c r="B1514" s="2" t="s">
        <v>1556</v>
      </c>
      <c r="C1514" s="3"/>
      <c r="D1514" s="3">
        <v>233.0</v>
      </c>
      <c r="E1514" s="2" t="s">
        <v>11</v>
      </c>
      <c r="F1514" s="2" t="s">
        <v>67</v>
      </c>
      <c r="G1514" s="2"/>
      <c r="H1514" s="2"/>
      <c r="I1514" s="2"/>
      <c r="J1514" s="2"/>
    </row>
    <row r="1515" ht="15.75" customHeight="1">
      <c r="A1515" s="4" t="str">
        <f>HYPERLINK("https://stackoverflow.com/q/46866935", "46866935")</f>
        <v>46866935</v>
      </c>
      <c r="B1515" s="2" t="s">
        <v>1557</v>
      </c>
      <c r="C1515" s="3">
        <v>2.0</v>
      </c>
      <c r="D1515" s="3">
        <v>232.0</v>
      </c>
      <c r="E1515" s="2" t="s">
        <v>59</v>
      </c>
      <c r="F1515" s="2" t="s">
        <v>28</v>
      </c>
      <c r="G1515" s="2"/>
      <c r="H1515" s="2"/>
      <c r="I1515" s="2"/>
      <c r="J1515" s="2"/>
    </row>
    <row r="1516" ht="15.75" customHeight="1">
      <c r="A1516" s="4" t="str">
        <f>HYPERLINK("https://stackoverflow.com/q/46090082", "46090082")</f>
        <v>46090082</v>
      </c>
      <c r="B1516" s="2" t="s">
        <v>1558</v>
      </c>
      <c r="C1516" s="3">
        <v>1.0</v>
      </c>
      <c r="D1516" s="3">
        <v>232.0</v>
      </c>
      <c r="E1516" s="2" t="s">
        <v>11</v>
      </c>
      <c r="F1516" s="2" t="s">
        <v>25</v>
      </c>
      <c r="G1516" s="2"/>
      <c r="H1516" s="2"/>
      <c r="I1516" s="2"/>
      <c r="J1516" s="2"/>
    </row>
    <row r="1517" ht="15.75" customHeight="1">
      <c r="A1517" s="4" t="str">
        <f>HYPERLINK("https://stackoverflow.com/q/54987992", "54987992")</f>
        <v>54987992</v>
      </c>
      <c r="B1517" s="2" t="s">
        <v>1559</v>
      </c>
      <c r="C1517" s="3"/>
      <c r="D1517" s="3">
        <v>232.0</v>
      </c>
      <c r="E1517" s="2" t="s">
        <v>11</v>
      </c>
      <c r="F1517" s="2" t="s">
        <v>67</v>
      </c>
      <c r="G1517" s="2"/>
      <c r="H1517" s="2"/>
      <c r="I1517" s="2"/>
      <c r="J1517" s="2"/>
    </row>
    <row r="1518" ht="15.75" customHeight="1">
      <c r="A1518" s="4" t="str">
        <f>HYPERLINK("https://stackoverflow.com/q/43733425", "43733425")</f>
        <v>43733425</v>
      </c>
      <c r="B1518" s="2" t="s">
        <v>1560</v>
      </c>
      <c r="C1518" s="3"/>
      <c r="D1518" s="3">
        <v>231.0</v>
      </c>
      <c r="E1518" s="9" t="s">
        <v>11</v>
      </c>
      <c r="F1518" s="2" t="s">
        <v>18</v>
      </c>
      <c r="G1518" s="2"/>
      <c r="H1518" s="2"/>
      <c r="I1518" s="2"/>
      <c r="J1518" s="2"/>
    </row>
    <row r="1519" ht="15.75" customHeight="1">
      <c r="A1519" s="4" t="str">
        <f>HYPERLINK("https://stackoverflow.com/q/57316012", "57316012")</f>
        <v>57316012</v>
      </c>
      <c r="B1519" s="2" t="s">
        <v>1561</v>
      </c>
      <c r="C1519" s="3"/>
      <c r="D1519" s="3">
        <v>231.0</v>
      </c>
      <c r="E1519" s="2"/>
      <c r="F1519" s="2"/>
      <c r="G1519" s="2"/>
      <c r="H1519" s="2"/>
      <c r="I1519" s="2"/>
      <c r="J1519" s="2"/>
    </row>
    <row r="1520" ht="15.75" customHeight="1">
      <c r="A1520" s="4" t="str">
        <f>HYPERLINK("https://stackoverflow.com/q/49509195", "49509195")</f>
        <v>49509195</v>
      </c>
      <c r="B1520" s="2" t="s">
        <v>1562</v>
      </c>
      <c r="C1520" s="3"/>
      <c r="D1520" s="3">
        <v>230.0</v>
      </c>
      <c r="E1520" s="2"/>
      <c r="F1520" s="2"/>
      <c r="G1520" s="2"/>
      <c r="H1520" s="2"/>
      <c r="I1520" s="2"/>
      <c r="J1520" s="2"/>
    </row>
    <row r="1521" ht="15.75" customHeight="1">
      <c r="A1521" s="4" t="str">
        <f>HYPERLINK("https://stackoverflow.com/q/50584100", "50584100")</f>
        <v>50584100</v>
      </c>
      <c r="B1521" s="2" t="s">
        <v>1563</v>
      </c>
      <c r="C1521" s="3"/>
      <c r="D1521" s="3">
        <v>229.0</v>
      </c>
      <c r="E1521" s="2"/>
      <c r="F1521" s="2"/>
      <c r="G1521" s="2"/>
      <c r="H1521" s="2"/>
      <c r="I1521" s="2"/>
      <c r="J1521" s="2"/>
    </row>
    <row r="1522" ht="15.75" customHeight="1">
      <c r="A1522" s="4" t="str">
        <f>HYPERLINK("https://stackoverflow.com/q/53539159", "53539159")</f>
        <v>53539159</v>
      </c>
      <c r="B1522" s="2" t="s">
        <v>1564</v>
      </c>
      <c r="C1522" s="3"/>
      <c r="D1522" s="3">
        <v>229.0</v>
      </c>
      <c r="E1522" s="2"/>
      <c r="F1522" s="2"/>
      <c r="G1522" s="2"/>
      <c r="H1522" s="2"/>
      <c r="I1522" s="2"/>
      <c r="J1522" s="2"/>
    </row>
    <row r="1523" ht="15.75" customHeight="1">
      <c r="A1523" s="4" t="str">
        <f>HYPERLINK("https://stackoverflow.com/q/55136468", "55136468")</f>
        <v>55136468</v>
      </c>
      <c r="B1523" s="2" t="s">
        <v>1565</v>
      </c>
      <c r="C1523" s="3"/>
      <c r="D1523" s="3">
        <v>228.0</v>
      </c>
      <c r="E1523" s="9" t="s">
        <v>11</v>
      </c>
      <c r="F1523" s="2" t="s">
        <v>18</v>
      </c>
      <c r="G1523" s="2"/>
      <c r="H1523" s="2"/>
      <c r="I1523" s="2"/>
      <c r="J1523" s="2"/>
    </row>
    <row r="1524" ht="15.75" customHeight="1">
      <c r="A1524" s="4" t="str">
        <f>HYPERLINK("https://stackoverflow.com/q/45822590", "45822590")</f>
        <v>45822590</v>
      </c>
      <c r="B1524" s="2" t="s">
        <v>1566</v>
      </c>
      <c r="C1524" s="3"/>
      <c r="D1524" s="3">
        <v>228.0</v>
      </c>
      <c r="E1524" s="2"/>
      <c r="F1524" s="2"/>
      <c r="G1524" s="2"/>
      <c r="H1524" s="2"/>
      <c r="I1524" s="2"/>
      <c r="J1524" s="2"/>
    </row>
    <row r="1525" ht="15.75" customHeight="1">
      <c r="A1525" s="4" t="str">
        <f>HYPERLINK("https://stackoverflow.com/q/46060441", "46060441")</f>
        <v>46060441</v>
      </c>
      <c r="B1525" s="2" t="s">
        <v>1567</v>
      </c>
      <c r="C1525" s="3"/>
      <c r="D1525" s="3">
        <v>228.0</v>
      </c>
      <c r="E1525" s="2"/>
      <c r="F1525" s="2"/>
      <c r="G1525" s="2"/>
      <c r="H1525" s="2"/>
      <c r="I1525" s="2"/>
      <c r="J1525" s="2"/>
    </row>
    <row r="1526" ht="15.75" customHeight="1">
      <c r="A1526" s="4" t="str">
        <f>HYPERLINK("https://stackoverflow.com/q/52070481", "52070481")</f>
        <v>52070481</v>
      </c>
      <c r="B1526" s="2" t="s">
        <v>1568</v>
      </c>
      <c r="C1526" s="3"/>
      <c r="D1526" s="3">
        <v>228.0</v>
      </c>
      <c r="E1526" s="2"/>
      <c r="F1526" s="2"/>
      <c r="G1526" s="2"/>
      <c r="H1526" s="2"/>
      <c r="I1526" s="2"/>
      <c r="J1526" s="2"/>
    </row>
    <row r="1527" ht="15.75" customHeight="1">
      <c r="A1527" s="4" t="str">
        <f>HYPERLINK("https://stackoverflow.com/q/49286426", "49286426")</f>
        <v>49286426</v>
      </c>
      <c r="B1527" s="2" t="s">
        <v>1569</v>
      </c>
      <c r="C1527" s="3">
        <v>1.0</v>
      </c>
      <c r="D1527" s="3">
        <v>227.0</v>
      </c>
      <c r="E1527" s="2"/>
      <c r="F1527" s="2"/>
      <c r="G1527" s="2"/>
      <c r="H1527" s="2"/>
      <c r="I1527" s="2"/>
      <c r="J1527" s="2"/>
    </row>
    <row r="1528" ht="15.75" customHeight="1">
      <c r="A1528" s="4" t="str">
        <f>HYPERLINK("https://stackoverflow.com/q/52299979", "52299979")</f>
        <v>52299979</v>
      </c>
      <c r="B1528" s="2" t="s">
        <v>1570</v>
      </c>
      <c r="C1528" s="3"/>
      <c r="D1528" s="3">
        <v>227.0</v>
      </c>
      <c r="E1528" s="2"/>
      <c r="F1528" s="2"/>
      <c r="G1528" s="2"/>
      <c r="H1528" s="2"/>
      <c r="I1528" s="2"/>
      <c r="J1528" s="2"/>
    </row>
    <row r="1529" ht="15.75" customHeight="1">
      <c r="A1529" s="4" t="str">
        <f>HYPERLINK("https://stackoverflow.com/q/59089647", "59089647")</f>
        <v>59089647</v>
      </c>
      <c r="B1529" s="2" t="s">
        <v>1571</v>
      </c>
      <c r="C1529" s="3"/>
      <c r="D1529" s="3">
        <v>227.0</v>
      </c>
      <c r="E1529" s="2"/>
      <c r="F1529" s="2"/>
      <c r="G1529" s="2"/>
      <c r="H1529" s="2"/>
      <c r="I1529" s="2"/>
      <c r="J1529" s="2"/>
    </row>
    <row r="1530" ht="15.75" customHeight="1">
      <c r="A1530" s="4" t="str">
        <f>HYPERLINK("https://stackoverflow.com/q/44013975", "44013975")</f>
        <v>44013975</v>
      </c>
      <c r="B1530" s="2" t="s">
        <v>1572</v>
      </c>
      <c r="C1530" s="3"/>
      <c r="D1530" s="3">
        <v>226.0</v>
      </c>
      <c r="E1530" s="2" t="s">
        <v>11</v>
      </c>
      <c r="F1530" s="2" t="s">
        <v>56</v>
      </c>
      <c r="G1530" s="2"/>
      <c r="H1530" s="2"/>
      <c r="I1530" s="2"/>
      <c r="J1530" s="2"/>
    </row>
    <row r="1531" ht="15.75" customHeight="1">
      <c r="A1531" s="4" t="str">
        <f>HYPERLINK("https://stackoverflow.com/q/46776819", "46776819")</f>
        <v>46776819</v>
      </c>
      <c r="B1531" s="2" t="s">
        <v>1573</v>
      </c>
      <c r="C1531" s="3"/>
      <c r="D1531" s="3">
        <v>226.0</v>
      </c>
      <c r="E1531" s="2" t="s">
        <v>11</v>
      </c>
      <c r="F1531" s="2" t="s">
        <v>35</v>
      </c>
      <c r="G1531" s="2"/>
      <c r="H1531" s="2"/>
      <c r="I1531" s="2"/>
      <c r="J1531" s="2"/>
    </row>
    <row r="1532" ht="15.75" customHeight="1">
      <c r="A1532" s="4" t="str">
        <f>HYPERLINK("https://stackoverflow.com/q/54741436", "54741436")</f>
        <v>54741436</v>
      </c>
      <c r="B1532" s="2" t="s">
        <v>1574</v>
      </c>
      <c r="C1532" s="3"/>
      <c r="D1532" s="3">
        <v>226.0</v>
      </c>
      <c r="E1532" s="2" t="s">
        <v>11</v>
      </c>
      <c r="F1532" s="2" t="s">
        <v>263</v>
      </c>
      <c r="G1532" s="2"/>
      <c r="H1532" s="2"/>
      <c r="I1532" s="2"/>
      <c r="J1532" s="2"/>
    </row>
    <row r="1533" ht="15.75" customHeight="1">
      <c r="A1533" s="4" t="str">
        <f>HYPERLINK("https://stackoverflow.com/q/42914503", "42914503")</f>
        <v>42914503</v>
      </c>
      <c r="B1533" s="2" t="s">
        <v>1575</v>
      </c>
      <c r="C1533" s="3"/>
      <c r="D1533" s="3">
        <v>226.0</v>
      </c>
      <c r="E1533" s="2" t="s">
        <v>537</v>
      </c>
      <c r="F1533" s="2" t="s">
        <v>538</v>
      </c>
      <c r="G1533" s="2"/>
      <c r="H1533" s="2"/>
      <c r="I1533" s="2"/>
      <c r="J1533" s="2"/>
    </row>
    <row r="1534" ht="15.75" customHeight="1">
      <c r="A1534" s="4" t="str">
        <f>HYPERLINK("https://stackoverflow.com/q/54077904", "54077904")</f>
        <v>54077904</v>
      </c>
      <c r="B1534" s="2" t="s">
        <v>1576</v>
      </c>
      <c r="C1534" s="3"/>
      <c r="D1534" s="3">
        <v>226.0</v>
      </c>
      <c r="E1534" s="2" t="s">
        <v>537</v>
      </c>
      <c r="F1534" s="2" t="s">
        <v>194</v>
      </c>
      <c r="G1534" s="2"/>
      <c r="H1534" s="2"/>
      <c r="I1534" s="2"/>
      <c r="J1534" s="2"/>
    </row>
    <row r="1535" ht="15.75" customHeight="1">
      <c r="A1535" s="4" t="str">
        <f>HYPERLINK("https://stackoverflow.com/q/45513359", "45513359")</f>
        <v>45513359</v>
      </c>
      <c r="B1535" s="2" t="s">
        <v>1577</v>
      </c>
      <c r="C1535" s="3"/>
      <c r="D1535" s="3">
        <v>226.0</v>
      </c>
      <c r="E1535" s="2"/>
      <c r="F1535" s="2"/>
      <c r="G1535" s="2"/>
      <c r="H1535" s="2"/>
      <c r="I1535" s="2"/>
      <c r="J1535" s="2"/>
    </row>
    <row r="1536" ht="15.75" customHeight="1">
      <c r="A1536" s="4" t="str">
        <f>HYPERLINK("https://stackoverflow.com/q/51612458", "51612458")</f>
        <v>51612458</v>
      </c>
      <c r="B1536" s="2" t="s">
        <v>1578</v>
      </c>
      <c r="C1536" s="3"/>
      <c r="D1536" s="3">
        <v>226.0</v>
      </c>
      <c r="E1536" s="2"/>
      <c r="F1536" s="2"/>
      <c r="G1536" s="2"/>
      <c r="H1536" s="2"/>
      <c r="I1536" s="2"/>
      <c r="J1536" s="2"/>
    </row>
    <row r="1537" ht="15.75" customHeight="1">
      <c r="A1537" s="4" t="str">
        <f>HYPERLINK("https://stackoverflow.com/q/58053093", "58053093")</f>
        <v>58053093</v>
      </c>
      <c r="B1537" s="2" t="s">
        <v>1579</v>
      </c>
      <c r="C1537" s="3"/>
      <c r="D1537" s="3">
        <v>226.0</v>
      </c>
      <c r="E1537" s="2"/>
      <c r="F1537" s="2"/>
      <c r="G1537" s="2"/>
      <c r="H1537" s="2"/>
      <c r="I1537" s="2"/>
      <c r="J1537" s="2"/>
    </row>
    <row r="1538" ht="15.75" customHeight="1">
      <c r="A1538" s="4" t="str">
        <f>HYPERLINK("https://stackoverflow.com/q/58112894", "58112894")</f>
        <v>58112894</v>
      </c>
      <c r="B1538" s="2" t="s">
        <v>1580</v>
      </c>
      <c r="C1538" s="3"/>
      <c r="D1538" s="3">
        <v>226.0</v>
      </c>
      <c r="E1538" s="2"/>
      <c r="F1538" s="2"/>
      <c r="G1538" s="2"/>
      <c r="H1538" s="2"/>
      <c r="I1538" s="2"/>
      <c r="J1538" s="2"/>
    </row>
    <row r="1539" ht="15.75" customHeight="1">
      <c r="A1539" s="4" t="str">
        <f>HYPERLINK("https://stackoverflow.com/q/51389551", "51389551")</f>
        <v>51389551</v>
      </c>
      <c r="B1539" s="2" t="s">
        <v>1581</v>
      </c>
      <c r="C1539" s="3"/>
      <c r="D1539" s="3">
        <v>225.0</v>
      </c>
      <c r="E1539" s="2" t="s">
        <v>11</v>
      </c>
      <c r="F1539" s="2" t="s">
        <v>73</v>
      </c>
      <c r="G1539" s="2"/>
      <c r="H1539" s="2"/>
      <c r="I1539" s="2"/>
      <c r="J1539" s="2"/>
    </row>
    <row r="1540" ht="15.75" customHeight="1">
      <c r="A1540" s="4" t="str">
        <f>HYPERLINK("https://stackoverflow.com/q/51208243", "51208243")</f>
        <v>51208243</v>
      </c>
      <c r="B1540" s="2" t="s">
        <v>1582</v>
      </c>
      <c r="C1540" s="3"/>
      <c r="D1540" s="3">
        <v>225.0</v>
      </c>
      <c r="E1540" s="2"/>
      <c r="F1540" s="2"/>
      <c r="G1540" s="2"/>
      <c r="H1540" s="2"/>
      <c r="I1540" s="2"/>
      <c r="J1540" s="2"/>
    </row>
    <row r="1541" ht="15.75" customHeight="1">
      <c r="A1541" s="4" t="str">
        <f>HYPERLINK("https://stackoverflow.com/q/51744626", "51744626")</f>
        <v>51744626</v>
      </c>
      <c r="B1541" s="2" t="s">
        <v>1583</v>
      </c>
      <c r="C1541" s="3"/>
      <c r="D1541" s="3">
        <v>225.0</v>
      </c>
      <c r="E1541" s="2"/>
      <c r="F1541" s="2"/>
      <c r="G1541" s="2"/>
      <c r="H1541" s="2"/>
      <c r="I1541" s="2"/>
      <c r="J1541" s="2"/>
    </row>
    <row r="1542" ht="15.75" customHeight="1">
      <c r="A1542" s="4" t="str">
        <f>HYPERLINK("https://stackoverflow.com/q/53110268", "53110268")</f>
        <v>53110268</v>
      </c>
      <c r="B1542" s="2" t="s">
        <v>1584</v>
      </c>
      <c r="C1542" s="3"/>
      <c r="D1542" s="3">
        <v>225.0</v>
      </c>
      <c r="E1542" s="2"/>
      <c r="F1542" s="2"/>
      <c r="G1542" s="2"/>
      <c r="H1542" s="2"/>
      <c r="I1542" s="2"/>
      <c r="J1542" s="2"/>
    </row>
    <row r="1543" ht="15.75" customHeight="1">
      <c r="A1543" s="4" t="str">
        <f>HYPERLINK("https://stackoverflow.com/q/50986952", "50986952")</f>
        <v>50986952</v>
      </c>
      <c r="B1543" s="2" t="s">
        <v>1585</v>
      </c>
      <c r="C1543" s="3">
        <v>1.0</v>
      </c>
      <c r="D1543" s="3">
        <v>224.0</v>
      </c>
      <c r="E1543" s="2"/>
      <c r="F1543" s="2"/>
      <c r="G1543" s="2"/>
      <c r="H1543" s="2"/>
      <c r="I1543" s="2"/>
      <c r="J1543" s="2"/>
    </row>
    <row r="1544" ht="15.75" customHeight="1">
      <c r="A1544" s="4" t="str">
        <f>HYPERLINK("https://stackoverflow.com/q/50405394", "50405394")</f>
        <v>50405394</v>
      </c>
      <c r="B1544" s="2" t="s">
        <v>1586</v>
      </c>
      <c r="C1544" s="3"/>
      <c r="D1544" s="3">
        <v>224.0</v>
      </c>
      <c r="E1544" s="2"/>
      <c r="F1544" s="2"/>
      <c r="G1544" s="2"/>
      <c r="H1544" s="2"/>
      <c r="I1544" s="2"/>
      <c r="J1544" s="2"/>
    </row>
    <row r="1545" ht="15.75" customHeight="1">
      <c r="A1545" s="4" t="str">
        <f>HYPERLINK("https://stackoverflow.com/q/43213661", "43213661")</f>
        <v>43213661</v>
      </c>
      <c r="B1545" s="2" t="s">
        <v>1587</v>
      </c>
      <c r="C1545" s="3"/>
      <c r="D1545" s="3">
        <v>223.0</v>
      </c>
      <c r="E1545" s="9" t="s">
        <v>11</v>
      </c>
      <c r="F1545" s="2" t="s">
        <v>16</v>
      </c>
      <c r="G1545" s="2"/>
      <c r="H1545" s="2"/>
      <c r="I1545" s="2"/>
      <c r="J1545" s="2"/>
    </row>
    <row r="1546" ht="15.75" customHeight="1">
      <c r="A1546" s="4" t="str">
        <f>HYPERLINK("https://stackoverflow.com/q/47451392", "47451392")</f>
        <v>47451392</v>
      </c>
      <c r="B1546" s="2" t="s">
        <v>1588</v>
      </c>
      <c r="C1546" s="3"/>
      <c r="D1546" s="3">
        <v>223.0</v>
      </c>
      <c r="E1546" s="9" t="s">
        <v>11</v>
      </c>
      <c r="F1546" s="2" t="s">
        <v>16</v>
      </c>
      <c r="G1546" s="2"/>
      <c r="H1546" s="2"/>
      <c r="I1546" s="2"/>
      <c r="J1546" s="2"/>
    </row>
    <row r="1547" ht="15.75" customHeight="1">
      <c r="A1547" s="4" t="str">
        <f>HYPERLINK("https://stackoverflow.com/q/54747323", "54747323")</f>
        <v>54747323</v>
      </c>
      <c r="B1547" s="2" t="s">
        <v>1589</v>
      </c>
      <c r="C1547" s="3"/>
      <c r="D1547" s="3">
        <v>223.0</v>
      </c>
      <c r="E1547" s="9" t="s">
        <v>11</v>
      </c>
      <c r="F1547" s="2" t="s">
        <v>18</v>
      </c>
      <c r="G1547" s="2"/>
      <c r="H1547" s="2"/>
      <c r="I1547" s="2"/>
      <c r="J1547" s="2"/>
    </row>
    <row r="1548" ht="15.75" customHeight="1">
      <c r="A1548" s="4" t="str">
        <f>HYPERLINK("https://stackoverflow.com/q/49913681", "49913681")</f>
        <v>49913681</v>
      </c>
      <c r="B1548" s="2" t="s">
        <v>1590</v>
      </c>
      <c r="C1548" s="3"/>
      <c r="D1548" s="3">
        <v>223.0</v>
      </c>
      <c r="E1548" s="2"/>
      <c r="F1548" s="2"/>
      <c r="G1548" s="2"/>
      <c r="H1548" s="2"/>
      <c r="I1548" s="2"/>
      <c r="J1548" s="2"/>
    </row>
    <row r="1549" ht="15.75" customHeight="1">
      <c r="A1549" s="4" t="str">
        <f>HYPERLINK("https://stackoverflow.com/q/51993959", "51993959")</f>
        <v>51993959</v>
      </c>
      <c r="B1549" s="2" t="s">
        <v>1591</v>
      </c>
      <c r="C1549" s="3"/>
      <c r="D1549" s="3">
        <v>223.0</v>
      </c>
      <c r="E1549" s="2"/>
      <c r="F1549" s="2"/>
      <c r="G1549" s="2"/>
      <c r="H1549" s="2"/>
      <c r="I1549" s="2"/>
      <c r="J1549" s="2"/>
    </row>
    <row r="1550" ht="15.75" customHeight="1">
      <c r="A1550" s="4" t="str">
        <f>HYPERLINK("https://stackoverflow.com/q/56900955", "56900955")</f>
        <v>56900955</v>
      </c>
      <c r="B1550" s="2" t="s">
        <v>1592</v>
      </c>
      <c r="C1550" s="3"/>
      <c r="D1550" s="3">
        <v>223.0</v>
      </c>
      <c r="E1550" s="2"/>
      <c r="F1550" s="2"/>
      <c r="G1550" s="2"/>
      <c r="H1550" s="2"/>
      <c r="I1550" s="2"/>
      <c r="J1550" s="2"/>
    </row>
    <row r="1551" ht="15.75" customHeight="1">
      <c r="A1551" s="4" t="str">
        <f>HYPERLINK("https://stackoverflow.com/q/53082382", "53082382")</f>
        <v>53082382</v>
      </c>
      <c r="B1551" s="2" t="s">
        <v>1593</v>
      </c>
      <c r="C1551" s="3">
        <v>1.0</v>
      </c>
      <c r="D1551" s="3">
        <v>222.0</v>
      </c>
      <c r="E1551" s="2"/>
      <c r="F1551" s="2"/>
      <c r="G1551" s="2"/>
      <c r="H1551" s="2"/>
      <c r="I1551" s="2"/>
      <c r="J1551" s="2"/>
    </row>
    <row r="1552" ht="15.75" customHeight="1">
      <c r="A1552" s="4" t="str">
        <f>HYPERLINK("https://stackoverflow.com/q/52499067", "52499067")</f>
        <v>52499067</v>
      </c>
      <c r="B1552" s="2" t="s">
        <v>1594</v>
      </c>
      <c r="C1552" s="3"/>
      <c r="D1552" s="3">
        <v>222.0</v>
      </c>
      <c r="E1552" s="2"/>
      <c r="F1552" s="2"/>
      <c r="G1552" s="2"/>
      <c r="H1552" s="2"/>
      <c r="I1552" s="2"/>
      <c r="J1552" s="2"/>
    </row>
    <row r="1553" ht="15.75" customHeight="1">
      <c r="A1553" s="4" t="str">
        <f>HYPERLINK("https://stackoverflow.com/q/57982913", "57982913")</f>
        <v>57982913</v>
      </c>
      <c r="B1553" s="2" t="s">
        <v>1595</v>
      </c>
      <c r="C1553" s="3"/>
      <c r="D1553" s="3">
        <v>222.0</v>
      </c>
      <c r="E1553" s="2"/>
      <c r="F1553" s="2"/>
      <c r="G1553" s="2"/>
      <c r="H1553" s="2"/>
      <c r="I1553" s="2"/>
      <c r="J1553" s="2"/>
    </row>
    <row r="1554" ht="15.75" customHeight="1">
      <c r="A1554" s="4" t="str">
        <f>HYPERLINK("https://stackoverflow.com/q/50825507", "50825507")</f>
        <v>50825507</v>
      </c>
      <c r="B1554" s="2" t="s">
        <v>1596</v>
      </c>
      <c r="C1554" s="3">
        <v>1.0</v>
      </c>
      <c r="D1554" s="3">
        <v>221.0</v>
      </c>
      <c r="E1554" s="2"/>
      <c r="F1554" s="2"/>
      <c r="G1554" s="2"/>
      <c r="H1554" s="2"/>
      <c r="I1554" s="2"/>
      <c r="J1554" s="2"/>
    </row>
    <row r="1555" ht="15.75" customHeight="1">
      <c r="A1555" s="4" t="str">
        <f>HYPERLINK("https://stackoverflow.com/q/47305630", "47305630")</f>
        <v>47305630</v>
      </c>
      <c r="B1555" s="2" t="s">
        <v>1597</v>
      </c>
      <c r="C1555" s="3"/>
      <c r="D1555" s="3">
        <v>221.0</v>
      </c>
      <c r="E1555" s="9" t="s">
        <v>11</v>
      </c>
      <c r="F1555" s="2" t="s">
        <v>18</v>
      </c>
      <c r="G1555" s="2"/>
      <c r="H1555" s="2"/>
      <c r="I1555" s="2"/>
      <c r="J1555" s="2"/>
    </row>
    <row r="1556" ht="15.75" customHeight="1">
      <c r="A1556" s="4" t="str">
        <f>HYPERLINK("https://stackoverflow.com/q/57006123", "57006123")</f>
        <v>57006123</v>
      </c>
      <c r="B1556" s="2" t="s">
        <v>1598</v>
      </c>
      <c r="C1556" s="3"/>
      <c r="D1556" s="3">
        <v>221.0</v>
      </c>
      <c r="E1556" s="2"/>
      <c r="F1556" s="2"/>
      <c r="G1556" s="2"/>
      <c r="H1556" s="2"/>
      <c r="I1556" s="2"/>
      <c r="J1556" s="2"/>
    </row>
    <row r="1557" ht="15.75" customHeight="1">
      <c r="A1557" s="4" t="str">
        <f>HYPERLINK("https://stackoverflow.com/q/51364575", "51364575")</f>
        <v>51364575</v>
      </c>
      <c r="B1557" s="2" t="s">
        <v>1599</v>
      </c>
      <c r="C1557" s="3">
        <v>1.0</v>
      </c>
      <c r="D1557" s="3">
        <v>220.0</v>
      </c>
      <c r="E1557" s="9" t="s">
        <v>11</v>
      </c>
      <c r="F1557" s="2" t="s">
        <v>16</v>
      </c>
      <c r="G1557" s="2"/>
      <c r="H1557" s="2"/>
      <c r="I1557" s="2"/>
      <c r="J1557" s="2"/>
    </row>
    <row r="1558" ht="15.75" customHeight="1">
      <c r="A1558" s="4" t="str">
        <f>HYPERLINK("https://stackoverflow.com/q/58382314", "58382314")</f>
        <v>58382314</v>
      </c>
      <c r="B1558" s="2" t="s">
        <v>1600</v>
      </c>
      <c r="C1558" s="3">
        <v>0.0</v>
      </c>
      <c r="D1558" s="3">
        <v>220.0</v>
      </c>
      <c r="E1558" s="2"/>
      <c r="F1558" s="2"/>
      <c r="G1558" s="2"/>
      <c r="H1558" s="2"/>
      <c r="I1558" s="2"/>
      <c r="J1558" s="2"/>
    </row>
    <row r="1559" ht="15.75" customHeight="1">
      <c r="A1559" s="4" t="str">
        <f>HYPERLINK("https://stackoverflow.com/q/48054534", "48054534")</f>
        <v>48054534</v>
      </c>
      <c r="B1559" s="2" t="s">
        <v>1601</v>
      </c>
      <c r="C1559" s="3"/>
      <c r="D1559" s="3">
        <v>220.0</v>
      </c>
      <c r="E1559" s="2" t="s">
        <v>59</v>
      </c>
      <c r="F1559" s="2" t="s">
        <v>28</v>
      </c>
      <c r="G1559" s="2"/>
      <c r="H1559" s="2"/>
      <c r="I1559" s="2"/>
      <c r="J1559" s="2"/>
    </row>
    <row r="1560" ht="15.75" customHeight="1">
      <c r="A1560" s="4" t="str">
        <f>HYPERLINK("https://stackoverflow.com/q/47820479", "47820479")</f>
        <v>47820479</v>
      </c>
      <c r="B1560" s="2" t="s">
        <v>1602</v>
      </c>
      <c r="C1560" s="3"/>
      <c r="D1560" s="3">
        <v>220.0</v>
      </c>
      <c r="E1560" s="2" t="s">
        <v>11</v>
      </c>
      <c r="F1560" s="2" t="s">
        <v>12</v>
      </c>
      <c r="G1560" s="2"/>
      <c r="H1560" s="2"/>
      <c r="I1560" s="2"/>
      <c r="J1560" s="2"/>
    </row>
    <row r="1561" ht="15.75" customHeight="1">
      <c r="A1561" s="4" t="str">
        <f>HYPERLINK("https://stackoverflow.com/q/21437901", "21437901")</f>
        <v>21437901</v>
      </c>
      <c r="B1561" s="2" t="s">
        <v>1603</v>
      </c>
      <c r="C1561" s="3"/>
      <c r="D1561" s="3">
        <v>220.0</v>
      </c>
      <c r="E1561" s="2"/>
      <c r="F1561" s="2"/>
      <c r="G1561" s="2"/>
      <c r="H1561" s="2"/>
      <c r="I1561" s="2"/>
      <c r="J1561" s="2"/>
    </row>
    <row r="1562" ht="15.75" customHeight="1">
      <c r="A1562" s="4" t="str">
        <f>HYPERLINK("https://stackoverflow.com/q/50512460", "50512460")</f>
        <v>50512460</v>
      </c>
      <c r="B1562" s="2" t="s">
        <v>1604</v>
      </c>
      <c r="C1562" s="3"/>
      <c r="D1562" s="3">
        <v>220.0</v>
      </c>
      <c r="E1562" s="2"/>
      <c r="F1562" s="2"/>
      <c r="G1562" s="2"/>
      <c r="H1562" s="2"/>
      <c r="I1562" s="2"/>
      <c r="J1562" s="2"/>
    </row>
    <row r="1563" ht="15.75" customHeight="1">
      <c r="A1563" s="4" t="str">
        <f>HYPERLINK("https://stackoverflow.com/q/52294863", "52294863")</f>
        <v>52294863</v>
      </c>
      <c r="B1563" s="2" t="s">
        <v>1605</v>
      </c>
      <c r="C1563" s="3"/>
      <c r="D1563" s="3">
        <v>220.0</v>
      </c>
      <c r="E1563" s="2"/>
      <c r="F1563" s="2"/>
      <c r="G1563" s="2"/>
      <c r="H1563" s="2"/>
      <c r="I1563" s="2"/>
      <c r="J1563" s="2"/>
    </row>
    <row r="1564" ht="15.75" customHeight="1">
      <c r="A1564" s="4" t="str">
        <f>HYPERLINK("https://stackoverflow.com/q/52960863", "52960863")</f>
        <v>52960863</v>
      </c>
      <c r="B1564" s="2" t="s">
        <v>1606</v>
      </c>
      <c r="C1564" s="3"/>
      <c r="D1564" s="3">
        <v>220.0</v>
      </c>
      <c r="E1564" s="2"/>
      <c r="F1564" s="2"/>
      <c r="G1564" s="2"/>
      <c r="H1564" s="2"/>
      <c r="I1564" s="2"/>
      <c r="J1564" s="2"/>
    </row>
    <row r="1565" ht="15.75" customHeight="1">
      <c r="A1565" s="4" t="str">
        <f>HYPERLINK("https://stackoverflow.com/q/55796166", "55796166")</f>
        <v>55796166</v>
      </c>
      <c r="B1565" s="2" t="s">
        <v>1607</v>
      </c>
      <c r="C1565" s="3"/>
      <c r="D1565" s="3">
        <v>220.0</v>
      </c>
      <c r="E1565" s="2"/>
      <c r="F1565" s="2"/>
      <c r="G1565" s="2"/>
      <c r="H1565" s="2"/>
      <c r="I1565" s="2"/>
      <c r="J1565" s="2"/>
    </row>
    <row r="1566" ht="15.75" customHeight="1">
      <c r="A1566" s="4" t="str">
        <f>HYPERLINK("https://stackoverflow.com/q/51033320", "51033320")</f>
        <v>51033320</v>
      </c>
      <c r="B1566" s="2" t="s">
        <v>1608</v>
      </c>
      <c r="C1566" s="3">
        <v>2.0</v>
      </c>
      <c r="D1566" s="3">
        <v>219.0</v>
      </c>
      <c r="E1566" s="2"/>
      <c r="F1566" s="2"/>
      <c r="G1566" s="2"/>
      <c r="H1566" s="2"/>
      <c r="I1566" s="2"/>
      <c r="J1566" s="2"/>
    </row>
    <row r="1567" ht="15.75" customHeight="1">
      <c r="A1567" s="4" t="str">
        <f>HYPERLINK("https://stackoverflow.com/q/54935102", "54935102")</f>
        <v>54935102</v>
      </c>
      <c r="B1567" s="2" t="s">
        <v>1609</v>
      </c>
      <c r="C1567" s="3"/>
      <c r="D1567" s="3">
        <v>219.0</v>
      </c>
      <c r="E1567" s="2" t="s">
        <v>11</v>
      </c>
      <c r="F1567" s="2" t="s">
        <v>28</v>
      </c>
      <c r="G1567" s="2"/>
      <c r="H1567" s="2"/>
      <c r="I1567" s="2"/>
      <c r="J1567" s="2"/>
    </row>
    <row r="1568" ht="15.75" customHeight="1">
      <c r="A1568" s="4" t="str">
        <f>HYPERLINK("https://stackoverflow.com/q/12270740", "12270740")</f>
        <v>12270740</v>
      </c>
      <c r="B1568" s="2" t="s">
        <v>1610</v>
      </c>
      <c r="C1568" s="3"/>
      <c r="D1568" s="3">
        <v>219.0</v>
      </c>
      <c r="E1568" s="2"/>
      <c r="F1568" s="2"/>
      <c r="G1568" s="2"/>
      <c r="H1568" s="2"/>
      <c r="I1568" s="2"/>
      <c r="J1568" s="2"/>
    </row>
    <row r="1569" ht="15.75" customHeight="1">
      <c r="A1569" s="4" t="str">
        <f>HYPERLINK("https://stackoverflow.com/q/33082983", "33082983")</f>
        <v>33082983</v>
      </c>
      <c r="B1569" s="2" t="s">
        <v>1611</v>
      </c>
      <c r="C1569" s="3"/>
      <c r="D1569" s="3">
        <v>219.0</v>
      </c>
      <c r="E1569" s="2"/>
      <c r="F1569" s="2"/>
      <c r="G1569" s="2"/>
      <c r="H1569" s="2"/>
      <c r="I1569" s="2"/>
      <c r="J1569" s="2"/>
    </row>
    <row r="1570" ht="15.75" customHeight="1">
      <c r="A1570" s="4" t="str">
        <f>HYPERLINK("https://stackoverflow.com/q/40844174", "40844174")</f>
        <v>40844174</v>
      </c>
      <c r="B1570" s="2" t="s">
        <v>1612</v>
      </c>
      <c r="C1570" s="3"/>
      <c r="D1570" s="3">
        <v>219.0</v>
      </c>
      <c r="E1570" s="2"/>
      <c r="F1570" s="2"/>
      <c r="G1570" s="2"/>
      <c r="H1570" s="2"/>
      <c r="I1570" s="2"/>
      <c r="J1570" s="2"/>
    </row>
    <row r="1571" ht="15.75" customHeight="1">
      <c r="A1571" s="4" t="str">
        <f>HYPERLINK("https://stackoverflow.com/q/50442085", "50442085")</f>
        <v>50442085</v>
      </c>
      <c r="B1571" s="2" t="s">
        <v>1613</v>
      </c>
      <c r="C1571" s="3"/>
      <c r="D1571" s="3">
        <v>219.0</v>
      </c>
      <c r="E1571" s="2"/>
      <c r="F1571" s="2"/>
      <c r="G1571" s="2"/>
      <c r="H1571" s="2"/>
      <c r="I1571" s="2"/>
      <c r="J1571" s="2"/>
    </row>
    <row r="1572" ht="15.75" customHeight="1">
      <c r="A1572" s="4" t="str">
        <f>HYPERLINK("https://stackoverflow.com/q/51194662", "51194662")</f>
        <v>51194662</v>
      </c>
      <c r="B1572" s="2" t="s">
        <v>1614</v>
      </c>
      <c r="C1572" s="3"/>
      <c r="D1572" s="3">
        <v>219.0</v>
      </c>
      <c r="E1572" s="2"/>
      <c r="F1572" s="2"/>
      <c r="G1572" s="2"/>
      <c r="H1572" s="2"/>
      <c r="I1572" s="2"/>
      <c r="J1572" s="2"/>
    </row>
    <row r="1573" ht="15.75" customHeight="1">
      <c r="A1573" s="4" t="str">
        <f>HYPERLINK("https://stackoverflow.com/q/53299189", "53299189")</f>
        <v>53299189</v>
      </c>
      <c r="B1573" s="2" t="s">
        <v>1615</v>
      </c>
      <c r="C1573" s="3"/>
      <c r="D1573" s="3">
        <v>219.0</v>
      </c>
      <c r="E1573" s="2"/>
      <c r="F1573" s="2"/>
      <c r="G1573" s="2"/>
      <c r="H1573" s="2"/>
      <c r="I1573" s="2"/>
      <c r="J1573" s="2"/>
    </row>
    <row r="1574" ht="15.75" customHeight="1">
      <c r="A1574" s="4" t="str">
        <f>HYPERLINK("https://stackoverflow.com/q/54446152", "54446152")</f>
        <v>54446152</v>
      </c>
      <c r="B1574" s="2" t="s">
        <v>1616</v>
      </c>
      <c r="C1574" s="3"/>
      <c r="D1574" s="3">
        <v>218.0</v>
      </c>
      <c r="E1574" s="2" t="s">
        <v>11</v>
      </c>
      <c r="F1574" s="2" t="s">
        <v>25</v>
      </c>
      <c r="G1574" s="2"/>
      <c r="H1574" s="2"/>
      <c r="I1574" s="2"/>
      <c r="J1574" s="2"/>
    </row>
    <row r="1575" ht="15.75" customHeight="1">
      <c r="A1575" s="4" t="str">
        <f>HYPERLINK("https://stackoverflow.com/q/54526634", "54526634")</f>
        <v>54526634</v>
      </c>
      <c r="B1575" s="2" t="s">
        <v>1617</v>
      </c>
      <c r="C1575" s="3"/>
      <c r="D1575" s="3">
        <v>218.0</v>
      </c>
      <c r="E1575" s="2" t="s">
        <v>11</v>
      </c>
      <c r="F1575" s="2" t="s">
        <v>25</v>
      </c>
      <c r="G1575" s="2"/>
      <c r="H1575" s="2"/>
      <c r="I1575" s="2"/>
      <c r="J1575" s="2"/>
    </row>
    <row r="1576" ht="15.75" customHeight="1">
      <c r="A1576" s="4" t="str">
        <f>HYPERLINK("https://stackoverflow.com/q/30460291", "30460291")</f>
        <v>30460291</v>
      </c>
      <c r="B1576" s="2" t="s">
        <v>1618</v>
      </c>
      <c r="C1576" s="3"/>
      <c r="D1576" s="3">
        <v>218.0</v>
      </c>
      <c r="E1576" s="2"/>
      <c r="F1576" s="2"/>
      <c r="G1576" s="2"/>
      <c r="H1576" s="2"/>
      <c r="I1576" s="2"/>
      <c r="J1576" s="2"/>
    </row>
    <row r="1577" ht="15.75" customHeight="1">
      <c r="A1577" s="4" t="str">
        <f>HYPERLINK("https://stackoverflow.com/q/50637765", "50637765")</f>
        <v>50637765</v>
      </c>
      <c r="B1577" s="2" t="s">
        <v>1619</v>
      </c>
      <c r="C1577" s="3"/>
      <c r="D1577" s="3">
        <v>218.0</v>
      </c>
      <c r="E1577" s="2"/>
      <c r="F1577" s="2"/>
      <c r="G1577" s="2"/>
      <c r="H1577" s="2"/>
      <c r="I1577" s="2"/>
      <c r="J1577" s="2"/>
    </row>
    <row r="1578" ht="15.75" customHeight="1">
      <c r="A1578" s="4" t="str">
        <f>HYPERLINK("https://stackoverflow.com/q/51196057", "51196057")</f>
        <v>51196057</v>
      </c>
      <c r="B1578" s="2" t="s">
        <v>1620</v>
      </c>
      <c r="C1578" s="3"/>
      <c r="D1578" s="3">
        <v>218.0</v>
      </c>
      <c r="E1578" s="2"/>
      <c r="F1578" s="2"/>
      <c r="G1578" s="2"/>
      <c r="H1578" s="2"/>
      <c r="I1578" s="2"/>
      <c r="J1578" s="2"/>
    </row>
    <row r="1579" ht="15.75" customHeight="1">
      <c r="A1579" s="4" t="str">
        <f>HYPERLINK("https://stackoverflow.com/q/52205477", "52205477")</f>
        <v>52205477</v>
      </c>
      <c r="B1579" s="2" t="s">
        <v>1621</v>
      </c>
      <c r="C1579" s="3"/>
      <c r="D1579" s="3">
        <v>218.0</v>
      </c>
      <c r="E1579" s="2"/>
      <c r="F1579" s="2"/>
      <c r="G1579" s="2"/>
      <c r="H1579" s="2"/>
      <c r="I1579" s="2"/>
      <c r="J1579" s="2"/>
    </row>
    <row r="1580" ht="15.75" customHeight="1">
      <c r="A1580" s="4" t="str">
        <f>HYPERLINK("https://stackoverflow.com/q/57755093", "57755093")</f>
        <v>57755093</v>
      </c>
      <c r="B1580" s="2" t="s">
        <v>1622</v>
      </c>
      <c r="C1580" s="3"/>
      <c r="D1580" s="3">
        <v>218.0</v>
      </c>
      <c r="E1580" s="2"/>
      <c r="F1580" s="2"/>
      <c r="G1580" s="2"/>
      <c r="H1580" s="2"/>
      <c r="I1580" s="2"/>
      <c r="J1580" s="2"/>
    </row>
    <row r="1581" ht="15.75" customHeight="1">
      <c r="A1581" s="4" t="str">
        <f>HYPERLINK("https://stackoverflow.com/q/58488107", "58488107")</f>
        <v>58488107</v>
      </c>
      <c r="B1581" s="2" t="s">
        <v>1623</v>
      </c>
      <c r="C1581" s="3"/>
      <c r="D1581" s="3">
        <v>218.0</v>
      </c>
      <c r="E1581" s="2"/>
      <c r="F1581" s="2"/>
      <c r="G1581" s="2"/>
      <c r="H1581" s="2"/>
      <c r="I1581" s="2"/>
      <c r="J1581" s="2"/>
    </row>
    <row r="1582" ht="15.75" customHeight="1">
      <c r="A1582" s="4" t="str">
        <f>HYPERLINK("https://stackoverflow.com/q/41045890", "41045890")</f>
        <v>41045890</v>
      </c>
      <c r="B1582" s="2" t="s">
        <v>1624</v>
      </c>
      <c r="C1582" s="3">
        <v>2.0</v>
      </c>
      <c r="D1582" s="3">
        <v>217.0</v>
      </c>
      <c r="E1582" s="2"/>
      <c r="F1582" s="2"/>
      <c r="G1582" s="2"/>
      <c r="H1582" s="2"/>
      <c r="I1582" s="2"/>
      <c r="J1582" s="2"/>
    </row>
    <row r="1583" ht="15.75" customHeight="1">
      <c r="A1583" s="4" t="str">
        <f>HYPERLINK("https://stackoverflow.com/q/44733222", "44733222")</f>
        <v>44733222</v>
      </c>
      <c r="B1583" s="2" t="s">
        <v>1625</v>
      </c>
      <c r="C1583" s="3">
        <v>1.0</v>
      </c>
      <c r="D1583" s="3">
        <v>217.0</v>
      </c>
      <c r="E1583" s="2"/>
      <c r="F1583" s="2"/>
      <c r="G1583" s="2"/>
      <c r="H1583" s="2"/>
      <c r="I1583" s="2"/>
      <c r="J1583" s="2"/>
    </row>
    <row r="1584" ht="15.75" customHeight="1">
      <c r="A1584" s="4" t="str">
        <f>HYPERLINK("https://stackoverflow.com/q/44285870", "44285870")</f>
        <v>44285870</v>
      </c>
      <c r="B1584" s="2" t="s">
        <v>1626</v>
      </c>
      <c r="C1584" s="3"/>
      <c r="D1584" s="3">
        <v>217.0</v>
      </c>
      <c r="E1584" s="2"/>
      <c r="F1584" s="2"/>
      <c r="G1584" s="2"/>
      <c r="H1584" s="2"/>
      <c r="I1584" s="2"/>
      <c r="J1584" s="2"/>
    </row>
    <row r="1585" ht="15.75" customHeight="1">
      <c r="A1585" s="4" t="str">
        <f>HYPERLINK("https://stackoverflow.com/q/26779046", "26779046")</f>
        <v>26779046</v>
      </c>
      <c r="B1585" s="2" t="s">
        <v>1627</v>
      </c>
      <c r="C1585" s="3">
        <v>1.0</v>
      </c>
      <c r="D1585" s="3">
        <v>216.0</v>
      </c>
      <c r="E1585" s="2"/>
      <c r="F1585" s="2"/>
      <c r="G1585" s="2"/>
      <c r="H1585" s="2"/>
      <c r="I1585" s="2"/>
      <c r="J1585" s="2"/>
    </row>
    <row r="1586" ht="15.75" customHeight="1">
      <c r="A1586" s="4" t="str">
        <f>HYPERLINK("https://stackoverflow.com/q/38842894", "38842894")</f>
        <v>38842894</v>
      </c>
      <c r="B1586" s="2" t="s">
        <v>1628</v>
      </c>
      <c r="C1586" s="3">
        <v>1.0</v>
      </c>
      <c r="D1586" s="3">
        <v>216.0</v>
      </c>
      <c r="E1586" s="2"/>
      <c r="F1586" s="2"/>
      <c r="G1586" s="2"/>
      <c r="H1586" s="2"/>
      <c r="I1586" s="2"/>
      <c r="J1586" s="2"/>
    </row>
    <row r="1587" ht="15.75" customHeight="1">
      <c r="A1587" s="4" t="str">
        <f>HYPERLINK("https://stackoverflow.com/q/57000159", "57000159")</f>
        <v>57000159</v>
      </c>
      <c r="B1587" s="2" t="s">
        <v>1629</v>
      </c>
      <c r="C1587" s="3"/>
      <c r="D1587" s="3">
        <v>216.0</v>
      </c>
      <c r="E1587" s="2"/>
      <c r="F1587" s="2"/>
      <c r="G1587" s="2"/>
      <c r="H1587" s="2"/>
      <c r="I1587" s="2"/>
      <c r="J1587" s="2"/>
    </row>
    <row r="1588" ht="15.75" customHeight="1">
      <c r="A1588" s="4" t="str">
        <f>HYPERLINK("https://stackoverflow.com/q/42503229", "42503229")</f>
        <v>42503229</v>
      </c>
      <c r="B1588" s="2" t="s">
        <v>1630</v>
      </c>
      <c r="C1588" s="3"/>
      <c r="D1588" s="3">
        <v>215.0</v>
      </c>
      <c r="E1588" s="2" t="s">
        <v>11</v>
      </c>
      <c r="F1588" s="2" t="s">
        <v>25</v>
      </c>
      <c r="G1588" s="2"/>
      <c r="H1588" s="2"/>
      <c r="I1588" s="2"/>
      <c r="J1588" s="2"/>
    </row>
    <row r="1589" ht="15.75" customHeight="1">
      <c r="A1589" s="4" t="str">
        <f>HYPERLINK("https://stackoverflow.com/q/46681967", "46681967")</f>
        <v>46681967</v>
      </c>
      <c r="B1589" s="2" t="s">
        <v>1631</v>
      </c>
      <c r="C1589" s="3"/>
      <c r="D1589" s="3">
        <v>215.0</v>
      </c>
      <c r="E1589" s="2" t="s">
        <v>11</v>
      </c>
      <c r="F1589" s="2" t="s">
        <v>35</v>
      </c>
      <c r="G1589" s="2"/>
      <c r="H1589" s="2"/>
      <c r="I1589" s="2"/>
      <c r="J1589" s="2"/>
    </row>
    <row r="1590" ht="15.75" customHeight="1">
      <c r="A1590" s="4" t="str">
        <f>HYPERLINK("https://stackoverflow.com/q/50130081", "50130081")</f>
        <v>50130081</v>
      </c>
      <c r="B1590" s="2" t="s">
        <v>1632</v>
      </c>
      <c r="C1590" s="3"/>
      <c r="D1590" s="3">
        <v>215.0</v>
      </c>
      <c r="E1590" s="2"/>
      <c r="F1590" s="2"/>
      <c r="G1590" s="2"/>
      <c r="H1590" s="2"/>
      <c r="I1590" s="2"/>
      <c r="J1590" s="2"/>
    </row>
    <row r="1591" ht="15.75" customHeight="1">
      <c r="A1591" s="4" t="str">
        <f>HYPERLINK("https://stackoverflow.com/q/55505857", "55505857")</f>
        <v>55505857</v>
      </c>
      <c r="B1591" s="2" t="s">
        <v>1633</v>
      </c>
      <c r="C1591" s="3">
        <v>1.0</v>
      </c>
      <c r="D1591" s="3">
        <v>214.0</v>
      </c>
      <c r="E1591" s="9" t="s">
        <v>11</v>
      </c>
      <c r="F1591" s="2" t="s">
        <v>18</v>
      </c>
      <c r="G1591" s="2" t="s">
        <v>25</v>
      </c>
      <c r="H1591" s="2"/>
      <c r="I1591" s="2"/>
      <c r="J1591" s="2"/>
    </row>
    <row r="1592" ht="15.75" customHeight="1">
      <c r="A1592" s="4" t="str">
        <f>HYPERLINK("https://stackoverflow.com/q/42756855", "42756855")</f>
        <v>42756855</v>
      </c>
      <c r="B1592" s="2" t="s">
        <v>1634</v>
      </c>
      <c r="C1592" s="3"/>
      <c r="D1592" s="3">
        <v>214.0</v>
      </c>
      <c r="E1592" s="2" t="s">
        <v>11</v>
      </c>
      <c r="F1592" s="2" t="s">
        <v>35</v>
      </c>
      <c r="G1592" s="2"/>
      <c r="H1592" s="2"/>
      <c r="I1592" s="2"/>
      <c r="J1592" s="2"/>
    </row>
    <row r="1593" ht="15.75" customHeight="1">
      <c r="A1593" s="4" t="str">
        <f>HYPERLINK("https://stackoverflow.com/q/33016067", "33016067")</f>
        <v>33016067</v>
      </c>
      <c r="B1593" s="2" t="s">
        <v>1635</v>
      </c>
      <c r="C1593" s="3"/>
      <c r="D1593" s="3">
        <v>214.0</v>
      </c>
      <c r="E1593" s="2"/>
      <c r="F1593" s="2"/>
      <c r="G1593" s="2"/>
      <c r="H1593" s="2"/>
      <c r="I1593" s="2"/>
      <c r="J1593" s="2"/>
    </row>
    <row r="1594" ht="15.75" customHeight="1">
      <c r="A1594" s="4" t="str">
        <f>HYPERLINK("https://stackoverflow.com/q/51977391", "51977391")</f>
        <v>51977391</v>
      </c>
      <c r="B1594" s="2" t="s">
        <v>1636</v>
      </c>
      <c r="C1594" s="3"/>
      <c r="D1594" s="3">
        <v>214.0</v>
      </c>
      <c r="E1594" s="2"/>
      <c r="F1594" s="2"/>
      <c r="G1594" s="2"/>
      <c r="H1594" s="2"/>
      <c r="I1594" s="2"/>
      <c r="J1594" s="2"/>
    </row>
    <row r="1595" ht="15.75" customHeight="1">
      <c r="A1595" s="4" t="str">
        <f>HYPERLINK("https://stackoverflow.com/q/51308896", "51308896")</f>
        <v>51308896</v>
      </c>
      <c r="B1595" s="2" t="s">
        <v>1637</v>
      </c>
      <c r="C1595" s="3">
        <v>1.0</v>
      </c>
      <c r="D1595" s="3">
        <v>213.0</v>
      </c>
      <c r="E1595" s="2" t="s">
        <v>11</v>
      </c>
      <c r="F1595" s="2" t="s">
        <v>44</v>
      </c>
      <c r="G1595" s="2"/>
      <c r="H1595" s="2"/>
      <c r="I1595" s="2"/>
      <c r="J1595" s="2"/>
    </row>
    <row r="1596" ht="15.75" customHeight="1">
      <c r="A1596" s="4" t="str">
        <f>HYPERLINK("https://stackoverflow.com/q/41984603", "41984603")</f>
        <v>41984603</v>
      </c>
      <c r="B1596" s="2" t="s">
        <v>1638</v>
      </c>
      <c r="C1596" s="3">
        <v>0.0</v>
      </c>
      <c r="D1596" s="3">
        <v>213.0</v>
      </c>
      <c r="E1596" s="2" t="s">
        <v>11</v>
      </c>
      <c r="F1596" s="2" t="s">
        <v>30</v>
      </c>
      <c r="G1596" s="2"/>
      <c r="H1596" s="2"/>
      <c r="I1596" s="2"/>
      <c r="J1596" s="2"/>
    </row>
    <row r="1597" ht="15.75" customHeight="1">
      <c r="A1597" s="4" t="str">
        <f>HYPERLINK("https://stackoverflow.com/q/46226398", "46226398")</f>
        <v>46226398</v>
      </c>
      <c r="B1597" s="2" t="s">
        <v>1639</v>
      </c>
      <c r="C1597" s="3"/>
      <c r="D1597" s="3">
        <v>213.0</v>
      </c>
      <c r="E1597" s="9" t="s">
        <v>11</v>
      </c>
      <c r="F1597" s="2" t="s">
        <v>18</v>
      </c>
      <c r="G1597" s="2"/>
      <c r="H1597" s="2"/>
      <c r="I1597" s="2"/>
      <c r="J1597" s="2"/>
    </row>
    <row r="1598" ht="15.75" customHeight="1">
      <c r="A1598" s="4" t="str">
        <f>HYPERLINK("https://stackoverflow.com/q/46976184", "46976184")</f>
        <v>46976184</v>
      </c>
      <c r="B1598" s="2" t="s">
        <v>1640</v>
      </c>
      <c r="C1598" s="3"/>
      <c r="D1598" s="3">
        <v>213.0</v>
      </c>
      <c r="E1598" s="2" t="s">
        <v>11</v>
      </c>
      <c r="F1598" s="2" t="s">
        <v>25</v>
      </c>
      <c r="G1598" s="2"/>
      <c r="H1598" s="2"/>
      <c r="I1598" s="2"/>
      <c r="J1598" s="2"/>
    </row>
    <row r="1599" ht="15.75" customHeight="1">
      <c r="A1599" s="4" t="str">
        <f>HYPERLINK("https://stackoverflow.com/q/55514820", "55514820")</f>
        <v>55514820</v>
      </c>
      <c r="B1599" s="2" t="s">
        <v>1641</v>
      </c>
      <c r="C1599" s="3"/>
      <c r="D1599" s="3">
        <v>212.0</v>
      </c>
      <c r="E1599" s="2" t="s">
        <v>11</v>
      </c>
      <c r="F1599" s="2" t="s">
        <v>73</v>
      </c>
      <c r="G1599" s="2"/>
      <c r="H1599" s="2"/>
      <c r="I1599" s="2"/>
      <c r="J1599" s="2"/>
    </row>
    <row r="1600" ht="15.75" customHeight="1">
      <c r="A1600" s="4" t="str">
        <f>HYPERLINK("https://stackoverflow.com/q/49412482", "49412482")</f>
        <v>49412482</v>
      </c>
      <c r="B1600" s="2" t="s">
        <v>1642</v>
      </c>
      <c r="C1600" s="3"/>
      <c r="D1600" s="3">
        <v>212.0</v>
      </c>
      <c r="E1600" s="2"/>
      <c r="F1600" s="2"/>
      <c r="G1600" s="2"/>
      <c r="H1600" s="2"/>
      <c r="I1600" s="2"/>
      <c r="J1600" s="2"/>
    </row>
    <row r="1601" ht="15.75" customHeight="1">
      <c r="A1601" s="4" t="str">
        <f>HYPERLINK("https://stackoverflow.com/q/55781743", "55781743")</f>
        <v>55781743</v>
      </c>
      <c r="B1601" s="2" t="s">
        <v>1643</v>
      </c>
      <c r="C1601" s="3"/>
      <c r="D1601" s="3">
        <v>212.0</v>
      </c>
      <c r="E1601" s="2"/>
      <c r="F1601" s="2"/>
      <c r="G1601" s="2"/>
      <c r="H1601" s="2"/>
      <c r="I1601" s="2"/>
      <c r="J1601" s="2"/>
    </row>
    <row r="1602" ht="15.75" customHeight="1">
      <c r="A1602" s="4" t="str">
        <f>HYPERLINK("https://stackoverflow.com/q/56042376", "56042376")</f>
        <v>56042376</v>
      </c>
      <c r="B1602" s="2" t="s">
        <v>1644</v>
      </c>
      <c r="C1602" s="3"/>
      <c r="D1602" s="3">
        <v>212.0</v>
      </c>
      <c r="E1602" s="2"/>
      <c r="F1602" s="2"/>
      <c r="G1602" s="2"/>
      <c r="H1602" s="2"/>
      <c r="I1602" s="2"/>
      <c r="J1602" s="2"/>
    </row>
    <row r="1603" ht="15.75" customHeight="1">
      <c r="A1603" s="4" t="str">
        <f>HYPERLINK("https://stackoverflow.com/q/57711779", "57711779")</f>
        <v>57711779</v>
      </c>
      <c r="B1603" s="2" t="s">
        <v>1645</v>
      </c>
      <c r="C1603" s="3"/>
      <c r="D1603" s="3">
        <v>212.0</v>
      </c>
      <c r="E1603" s="2"/>
      <c r="F1603" s="2"/>
      <c r="G1603" s="2"/>
      <c r="H1603" s="2"/>
      <c r="I1603" s="2"/>
      <c r="J1603" s="2"/>
    </row>
    <row r="1604" ht="15.75" customHeight="1">
      <c r="A1604" s="4" t="str">
        <f>HYPERLINK("https://stackoverflow.com/q/59652308", "59652308")</f>
        <v>59652308</v>
      </c>
      <c r="B1604" s="2" t="s">
        <v>1646</v>
      </c>
      <c r="C1604" s="3"/>
      <c r="D1604" s="3">
        <v>212.0</v>
      </c>
      <c r="E1604" s="2"/>
      <c r="F1604" s="2"/>
      <c r="G1604" s="2"/>
      <c r="H1604" s="2"/>
      <c r="I1604" s="2"/>
      <c r="J1604" s="2"/>
    </row>
    <row r="1605" ht="15.75" customHeight="1">
      <c r="A1605" s="4" t="str">
        <f>HYPERLINK("https://stackoverflow.com/q/45535094", "45535094")</f>
        <v>45535094</v>
      </c>
      <c r="B1605" s="2" t="s">
        <v>1647</v>
      </c>
      <c r="C1605" s="3"/>
      <c r="D1605" s="3">
        <v>211.0</v>
      </c>
      <c r="E1605" s="2"/>
      <c r="F1605" s="2"/>
      <c r="G1605" s="2"/>
      <c r="H1605" s="2"/>
      <c r="I1605" s="2"/>
      <c r="J1605" s="2"/>
    </row>
    <row r="1606" ht="15.75" customHeight="1">
      <c r="A1606" s="4" t="str">
        <f>HYPERLINK("https://stackoverflow.com/q/51655129", "51655129")</f>
        <v>51655129</v>
      </c>
      <c r="B1606" s="2" t="s">
        <v>1648</v>
      </c>
      <c r="C1606" s="3"/>
      <c r="D1606" s="3">
        <v>211.0</v>
      </c>
      <c r="E1606" s="2"/>
      <c r="F1606" s="2"/>
      <c r="G1606" s="2"/>
      <c r="H1606" s="2"/>
      <c r="I1606" s="2"/>
      <c r="J1606" s="2"/>
    </row>
    <row r="1607" ht="15.75" customHeight="1">
      <c r="A1607" s="4" t="str">
        <f>HYPERLINK("https://stackoverflow.com/q/51675435", "51675435")</f>
        <v>51675435</v>
      </c>
      <c r="B1607" s="2" t="s">
        <v>1649</v>
      </c>
      <c r="C1607" s="3"/>
      <c r="D1607" s="3">
        <v>211.0</v>
      </c>
      <c r="E1607" s="2"/>
      <c r="F1607" s="2"/>
      <c r="G1607" s="2"/>
      <c r="H1607" s="2"/>
      <c r="I1607" s="2"/>
      <c r="J1607" s="2"/>
    </row>
    <row r="1608" ht="15.75" customHeight="1">
      <c r="A1608" s="4" t="str">
        <f>HYPERLINK("https://stackoverflow.com/q/46732318", "46732318")</f>
        <v>46732318</v>
      </c>
      <c r="B1608" s="2" t="s">
        <v>1650</v>
      </c>
      <c r="C1608" s="3"/>
      <c r="D1608" s="3">
        <v>210.0</v>
      </c>
      <c r="E1608" s="2" t="s">
        <v>537</v>
      </c>
      <c r="F1608" s="2" t="s">
        <v>194</v>
      </c>
      <c r="G1608" s="2"/>
      <c r="H1608" s="2"/>
      <c r="I1608" s="2"/>
      <c r="J1608" s="2"/>
    </row>
    <row r="1609" ht="15.75" customHeight="1">
      <c r="A1609" s="4" t="str">
        <f>HYPERLINK("https://stackoverflow.com/q/40871998", "40871998")</f>
        <v>40871998</v>
      </c>
      <c r="B1609" s="2" t="s">
        <v>1651</v>
      </c>
      <c r="C1609" s="3"/>
      <c r="D1609" s="3">
        <v>210.0</v>
      </c>
      <c r="E1609" s="2"/>
      <c r="F1609" s="2"/>
      <c r="G1609" s="2"/>
      <c r="H1609" s="2"/>
      <c r="I1609" s="2"/>
      <c r="J1609" s="2"/>
    </row>
    <row r="1610" ht="15.75" customHeight="1">
      <c r="A1610" s="4" t="str">
        <f>HYPERLINK("https://stackoverflow.com/q/52016220", "52016220")</f>
        <v>52016220</v>
      </c>
      <c r="B1610" s="2" t="s">
        <v>1652</v>
      </c>
      <c r="C1610" s="3"/>
      <c r="D1610" s="3">
        <v>210.0</v>
      </c>
      <c r="E1610" s="2"/>
      <c r="F1610" s="2"/>
      <c r="G1610" s="2"/>
      <c r="H1610" s="2"/>
      <c r="I1610" s="2"/>
      <c r="J1610" s="2"/>
    </row>
    <row r="1611" ht="15.75" customHeight="1">
      <c r="A1611" s="4" t="str">
        <f>HYPERLINK("https://stackoverflow.com/q/19102367", "19102367")</f>
        <v>19102367</v>
      </c>
      <c r="B1611" s="2" t="s">
        <v>1653</v>
      </c>
      <c r="C1611" s="3"/>
      <c r="D1611" s="3">
        <v>209.0</v>
      </c>
      <c r="E1611" s="2"/>
      <c r="F1611" s="2"/>
      <c r="G1611" s="2"/>
      <c r="H1611" s="2"/>
      <c r="I1611" s="2"/>
      <c r="J1611" s="2"/>
    </row>
    <row r="1612" ht="15.75" customHeight="1">
      <c r="A1612" s="4" t="str">
        <f>HYPERLINK("https://stackoverflow.com/q/45363366", "45363366")</f>
        <v>45363366</v>
      </c>
      <c r="B1612" s="2" t="s">
        <v>1654</v>
      </c>
      <c r="C1612" s="3"/>
      <c r="D1612" s="3">
        <v>209.0</v>
      </c>
      <c r="E1612" s="2"/>
      <c r="F1612" s="2"/>
      <c r="G1612" s="2"/>
      <c r="H1612" s="2"/>
      <c r="I1612" s="2"/>
      <c r="J1612" s="2"/>
    </row>
    <row r="1613" ht="15.75" customHeight="1">
      <c r="A1613" s="4" t="str">
        <f>HYPERLINK("https://stackoverflow.com/q/55726281", "55726281")</f>
        <v>55726281</v>
      </c>
      <c r="B1613" s="2" t="s">
        <v>1655</v>
      </c>
      <c r="C1613" s="3"/>
      <c r="D1613" s="3">
        <v>209.0</v>
      </c>
      <c r="E1613" s="2"/>
      <c r="F1613" s="2"/>
      <c r="G1613" s="2"/>
      <c r="H1613" s="2"/>
      <c r="I1613" s="2"/>
      <c r="J1613" s="2"/>
    </row>
    <row r="1614" ht="15.75" customHeight="1">
      <c r="A1614" s="4" t="str">
        <f>HYPERLINK("https://stackoverflow.com/q/58111227", "58111227")</f>
        <v>58111227</v>
      </c>
      <c r="B1614" s="2" t="s">
        <v>1656</v>
      </c>
      <c r="C1614" s="3"/>
      <c r="D1614" s="3">
        <v>209.0</v>
      </c>
      <c r="E1614" s="2"/>
      <c r="F1614" s="2"/>
      <c r="G1614" s="2"/>
      <c r="H1614" s="2"/>
      <c r="I1614" s="2"/>
      <c r="J1614" s="2"/>
    </row>
    <row r="1615" ht="15.75" customHeight="1">
      <c r="A1615" s="4" t="str">
        <f>HYPERLINK("https://stackoverflow.com/q/60169520", "60169520")</f>
        <v>60169520</v>
      </c>
      <c r="B1615" s="2" t="s">
        <v>1657</v>
      </c>
      <c r="C1615" s="3">
        <v>1.0</v>
      </c>
      <c r="D1615" s="3">
        <v>208.0</v>
      </c>
      <c r="E1615" s="2"/>
      <c r="F1615" s="2"/>
      <c r="G1615" s="2"/>
      <c r="H1615" s="2"/>
      <c r="I1615" s="2"/>
      <c r="J1615" s="2"/>
    </row>
    <row r="1616" ht="15.75" customHeight="1">
      <c r="A1616" s="4" t="str">
        <f>HYPERLINK("https://stackoverflow.com/q/21042729", "21042729")</f>
        <v>21042729</v>
      </c>
      <c r="B1616" s="2" t="s">
        <v>1658</v>
      </c>
      <c r="C1616" s="3"/>
      <c r="D1616" s="3">
        <v>208.0</v>
      </c>
      <c r="E1616" s="2"/>
      <c r="F1616" s="2"/>
      <c r="G1616" s="2"/>
      <c r="H1616" s="2"/>
      <c r="I1616" s="2"/>
      <c r="J1616" s="2"/>
    </row>
    <row r="1617" ht="15.75" customHeight="1">
      <c r="A1617" s="4" t="str">
        <f>HYPERLINK("https://stackoverflow.com/q/58799098", "58799098")</f>
        <v>58799098</v>
      </c>
      <c r="B1617" s="2" t="s">
        <v>1659</v>
      </c>
      <c r="C1617" s="3"/>
      <c r="D1617" s="3">
        <v>208.0</v>
      </c>
      <c r="E1617" s="2"/>
      <c r="F1617" s="2"/>
      <c r="G1617" s="2"/>
      <c r="H1617" s="2"/>
      <c r="I1617" s="2"/>
      <c r="J1617" s="2"/>
    </row>
    <row r="1618" ht="15.75" customHeight="1">
      <c r="A1618" s="4" t="str">
        <f>HYPERLINK("https://stackoverflow.com/q/38112943", "38112943")</f>
        <v>38112943</v>
      </c>
      <c r="B1618" s="2" t="s">
        <v>1660</v>
      </c>
      <c r="C1618" s="3">
        <v>1.0</v>
      </c>
      <c r="D1618" s="3">
        <v>207.0</v>
      </c>
      <c r="E1618" s="2"/>
      <c r="F1618" s="2"/>
      <c r="G1618" s="2"/>
      <c r="H1618" s="2"/>
      <c r="I1618" s="2"/>
      <c r="J1618" s="2"/>
    </row>
    <row r="1619" ht="15.75" customHeight="1">
      <c r="A1619" s="4" t="str">
        <f>HYPERLINK("https://stackoverflow.com/q/54316826", "54316826")</f>
        <v>54316826</v>
      </c>
      <c r="B1619" s="2" t="s">
        <v>1661</v>
      </c>
      <c r="C1619" s="3"/>
      <c r="D1619" s="3">
        <v>207.0</v>
      </c>
      <c r="E1619" s="2" t="s">
        <v>11</v>
      </c>
      <c r="F1619" s="2" t="s">
        <v>28</v>
      </c>
      <c r="G1619" s="2"/>
      <c r="H1619" s="2"/>
      <c r="I1619" s="2"/>
      <c r="J1619" s="2"/>
    </row>
    <row r="1620" ht="15.75" customHeight="1">
      <c r="A1620" s="4" t="str">
        <f>HYPERLINK("https://stackoverflow.com/q/51665421", "51665421")</f>
        <v>51665421</v>
      </c>
      <c r="B1620" s="2" t="s">
        <v>1662</v>
      </c>
      <c r="C1620" s="3"/>
      <c r="D1620" s="3">
        <v>207.0</v>
      </c>
      <c r="E1620" s="2"/>
      <c r="F1620" s="2"/>
      <c r="G1620" s="2"/>
      <c r="H1620" s="2"/>
      <c r="I1620" s="2"/>
      <c r="J1620" s="2"/>
    </row>
    <row r="1621" ht="15.75" customHeight="1">
      <c r="A1621" s="4" t="str">
        <f>HYPERLINK("https://stackoverflow.com/q/46739891", "46739891")</f>
        <v>46739891</v>
      </c>
      <c r="B1621" s="2" t="s">
        <v>1663</v>
      </c>
      <c r="C1621" s="3">
        <v>0.0</v>
      </c>
      <c r="D1621" s="3">
        <v>206.0</v>
      </c>
      <c r="E1621" s="2" t="s">
        <v>11</v>
      </c>
      <c r="F1621" s="2" t="s">
        <v>28</v>
      </c>
      <c r="G1621" s="2"/>
      <c r="H1621" s="2"/>
      <c r="I1621" s="2"/>
      <c r="J1621" s="2"/>
    </row>
    <row r="1622" ht="15.75" customHeight="1">
      <c r="A1622" s="4" t="str">
        <f>HYPERLINK("https://stackoverflow.com/q/13063536", "13063536")</f>
        <v>13063536</v>
      </c>
      <c r="B1622" s="2" t="s">
        <v>1664</v>
      </c>
      <c r="C1622" s="3"/>
      <c r="D1622" s="3">
        <v>206.0</v>
      </c>
      <c r="E1622" s="2"/>
      <c r="F1622" s="2"/>
      <c r="G1622" s="2"/>
      <c r="H1622" s="2"/>
      <c r="I1622" s="2"/>
      <c r="J1622" s="2"/>
    </row>
    <row r="1623" ht="15.75" customHeight="1">
      <c r="A1623" s="4" t="str">
        <f>HYPERLINK("https://stackoverflow.com/q/50303866", "50303866")</f>
        <v>50303866</v>
      </c>
      <c r="B1623" s="2" t="s">
        <v>1665</v>
      </c>
      <c r="C1623" s="3"/>
      <c r="D1623" s="3">
        <v>206.0</v>
      </c>
      <c r="E1623" s="2"/>
      <c r="F1623" s="2"/>
      <c r="G1623" s="2"/>
      <c r="H1623" s="2"/>
      <c r="I1623" s="2"/>
      <c r="J1623" s="2"/>
    </row>
    <row r="1624" ht="15.75" customHeight="1">
      <c r="A1624" s="4" t="str">
        <f>HYPERLINK("https://stackoverflow.com/q/50688958", "50688958")</f>
        <v>50688958</v>
      </c>
      <c r="B1624" s="2" t="s">
        <v>1666</v>
      </c>
      <c r="C1624" s="3"/>
      <c r="D1624" s="3">
        <v>206.0</v>
      </c>
      <c r="E1624" s="2"/>
      <c r="F1624" s="2"/>
      <c r="G1624" s="2"/>
      <c r="H1624" s="2"/>
      <c r="I1624" s="2"/>
      <c r="J1624" s="2"/>
    </row>
    <row r="1625" ht="15.75" customHeight="1">
      <c r="A1625" s="4" t="str">
        <f>HYPERLINK("https://stackoverflow.com/q/49984925", "49984925")</f>
        <v>49984925</v>
      </c>
      <c r="B1625" s="2" t="s">
        <v>1667</v>
      </c>
      <c r="C1625" s="3"/>
      <c r="D1625" s="3">
        <v>204.0</v>
      </c>
      <c r="E1625" s="2"/>
      <c r="F1625" s="2"/>
      <c r="G1625" s="2"/>
      <c r="H1625" s="2"/>
      <c r="I1625" s="2"/>
      <c r="J1625" s="2"/>
    </row>
    <row r="1626" ht="15.75" customHeight="1">
      <c r="A1626" s="4" t="str">
        <f>HYPERLINK("https://stackoverflow.com/q/49988947", "49988947")</f>
        <v>49988947</v>
      </c>
      <c r="B1626" s="2" t="s">
        <v>1668</v>
      </c>
      <c r="C1626" s="3"/>
      <c r="D1626" s="3">
        <v>204.0</v>
      </c>
      <c r="E1626" s="2"/>
      <c r="F1626" s="2"/>
      <c r="G1626" s="2"/>
      <c r="H1626" s="2"/>
      <c r="I1626" s="2"/>
      <c r="J1626" s="2"/>
    </row>
    <row r="1627" ht="15.75" customHeight="1">
      <c r="A1627" s="4" t="str">
        <f>HYPERLINK("https://stackoverflow.com/q/59150237", "59150237")</f>
        <v>59150237</v>
      </c>
      <c r="B1627" s="2" t="s">
        <v>1669</v>
      </c>
      <c r="C1627" s="3"/>
      <c r="D1627" s="3">
        <v>204.0</v>
      </c>
      <c r="E1627" s="2"/>
      <c r="F1627" s="2"/>
      <c r="G1627" s="2"/>
      <c r="H1627" s="2"/>
      <c r="I1627" s="2"/>
      <c r="J1627" s="2"/>
    </row>
    <row r="1628" ht="15.75" customHeight="1">
      <c r="A1628" s="4" t="str">
        <f>HYPERLINK("https://stackoverflow.com/q/42938295", "42938295")</f>
        <v>42938295</v>
      </c>
      <c r="B1628" s="2" t="s">
        <v>1670</v>
      </c>
      <c r="C1628" s="3"/>
      <c r="D1628" s="3">
        <v>203.0</v>
      </c>
      <c r="E1628" s="9" t="s">
        <v>11</v>
      </c>
      <c r="F1628" s="2" t="s">
        <v>16</v>
      </c>
      <c r="G1628" s="2"/>
      <c r="H1628" s="2"/>
      <c r="I1628" s="2"/>
      <c r="J1628" s="2"/>
    </row>
    <row r="1629" ht="15.75" customHeight="1">
      <c r="A1629" s="4" t="str">
        <f>HYPERLINK("https://stackoverflow.com/q/37707699", "37707699")</f>
        <v>37707699</v>
      </c>
      <c r="B1629" s="2" t="s">
        <v>1671</v>
      </c>
      <c r="C1629" s="3"/>
      <c r="D1629" s="3">
        <v>203.0</v>
      </c>
      <c r="E1629" s="2"/>
      <c r="F1629" s="2"/>
      <c r="G1629" s="2"/>
      <c r="H1629" s="2"/>
      <c r="I1629" s="2"/>
      <c r="J1629" s="2"/>
    </row>
    <row r="1630" ht="15.75" customHeight="1">
      <c r="A1630" s="4" t="str">
        <f>HYPERLINK("https://stackoverflow.com/q/51626328", "51626328")</f>
        <v>51626328</v>
      </c>
      <c r="B1630" s="2" t="s">
        <v>1672</v>
      </c>
      <c r="C1630" s="3"/>
      <c r="D1630" s="3">
        <v>203.0</v>
      </c>
      <c r="E1630" s="2"/>
      <c r="F1630" s="2"/>
      <c r="G1630" s="2"/>
      <c r="H1630" s="2"/>
      <c r="I1630" s="2"/>
      <c r="J1630" s="2"/>
    </row>
    <row r="1631" ht="15.75" customHeight="1">
      <c r="A1631" s="4" t="str">
        <f>HYPERLINK("https://stackoverflow.com/q/49506812", "49506812")</f>
        <v>49506812</v>
      </c>
      <c r="B1631" s="2" t="s">
        <v>1673</v>
      </c>
      <c r="C1631" s="3">
        <v>1.0</v>
      </c>
      <c r="D1631" s="3">
        <v>202.0</v>
      </c>
      <c r="E1631" s="2"/>
      <c r="F1631" s="2"/>
      <c r="G1631" s="2"/>
      <c r="H1631" s="2"/>
      <c r="I1631" s="2"/>
      <c r="J1631" s="2"/>
    </row>
    <row r="1632" ht="15.75" customHeight="1">
      <c r="A1632" s="4" t="str">
        <f>HYPERLINK("https://stackoverflow.com/q/31335575", "31335575")</f>
        <v>31335575</v>
      </c>
      <c r="B1632" s="2" t="s">
        <v>1674</v>
      </c>
      <c r="C1632" s="3"/>
      <c r="D1632" s="3">
        <v>202.0</v>
      </c>
      <c r="E1632" s="2"/>
      <c r="F1632" s="2"/>
      <c r="G1632" s="2"/>
      <c r="H1632" s="2"/>
      <c r="I1632" s="2"/>
      <c r="J1632" s="2"/>
    </row>
    <row r="1633" ht="15.75" customHeight="1">
      <c r="A1633" s="4" t="str">
        <f>HYPERLINK("https://stackoverflow.com/q/49496987", "49496987")</f>
        <v>49496987</v>
      </c>
      <c r="B1633" s="2" t="s">
        <v>1675</v>
      </c>
      <c r="C1633" s="3"/>
      <c r="D1633" s="3">
        <v>202.0</v>
      </c>
      <c r="E1633" s="2"/>
      <c r="F1633" s="2"/>
      <c r="G1633" s="2"/>
      <c r="H1633" s="2"/>
      <c r="I1633" s="2"/>
      <c r="J1633" s="2"/>
    </row>
    <row r="1634" ht="15.75" customHeight="1">
      <c r="A1634" s="4" t="str">
        <f>HYPERLINK("https://stackoverflow.com/q/50149635", "50149635")</f>
        <v>50149635</v>
      </c>
      <c r="B1634" s="2" t="s">
        <v>1676</v>
      </c>
      <c r="C1634" s="3"/>
      <c r="D1634" s="3">
        <v>202.0</v>
      </c>
      <c r="E1634" s="2"/>
      <c r="F1634" s="2"/>
      <c r="G1634" s="2"/>
      <c r="H1634" s="2"/>
      <c r="I1634" s="2"/>
      <c r="J1634" s="2"/>
    </row>
    <row r="1635" ht="15.75" customHeight="1">
      <c r="A1635" s="4" t="str">
        <f>HYPERLINK("https://stackoverflow.com/q/28474243", "28474243")</f>
        <v>28474243</v>
      </c>
      <c r="B1635" s="2" t="s">
        <v>1677</v>
      </c>
      <c r="C1635" s="3"/>
      <c r="D1635" s="3">
        <v>201.0</v>
      </c>
      <c r="E1635" s="2"/>
      <c r="F1635" s="2"/>
      <c r="G1635" s="2"/>
      <c r="H1635" s="2"/>
      <c r="I1635" s="2"/>
      <c r="J1635" s="2"/>
    </row>
    <row r="1636" ht="15.75" customHeight="1">
      <c r="A1636" s="4" t="str">
        <f>HYPERLINK("https://stackoverflow.com/q/40605620", "40605620")</f>
        <v>40605620</v>
      </c>
      <c r="B1636" s="2" t="s">
        <v>1678</v>
      </c>
      <c r="C1636" s="3"/>
      <c r="D1636" s="3">
        <v>200.0</v>
      </c>
      <c r="E1636" s="2"/>
      <c r="F1636" s="2"/>
      <c r="G1636" s="2"/>
      <c r="H1636" s="2"/>
      <c r="I1636" s="2"/>
      <c r="J1636" s="2"/>
    </row>
    <row r="1637" ht="15.75" customHeight="1">
      <c r="A1637" s="4" t="str">
        <f>HYPERLINK("https://stackoverflow.com/q/50194352", "50194352")</f>
        <v>50194352</v>
      </c>
      <c r="B1637" s="2" t="s">
        <v>1679</v>
      </c>
      <c r="C1637" s="3"/>
      <c r="D1637" s="3">
        <v>200.0</v>
      </c>
      <c r="E1637" s="2"/>
      <c r="F1637" s="2"/>
      <c r="G1637" s="2"/>
      <c r="H1637" s="2"/>
      <c r="I1637" s="2"/>
      <c r="J1637" s="2"/>
    </row>
    <row r="1638" ht="15.75" customHeight="1">
      <c r="A1638" s="4" t="str">
        <f>HYPERLINK("https://stackoverflow.com/q/43937563", "43937563")</f>
        <v>43937563</v>
      </c>
      <c r="B1638" s="2" t="s">
        <v>1680</v>
      </c>
      <c r="C1638" s="3"/>
      <c r="D1638" s="3">
        <v>199.0</v>
      </c>
      <c r="E1638" s="2" t="s">
        <v>11</v>
      </c>
      <c r="F1638" s="2" t="s">
        <v>35</v>
      </c>
      <c r="G1638" s="2"/>
      <c r="H1638" s="2"/>
      <c r="I1638" s="2"/>
      <c r="J1638" s="2"/>
    </row>
    <row r="1639" ht="15.75" customHeight="1">
      <c r="A1639" s="4" t="str">
        <f>HYPERLINK("https://stackoverflow.com/q/46767048", "46767048")</f>
        <v>46767048</v>
      </c>
      <c r="B1639" s="2" t="s">
        <v>1681</v>
      </c>
      <c r="C1639" s="3"/>
      <c r="D1639" s="3">
        <v>199.0</v>
      </c>
      <c r="E1639" s="2" t="s">
        <v>11</v>
      </c>
      <c r="F1639" s="2" t="s">
        <v>28</v>
      </c>
      <c r="G1639" s="2"/>
      <c r="H1639" s="2"/>
      <c r="I1639" s="2"/>
      <c r="J1639" s="2"/>
    </row>
    <row r="1640" ht="15.75" customHeight="1">
      <c r="A1640" s="4" t="str">
        <f>HYPERLINK("https://stackoverflow.com/q/49164897", "49164897")</f>
        <v>49164897</v>
      </c>
      <c r="B1640" s="2" t="s">
        <v>1682</v>
      </c>
      <c r="C1640" s="3"/>
      <c r="D1640" s="3">
        <v>199.0</v>
      </c>
      <c r="E1640" s="2"/>
      <c r="F1640" s="2"/>
      <c r="G1640" s="2"/>
      <c r="H1640" s="2"/>
      <c r="I1640" s="2"/>
      <c r="J1640" s="2"/>
    </row>
    <row r="1641" ht="15.75" customHeight="1">
      <c r="A1641" s="4" t="str">
        <f>HYPERLINK("https://stackoverflow.com/q/37169827", "37169827")</f>
        <v>37169827</v>
      </c>
      <c r="B1641" s="2" t="s">
        <v>1683</v>
      </c>
      <c r="C1641" s="3"/>
      <c r="D1641" s="3">
        <v>198.0</v>
      </c>
      <c r="E1641" s="2"/>
      <c r="F1641" s="2"/>
      <c r="G1641" s="2"/>
      <c r="H1641" s="2"/>
      <c r="I1641" s="2"/>
      <c r="J1641" s="2"/>
    </row>
    <row r="1642" ht="15.75" customHeight="1">
      <c r="A1642" s="4" t="str">
        <f>HYPERLINK("https://stackoverflow.com/q/50730545", "50730545")</f>
        <v>50730545</v>
      </c>
      <c r="B1642" s="2" t="s">
        <v>1684</v>
      </c>
      <c r="C1642" s="3"/>
      <c r="D1642" s="3">
        <v>198.0</v>
      </c>
      <c r="E1642" s="2"/>
      <c r="F1642" s="2"/>
      <c r="G1642" s="2"/>
      <c r="H1642" s="2"/>
      <c r="I1642" s="2"/>
      <c r="J1642" s="2"/>
    </row>
    <row r="1643" ht="15.75" customHeight="1">
      <c r="A1643" s="4" t="str">
        <f>HYPERLINK("https://stackoverflow.com/q/59457801", "59457801")</f>
        <v>59457801</v>
      </c>
      <c r="B1643" s="2" t="s">
        <v>1685</v>
      </c>
      <c r="C1643" s="3"/>
      <c r="D1643" s="3">
        <v>198.0</v>
      </c>
      <c r="E1643" s="2"/>
      <c r="F1643" s="2"/>
      <c r="G1643" s="2"/>
      <c r="H1643" s="2"/>
      <c r="I1643" s="2"/>
      <c r="J1643" s="2"/>
    </row>
    <row r="1644" ht="15.75" customHeight="1">
      <c r="A1644" s="4" t="str">
        <f>HYPERLINK("https://stackoverflow.com/q/44073502", "44073502")</f>
        <v>44073502</v>
      </c>
      <c r="B1644" s="2" t="s">
        <v>1686</v>
      </c>
      <c r="C1644" s="3"/>
      <c r="D1644" s="3">
        <v>197.0</v>
      </c>
      <c r="E1644" s="2" t="s">
        <v>11</v>
      </c>
      <c r="F1644" s="2" t="s">
        <v>44</v>
      </c>
      <c r="G1644" s="2"/>
      <c r="H1644" s="2"/>
      <c r="I1644" s="2"/>
      <c r="J1644" s="2"/>
    </row>
    <row r="1645" ht="15.75" customHeight="1">
      <c r="A1645" s="4" t="str">
        <f>HYPERLINK("https://stackoverflow.com/q/15239231", "15239231")</f>
        <v>15239231</v>
      </c>
      <c r="B1645" s="2" t="s">
        <v>1687</v>
      </c>
      <c r="C1645" s="3"/>
      <c r="D1645" s="3">
        <v>197.0</v>
      </c>
      <c r="E1645" s="2"/>
      <c r="F1645" s="2"/>
      <c r="G1645" s="2"/>
      <c r="H1645" s="2"/>
      <c r="I1645" s="2"/>
      <c r="J1645" s="2"/>
    </row>
    <row r="1646" ht="15.75" customHeight="1">
      <c r="A1646" s="4" t="str">
        <f>HYPERLINK("https://stackoverflow.com/q/48881877", "48881877")</f>
        <v>48881877</v>
      </c>
      <c r="B1646" s="2" t="s">
        <v>1688</v>
      </c>
      <c r="C1646" s="3"/>
      <c r="D1646" s="3">
        <v>197.0</v>
      </c>
      <c r="E1646" s="2"/>
      <c r="F1646" s="2"/>
      <c r="G1646" s="2"/>
      <c r="H1646" s="2"/>
      <c r="I1646" s="2"/>
      <c r="J1646" s="2"/>
    </row>
    <row r="1647" ht="15.75" customHeight="1">
      <c r="A1647" s="4" t="str">
        <f>HYPERLINK("https://stackoverflow.com/q/52492264", "52492264")</f>
        <v>52492264</v>
      </c>
      <c r="B1647" s="2" t="s">
        <v>1689</v>
      </c>
      <c r="C1647" s="3"/>
      <c r="D1647" s="3">
        <v>197.0</v>
      </c>
      <c r="E1647" s="2"/>
      <c r="F1647" s="2"/>
      <c r="G1647" s="2"/>
      <c r="H1647" s="2"/>
      <c r="I1647" s="2"/>
      <c r="J1647" s="2"/>
    </row>
    <row r="1648" ht="15.75" customHeight="1">
      <c r="A1648" s="4" t="str">
        <f>HYPERLINK("https://stackoverflow.com/q/52761661", "52761661")</f>
        <v>52761661</v>
      </c>
      <c r="B1648" s="2" t="s">
        <v>1690</v>
      </c>
      <c r="C1648" s="3"/>
      <c r="D1648" s="3">
        <v>197.0</v>
      </c>
      <c r="E1648" s="2"/>
      <c r="F1648" s="2"/>
      <c r="G1648" s="2"/>
      <c r="H1648" s="2"/>
      <c r="I1648" s="2"/>
      <c r="J1648" s="2"/>
    </row>
    <row r="1649" ht="15.75" customHeight="1">
      <c r="A1649" s="4" t="str">
        <f>HYPERLINK("https://stackoverflow.com/q/43241155", "43241155")</f>
        <v>43241155</v>
      </c>
      <c r="B1649" s="2" t="s">
        <v>1691</v>
      </c>
      <c r="C1649" s="3"/>
      <c r="D1649" s="3">
        <v>196.0</v>
      </c>
      <c r="E1649" s="2" t="s">
        <v>11</v>
      </c>
      <c r="F1649" s="2" t="s">
        <v>44</v>
      </c>
      <c r="G1649" s="2"/>
      <c r="H1649" s="2"/>
      <c r="I1649" s="2"/>
      <c r="J1649" s="2"/>
    </row>
    <row r="1650" ht="15.75" customHeight="1">
      <c r="A1650" s="4" t="str">
        <f>HYPERLINK("https://stackoverflow.com/q/35265813", "35265813")</f>
        <v>35265813</v>
      </c>
      <c r="B1650" s="2" t="s">
        <v>1692</v>
      </c>
      <c r="C1650" s="3"/>
      <c r="D1650" s="3">
        <v>196.0</v>
      </c>
      <c r="E1650" s="2"/>
      <c r="F1650" s="2"/>
      <c r="G1650" s="2"/>
      <c r="H1650" s="2"/>
      <c r="I1650" s="2"/>
      <c r="J1650" s="2"/>
    </row>
    <row r="1651" ht="15.75" customHeight="1">
      <c r="A1651" s="4" t="str">
        <f>HYPERLINK("https://stackoverflow.com/q/49138059", "49138059")</f>
        <v>49138059</v>
      </c>
      <c r="B1651" s="2" t="s">
        <v>1693</v>
      </c>
      <c r="C1651" s="3"/>
      <c r="D1651" s="3">
        <v>196.0</v>
      </c>
      <c r="E1651" s="2"/>
      <c r="F1651" s="2"/>
      <c r="G1651" s="2"/>
      <c r="H1651" s="2"/>
      <c r="I1651" s="2"/>
      <c r="J1651" s="2"/>
    </row>
    <row r="1652" ht="15.75" customHeight="1">
      <c r="A1652" s="4" t="str">
        <f>HYPERLINK("https://stackoverflow.com/q/56756414", "56756414")</f>
        <v>56756414</v>
      </c>
      <c r="B1652" s="2" t="s">
        <v>1694</v>
      </c>
      <c r="C1652" s="3"/>
      <c r="D1652" s="3">
        <v>196.0</v>
      </c>
      <c r="E1652" s="2"/>
      <c r="F1652" s="2"/>
      <c r="G1652" s="2"/>
      <c r="H1652" s="2"/>
      <c r="I1652" s="2"/>
      <c r="J1652" s="2"/>
    </row>
    <row r="1653" ht="15.75" customHeight="1">
      <c r="A1653" s="4" t="str">
        <f>HYPERLINK("https://stackoverflow.com/q/36229215", "36229215")</f>
        <v>36229215</v>
      </c>
      <c r="B1653" s="2" t="s">
        <v>1695</v>
      </c>
      <c r="C1653" s="3"/>
      <c r="D1653" s="3">
        <v>195.0</v>
      </c>
      <c r="E1653" s="2"/>
      <c r="F1653" s="2"/>
      <c r="G1653" s="2"/>
      <c r="H1653" s="2"/>
      <c r="I1653" s="2"/>
      <c r="J1653" s="2"/>
    </row>
    <row r="1654" ht="15.75" customHeight="1">
      <c r="A1654" s="4" t="str">
        <f>HYPERLINK("https://stackoverflow.com/q/53801839", "53801839")</f>
        <v>53801839</v>
      </c>
      <c r="B1654" s="2" t="s">
        <v>1696</v>
      </c>
      <c r="C1654" s="3"/>
      <c r="D1654" s="3">
        <v>195.0</v>
      </c>
      <c r="E1654" s="2"/>
      <c r="F1654" s="2"/>
      <c r="G1654" s="2"/>
      <c r="H1654" s="2"/>
      <c r="I1654" s="2"/>
      <c r="J1654" s="2"/>
    </row>
    <row r="1655" ht="15.75" customHeight="1">
      <c r="A1655" s="4" t="str">
        <f>HYPERLINK("https://stackoverflow.com/q/59847182", "59847182")</f>
        <v>59847182</v>
      </c>
      <c r="B1655" s="2" t="s">
        <v>1697</v>
      </c>
      <c r="C1655" s="3"/>
      <c r="D1655" s="3">
        <v>195.0</v>
      </c>
      <c r="E1655" s="2"/>
      <c r="F1655" s="2"/>
      <c r="G1655" s="2"/>
      <c r="H1655" s="2"/>
      <c r="I1655" s="2"/>
      <c r="J1655" s="2"/>
    </row>
    <row r="1656" ht="15.75" customHeight="1">
      <c r="A1656" s="4" t="str">
        <f>HYPERLINK("https://stackoverflow.com/q/15106856", "15106856")</f>
        <v>15106856</v>
      </c>
      <c r="B1656" s="2" t="s">
        <v>1698</v>
      </c>
      <c r="C1656" s="3"/>
      <c r="D1656" s="3">
        <v>194.0</v>
      </c>
      <c r="E1656" s="2"/>
      <c r="F1656" s="2"/>
      <c r="G1656" s="2"/>
      <c r="H1656" s="2"/>
      <c r="I1656" s="2"/>
      <c r="J1656" s="2"/>
    </row>
    <row r="1657" ht="15.75" customHeight="1">
      <c r="A1657" s="4" t="str">
        <f>HYPERLINK("https://stackoverflow.com/q/49925236", "49925236")</f>
        <v>49925236</v>
      </c>
      <c r="B1657" s="2" t="s">
        <v>1699</v>
      </c>
      <c r="C1657" s="3"/>
      <c r="D1657" s="3">
        <v>194.0</v>
      </c>
      <c r="E1657" s="2"/>
      <c r="F1657" s="2"/>
      <c r="G1657" s="2"/>
      <c r="H1657" s="2"/>
      <c r="I1657" s="2"/>
      <c r="J1657" s="2"/>
    </row>
    <row r="1658" ht="15.75" customHeight="1">
      <c r="A1658" s="4" t="str">
        <f>HYPERLINK("https://stackoverflow.com/q/55853297", "55853297")</f>
        <v>55853297</v>
      </c>
      <c r="B1658" s="2" t="s">
        <v>1700</v>
      </c>
      <c r="C1658" s="3">
        <v>2.0</v>
      </c>
      <c r="D1658" s="3">
        <v>193.0</v>
      </c>
      <c r="E1658" s="2"/>
      <c r="F1658" s="2"/>
      <c r="G1658" s="2"/>
      <c r="H1658" s="2"/>
      <c r="I1658" s="2"/>
      <c r="J1658" s="2"/>
    </row>
    <row r="1659" ht="15.75" customHeight="1">
      <c r="A1659" s="4" t="str">
        <f>HYPERLINK("https://stackoverflow.com/q/31190469", "31190469")</f>
        <v>31190469</v>
      </c>
      <c r="B1659" s="2" t="s">
        <v>1701</v>
      </c>
      <c r="C1659" s="3"/>
      <c r="D1659" s="3">
        <v>193.0</v>
      </c>
      <c r="E1659" s="2"/>
      <c r="F1659" s="2"/>
      <c r="G1659" s="2"/>
      <c r="H1659" s="2"/>
      <c r="I1659" s="2"/>
      <c r="J1659" s="2"/>
    </row>
    <row r="1660" ht="15.75" customHeight="1">
      <c r="A1660" s="4" t="str">
        <f>HYPERLINK("https://stackoverflow.com/q/56444605", "56444605")</f>
        <v>56444605</v>
      </c>
      <c r="B1660" s="2" t="s">
        <v>1702</v>
      </c>
      <c r="C1660" s="3"/>
      <c r="D1660" s="3">
        <v>193.0</v>
      </c>
      <c r="E1660" s="2"/>
      <c r="F1660" s="2"/>
      <c r="G1660" s="2"/>
      <c r="H1660" s="2"/>
      <c r="I1660" s="2"/>
      <c r="J1660" s="2"/>
    </row>
    <row r="1661" ht="15.75" customHeight="1">
      <c r="A1661" s="4" t="str">
        <f>HYPERLINK("https://stackoverflow.com/q/49298407", "49298407")</f>
        <v>49298407</v>
      </c>
      <c r="B1661" s="2" t="s">
        <v>1703</v>
      </c>
      <c r="C1661" s="3">
        <v>1.0</v>
      </c>
      <c r="D1661" s="3">
        <v>192.0</v>
      </c>
      <c r="E1661" s="2"/>
      <c r="F1661" s="2"/>
      <c r="G1661" s="2"/>
      <c r="H1661" s="2"/>
      <c r="I1661" s="2"/>
      <c r="J1661" s="2"/>
    </row>
    <row r="1662" ht="15.75" customHeight="1">
      <c r="A1662" s="4" t="str">
        <f>HYPERLINK("https://stackoverflow.com/q/54829314", "54829314")</f>
        <v>54829314</v>
      </c>
      <c r="B1662" s="2" t="s">
        <v>1704</v>
      </c>
      <c r="C1662" s="3"/>
      <c r="D1662" s="3">
        <v>192.0</v>
      </c>
      <c r="E1662" s="9" t="s">
        <v>11</v>
      </c>
      <c r="F1662" s="2" t="s">
        <v>18</v>
      </c>
      <c r="G1662" s="2"/>
      <c r="H1662" s="2"/>
      <c r="I1662" s="2"/>
      <c r="J1662" s="2"/>
    </row>
    <row r="1663" ht="15.75" customHeight="1">
      <c r="A1663" s="4" t="str">
        <f>HYPERLINK("https://stackoverflow.com/q/10774183", "10774183")</f>
        <v>10774183</v>
      </c>
      <c r="B1663" s="2" t="s">
        <v>1705</v>
      </c>
      <c r="C1663" s="3"/>
      <c r="D1663" s="3">
        <v>192.0</v>
      </c>
      <c r="E1663" s="2"/>
      <c r="F1663" s="2"/>
      <c r="G1663" s="2"/>
      <c r="H1663" s="2"/>
      <c r="I1663" s="2"/>
      <c r="J1663" s="2"/>
    </row>
    <row r="1664" ht="15.75" customHeight="1">
      <c r="A1664" s="4" t="str">
        <f>HYPERLINK("https://stackoverflow.com/q/25077760", "25077760")</f>
        <v>25077760</v>
      </c>
      <c r="B1664" s="2" t="s">
        <v>1706</v>
      </c>
      <c r="C1664" s="3"/>
      <c r="D1664" s="3">
        <v>192.0</v>
      </c>
      <c r="E1664" s="2"/>
      <c r="F1664" s="2"/>
      <c r="G1664" s="2"/>
      <c r="H1664" s="2"/>
      <c r="I1664" s="2"/>
      <c r="J1664" s="2"/>
    </row>
    <row r="1665" ht="15.75" customHeight="1">
      <c r="A1665" s="4" t="str">
        <f>HYPERLINK("https://stackoverflow.com/q/55866393", "55866393")</f>
        <v>55866393</v>
      </c>
      <c r="B1665" s="2" t="s">
        <v>1707</v>
      </c>
      <c r="C1665" s="3"/>
      <c r="D1665" s="3">
        <v>192.0</v>
      </c>
      <c r="E1665" s="2"/>
      <c r="F1665" s="2"/>
      <c r="G1665" s="2"/>
      <c r="H1665" s="2"/>
      <c r="I1665" s="2"/>
      <c r="J1665" s="2"/>
    </row>
    <row r="1666" ht="15.75" customHeight="1">
      <c r="A1666" s="4" t="str">
        <f>HYPERLINK("https://stackoverflow.com/q/57357758", "57357758")</f>
        <v>57357758</v>
      </c>
      <c r="B1666" s="2" t="s">
        <v>1708</v>
      </c>
      <c r="C1666" s="3"/>
      <c r="D1666" s="3">
        <v>192.0</v>
      </c>
      <c r="E1666" s="2"/>
      <c r="F1666" s="2"/>
      <c r="G1666" s="2"/>
      <c r="H1666" s="2"/>
      <c r="I1666" s="2"/>
      <c r="J1666" s="2"/>
    </row>
    <row r="1667" ht="15.75" customHeight="1">
      <c r="A1667" s="4" t="str">
        <f>HYPERLINK("https://stackoverflow.com/q/42170805", "42170805")</f>
        <v>42170805</v>
      </c>
      <c r="B1667" s="2" t="s">
        <v>1709</v>
      </c>
      <c r="C1667" s="3"/>
      <c r="D1667" s="3">
        <v>191.0</v>
      </c>
      <c r="E1667" s="2" t="s">
        <v>11</v>
      </c>
      <c r="F1667" s="2" t="s">
        <v>25</v>
      </c>
      <c r="G1667" s="2"/>
      <c r="H1667" s="2"/>
      <c r="I1667" s="2"/>
      <c r="J1667" s="2"/>
    </row>
    <row r="1668" ht="15.75" customHeight="1">
      <c r="A1668" s="4" t="str">
        <f>HYPERLINK("https://stackoverflow.com/q/54920348", "54920348")</f>
        <v>54920348</v>
      </c>
      <c r="B1668" s="2" t="s">
        <v>1710</v>
      </c>
      <c r="C1668" s="3"/>
      <c r="D1668" s="3">
        <v>191.0</v>
      </c>
      <c r="E1668" s="2" t="s">
        <v>11</v>
      </c>
      <c r="F1668" s="2" t="s">
        <v>35</v>
      </c>
      <c r="G1668" s="2"/>
      <c r="H1668" s="2"/>
      <c r="I1668" s="2"/>
      <c r="J1668" s="2"/>
    </row>
    <row r="1669" ht="15.75" customHeight="1">
      <c r="A1669" s="4" t="str">
        <f>HYPERLINK("https://stackoverflow.com/q/57687014", "57687014")</f>
        <v>57687014</v>
      </c>
      <c r="B1669" s="2" t="s">
        <v>1711</v>
      </c>
      <c r="C1669" s="3"/>
      <c r="D1669" s="3">
        <v>191.0</v>
      </c>
      <c r="E1669" s="2"/>
      <c r="F1669" s="2"/>
      <c r="G1669" s="2"/>
      <c r="H1669" s="2"/>
      <c r="I1669" s="2"/>
      <c r="J1669" s="2"/>
    </row>
    <row r="1670" ht="15.75" customHeight="1">
      <c r="A1670" s="4" t="str">
        <f>HYPERLINK("https://stackoverflow.com/q/59672640", "59672640")</f>
        <v>59672640</v>
      </c>
      <c r="B1670" s="2" t="s">
        <v>1712</v>
      </c>
      <c r="C1670" s="3"/>
      <c r="D1670" s="3">
        <v>191.0</v>
      </c>
      <c r="E1670" s="2"/>
      <c r="F1670" s="2"/>
      <c r="G1670" s="2"/>
      <c r="H1670" s="2"/>
      <c r="I1670" s="2"/>
      <c r="J1670" s="2"/>
    </row>
    <row r="1671" ht="15.75" customHeight="1">
      <c r="A1671" s="4" t="str">
        <f>HYPERLINK("https://stackoverflow.com/q/43764771", "43764771")</f>
        <v>43764771</v>
      </c>
      <c r="B1671" s="2" t="s">
        <v>1713</v>
      </c>
      <c r="C1671" s="3"/>
      <c r="D1671" s="3">
        <v>190.0</v>
      </c>
      <c r="E1671" s="9" t="s">
        <v>11</v>
      </c>
      <c r="F1671" s="2" t="s">
        <v>18</v>
      </c>
      <c r="G1671" s="2"/>
      <c r="H1671" s="2"/>
      <c r="I1671" s="2"/>
      <c r="J1671" s="2"/>
    </row>
    <row r="1672" ht="15.75" customHeight="1">
      <c r="A1672" s="4" t="str">
        <f>HYPERLINK("https://stackoverflow.com/q/46077840", "46077840")</f>
        <v>46077840</v>
      </c>
      <c r="B1672" s="2" t="s">
        <v>1714</v>
      </c>
      <c r="C1672" s="3"/>
      <c r="D1672" s="3">
        <v>190.0</v>
      </c>
      <c r="E1672" s="9" t="s">
        <v>11</v>
      </c>
      <c r="F1672" s="2" t="s">
        <v>16</v>
      </c>
      <c r="G1672" s="2"/>
      <c r="H1672" s="2"/>
      <c r="I1672" s="2"/>
      <c r="J1672" s="2"/>
    </row>
    <row r="1673" ht="15.75" customHeight="1">
      <c r="A1673" s="4" t="str">
        <f>HYPERLINK("https://stackoverflow.com/q/49148407", "49148407")</f>
        <v>49148407</v>
      </c>
      <c r="B1673" s="2" t="s">
        <v>1715</v>
      </c>
      <c r="C1673" s="3"/>
      <c r="D1673" s="3">
        <v>190.0</v>
      </c>
      <c r="E1673" s="2"/>
      <c r="F1673" s="2"/>
      <c r="G1673" s="2"/>
      <c r="H1673" s="2"/>
      <c r="I1673" s="2"/>
      <c r="J1673" s="2"/>
    </row>
    <row r="1674" ht="15.75" customHeight="1">
      <c r="A1674" s="4" t="str">
        <f>HYPERLINK("https://stackoverflow.com/q/56690282", "56690282")</f>
        <v>56690282</v>
      </c>
      <c r="B1674" s="2" t="s">
        <v>1716</v>
      </c>
      <c r="C1674" s="3">
        <v>1.0</v>
      </c>
      <c r="D1674" s="3">
        <v>189.0</v>
      </c>
      <c r="E1674" s="2"/>
      <c r="F1674" s="2"/>
      <c r="G1674" s="2"/>
      <c r="H1674" s="2"/>
      <c r="I1674" s="2"/>
      <c r="J1674" s="2"/>
    </row>
    <row r="1675" ht="15.75" customHeight="1">
      <c r="A1675" s="4" t="str">
        <f>HYPERLINK("https://stackoverflow.com/q/54291428", "54291428")</f>
        <v>54291428</v>
      </c>
      <c r="B1675" s="2" t="s">
        <v>1717</v>
      </c>
      <c r="C1675" s="3"/>
      <c r="D1675" s="3">
        <v>189.0</v>
      </c>
      <c r="E1675" s="2" t="s">
        <v>11</v>
      </c>
      <c r="F1675" s="2" t="s">
        <v>25</v>
      </c>
      <c r="G1675" s="2"/>
      <c r="H1675" s="2"/>
      <c r="I1675" s="2"/>
      <c r="J1675" s="2"/>
    </row>
    <row r="1676" ht="15.75" customHeight="1">
      <c r="A1676" s="4" t="str">
        <f>HYPERLINK("https://stackoverflow.com/q/56833949", "56833949")</f>
        <v>56833949</v>
      </c>
      <c r="B1676" s="2" t="s">
        <v>1718</v>
      </c>
      <c r="C1676" s="3"/>
      <c r="D1676" s="3">
        <v>189.0</v>
      </c>
      <c r="E1676" s="2"/>
      <c r="F1676" s="2"/>
      <c r="G1676" s="2"/>
      <c r="H1676" s="2"/>
      <c r="I1676" s="2"/>
      <c r="J1676" s="2"/>
    </row>
    <row r="1677" ht="15.75" customHeight="1">
      <c r="A1677" s="4" t="str">
        <f>HYPERLINK("https://stackoverflow.com/q/53884595", "53884595")</f>
        <v>53884595</v>
      </c>
      <c r="B1677" s="2" t="s">
        <v>1719</v>
      </c>
      <c r="C1677" s="3"/>
      <c r="D1677" s="3">
        <v>188.0</v>
      </c>
      <c r="E1677" s="2" t="s">
        <v>537</v>
      </c>
      <c r="F1677" s="2" t="s">
        <v>25</v>
      </c>
      <c r="G1677" s="2"/>
      <c r="H1677" s="2"/>
      <c r="I1677" s="2"/>
      <c r="J1677" s="2"/>
    </row>
    <row r="1678" ht="15.75" customHeight="1">
      <c r="A1678" s="4" t="str">
        <f>HYPERLINK("https://stackoverflow.com/q/54045187", "54045187")</f>
        <v>54045187</v>
      </c>
      <c r="B1678" s="2" t="s">
        <v>1720</v>
      </c>
      <c r="C1678" s="3"/>
      <c r="D1678" s="3">
        <v>187.0</v>
      </c>
      <c r="E1678" s="9" t="s">
        <v>11</v>
      </c>
      <c r="F1678" s="2" t="s">
        <v>16</v>
      </c>
      <c r="G1678" s="2"/>
      <c r="H1678" s="2"/>
      <c r="I1678" s="2"/>
      <c r="J1678" s="2"/>
    </row>
    <row r="1679" ht="15.75" customHeight="1">
      <c r="A1679" s="4" t="str">
        <f>HYPERLINK("https://stackoverflow.com/q/51206764", "51206764")</f>
        <v>51206764</v>
      </c>
      <c r="B1679" s="2" t="s">
        <v>1721</v>
      </c>
      <c r="C1679" s="3"/>
      <c r="D1679" s="3">
        <v>187.0</v>
      </c>
      <c r="E1679" s="2"/>
      <c r="F1679" s="2"/>
      <c r="G1679" s="2"/>
      <c r="H1679" s="2"/>
      <c r="I1679" s="2"/>
      <c r="J1679" s="2"/>
    </row>
    <row r="1680" ht="15.75" customHeight="1">
      <c r="A1680" s="4" t="str">
        <f>HYPERLINK("https://stackoverflow.com/q/52194258", "52194258")</f>
        <v>52194258</v>
      </c>
      <c r="B1680" s="2" t="s">
        <v>1722</v>
      </c>
      <c r="C1680" s="3"/>
      <c r="D1680" s="3">
        <v>187.0</v>
      </c>
      <c r="E1680" s="2"/>
      <c r="F1680" s="2"/>
      <c r="G1680" s="2"/>
      <c r="H1680" s="2"/>
      <c r="I1680" s="2"/>
      <c r="J1680" s="2"/>
    </row>
    <row r="1681" ht="15.75" customHeight="1">
      <c r="A1681" s="4" t="str">
        <f>HYPERLINK("https://stackoverflow.com/q/53039094", "53039094")</f>
        <v>53039094</v>
      </c>
      <c r="B1681" s="2" t="s">
        <v>1723</v>
      </c>
      <c r="C1681" s="3"/>
      <c r="D1681" s="3">
        <v>187.0</v>
      </c>
      <c r="E1681" s="2"/>
      <c r="F1681" s="2"/>
      <c r="G1681" s="2"/>
      <c r="H1681" s="2"/>
      <c r="I1681" s="2"/>
      <c r="J1681" s="2"/>
    </row>
    <row r="1682" ht="15.75" customHeight="1">
      <c r="A1682" s="4" t="str">
        <f>HYPERLINK("https://stackoverflow.com/q/56914312", "56914312")</f>
        <v>56914312</v>
      </c>
      <c r="B1682" s="2" t="s">
        <v>1724</v>
      </c>
      <c r="C1682" s="3"/>
      <c r="D1682" s="3">
        <v>187.0</v>
      </c>
      <c r="E1682" s="2"/>
      <c r="F1682" s="2"/>
      <c r="G1682" s="2"/>
      <c r="H1682" s="2"/>
      <c r="I1682" s="2"/>
      <c r="J1682" s="2"/>
    </row>
    <row r="1683" ht="15.75" customHeight="1">
      <c r="A1683" s="4" t="str">
        <f>HYPERLINK("https://stackoverflow.com/q/57115085", "57115085")</f>
        <v>57115085</v>
      </c>
      <c r="B1683" s="2" t="s">
        <v>1725</v>
      </c>
      <c r="C1683" s="3"/>
      <c r="D1683" s="3">
        <v>187.0</v>
      </c>
      <c r="E1683" s="2"/>
      <c r="F1683" s="2"/>
      <c r="G1683" s="2"/>
      <c r="H1683" s="2"/>
      <c r="I1683" s="2"/>
      <c r="J1683" s="2"/>
    </row>
    <row r="1684" ht="15.75" customHeight="1">
      <c r="A1684" s="4" t="str">
        <f>HYPERLINK("https://stackoverflow.com/q/50164098", "50164098")</f>
        <v>50164098</v>
      </c>
      <c r="B1684" s="2" t="s">
        <v>1726</v>
      </c>
      <c r="C1684" s="3">
        <v>1.0</v>
      </c>
      <c r="D1684" s="3">
        <v>186.0</v>
      </c>
      <c r="E1684" s="2"/>
      <c r="F1684" s="2"/>
      <c r="G1684" s="2"/>
      <c r="H1684" s="2"/>
      <c r="I1684" s="2"/>
      <c r="J1684" s="2"/>
    </row>
    <row r="1685" ht="15.75" customHeight="1">
      <c r="A1685" s="4" t="str">
        <f>HYPERLINK("https://stackoverflow.com/q/51857872", "51857872")</f>
        <v>51857872</v>
      </c>
      <c r="B1685" s="2" t="s">
        <v>1727</v>
      </c>
      <c r="C1685" s="3">
        <v>1.0</v>
      </c>
      <c r="D1685" s="3">
        <v>186.0</v>
      </c>
      <c r="E1685" s="2"/>
      <c r="F1685" s="2"/>
      <c r="G1685" s="2"/>
      <c r="H1685" s="2"/>
      <c r="I1685" s="2"/>
      <c r="J1685" s="2"/>
    </row>
    <row r="1686" ht="15.75" customHeight="1">
      <c r="A1686" s="4" t="str">
        <f>HYPERLINK("https://stackoverflow.com/q/58371510", "58371510")</f>
        <v>58371510</v>
      </c>
      <c r="B1686" s="2" t="s">
        <v>1728</v>
      </c>
      <c r="C1686" s="3">
        <v>1.0</v>
      </c>
      <c r="D1686" s="3">
        <v>186.0</v>
      </c>
      <c r="E1686" s="2"/>
      <c r="F1686" s="2"/>
      <c r="G1686" s="2"/>
      <c r="H1686" s="2"/>
      <c r="I1686" s="2"/>
      <c r="J1686" s="2"/>
    </row>
    <row r="1687" ht="15.75" customHeight="1">
      <c r="A1687" s="4" t="str">
        <f>HYPERLINK("https://stackoverflow.com/q/44407451", "44407451")</f>
        <v>44407451</v>
      </c>
      <c r="B1687" s="2" t="s">
        <v>1729</v>
      </c>
      <c r="C1687" s="3"/>
      <c r="D1687" s="3">
        <v>186.0</v>
      </c>
      <c r="E1687" s="2"/>
      <c r="F1687" s="2"/>
      <c r="G1687" s="2"/>
      <c r="H1687" s="2"/>
      <c r="I1687" s="2"/>
      <c r="J1687" s="2"/>
    </row>
    <row r="1688" ht="15.75" customHeight="1">
      <c r="A1688" s="4" t="str">
        <f>HYPERLINK("https://stackoverflow.com/q/53192332", "53192332")</f>
        <v>53192332</v>
      </c>
      <c r="B1688" s="2" t="s">
        <v>1730</v>
      </c>
      <c r="C1688" s="3"/>
      <c r="D1688" s="3">
        <v>186.0</v>
      </c>
      <c r="E1688" s="2"/>
      <c r="F1688" s="2"/>
      <c r="G1688" s="2"/>
      <c r="H1688" s="2"/>
      <c r="I1688" s="2"/>
      <c r="J1688" s="2"/>
    </row>
    <row r="1689" ht="15.75" customHeight="1">
      <c r="A1689" s="4" t="str">
        <f>HYPERLINK("https://stackoverflow.com/q/60201239", "60201239")</f>
        <v>60201239</v>
      </c>
      <c r="B1689" s="2" t="s">
        <v>1731</v>
      </c>
      <c r="C1689" s="3"/>
      <c r="D1689" s="3">
        <v>186.0</v>
      </c>
      <c r="E1689" s="2"/>
      <c r="F1689" s="2"/>
      <c r="G1689" s="2"/>
      <c r="H1689" s="2"/>
      <c r="I1689" s="2"/>
      <c r="J1689" s="2"/>
    </row>
    <row r="1690" ht="15.75" customHeight="1">
      <c r="A1690" s="4" t="str">
        <f>HYPERLINK("https://stackoverflow.com/q/46193704", "46193704")</f>
        <v>46193704</v>
      </c>
      <c r="B1690" s="2" t="s">
        <v>1732</v>
      </c>
      <c r="C1690" s="3"/>
      <c r="D1690" s="3">
        <v>185.0</v>
      </c>
      <c r="E1690" s="2" t="s">
        <v>11</v>
      </c>
      <c r="F1690" s="2" t="s">
        <v>25</v>
      </c>
      <c r="G1690" s="2"/>
      <c r="H1690" s="2"/>
      <c r="I1690" s="2"/>
      <c r="J1690" s="2"/>
    </row>
    <row r="1691" ht="15.75" customHeight="1">
      <c r="A1691" s="4" t="str">
        <f>HYPERLINK("https://stackoverflow.com/q/56513338", "56513338")</f>
        <v>56513338</v>
      </c>
      <c r="B1691" s="2" t="s">
        <v>1733</v>
      </c>
      <c r="C1691" s="3"/>
      <c r="D1691" s="3">
        <v>185.0</v>
      </c>
      <c r="E1691" s="2"/>
      <c r="F1691" s="2"/>
      <c r="G1691" s="2"/>
      <c r="H1691" s="2"/>
      <c r="I1691" s="2"/>
      <c r="J1691" s="2"/>
    </row>
    <row r="1692" ht="15.75" customHeight="1">
      <c r="A1692" s="4" t="str">
        <f>HYPERLINK("https://stackoverflow.com/q/55072078", "55072078")</f>
        <v>55072078</v>
      </c>
      <c r="B1692" s="2" t="s">
        <v>1734</v>
      </c>
      <c r="C1692" s="3">
        <v>1.0</v>
      </c>
      <c r="D1692" s="3">
        <v>184.0</v>
      </c>
      <c r="E1692" s="2" t="s">
        <v>537</v>
      </c>
      <c r="F1692" s="2" t="s">
        <v>194</v>
      </c>
      <c r="G1692" s="2"/>
      <c r="H1692" s="2"/>
      <c r="I1692" s="2"/>
      <c r="J1692" s="2"/>
    </row>
    <row r="1693" ht="15.75" customHeight="1">
      <c r="A1693" s="4" t="str">
        <f>HYPERLINK("https://stackoverflow.com/q/51381376", "51381376")</f>
        <v>51381376</v>
      </c>
      <c r="B1693" s="2" t="s">
        <v>1735</v>
      </c>
      <c r="C1693" s="3"/>
      <c r="D1693" s="3">
        <v>184.0</v>
      </c>
      <c r="E1693" s="2" t="s">
        <v>59</v>
      </c>
      <c r="F1693" s="2" t="s">
        <v>28</v>
      </c>
      <c r="G1693" s="2"/>
      <c r="H1693" s="2"/>
      <c r="I1693" s="2"/>
      <c r="J1693" s="2"/>
    </row>
    <row r="1694" ht="15.75" customHeight="1">
      <c r="A1694" s="4" t="str">
        <f>HYPERLINK("https://stackoverflow.com/q/46289453", "46289453")</f>
        <v>46289453</v>
      </c>
      <c r="B1694" s="2" t="s">
        <v>1736</v>
      </c>
      <c r="C1694" s="3"/>
      <c r="D1694" s="3">
        <v>183.0</v>
      </c>
      <c r="E1694" s="2" t="s">
        <v>11</v>
      </c>
      <c r="F1694" s="2" t="s">
        <v>30</v>
      </c>
      <c r="G1694" s="2"/>
      <c r="H1694" s="2"/>
      <c r="I1694" s="2"/>
      <c r="J1694" s="2"/>
    </row>
    <row r="1695" ht="15.75" customHeight="1">
      <c r="A1695" s="4" t="str">
        <f>HYPERLINK("https://stackoverflow.com/q/42379606", "42379606")</f>
        <v>42379606</v>
      </c>
      <c r="B1695" s="2" t="s">
        <v>1737</v>
      </c>
      <c r="C1695" s="3"/>
      <c r="D1695" s="3">
        <v>182.0</v>
      </c>
      <c r="E1695" s="2" t="s">
        <v>11</v>
      </c>
      <c r="F1695" s="2" t="s">
        <v>67</v>
      </c>
      <c r="G1695" s="2"/>
      <c r="H1695" s="2"/>
      <c r="I1695" s="2"/>
      <c r="J1695" s="2"/>
    </row>
    <row r="1696" ht="15.75" customHeight="1">
      <c r="A1696" s="4" t="str">
        <f>HYPERLINK("https://stackoverflow.com/q/54478438", "54478438")</f>
        <v>54478438</v>
      </c>
      <c r="B1696" s="2" t="s">
        <v>1738</v>
      </c>
      <c r="C1696" s="3"/>
      <c r="D1696" s="3">
        <v>182.0</v>
      </c>
      <c r="E1696" s="2" t="s">
        <v>11</v>
      </c>
      <c r="F1696" s="2" t="s">
        <v>56</v>
      </c>
      <c r="G1696" s="2"/>
      <c r="H1696" s="2"/>
      <c r="I1696" s="2"/>
      <c r="J1696" s="2"/>
    </row>
    <row r="1697" ht="15.75" customHeight="1">
      <c r="A1697" s="4" t="str">
        <f>HYPERLINK("https://stackoverflow.com/q/11064969", "11064969")</f>
        <v>11064969</v>
      </c>
      <c r="B1697" s="2" t="s">
        <v>1739</v>
      </c>
      <c r="C1697" s="3"/>
      <c r="D1697" s="3">
        <v>182.0</v>
      </c>
      <c r="E1697" s="2"/>
      <c r="F1697" s="2"/>
      <c r="G1697" s="2"/>
      <c r="H1697" s="2"/>
      <c r="I1697" s="2"/>
      <c r="J1697" s="2"/>
    </row>
    <row r="1698" ht="15.75" customHeight="1">
      <c r="A1698" s="4" t="str">
        <f>HYPERLINK("https://stackoverflow.com/q/48091397", "48091397")</f>
        <v>48091397</v>
      </c>
      <c r="B1698" s="2" t="s">
        <v>1740</v>
      </c>
      <c r="C1698" s="3"/>
      <c r="D1698" s="3">
        <v>181.0</v>
      </c>
      <c r="E1698" s="9" t="s">
        <v>11</v>
      </c>
      <c r="F1698" s="2" t="s">
        <v>18</v>
      </c>
      <c r="G1698" s="2"/>
      <c r="H1698" s="2"/>
      <c r="I1698" s="2"/>
      <c r="J1698" s="2"/>
    </row>
    <row r="1699" ht="15.75" customHeight="1">
      <c r="A1699" s="4" t="str">
        <f>HYPERLINK("https://stackoverflow.com/q/54363950", "54363950")</f>
        <v>54363950</v>
      </c>
      <c r="B1699" s="2" t="s">
        <v>1741</v>
      </c>
      <c r="C1699" s="3"/>
      <c r="D1699" s="3">
        <v>181.0</v>
      </c>
      <c r="E1699" s="9" t="s">
        <v>11</v>
      </c>
      <c r="F1699" s="2" t="s">
        <v>18</v>
      </c>
      <c r="G1699" s="2"/>
      <c r="H1699" s="2"/>
      <c r="I1699" s="2"/>
      <c r="J1699" s="2"/>
    </row>
    <row r="1700" ht="15.75" customHeight="1">
      <c r="A1700" s="4" t="str">
        <f>HYPERLINK("https://stackoverflow.com/q/44588977", "44588977")</f>
        <v>44588977</v>
      </c>
      <c r="B1700" s="2" t="s">
        <v>1742</v>
      </c>
      <c r="C1700" s="3"/>
      <c r="D1700" s="3">
        <v>181.0</v>
      </c>
      <c r="E1700" s="2"/>
      <c r="F1700" s="2"/>
      <c r="G1700" s="2"/>
      <c r="H1700" s="2"/>
      <c r="I1700" s="2"/>
      <c r="J1700" s="2"/>
    </row>
    <row r="1701" ht="15.75" customHeight="1">
      <c r="A1701" s="4" t="str">
        <f>HYPERLINK("https://stackoverflow.com/q/49449205", "49449205")</f>
        <v>49449205</v>
      </c>
      <c r="B1701" s="2" t="s">
        <v>1743</v>
      </c>
      <c r="C1701" s="3"/>
      <c r="D1701" s="3">
        <v>181.0</v>
      </c>
      <c r="E1701" s="2"/>
      <c r="F1701" s="2"/>
      <c r="G1701" s="2"/>
      <c r="H1701" s="2"/>
      <c r="I1701" s="2"/>
      <c r="J1701" s="2"/>
    </row>
    <row r="1702" ht="15.75" customHeight="1">
      <c r="A1702" s="4" t="str">
        <f>HYPERLINK("https://stackoverflow.com/q/56750074", "56750074")</f>
        <v>56750074</v>
      </c>
      <c r="B1702" s="2" t="s">
        <v>1744</v>
      </c>
      <c r="C1702" s="3"/>
      <c r="D1702" s="3">
        <v>181.0</v>
      </c>
      <c r="E1702" s="2"/>
      <c r="F1702" s="2"/>
      <c r="G1702" s="2"/>
      <c r="H1702" s="2"/>
      <c r="I1702" s="2"/>
      <c r="J1702" s="2"/>
    </row>
    <row r="1703" ht="15.75" customHeight="1">
      <c r="A1703" s="4" t="str">
        <f>HYPERLINK("https://stackoverflow.com/q/60513317", "60513317")</f>
        <v>60513317</v>
      </c>
      <c r="B1703" s="2" t="s">
        <v>1745</v>
      </c>
      <c r="C1703" s="3">
        <v>1.0</v>
      </c>
      <c r="D1703" s="3">
        <v>180.0</v>
      </c>
      <c r="E1703" s="2"/>
      <c r="F1703" s="2"/>
      <c r="G1703" s="2"/>
      <c r="H1703" s="2"/>
      <c r="I1703" s="2"/>
      <c r="J1703" s="2"/>
    </row>
    <row r="1704" ht="15.75" customHeight="1">
      <c r="A1704" s="4" t="str">
        <f>HYPERLINK("https://stackoverflow.com/q/49517238", "49517238")</f>
        <v>49517238</v>
      </c>
      <c r="B1704" s="2" t="s">
        <v>1746</v>
      </c>
      <c r="C1704" s="3"/>
      <c r="D1704" s="3">
        <v>180.0</v>
      </c>
      <c r="E1704" s="2"/>
      <c r="F1704" s="2"/>
      <c r="G1704" s="2"/>
      <c r="H1704" s="2"/>
      <c r="I1704" s="2"/>
      <c r="J1704" s="2"/>
    </row>
    <row r="1705" ht="15.75" customHeight="1">
      <c r="A1705" s="4" t="str">
        <f>HYPERLINK("https://stackoverflow.com/q/52605791", "52605791")</f>
        <v>52605791</v>
      </c>
      <c r="B1705" s="2" t="s">
        <v>1747</v>
      </c>
      <c r="C1705" s="3"/>
      <c r="D1705" s="3">
        <v>180.0</v>
      </c>
      <c r="E1705" s="2"/>
      <c r="F1705" s="2"/>
      <c r="G1705" s="2"/>
      <c r="H1705" s="2"/>
      <c r="I1705" s="2"/>
      <c r="J1705" s="2"/>
    </row>
    <row r="1706" ht="15.75" customHeight="1">
      <c r="A1706" s="4" t="str">
        <f>HYPERLINK("https://stackoverflow.com/q/55929236", "55929236")</f>
        <v>55929236</v>
      </c>
      <c r="B1706" s="2" t="s">
        <v>1748</v>
      </c>
      <c r="C1706" s="3"/>
      <c r="D1706" s="3">
        <v>180.0</v>
      </c>
      <c r="E1706" s="2"/>
      <c r="F1706" s="2"/>
      <c r="G1706" s="2"/>
      <c r="H1706" s="2"/>
      <c r="I1706" s="2"/>
      <c r="J1706" s="2"/>
    </row>
    <row r="1707" ht="15.75" customHeight="1">
      <c r="A1707" s="4" t="str">
        <f>HYPERLINK("https://stackoverflow.com/q/54577431", "54577431")</f>
        <v>54577431</v>
      </c>
      <c r="B1707" s="2" t="s">
        <v>1749</v>
      </c>
      <c r="C1707" s="3"/>
      <c r="D1707" s="3">
        <v>179.0</v>
      </c>
      <c r="E1707" s="2" t="s">
        <v>59</v>
      </c>
      <c r="F1707" s="2" t="s">
        <v>538</v>
      </c>
      <c r="G1707" s="2"/>
      <c r="H1707" s="2"/>
      <c r="I1707" s="2"/>
      <c r="J1707" s="2"/>
    </row>
    <row r="1708" ht="15.75" customHeight="1">
      <c r="A1708" s="4" t="str">
        <f>HYPERLINK("https://stackoverflow.com/q/54574451", "54574451")</f>
        <v>54574451</v>
      </c>
      <c r="B1708" s="2" t="s">
        <v>1750</v>
      </c>
      <c r="C1708" s="3"/>
      <c r="D1708" s="3">
        <v>179.0</v>
      </c>
      <c r="E1708" s="2" t="s">
        <v>11</v>
      </c>
      <c r="F1708" s="2" t="s">
        <v>25</v>
      </c>
      <c r="G1708" s="2"/>
      <c r="H1708" s="2"/>
      <c r="I1708" s="2"/>
      <c r="J1708" s="2"/>
    </row>
    <row r="1709" ht="15.75" customHeight="1">
      <c r="A1709" s="4" t="str">
        <f>HYPERLINK("https://stackoverflow.com/q/25451031", "25451031")</f>
        <v>25451031</v>
      </c>
      <c r="B1709" s="2" t="s">
        <v>1751</v>
      </c>
      <c r="C1709" s="3"/>
      <c r="D1709" s="3">
        <v>179.0</v>
      </c>
      <c r="E1709" s="2"/>
      <c r="F1709" s="2"/>
      <c r="G1709" s="2"/>
      <c r="H1709" s="2"/>
      <c r="I1709" s="2"/>
      <c r="J1709" s="2"/>
    </row>
    <row r="1710" ht="15.75" customHeight="1">
      <c r="A1710" s="4" t="str">
        <f>HYPERLINK("https://stackoverflow.com/q/58155631", "58155631")</f>
        <v>58155631</v>
      </c>
      <c r="B1710" s="2" t="s">
        <v>1752</v>
      </c>
      <c r="C1710" s="3"/>
      <c r="D1710" s="3">
        <v>179.0</v>
      </c>
      <c r="E1710" s="2"/>
      <c r="F1710" s="2"/>
      <c r="G1710" s="2"/>
      <c r="H1710" s="2"/>
      <c r="I1710" s="2"/>
      <c r="J1710" s="2"/>
    </row>
    <row r="1711" ht="15.75" customHeight="1">
      <c r="A1711" s="4" t="str">
        <f>HYPERLINK("https://stackoverflow.com/q/25950980", "25950980")</f>
        <v>25950980</v>
      </c>
      <c r="B1711" s="2" t="s">
        <v>1753</v>
      </c>
      <c r="C1711" s="3"/>
      <c r="D1711" s="3">
        <v>178.0</v>
      </c>
      <c r="E1711" s="2"/>
      <c r="F1711" s="2"/>
      <c r="G1711" s="2"/>
      <c r="H1711" s="2"/>
      <c r="I1711" s="2"/>
      <c r="J1711" s="2"/>
    </row>
    <row r="1712" ht="15.75" customHeight="1">
      <c r="A1712" s="4" t="str">
        <f>HYPERLINK("https://stackoverflow.com/q/56305835", "56305835")</f>
        <v>56305835</v>
      </c>
      <c r="B1712" s="2" t="s">
        <v>1754</v>
      </c>
      <c r="C1712" s="3"/>
      <c r="D1712" s="3">
        <v>178.0</v>
      </c>
      <c r="E1712" s="2"/>
      <c r="F1712" s="2"/>
      <c r="G1712" s="2"/>
      <c r="H1712" s="2"/>
      <c r="I1712" s="2"/>
      <c r="J1712" s="2"/>
    </row>
    <row r="1713" ht="15.75" customHeight="1">
      <c r="A1713" s="4" t="str">
        <f>HYPERLINK("https://stackoverflow.com/q/15580847", "15580847")</f>
        <v>15580847</v>
      </c>
      <c r="B1713" s="2" t="s">
        <v>1755</v>
      </c>
      <c r="C1713" s="3"/>
      <c r="D1713" s="3">
        <v>177.0</v>
      </c>
      <c r="E1713" s="2"/>
      <c r="F1713" s="2"/>
      <c r="G1713" s="2"/>
      <c r="H1713" s="2"/>
      <c r="I1713" s="2"/>
      <c r="J1713" s="2"/>
    </row>
    <row r="1714" ht="15.75" customHeight="1">
      <c r="A1714" s="4" t="str">
        <f>HYPERLINK("https://stackoverflow.com/q/53937189", "53937189")</f>
        <v>53937189</v>
      </c>
      <c r="B1714" s="2" t="s">
        <v>1756</v>
      </c>
      <c r="C1714" s="3">
        <v>1.0</v>
      </c>
      <c r="D1714" s="3">
        <v>176.0</v>
      </c>
      <c r="E1714" s="2" t="s">
        <v>11</v>
      </c>
      <c r="F1714" s="2" t="s">
        <v>30</v>
      </c>
      <c r="G1714" s="2"/>
      <c r="H1714" s="2"/>
      <c r="I1714" s="2"/>
      <c r="J1714" s="2"/>
    </row>
    <row r="1715" ht="15.75" customHeight="1">
      <c r="A1715" s="4" t="str">
        <f>HYPERLINK("https://stackoverflow.com/q/45324749", "45324749")</f>
        <v>45324749</v>
      </c>
      <c r="B1715" s="2" t="s">
        <v>1757</v>
      </c>
      <c r="C1715" s="3">
        <v>0.0</v>
      </c>
      <c r="D1715" s="3">
        <v>176.0</v>
      </c>
      <c r="E1715" s="2"/>
      <c r="F1715" s="2"/>
      <c r="G1715" s="2"/>
      <c r="H1715" s="2"/>
      <c r="I1715" s="2"/>
      <c r="J1715" s="2"/>
    </row>
    <row r="1716" ht="15.75" customHeight="1">
      <c r="A1716" s="4" t="str">
        <f>HYPERLINK("https://stackoverflow.com/q/57831723", "57831723")</f>
        <v>57831723</v>
      </c>
      <c r="B1716" s="2" t="s">
        <v>1758</v>
      </c>
      <c r="C1716" s="3"/>
      <c r="D1716" s="3">
        <v>176.0</v>
      </c>
      <c r="E1716" s="2"/>
      <c r="F1716" s="2"/>
      <c r="G1716" s="2"/>
      <c r="H1716" s="2"/>
      <c r="I1716" s="2"/>
      <c r="J1716" s="2"/>
    </row>
    <row r="1717" ht="15.75" customHeight="1">
      <c r="A1717" s="4" t="str">
        <f>HYPERLINK("https://stackoverflow.com/q/58914330", "58914330")</f>
        <v>58914330</v>
      </c>
      <c r="B1717" s="2" t="s">
        <v>1759</v>
      </c>
      <c r="C1717" s="3"/>
      <c r="D1717" s="3">
        <v>176.0</v>
      </c>
      <c r="E1717" s="2"/>
      <c r="F1717" s="2"/>
      <c r="G1717" s="2"/>
      <c r="H1717" s="2"/>
      <c r="I1717" s="2"/>
      <c r="J1717" s="2"/>
    </row>
    <row r="1718" ht="15.75" customHeight="1">
      <c r="A1718" s="4" t="str">
        <f>HYPERLINK("https://stackoverflow.com/q/54223484", "54223484")</f>
        <v>54223484</v>
      </c>
      <c r="B1718" s="2" t="s">
        <v>1760</v>
      </c>
      <c r="C1718" s="3"/>
      <c r="D1718" s="3">
        <v>175.0</v>
      </c>
      <c r="E1718" s="2" t="s">
        <v>20</v>
      </c>
      <c r="F1718" s="2" t="s">
        <v>21</v>
      </c>
      <c r="G1718" s="2"/>
      <c r="H1718" s="2"/>
      <c r="I1718" s="2"/>
      <c r="J1718" s="2"/>
    </row>
    <row r="1719" ht="15.75" customHeight="1">
      <c r="A1719" s="4" t="str">
        <f>HYPERLINK("https://stackoverflow.com/q/41097730", "41097730")</f>
        <v>41097730</v>
      </c>
      <c r="B1719" s="2" t="s">
        <v>1761</v>
      </c>
      <c r="C1719" s="3"/>
      <c r="D1719" s="3">
        <v>175.0</v>
      </c>
      <c r="E1719" s="2"/>
      <c r="F1719" s="2"/>
      <c r="G1719" s="2"/>
      <c r="H1719" s="2"/>
      <c r="I1719" s="2"/>
      <c r="J1719" s="2"/>
    </row>
    <row r="1720" ht="15.75" customHeight="1">
      <c r="A1720" s="4" t="str">
        <f>HYPERLINK("https://stackoverflow.com/q/49106800", "49106800")</f>
        <v>49106800</v>
      </c>
      <c r="B1720" s="2" t="s">
        <v>1762</v>
      </c>
      <c r="C1720" s="3"/>
      <c r="D1720" s="3">
        <v>175.0</v>
      </c>
      <c r="E1720" s="2"/>
      <c r="F1720" s="2"/>
      <c r="G1720" s="2"/>
      <c r="H1720" s="2"/>
      <c r="I1720" s="2"/>
      <c r="J1720" s="2"/>
    </row>
    <row r="1721" ht="15.75" customHeight="1">
      <c r="A1721" s="4" t="str">
        <f>HYPERLINK("https://stackoverflow.com/q/51865601", "51865601")</f>
        <v>51865601</v>
      </c>
      <c r="B1721" s="2" t="s">
        <v>1763</v>
      </c>
      <c r="C1721" s="3"/>
      <c r="D1721" s="3">
        <v>175.0</v>
      </c>
      <c r="E1721" s="2"/>
      <c r="F1721" s="2"/>
      <c r="G1721" s="2"/>
      <c r="H1721" s="2"/>
      <c r="I1721" s="2"/>
      <c r="J1721" s="2"/>
    </row>
    <row r="1722" ht="15.75" customHeight="1">
      <c r="A1722" s="4" t="str">
        <f>HYPERLINK("https://stackoverflow.com/q/53287555", "53287555")</f>
        <v>53287555</v>
      </c>
      <c r="B1722" s="2" t="s">
        <v>1764</v>
      </c>
      <c r="C1722" s="3"/>
      <c r="D1722" s="3">
        <v>175.0</v>
      </c>
      <c r="E1722" s="2"/>
      <c r="F1722" s="2"/>
      <c r="G1722" s="2"/>
      <c r="H1722" s="2"/>
      <c r="I1722" s="2"/>
      <c r="J1722" s="2"/>
    </row>
    <row r="1723" ht="15.75" customHeight="1">
      <c r="A1723" s="4" t="str">
        <f>HYPERLINK("https://stackoverflow.com/q/41945601", "41945601")</f>
        <v>41945601</v>
      </c>
      <c r="B1723" s="2" t="s">
        <v>1765</v>
      </c>
      <c r="C1723" s="3">
        <v>1.0</v>
      </c>
      <c r="D1723" s="3">
        <v>174.0</v>
      </c>
      <c r="E1723" s="9" t="s">
        <v>11</v>
      </c>
      <c r="F1723" s="2" t="s">
        <v>18</v>
      </c>
      <c r="G1723" s="2"/>
      <c r="H1723" s="2"/>
      <c r="I1723" s="2"/>
      <c r="J1723" s="2"/>
    </row>
    <row r="1724" ht="15.75" customHeight="1">
      <c r="A1724" s="4" t="str">
        <f>HYPERLINK("https://stackoverflow.com/q/46330301", "46330301")</f>
        <v>46330301</v>
      </c>
      <c r="B1724" s="2" t="s">
        <v>1766</v>
      </c>
      <c r="C1724" s="3"/>
      <c r="D1724" s="3">
        <v>174.0</v>
      </c>
      <c r="E1724" s="2" t="s">
        <v>11</v>
      </c>
      <c r="F1724" s="2" t="s">
        <v>25</v>
      </c>
      <c r="G1724" s="2" t="s">
        <v>21</v>
      </c>
      <c r="H1724" s="2"/>
      <c r="I1724" s="2"/>
      <c r="J1724" s="2"/>
    </row>
    <row r="1725" ht="15.75" customHeight="1">
      <c r="A1725" s="4" t="str">
        <f>HYPERLINK("https://stackoverflow.com/q/55749828", "55749828")</f>
        <v>55749828</v>
      </c>
      <c r="B1725" s="2" t="s">
        <v>1767</v>
      </c>
      <c r="C1725" s="3"/>
      <c r="D1725" s="3">
        <v>174.0</v>
      </c>
      <c r="E1725" s="2" t="s">
        <v>11</v>
      </c>
      <c r="F1725" s="2" t="s">
        <v>35</v>
      </c>
      <c r="G1725" s="2"/>
      <c r="H1725" s="2"/>
      <c r="I1725" s="2"/>
      <c r="J1725" s="2"/>
    </row>
    <row r="1726" ht="15.75" customHeight="1">
      <c r="A1726" s="4" t="str">
        <f>HYPERLINK("https://stackoverflow.com/q/46669690", "46669690")</f>
        <v>46669690</v>
      </c>
      <c r="B1726" s="2" t="s">
        <v>1768</v>
      </c>
      <c r="C1726" s="3"/>
      <c r="D1726" s="3">
        <v>174.0</v>
      </c>
      <c r="E1726" s="2" t="s">
        <v>86</v>
      </c>
      <c r="F1726" s="2" t="s">
        <v>87</v>
      </c>
      <c r="G1726" s="2"/>
      <c r="H1726" s="2"/>
      <c r="I1726" s="2"/>
      <c r="J1726" s="2"/>
    </row>
    <row r="1727" ht="15.75" customHeight="1">
      <c r="A1727" s="4" t="str">
        <f>HYPERLINK("https://stackoverflow.com/q/55623926", "55623926")</f>
        <v>55623926</v>
      </c>
      <c r="B1727" s="2" t="s">
        <v>1769</v>
      </c>
      <c r="C1727" s="3"/>
      <c r="D1727" s="3">
        <v>174.0</v>
      </c>
      <c r="E1727" s="2"/>
      <c r="F1727" s="2"/>
      <c r="G1727" s="2"/>
      <c r="H1727" s="2"/>
      <c r="I1727" s="2"/>
      <c r="J1727" s="2"/>
    </row>
    <row r="1728" ht="15.75" customHeight="1">
      <c r="A1728" s="4" t="str">
        <f>HYPERLINK("https://stackoverflow.com/q/55632717", "55632717")</f>
        <v>55632717</v>
      </c>
      <c r="B1728" s="2" t="s">
        <v>1770</v>
      </c>
      <c r="C1728" s="3"/>
      <c r="D1728" s="3">
        <v>174.0</v>
      </c>
      <c r="E1728" s="2"/>
      <c r="F1728" s="2"/>
      <c r="G1728" s="2"/>
      <c r="H1728" s="2"/>
      <c r="I1728" s="2"/>
      <c r="J1728" s="2"/>
    </row>
    <row r="1729" ht="15.75" customHeight="1">
      <c r="A1729" s="4" t="str">
        <f>HYPERLINK("https://stackoverflow.com/q/48628269", "48628269")</f>
        <v>48628269</v>
      </c>
      <c r="B1729" s="2" t="s">
        <v>1771</v>
      </c>
      <c r="C1729" s="3">
        <v>1.0</v>
      </c>
      <c r="D1729" s="3">
        <v>173.0</v>
      </c>
      <c r="E1729" s="2"/>
      <c r="F1729" s="2"/>
      <c r="G1729" s="2"/>
      <c r="H1729" s="2"/>
      <c r="I1729" s="2"/>
      <c r="J1729" s="2"/>
    </row>
    <row r="1730" ht="15.75" customHeight="1">
      <c r="A1730" s="4" t="str">
        <f>HYPERLINK("https://stackoverflow.com/q/57686877", "57686877")</f>
        <v>57686877</v>
      </c>
      <c r="B1730" s="2" t="s">
        <v>1772</v>
      </c>
      <c r="C1730" s="3"/>
      <c r="D1730" s="3">
        <v>173.0</v>
      </c>
      <c r="E1730" s="2"/>
      <c r="F1730" s="2"/>
      <c r="G1730" s="2"/>
      <c r="H1730" s="2"/>
      <c r="I1730" s="2"/>
      <c r="J1730" s="2"/>
    </row>
    <row r="1731" ht="15.75" customHeight="1">
      <c r="A1731" s="4" t="str">
        <f>HYPERLINK("https://stackoverflow.com/q/59615918", "59615918")</f>
        <v>59615918</v>
      </c>
      <c r="B1731" s="2" t="s">
        <v>1773</v>
      </c>
      <c r="C1731" s="3"/>
      <c r="D1731" s="3">
        <v>173.0</v>
      </c>
      <c r="E1731" s="2"/>
      <c r="F1731" s="2"/>
      <c r="G1731" s="2"/>
      <c r="H1731" s="2"/>
      <c r="I1731" s="2"/>
      <c r="J1731" s="2"/>
    </row>
    <row r="1732" ht="15.75" customHeight="1">
      <c r="A1732" s="4" t="str">
        <f>HYPERLINK("https://stackoverflow.com/q/44078721", "44078721")</f>
        <v>44078721</v>
      </c>
      <c r="B1732" s="2" t="s">
        <v>1774</v>
      </c>
      <c r="C1732" s="3">
        <v>0.0</v>
      </c>
      <c r="D1732" s="3">
        <v>172.0</v>
      </c>
      <c r="E1732" s="2" t="s">
        <v>11</v>
      </c>
      <c r="F1732" s="2" t="s">
        <v>67</v>
      </c>
      <c r="G1732" s="2"/>
      <c r="H1732" s="2"/>
      <c r="I1732" s="2"/>
      <c r="J1732" s="2"/>
    </row>
    <row r="1733" ht="15.75" customHeight="1">
      <c r="A1733" s="4" t="str">
        <f>HYPERLINK("https://stackoverflow.com/q/41749324", "41749324")</f>
        <v>41749324</v>
      </c>
      <c r="B1733" s="2" t="s">
        <v>1775</v>
      </c>
      <c r="C1733" s="3"/>
      <c r="D1733" s="3">
        <v>172.0</v>
      </c>
      <c r="E1733" s="2" t="s">
        <v>11</v>
      </c>
      <c r="F1733" s="2" t="s">
        <v>56</v>
      </c>
      <c r="G1733" s="2"/>
      <c r="H1733" s="2"/>
      <c r="I1733" s="2"/>
      <c r="J1733" s="2"/>
    </row>
    <row r="1734" ht="15.75" customHeight="1">
      <c r="A1734" s="4" t="str">
        <f>HYPERLINK("https://stackoverflow.com/q/50218500", "50218500")</f>
        <v>50218500</v>
      </c>
      <c r="B1734" s="2" t="s">
        <v>1776</v>
      </c>
      <c r="C1734" s="3"/>
      <c r="D1734" s="3">
        <v>172.0</v>
      </c>
      <c r="E1734" s="2"/>
      <c r="F1734" s="2"/>
      <c r="G1734" s="2"/>
      <c r="H1734" s="2"/>
      <c r="I1734" s="2"/>
      <c r="J1734" s="2"/>
    </row>
    <row r="1735" ht="15.75" customHeight="1">
      <c r="A1735" s="4" t="str">
        <f>HYPERLINK("https://stackoverflow.com/q/55791116", "55791116")</f>
        <v>55791116</v>
      </c>
      <c r="B1735" s="2" t="s">
        <v>1777</v>
      </c>
      <c r="C1735" s="3"/>
      <c r="D1735" s="3">
        <v>172.0</v>
      </c>
      <c r="E1735" s="2"/>
      <c r="F1735" s="2"/>
      <c r="G1735" s="2"/>
      <c r="H1735" s="2"/>
      <c r="I1735" s="2"/>
      <c r="J1735" s="2"/>
    </row>
    <row r="1736" ht="15.75" customHeight="1">
      <c r="A1736" s="4" t="str">
        <f>HYPERLINK("https://stackoverflow.com/q/59932262", "59932262")</f>
        <v>59932262</v>
      </c>
      <c r="B1736" s="2" t="s">
        <v>1778</v>
      </c>
      <c r="C1736" s="3"/>
      <c r="D1736" s="3">
        <v>172.0</v>
      </c>
      <c r="E1736" s="2"/>
      <c r="F1736" s="2"/>
      <c r="G1736" s="2"/>
      <c r="H1736" s="2"/>
      <c r="I1736" s="2"/>
      <c r="J1736" s="2"/>
    </row>
    <row r="1737" ht="15.75" customHeight="1">
      <c r="A1737" s="4" t="str">
        <f>HYPERLINK("https://stackoverflow.com/q/60534579", "60534579")</f>
        <v>60534579</v>
      </c>
      <c r="B1737" s="2" t="s">
        <v>1779</v>
      </c>
      <c r="C1737" s="3"/>
      <c r="D1737" s="3">
        <v>172.0</v>
      </c>
      <c r="E1737" s="2"/>
      <c r="F1737" s="2"/>
      <c r="G1737" s="2"/>
      <c r="H1737" s="2"/>
      <c r="I1737" s="2"/>
      <c r="J1737" s="2"/>
    </row>
    <row r="1738" ht="15.75" customHeight="1">
      <c r="A1738" s="4" t="str">
        <f>HYPERLINK("https://stackoverflow.com/q/55026722", "55026722")</f>
        <v>55026722</v>
      </c>
      <c r="B1738" s="2" t="s">
        <v>1780</v>
      </c>
      <c r="C1738" s="3">
        <v>1.0</v>
      </c>
      <c r="D1738" s="3">
        <v>171.0</v>
      </c>
      <c r="E1738" s="2" t="s">
        <v>11</v>
      </c>
      <c r="F1738" s="2" t="s">
        <v>538</v>
      </c>
      <c r="G1738" s="2"/>
      <c r="H1738" s="2"/>
      <c r="I1738" s="2"/>
      <c r="J1738" s="2"/>
    </row>
    <row r="1739" ht="15.75" customHeight="1">
      <c r="A1739" s="4" t="str">
        <f>HYPERLINK("https://stackoverflow.com/q/46514457", "46514457")</f>
        <v>46514457</v>
      </c>
      <c r="B1739" s="2" t="s">
        <v>1781</v>
      </c>
      <c r="C1739" s="3"/>
      <c r="D1739" s="3">
        <v>171.0</v>
      </c>
      <c r="E1739" s="2" t="s">
        <v>72</v>
      </c>
      <c r="F1739" s="2" t="s">
        <v>506</v>
      </c>
      <c r="G1739" s="2"/>
      <c r="H1739" s="2"/>
      <c r="I1739" s="2"/>
      <c r="J1739" s="2"/>
    </row>
    <row r="1740" ht="15.75" customHeight="1">
      <c r="A1740" s="4" t="str">
        <f>HYPERLINK("https://stackoverflow.com/q/45724820", "45724820")</f>
        <v>45724820</v>
      </c>
      <c r="B1740" s="2" t="s">
        <v>1782</v>
      </c>
      <c r="C1740" s="3"/>
      <c r="D1740" s="3">
        <v>171.0</v>
      </c>
      <c r="E1740" s="2"/>
      <c r="F1740" s="2"/>
      <c r="G1740" s="2"/>
      <c r="H1740" s="2"/>
      <c r="I1740" s="2"/>
      <c r="J1740" s="2"/>
    </row>
    <row r="1741" ht="15.75" customHeight="1">
      <c r="A1741" s="4" t="str">
        <f>HYPERLINK("https://stackoverflow.com/q/49772445", "49772445")</f>
        <v>49772445</v>
      </c>
      <c r="B1741" s="2" t="s">
        <v>1783</v>
      </c>
      <c r="C1741" s="3"/>
      <c r="D1741" s="3">
        <v>171.0</v>
      </c>
      <c r="E1741" s="2"/>
      <c r="F1741" s="2"/>
      <c r="G1741" s="2"/>
      <c r="H1741" s="2"/>
      <c r="I1741" s="2"/>
      <c r="J1741" s="2"/>
    </row>
    <row r="1742" ht="15.75" customHeight="1">
      <c r="A1742" s="4" t="str">
        <f>HYPERLINK("https://stackoverflow.com/q/56295166", "56295166")</f>
        <v>56295166</v>
      </c>
      <c r="B1742" s="2" t="s">
        <v>1784</v>
      </c>
      <c r="C1742" s="3"/>
      <c r="D1742" s="3">
        <v>171.0</v>
      </c>
      <c r="E1742" s="2"/>
      <c r="F1742" s="2"/>
      <c r="G1742" s="2"/>
      <c r="H1742" s="2"/>
      <c r="I1742" s="2"/>
      <c r="J1742" s="2"/>
    </row>
    <row r="1743" ht="15.75" customHeight="1">
      <c r="A1743" s="4" t="str">
        <f>HYPERLINK("https://stackoverflow.com/q/44267227", "44267227")</f>
        <v>44267227</v>
      </c>
      <c r="B1743" s="2" t="s">
        <v>1785</v>
      </c>
      <c r="C1743" s="3"/>
      <c r="D1743" s="3">
        <v>170.0</v>
      </c>
      <c r="E1743" s="2"/>
      <c r="F1743" s="2"/>
      <c r="G1743" s="2"/>
      <c r="H1743" s="2"/>
      <c r="I1743" s="2"/>
      <c r="J1743" s="2"/>
    </row>
    <row r="1744" ht="15.75" customHeight="1">
      <c r="A1744" s="4" t="str">
        <f>HYPERLINK("https://stackoverflow.com/q/48426028", "48426028")</f>
        <v>48426028</v>
      </c>
      <c r="B1744" s="2" t="s">
        <v>1786</v>
      </c>
      <c r="C1744" s="3"/>
      <c r="D1744" s="3">
        <v>170.0</v>
      </c>
      <c r="E1744" s="2"/>
      <c r="F1744" s="2"/>
      <c r="G1744" s="2"/>
      <c r="H1744" s="2"/>
      <c r="I1744" s="2"/>
      <c r="J1744" s="2"/>
    </row>
    <row r="1745" ht="15.75" customHeight="1">
      <c r="A1745" s="4" t="str">
        <f>HYPERLINK("https://stackoverflow.com/q/59326669", "59326669")</f>
        <v>59326669</v>
      </c>
      <c r="B1745" s="2" t="s">
        <v>1787</v>
      </c>
      <c r="C1745" s="3"/>
      <c r="D1745" s="3">
        <v>170.0</v>
      </c>
      <c r="E1745" s="2"/>
      <c r="F1745" s="2"/>
      <c r="G1745" s="2"/>
      <c r="H1745" s="2"/>
      <c r="I1745" s="2"/>
      <c r="J1745" s="2"/>
    </row>
    <row r="1746" ht="15.75" customHeight="1">
      <c r="A1746" s="4" t="str">
        <f>HYPERLINK("https://stackoverflow.com/q/55476156", "55476156")</f>
        <v>55476156</v>
      </c>
      <c r="B1746" s="2" t="s">
        <v>1788</v>
      </c>
      <c r="C1746" s="3">
        <v>1.0</v>
      </c>
      <c r="D1746" s="3">
        <v>169.0</v>
      </c>
      <c r="E1746" s="2" t="s">
        <v>11</v>
      </c>
      <c r="F1746" s="2" t="s">
        <v>67</v>
      </c>
      <c r="G1746" s="2"/>
      <c r="H1746" s="2"/>
      <c r="I1746" s="2"/>
      <c r="J1746" s="2"/>
    </row>
    <row r="1747" ht="15.75" customHeight="1">
      <c r="A1747" s="4" t="str">
        <f>HYPERLINK("https://stackoverflow.com/q/52670156", "52670156")</f>
        <v>52670156</v>
      </c>
      <c r="B1747" s="2" t="s">
        <v>1789</v>
      </c>
      <c r="C1747" s="3"/>
      <c r="D1747" s="3">
        <v>169.0</v>
      </c>
      <c r="E1747" s="2"/>
      <c r="F1747" s="2"/>
      <c r="G1747" s="2"/>
      <c r="H1747" s="2"/>
      <c r="I1747" s="2"/>
      <c r="J1747" s="2"/>
    </row>
    <row r="1748" ht="15.75" customHeight="1">
      <c r="A1748" s="4" t="str">
        <f>HYPERLINK("https://stackoverflow.com/q/56389333", "56389333")</f>
        <v>56389333</v>
      </c>
      <c r="B1748" s="2" t="s">
        <v>1790</v>
      </c>
      <c r="C1748" s="3"/>
      <c r="D1748" s="3">
        <v>169.0</v>
      </c>
      <c r="E1748" s="2"/>
      <c r="F1748" s="2"/>
      <c r="G1748" s="2"/>
      <c r="H1748" s="2"/>
      <c r="I1748" s="2"/>
      <c r="J1748" s="2"/>
    </row>
    <row r="1749" ht="15.75" customHeight="1">
      <c r="A1749" s="4" t="str">
        <f>HYPERLINK("https://stackoverflow.com/q/58184044", "58184044")</f>
        <v>58184044</v>
      </c>
      <c r="B1749" s="2" t="s">
        <v>1791</v>
      </c>
      <c r="C1749" s="3"/>
      <c r="D1749" s="3">
        <v>169.0</v>
      </c>
      <c r="E1749" s="2"/>
      <c r="F1749" s="2"/>
      <c r="G1749" s="2"/>
      <c r="H1749" s="2"/>
      <c r="I1749" s="2"/>
      <c r="J1749" s="2"/>
    </row>
    <row r="1750" ht="15.75" customHeight="1">
      <c r="A1750" s="4" t="str">
        <f>HYPERLINK("https://stackoverflow.com/q/43906526", "43906526")</f>
        <v>43906526</v>
      </c>
      <c r="B1750" s="2" t="s">
        <v>1792</v>
      </c>
      <c r="C1750" s="3">
        <v>0.0</v>
      </c>
      <c r="D1750" s="3">
        <v>168.0</v>
      </c>
      <c r="E1750" s="2" t="s">
        <v>11</v>
      </c>
      <c r="F1750" s="2" t="s">
        <v>263</v>
      </c>
      <c r="G1750" s="2"/>
      <c r="H1750" s="2"/>
      <c r="I1750" s="2"/>
      <c r="J1750" s="2"/>
    </row>
    <row r="1751" ht="15.75" customHeight="1">
      <c r="A1751" s="4" t="str">
        <f>HYPERLINK("https://stackoverflow.com/q/47749485", "47749485")</f>
        <v>47749485</v>
      </c>
      <c r="B1751" s="2" t="s">
        <v>1793</v>
      </c>
      <c r="C1751" s="3"/>
      <c r="D1751" s="3">
        <v>168.0</v>
      </c>
      <c r="E1751" s="2" t="s">
        <v>11</v>
      </c>
      <c r="F1751" s="2" t="s">
        <v>30</v>
      </c>
      <c r="G1751" s="2" t="s">
        <v>34</v>
      </c>
      <c r="H1751" s="2"/>
      <c r="I1751" s="2"/>
      <c r="J1751" s="2"/>
    </row>
    <row r="1752" ht="15.75" customHeight="1">
      <c r="A1752" s="4" t="str">
        <f>HYPERLINK("https://stackoverflow.com/q/48791497", "48791497")</f>
        <v>48791497</v>
      </c>
      <c r="B1752" s="2" t="s">
        <v>1794</v>
      </c>
      <c r="C1752" s="3"/>
      <c r="D1752" s="3">
        <v>168.0</v>
      </c>
      <c r="E1752" s="2"/>
      <c r="F1752" s="2"/>
      <c r="G1752" s="2"/>
      <c r="H1752" s="2"/>
      <c r="I1752" s="2"/>
      <c r="J1752" s="2"/>
    </row>
    <row r="1753" ht="15.75" customHeight="1">
      <c r="A1753" s="4" t="str">
        <f>HYPERLINK("https://stackoverflow.com/q/53449627", "53449627")</f>
        <v>53449627</v>
      </c>
      <c r="B1753" s="2" t="s">
        <v>1795</v>
      </c>
      <c r="C1753" s="3"/>
      <c r="D1753" s="3">
        <v>168.0</v>
      </c>
      <c r="E1753" s="2"/>
      <c r="F1753" s="2"/>
      <c r="G1753" s="2"/>
      <c r="H1753" s="2"/>
      <c r="I1753" s="2"/>
      <c r="J1753" s="2"/>
    </row>
    <row r="1754" ht="15.75" customHeight="1">
      <c r="A1754" s="4" t="str">
        <f>HYPERLINK("https://stackoverflow.com/q/56148445", "56148445")</f>
        <v>56148445</v>
      </c>
      <c r="B1754" s="2" t="s">
        <v>1796</v>
      </c>
      <c r="C1754" s="3"/>
      <c r="D1754" s="3">
        <v>168.0</v>
      </c>
      <c r="E1754" s="2"/>
      <c r="F1754" s="2"/>
      <c r="G1754" s="2"/>
      <c r="H1754" s="2"/>
      <c r="I1754" s="2"/>
      <c r="J1754" s="2"/>
    </row>
    <row r="1755" ht="15.75" customHeight="1">
      <c r="A1755" s="4" t="str">
        <f>HYPERLINK("https://stackoverflow.com/q/56542464", "56542464")</f>
        <v>56542464</v>
      </c>
      <c r="B1755" s="2" t="s">
        <v>1797</v>
      </c>
      <c r="C1755" s="3"/>
      <c r="D1755" s="3">
        <v>168.0</v>
      </c>
      <c r="E1755" s="2"/>
      <c r="F1755" s="2"/>
      <c r="G1755" s="2"/>
      <c r="H1755" s="2"/>
      <c r="I1755" s="2"/>
      <c r="J1755" s="2"/>
    </row>
    <row r="1756" ht="15.75" customHeight="1">
      <c r="A1756" s="4" t="str">
        <f>HYPERLINK("https://stackoverflow.com/q/54760591", "54760591")</f>
        <v>54760591</v>
      </c>
      <c r="B1756" s="2" t="s">
        <v>1798</v>
      </c>
      <c r="C1756" s="3"/>
      <c r="D1756" s="3">
        <v>167.0</v>
      </c>
      <c r="E1756" s="2" t="s">
        <v>11</v>
      </c>
      <c r="F1756" s="2" t="s">
        <v>25</v>
      </c>
      <c r="G1756" s="2"/>
      <c r="H1756" s="2"/>
      <c r="I1756" s="2"/>
      <c r="J1756" s="2"/>
    </row>
    <row r="1757" ht="15.75" customHeight="1">
      <c r="A1757" s="4" t="str">
        <f>HYPERLINK("https://stackoverflow.com/q/21050053", "21050053")</f>
        <v>21050053</v>
      </c>
      <c r="B1757" s="2" t="s">
        <v>1799</v>
      </c>
      <c r="C1757" s="3"/>
      <c r="D1757" s="3">
        <v>167.0</v>
      </c>
      <c r="E1757" s="2"/>
      <c r="F1757" s="2"/>
      <c r="G1757" s="2"/>
      <c r="H1757" s="2"/>
      <c r="I1757" s="2"/>
      <c r="J1757" s="2"/>
    </row>
    <row r="1758" ht="15.75" customHeight="1">
      <c r="A1758" s="4" t="str">
        <f>HYPERLINK("https://stackoverflow.com/q/58712399", "58712399")</f>
        <v>58712399</v>
      </c>
      <c r="B1758" s="2" t="s">
        <v>1800</v>
      </c>
      <c r="C1758" s="3"/>
      <c r="D1758" s="3">
        <v>167.0</v>
      </c>
      <c r="E1758" s="2"/>
      <c r="F1758" s="2"/>
      <c r="G1758" s="2"/>
      <c r="H1758" s="2"/>
      <c r="I1758" s="2"/>
      <c r="J1758" s="2"/>
    </row>
    <row r="1759" ht="15.75" customHeight="1">
      <c r="A1759" s="4" t="str">
        <f>HYPERLINK("https://stackoverflow.com/q/56300912", "56300912")</f>
        <v>56300912</v>
      </c>
      <c r="B1759" s="2" t="s">
        <v>1801</v>
      </c>
      <c r="C1759" s="3">
        <v>1.0</v>
      </c>
      <c r="D1759" s="3">
        <v>166.0</v>
      </c>
      <c r="E1759" s="2"/>
      <c r="F1759" s="2"/>
      <c r="G1759" s="2"/>
      <c r="H1759" s="2"/>
      <c r="I1759" s="2"/>
      <c r="J1759" s="2"/>
    </row>
    <row r="1760" ht="15.75" customHeight="1">
      <c r="A1760" s="4" t="str">
        <f>HYPERLINK("https://stackoverflow.com/q/55212167", "55212167")</f>
        <v>55212167</v>
      </c>
      <c r="B1760" s="2" t="s">
        <v>1802</v>
      </c>
      <c r="C1760" s="3"/>
      <c r="D1760" s="3">
        <v>166.0</v>
      </c>
      <c r="E1760" s="2" t="s">
        <v>11</v>
      </c>
      <c r="F1760" s="2" t="s">
        <v>35</v>
      </c>
      <c r="G1760" s="2"/>
      <c r="H1760" s="2"/>
      <c r="I1760" s="2"/>
      <c r="J1760" s="2"/>
    </row>
    <row r="1761" ht="15.75" customHeight="1">
      <c r="A1761" s="4" t="str">
        <f>HYPERLINK("https://stackoverflow.com/q/45817120", "45817120")</f>
        <v>45817120</v>
      </c>
      <c r="B1761" s="2" t="s">
        <v>1803</v>
      </c>
      <c r="C1761" s="3"/>
      <c r="D1761" s="3">
        <v>166.0</v>
      </c>
      <c r="E1761" s="2"/>
      <c r="F1761" s="2"/>
      <c r="G1761" s="2"/>
      <c r="H1761" s="2"/>
      <c r="I1761" s="2"/>
      <c r="J1761" s="2"/>
    </row>
    <row r="1762" ht="15.75" customHeight="1">
      <c r="A1762" s="4" t="str">
        <f>HYPERLINK("https://stackoverflow.com/q/55491667", "55491667")</f>
        <v>55491667</v>
      </c>
      <c r="B1762" s="2" t="s">
        <v>1804</v>
      </c>
      <c r="C1762" s="3"/>
      <c r="D1762" s="3">
        <v>166.0</v>
      </c>
      <c r="E1762" s="2"/>
      <c r="F1762" s="2"/>
      <c r="G1762" s="2"/>
      <c r="H1762" s="2"/>
      <c r="I1762" s="2"/>
      <c r="J1762" s="2"/>
    </row>
    <row r="1763" ht="15.75" customHeight="1">
      <c r="A1763" s="4" t="str">
        <f>HYPERLINK("https://stackoverflow.com/q/57977027", "57977027")</f>
        <v>57977027</v>
      </c>
      <c r="B1763" s="2" t="s">
        <v>1805</v>
      </c>
      <c r="C1763" s="3"/>
      <c r="D1763" s="3">
        <v>166.0</v>
      </c>
      <c r="E1763" s="2"/>
      <c r="F1763" s="2"/>
      <c r="G1763" s="2"/>
      <c r="H1763" s="2"/>
      <c r="I1763" s="2"/>
      <c r="J1763" s="2"/>
    </row>
    <row r="1764" ht="15.75" customHeight="1">
      <c r="A1764" s="4" t="str">
        <f>HYPERLINK("https://stackoverflow.com/q/59533959", "59533959")</f>
        <v>59533959</v>
      </c>
      <c r="B1764" s="2" t="s">
        <v>1806</v>
      </c>
      <c r="C1764" s="3"/>
      <c r="D1764" s="3">
        <v>166.0</v>
      </c>
      <c r="E1764" s="2"/>
      <c r="F1764" s="2"/>
      <c r="G1764" s="2"/>
      <c r="H1764" s="2"/>
      <c r="I1764" s="2"/>
      <c r="J1764" s="2"/>
    </row>
    <row r="1765" ht="15.75" customHeight="1">
      <c r="A1765" s="4" t="str">
        <f>HYPERLINK("https://stackoverflow.com/q/54554531", "54554531")</f>
        <v>54554531</v>
      </c>
      <c r="B1765" s="2" t="s">
        <v>1807</v>
      </c>
      <c r="C1765" s="3"/>
      <c r="D1765" s="3">
        <v>165.0</v>
      </c>
      <c r="E1765" s="2" t="s">
        <v>59</v>
      </c>
      <c r="F1765" s="2" t="s">
        <v>21</v>
      </c>
      <c r="G1765" s="2"/>
      <c r="H1765" s="2"/>
      <c r="I1765" s="2"/>
      <c r="J1765" s="2"/>
    </row>
    <row r="1766" ht="15.75" customHeight="1">
      <c r="A1766" s="4" t="str">
        <f>HYPERLINK("https://stackoverflow.com/q/46738962", "46738962")</f>
        <v>46738962</v>
      </c>
      <c r="B1766" s="2" t="s">
        <v>1808</v>
      </c>
      <c r="C1766" s="3"/>
      <c r="D1766" s="3">
        <v>165.0</v>
      </c>
      <c r="E1766" s="2" t="s">
        <v>11</v>
      </c>
      <c r="F1766" s="2" t="s">
        <v>12</v>
      </c>
      <c r="G1766" s="2"/>
      <c r="H1766" s="2"/>
      <c r="I1766" s="2"/>
      <c r="J1766" s="2"/>
    </row>
    <row r="1767" ht="15.75" customHeight="1">
      <c r="A1767" s="4" t="str">
        <f>HYPERLINK("https://stackoverflow.com/q/45748997", "45748997")</f>
        <v>45748997</v>
      </c>
      <c r="B1767" s="2" t="s">
        <v>1809</v>
      </c>
      <c r="C1767" s="3"/>
      <c r="D1767" s="3">
        <v>165.0</v>
      </c>
      <c r="E1767" s="2"/>
      <c r="F1767" s="2"/>
      <c r="G1767" s="2"/>
      <c r="H1767" s="2"/>
      <c r="I1767" s="2"/>
      <c r="J1767" s="2"/>
    </row>
    <row r="1768" ht="15.75" customHeight="1">
      <c r="A1768" s="4" t="str">
        <f>HYPERLINK("https://stackoverflow.com/q/51596007", "51596007")</f>
        <v>51596007</v>
      </c>
      <c r="B1768" s="2" t="s">
        <v>1810</v>
      </c>
      <c r="C1768" s="3"/>
      <c r="D1768" s="3">
        <v>165.0</v>
      </c>
      <c r="E1768" s="2"/>
      <c r="F1768" s="2"/>
      <c r="G1768" s="2"/>
      <c r="H1768" s="2"/>
      <c r="I1768" s="2"/>
      <c r="J1768" s="2"/>
    </row>
    <row r="1769" ht="15.75" customHeight="1">
      <c r="A1769" s="4" t="str">
        <f>HYPERLINK("https://stackoverflow.com/q/57146989", "57146989")</f>
        <v>57146989</v>
      </c>
      <c r="B1769" s="2" t="s">
        <v>1811</v>
      </c>
      <c r="C1769" s="3"/>
      <c r="D1769" s="3">
        <v>165.0</v>
      </c>
      <c r="E1769" s="2"/>
      <c r="F1769" s="2"/>
      <c r="G1769" s="2"/>
      <c r="H1769" s="2"/>
      <c r="I1769" s="2"/>
      <c r="J1769" s="2"/>
    </row>
    <row r="1770" ht="15.75" customHeight="1">
      <c r="A1770" s="4" t="str">
        <f>HYPERLINK("https://stackoverflow.com/q/59516378", "59516378")</f>
        <v>59516378</v>
      </c>
      <c r="B1770" s="2" t="s">
        <v>1812</v>
      </c>
      <c r="C1770" s="3"/>
      <c r="D1770" s="3">
        <v>165.0</v>
      </c>
      <c r="E1770" s="2"/>
      <c r="F1770" s="2"/>
      <c r="G1770" s="2"/>
      <c r="H1770" s="2"/>
      <c r="I1770" s="2"/>
      <c r="J1770" s="2"/>
    </row>
    <row r="1771" ht="15.75" customHeight="1">
      <c r="A1771" s="4" t="str">
        <f>HYPERLINK("https://stackoverflow.com/q/57303807", "57303807")</f>
        <v>57303807</v>
      </c>
      <c r="B1771" s="2" t="s">
        <v>1813</v>
      </c>
      <c r="C1771" s="3">
        <v>1.0</v>
      </c>
      <c r="D1771" s="3">
        <v>164.0</v>
      </c>
      <c r="E1771" s="2"/>
      <c r="F1771" s="2"/>
      <c r="G1771" s="2"/>
      <c r="H1771" s="2"/>
      <c r="I1771" s="2"/>
      <c r="J1771" s="2"/>
    </row>
    <row r="1772" ht="15.75" customHeight="1">
      <c r="A1772" s="4" t="str">
        <f>HYPERLINK("https://stackoverflow.com/q/46894604", "46894604")</f>
        <v>46894604</v>
      </c>
      <c r="B1772" s="2" t="s">
        <v>1814</v>
      </c>
      <c r="C1772" s="3"/>
      <c r="D1772" s="3">
        <v>164.0</v>
      </c>
      <c r="E1772" s="2" t="s">
        <v>11</v>
      </c>
      <c r="F1772" s="2" t="s">
        <v>25</v>
      </c>
      <c r="G1772" s="2"/>
      <c r="H1772" s="2"/>
      <c r="I1772" s="2"/>
      <c r="J1772" s="2"/>
    </row>
    <row r="1773" ht="15.75" customHeight="1">
      <c r="A1773" s="4" t="str">
        <f>HYPERLINK("https://stackoverflow.com/q/54192453", "54192453")</f>
        <v>54192453</v>
      </c>
      <c r="B1773" s="2" t="s">
        <v>1815</v>
      </c>
      <c r="C1773" s="3"/>
      <c r="D1773" s="3">
        <v>164.0</v>
      </c>
      <c r="E1773" s="2" t="s">
        <v>11</v>
      </c>
      <c r="F1773" s="2" t="s">
        <v>30</v>
      </c>
      <c r="G1773" s="2"/>
      <c r="H1773" s="2"/>
      <c r="I1773" s="2"/>
      <c r="J1773" s="2"/>
    </row>
    <row r="1774" ht="15.75" customHeight="1">
      <c r="A1774" s="4" t="str">
        <f>HYPERLINK("https://stackoverflow.com/q/54475094", "54475094")</f>
        <v>54475094</v>
      </c>
      <c r="B1774" s="2" t="s">
        <v>1816</v>
      </c>
      <c r="C1774" s="3"/>
      <c r="D1774" s="3">
        <v>164.0</v>
      </c>
      <c r="E1774" s="2" t="s">
        <v>11</v>
      </c>
      <c r="F1774" s="2" t="s">
        <v>34</v>
      </c>
      <c r="G1774" s="2"/>
      <c r="H1774" s="2"/>
      <c r="I1774" s="2"/>
      <c r="J1774" s="2"/>
    </row>
    <row r="1775" ht="15.75" customHeight="1">
      <c r="A1775" s="4" t="str">
        <f>HYPERLINK("https://stackoverflow.com/q/54548490", "54548490")</f>
        <v>54548490</v>
      </c>
      <c r="B1775" s="2" t="s">
        <v>1817</v>
      </c>
      <c r="C1775" s="3"/>
      <c r="D1775" s="3">
        <v>164.0</v>
      </c>
      <c r="E1775" s="2" t="s">
        <v>11</v>
      </c>
      <c r="F1775" s="2" t="s">
        <v>25</v>
      </c>
      <c r="G1775" s="2"/>
      <c r="H1775" s="2"/>
      <c r="I1775" s="2"/>
      <c r="J1775" s="2"/>
    </row>
    <row r="1776" ht="15.75" customHeight="1">
      <c r="A1776" s="4" t="str">
        <f>HYPERLINK("https://stackoverflow.com/q/55574590", "55574590")</f>
        <v>55574590</v>
      </c>
      <c r="B1776" s="2" t="s">
        <v>1818</v>
      </c>
      <c r="C1776" s="3"/>
      <c r="D1776" s="3">
        <v>164.0</v>
      </c>
      <c r="E1776" s="2" t="s">
        <v>11</v>
      </c>
      <c r="F1776" s="2" t="s">
        <v>12</v>
      </c>
      <c r="G1776" s="2"/>
      <c r="H1776" s="2"/>
      <c r="I1776" s="2"/>
      <c r="J1776" s="2"/>
    </row>
    <row r="1777" ht="15.75" customHeight="1">
      <c r="A1777" s="4" t="str">
        <f>HYPERLINK("https://stackoverflow.com/q/45174597", "45174597")</f>
        <v>45174597</v>
      </c>
      <c r="B1777" s="2" t="s">
        <v>1819</v>
      </c>
      <c r="C1777" s="3"/>
      <c r="D1777" s="3">
        <v>164.0</v>
      </c>
      <c r="E1777" s="2"/>
      <c r="F1777" s="2"/>
      <c r="G1777" s="2"/>
      <c r="H1777" s="2"/>
      <c r="I1777" s="2"/>
      <c r="J1777" s="2"/>
    </row>
    <row r="1778" ht="15.75" customHeight="1">
      <c r="A1778" s="4" t="str">
        <f>HYPERLINK("https://stackoverflow.com/q/50223180", "50223180")</f>
        <v>50223180</v>
      </c>
      <c r="B1778" s="2" t="s">
        <v>1820</v>
      </c>
      <c r="C1778" s="3"/>
      <c r="D1778" s="3">
        <v>164.0</v>
      </c>
      <c r="E1778" s="2"/>
      <c r="F1778" s="2"/>
      <c r="G1778" s="2"/>
      <c r="H1778" s="2"/>
      <c r="I1778" s="2"/>
      <c r="J1778" s="2"/>
    </row>
    <row r="1779" ht="15.75" customHeight="1">
      <c r="A1779" s="4" t="str">
        <f>HYPERLINK("https://stackoverflow.com/q/55803032", "55803032")</f>
        <v>55803032</v>
      </c>
      <c r="B1779" s="2" t="s">
        <v>1821</v>
      </c>
      <c r="C1779" s="3"/>
      <c r="D1779" s="3">
        <v>164.0</v>
      </c>
      <c r="E1779" s="2"/>
      <c r="F1779" s="2"/>
      <c r="G1779" s="2"/>
      <c r="H1779" s="2"/>
      <c r="I1779" s="2"/>
      <c r="J1779" s="2"/>
    </row>
    <row r="1780" ht="15.75" customHeight="1">
      <c r="A1780" s="4" t="str">
        <f>HYPERLINK("https://stackoverflow.com/q/58345697", "58345697")</f>
        <v>58345697</v>
      </c>
      <c r="B1780" s="2" t="s">
        <v>1822</v>
      </c>
      <c r="C1780" s="3"/>
      <c r="D1780" s="3">
        <v>164.0</v>
      </c>
      <c r="E1780" s="2"/>
      <c r="F1780" s="2"/>
      <c r="G1780" s="2"/>
      <c r="H1780" s="2"/>
      <c r="I1780" s="2"/>
      <c r="J1780" s="2"/>
    </row>
    <row r="1781" ht="15.75" customHeight="1">
      <c r="A1781" s="4" t="str">
        <f>HYPERLINK("https://stackoverflow.com/q/59538599", "59538599")</f>
        <v>59538599</v>
      </c>
      <c r="B1781" s="2" t="s">
        <v>1823</v>
      </c>
      <c r="C1781" s="3"/>
      <c r="D1781" s="3">
        <v>164.0</v>
      </c>
      <c r="E1781" s="2"/>
      <c r="F1781" s="2"/>
      <c r="G1781" s="2"/>
      <c r="H1781" s="2"/>
      <c r="I1781" s="2"/>
      <c r="J1781" s="2"/>
    </row>
    <row r="1782" ht="15.75" customHeight="1">
      <c r="A1782" s="4" t="str">
        <f>HYPERLINK("https://stackoverflow.com/q/55419294", "55419294")</f>
        <v>55419294</v>
      </c>
      <c r="B1782" s="2" t="s">
        <v>1824</v>
      </c>
      <c r="C1782" s="3">
        <v>1.0</v>
      </c>
      <c r="D1782" s="3">
        <v>163.0</v>
      </c>
      <c r="E1782" s="2" t="s">
        <v>11</v>
      </c>
      <c r="F1782" s="2" t="s">
        <v>28</v>
      </c>
      <c r="G1782" s="2" t="s">
        <v>21</v>
      </c>
      <c r="H1782" s="2"/>
      <c r="I1782" s="2"/>
      <c r="J1782" s="2"/>
    </row>
    <row r="1783" ht="15.75" customHeight="1">
      <c r="A1783" s="4" t="str">
        <f>HYPERLINK("https://stackoverflow.com/q/45334821", "45334821")</f>
        <v>45334821</v>
      </c>
      <c r="B1783" s="2" t="s">
        <v>1825</v>
      </c>
      <c r="C1783" s="3"/>
      <c r="D1783" s="3">
        <v>163.0</v>
      </c>
      <c r="E1783" s="2"/>
      <c r="F1783" s="2"/>
      <c r="G1783" s="2"/>
      <c r="H1783" s="2"/>
      <c r="I1783" s="2"/>
      <c r="J1783" s="2"/>
    </row>
    <row r="1784" ht="15.75" customHeight="1">
      <c r="A1784" s="4" t="str">
        <f>HYPERLINK("https://stackoverflow.com/q/56570383", "56570383")</f>
        <v>56570383</v>
      </c>
      <c r="B1784" s="2" t="s">
        <v>1826</v>
      </c>
      <c r="C1784" s="3"/>
      <c r="D1784" s="3">
        <v>163.0</v>
      </c>
      <c r="E1784" s="2"/>
      <c r="F1784" s="2"/>
      <c r="G1784" s="2"/>
      <c r="H1784" s="2"/>
      <c r="I1784" s="2"/>
      <c r="J1784" s="2"/>
    </row>
    <row r="1785" ht="15.75" customHeight="1">
      <c r="A1785" s="4" t="str">
        <f>HYPERLINK("https://stackoverflow.com/q/59985750", "59985750")</f>
        <v>59985750</v>
      </c>
      <c r="B1785" s="2" t="s">
        <v>1827</v>
      </c>
      <c r="C1785" s="3">
        <v>1.0</v>
      </c>
      <c r="D1785" s="3">
        <v>162.0</v>
      </c>
      <c r="E1785" s="2"/>
      <c r="F1785" s="2"/>
      <c r="G1785" s="2"/>
      <c r="H1785" s="2"/>
      <c r="I1785" s="2"/>
      <c r="J1785" s="2"/>
    </row>
    <row r="1786" ht="15.75" customHeight="1">
      <c r="A1786" s="4" t="str">
        <f>HYPERLINK("https://stackoverflow.com/q/46236405", "46236405")</f>
        <v>46236405</v>
      </c>
      <c r="B1786" s="2" t="s">
        <v>1828</v>
      </c>
      <c r="C1786" s="3"/>
      <c r="D1786" s="3">
        <v>162.0</v>
      </c>
      <c r="E1786" s="2" t="s">
        <v>11</v>
      </c>
      <c r="F1786" s="2" t="s">
        <v>12</v>
      </c>
      <c r="G1786" s="2"/>
      <c r="H1786" s="2"/>
      <c r="I1786" s="2"/>
      <c r="J1786" s="2"/>
    </row>
    <row r="1787" ht="15.75" customHeight="1">
      <c r="A1787" s="4" t="str">
        <f>HYPERLINK("https://stackoverflow.com/q/51352700", "51352700")</f>
        <v>51352700</v>
      </c>
      <c r="B1787" s="2" t="s">
        <v>1829</v>
      </c>
      <c r="C1787" s="3"/>
      <c r="D1787" s="3">
        <v>162.0</v>
      </c>
      <c r="E1787" s="2" t="s">
        <v>11</v>
      </c>
      <c r="F1787" s="2" t="s">
        <v>12</v>
      </c>
      <c r="G1787" s="2"/>
      <c r="H1787" s="2"/>
      <c r="I1787" s="2"/>
      <c r="J1787" s="2"/>
    </row>
    <row r="1788" ht="15.75" customHeight="1">
      <c r="A1788" s="4" t="str">
        <f>HYPERLINK("https://stackoverflow.com/q/49717039", "49717039")</f>
        <v>49717039</v>
      </c>
      <c r="B1788" s="2" t="s">
        <v>1830</v>
      </c>
      <c r="C1788" s="3"/>
      <c r="D1788" s="3">
        <v>162.0</v>
      </c>
      <c r="E1788" s="2"/>
      <c r="F1788" s="2"/>
      <c r="G1788" s="2"/>
      <c r="H1788" s="2"/>
      <c r="I1788" s="2"/>
      <c r="J1788" s="2"/>
    </row>
    <row r="1789" ht="15.75" customHeight="1">
      <c r="A1789" s="4" t="str">
        <f>HYPERLINK("https://stackoverflow.com/q/50115856", "50115856")</f>
        <v>50115856</v>
      </c>
      <c r="B1789" s="2" t="s">
        <v>1831</v>
      </c>
      <c r="C1789" s="3"/>
      <c r="D1789" s="3">
        <v>162.0</v>
      </c>
      <c r="E1789" s="2"/>
      <c r="F1789" s="2"/>
      <c r="G1789" s="2"/>
      <c r="H1789" s="2"/>
      <c r="I1789" s="2"/>
      <c r="J1789" s="2"/>
    </row>
    <row r="1790" ht="15.75" customHeight="1">
      <c r="A1790" s="4" t="str">
        <f>HYPERLINK("https://stackoverflow.com/q/57164103", "57164103")</f>
        <v>57164103</v>
      </c>
      <c r="B1790" s="2" t="s">
        <v>1832</v>
      </c>
      <c r="C1790" s="3"/>
      <c r="D1790" s="3">
        <v>162.0</v>
      </c>
      <c r="E1790" s="2"/>
      <c r="F1790" s="2"/>
      <c r="G1790" s="2"/>
      <c r="H1790" s="2"/>
      <c r="I1790" s="2"/>
      <c r="J1790" s="2"/>
    </row>
    <row r="1791" ht="15.75" customHeight="1">
      <c r="A1791" s="4" t="str">
        <f>HYPERLINK("https://stackoverflow.com/q/31980317", "31980317")</f>
        <v>31980317</v>
      </c>
      <c r="B1791" s="2" t="s">
        <v>1833</v>
      </c>
      <c r="C1791" s="3">
        <v>1.0</v>
      </c>
      <c r="D1791" s="3">
        <v>161.0</v>
      </c>
      <c r="E1791" s="2"/>
      <c r="F1791" s="2"/>
      <c r="G1791" s="2"/>
      <c r="H1791" s="2"/>
      <c r="I1791" s="2"/>
      <c r="J1791" s="2"/>
    </row>
    <row r="1792" ht="15.75" customHeight="1">
      <c r="A1792" s="4" t="str">
        <f>HYPERLINK("https://stackoverflow.com/q/50299058", "50299058")</f>
        <v>50299058</v>
      </c>
      <c r="B1792" s="2" t="s">
        <v>1834</v>
      </c>
      <c r="C1792" s="3"/>
      <c r="D1792" s="3">
        <v>161.0</v>
      </c>
      <c r="E1792" s="2"/>
      <c r="F1792" s="2"/>
      <c r="G1792" s="2"/>
      <c r="H1792" s="2"/>
      <c r="I1792" s="2"/>
      <c r="J1792" s="2"/>
    </row>
    <row r="1793" ht="15.75" customHeight="1">
      <c r="A1793" s="4" t="str">
        <f>HYPERLINK("https://stackoverflow.com/q/46837399", "46837399")</f>
        <v>46837399</v>
      </c>
      <c r="B1793" s="2" t="s">
        <v>1835</v>
      </c>
      <c r="C1793" s="3"/>
      <c r="D1793" s="3">
        <v>160.0</v>
      </c>
      <c r="E1793" s="2" t="s">
        <v>11</v>
      </c>
      <c r="F1793" s="2" t="s">
        <v>30</v>
      </c>
      <c r="G1793" s="2"/>
      <c r="H1793" s="2"/>
      <c r="I1793" s="2"/>
      <c r="J1793" s="2"/>
    </row>
    <row r="1794" ht="15.75" customHeight="1">
      <c r="A1794" s="4" t="str">
        <f>HYPERLINK("https://stackoverflow.com/q/55048122", "55048122")</f>
        <v>55048122</v>
      </c>
      <c r="B1794" s="2" t="s">
        <v>1836</v>
      </c>
      <c r="C1794" s="3"/>
      <c r="D1794" s="3">
        <v>160.0</v>
      </c>
      <c r="E1794" s="2" t="s">
        <v>11</v>
      </c>
      <c r="F1794" s="2" t="s">
        <v>25</v>
      </c>
      <c r="G1794" s="2"/>
      <c r="H1794" s="2"/>
      <c r="I1794" s="2"/>
      <c r="J1794" s="2"/>
    </row>
    <row r="1795" ht="15.75" customHeight="1">
      <c r="A1795" s="4" t="str">
        <f>HYPERLINK("https://stackoverflow.com/q/39149917", "39149917")</f>
        <v>39149917</v>
      </c>
      <c r="B1795" s="2" t="s">
        <v>1837</v>
      </c>
      <c r="C1795" s="3"/>
      <c r="D1795" s="3">
        <v>160.0</v>
      </c>
      <c r="E1795" s="2"/>
      <c r="F1795" s="2"/>
      <c r="G1795" s="2"/>
      <c r="H1795" s="2"/>
      <c r="I1795" s="2"/>
      <c r="J1795" s="2"/>
    </row>
    <row r="1796" ht="15.75" customHeight="1">
      <c r="A1796" s="4" t="str">
        <f>HYPERLINK("https://stackoverflow.com/q/49891856", "49891856")</f>
        <v>49891856</v>
      </c>
      <c r="B1796" s="2" t="s">
        <v>1838</v>
      </c>
      <c r="C1796" s="3"/>
      <c r="D1796" s="3">
        <v>160.0</v>
      </c>
      <c r="E1796" s="2"/>
      <c r="F1796" s="2"/>
      <c r="G1796" s="2"/>
      <c r="H1796" s="2"/>
      <c r="I1796" s="2"/>
      <c r="J1796" s="2"/>
    </row>
    <row r="1797" ht="15.75" customHeight="1">
      <c r="A1797" s="4" t="str">
        <f>HYPERLINK("https://stackoverflow.com/q/51927332", "51927332")</f>
        <v>51927332</v>
      </c>
      <c r="B1797" s="2" t="s">
        <v>1839</v>
      </c>
      <c r="C1797" s="3"/>
      <c r="D1797" s="3">
        <v>160.0</v>
      </c>
      <c r="E1797" s="2"/>
      <c r="F1797" s="2"/>
      <c r="G1797" s="2"/>
      <c r="H1797" s="2"/>
      <c r="I1797" s="2"/>
      <c r="J1797" s="2"/>
    </row>
    <row r="1798" ht="15.75" customHeight="1">
      <c r="A1798" s="4" t="str">
        <f>HYPERLINK("https://stackoverflow.com/q/58510336", "58510336")</f>
        <v>58510336</v>
      </c>
      <c r="B1798" s="2" t="s">
        <v>1840</v>
      </c>
      <c r="C1798" s="3"/>
      <c r="D1798" s="3">
        <v>160.0</v>
      </c>
      <c r="E1798" s="2"/>
      <c r="F1798" s="2"/>
      <c r="G1798" s="2"/>
      <c r="H1798" s="2"/>
      <c r="I1798" s="2"/>
      <c r="J1798" s="2"/>
    </row>
    <row r="1799" ht="15.75" customHeight="1">
      <c r="A1799" s="4" t="str">
        <f>HYPERLINK("https://stackoverflow.com/q/46041253", "46041253")</f>
        <v>46041253</v>
      </c>
      <c r="B1799" s="2" t="s">
        <v>1841</v>
      </c>
      <c r="C1799" s="3"/>
      <c r="D1799" s="3">
        <v>159.0</v>
      </c>
      <c r="E1799" s="2"/>
      <c r="F1799" s="2"/>
      <c r="G1799" s="2"/>
      <c r="H1799" s="2"/>
      <c r="I1799" s="2"/>
      <c r="J1799" s="2"/>
    </row>
    <row r="1800" ht="15.75" customHeight="1">
      <c r="A1800" s="4" t="str">
        <f>HYPERLINK("https://stackoverflow.com/q/51086790", "51086790")</f>
        <v>51086790</v>
      </c>
      <c r="B1800" s="2" t="s">
        <v>1842</v>
      </c>
      <c r="C1800" s="3"/>
      <c r="D1800" s="3">
        <v>159.0</v>
      </c>
      <c r="E1800" s="2"/>
      <c r="F1800" s="2"/>
      <c r="G1800" s="2"/>
      <c r="H1800" s="2"/>
      <c r="I1800" s="2"/>
      <c r="J1800" s="2"/>
    </row>
    <row r="1801" ht="15.75" customHeight="1">
      <c r="A1801" s="4" t="str">
        <f>HYPERLINK("https://stackoverflow.com/q/56903025", "56903025")</f>
        <v>56903025</v>
      </c>
      <c r="B1801" s="2" t="s">
        <v>1843</v>
      </c>
      <c r="C1801" s="3"/>
      <c r="D1801" s="3">
        <v>159.0</v>
      </c>
      <c r="E1801" s="2"/>
      <c r="F1801" s="2"/>
      <c r="G1801" s="2"/>
      <c r="H1801" s="2"/>
      <c r="I1801" s="2"/>
      <c r="J1801" s="2"/>
    </row>
    <row r="1802" ht="15.75" customHeight="1">
      <c r="A1802" s="4" t="str">
        <f>HYPERLINK("https://stackoverflow.com/q/59658068", "59658068")</f>
        <v>59658068</v>
      </c>
      <c r="B1802" s="2" t="s">
        <v>1844</v>
      </c>
      <c r="C1802" s="3"/>
      <c r="D1802" s="3">
        <v>159.0</v>
      </c>
      <c r="E1802" s="2"/>
      <c r="F1802" s="2"/>
      <c r="G1802" s="2"/>
      <c r="H1802" s="2"/>
      <c r="I1802" s="2"/>
      <c r="J1802" s="2"/>
    </row>
    <row r="1803" ht="15.75" customHeight="1">
      <c r="A1803" s="4" t="str">
        <f>HYPERLINK("https://stackoverflow.com/q/43947704", "43947704")</f>
        <v>43947704</v>
      </c>
      <c r="B1803" s="2" t="s">
        <v>1845</v>
      </c>
      <c r="C1803" s="3"/>
      <c r="D1803" s="3">
        <v>158.0</v>
      </c>
      <c r="E1803" s="2" t="s">
        <v>11</v>
      </c>
      <c r="F1803" s="2" t="s">
        <v>30</v>
      </c>
      <c r="G1803" s="2"/>
      <c r="H1803" s="2"/>
      <c r="I1803" s="2"/>
      <c r="J1803" s="2"/>
    </row>
    <row r="1804" ht="15.75" customHeight="1">
      <c r="A1804" s="4" t="str">
        <f>HYPERLINK("https://stackoverflow.com/q/41360274", "41360274")</f>
        <v>41360274</v>
      </c>
      <c r="B1804" s="2" t="s">
        <v>1846</v>
      </c>
      <c r="C1804" s="3"/>
      <c r="D1804" s="3">
        <v>158.0</v>
      </c>
      <c r="E1804" s="2"/>
      <c r="F1804" s="2"/>
      <c r="G1804" s="2"/>
      <c r="H1804" s="2"/>
      <c r="I1804" s="2"/>
      <c r="J1804" s="2"/>
    </row>
    <row r="1805" ht="15.75" customHeight="1">
      <c r="A1805" s="4" t="str">
        <f>HYPERLINK("https://stackoverflow.com/q/49409218", "49409218")</f>
        <v>49409218</v>
      </c>
      <c r="B1805" s="2" t="s">
        <v>1847</v>
      </c>
      <c r="C1805" s="3"/>
      <c r="D1805" s="3">
        <v>158.0</v>
      </c>
      <c r="E1805" s="2"/>
      <c r="F1805" s="2"/>
      <c r="G1805" s="2"/>
      <c r="H1805" s="2"/>
      <c r="I1805" s="2"/>
      <c r="J1805" s="2"/>
    </row>
    <row r="1806" ht="15.75" customHeight="1">
      <c r="A1806" s="4" t="str">
        <f>HYPERLINK("https://stackoverflow.com/q/56394710", "56394710")</f>
        <v>56394710</v>
      </c>
      <c r="B1806" s="2" t="s">
        <v>1848</v>
      </c>
      <c r="C1806" s="3"/>
      <c r="D1806" s="3">
        <v>158.0</v>
      </c>
      <c r="E1806" s="2"/>
      <c r="F1806" s="2"/>
      <c r="G1806" s="2"/>
      <c r="H1806" s="2"/>
      <c r="I1806" s="2"/>
      <c r="J1806" s="2"/>
    </row>
    <row r="1807" ht="15.75" customHeight="1">
      <c r="A1807" s="4" t="str">
        <f>HYPERLINK("https://stackoverflow.com/q/58163017", "58163017")</f>
        <v>58163017</v>
      </c>
      <c r="B1807" s="2" t="s">
        <v>1849</v>
      </c>
      <c r="C1807" s="3"/>
      <c r="D1807" s="3">
        <v>158.0</v>
      </c>
      <c r="E1807" s="2"/>
      <c r="F1807" s="2"/>
      <c r="G1807" s="2"/>
      <c r="H1807" s="2"/>
      <c r="I1807" s="2"/>
      <c r="J1807" s="2"/>
    </row>
    <row r="1808" ht="15.75" customHeight="1">
      <c r="A1808" s="4" t="str">
        <f>HYPERLINK("https://stackoverflow.com/q/58572685", "58572685")</f>
        <v>58572685</v>
      </c>
      <c r="B1808" s="2" t="s">
        <v>1850</v>
      </c>
      <c r="C1808" s="3"/>
      <c r="D1808" s="3">
        <v>158.0</v>
      </c>
      <c r="E1808" s="2"/>
      <c r="F1808" s="2"/>
      <c r="G1808" s="2"/>
      <c r="H1808" s="2"/>
      <c r="I1808" s="2"/>
      <c r="J1808" s="2"/>
    </row>
    <row r="1809" ht="15.75" customHeight="1">
      <c r="A1809" s="4" t="str">
        <f>HYPERLINK("https://stackoverflow.com/q/47688993", "47688993")</f>
        <v>47688993</v>
      </c>
      <c r="B1809" s="2" t="s">
        <v>1851</v>
      </c>
      <c r="C1809" s="3"/>
      <c r="D1809" s="3">
        <v>157.0</v>
      </c>
      <c r="E1809" s="2" t="s">
        <v>11</v>
      </c>
      <c r="F1809" s="2" t="s">
        <v>35</v>
      </c>
      <c r="G1809" s="2"/>
      <c r="H1809" s="2"/>
      <c r="I1809" s="2"/>
      <c r="J1809" s="2"/>
    </row>
    <row r="1810" ht="15.75" customHeight="1">
      <c r="A1810" s="4" t="str">
        <f>HYPERLINK("https://stackoverflow.com/q/51352351", "51352351")</f>
        <v>51352351</v>
      </c>
      <c r="B1810" s="2" t="s">
        <v>1852</v>
      </c>
      <c r="C1810" s="3"/>
      <c r="D1810" s="3">
        <v>157.0</v>
      </c>
      <c r="E1810" s="2" t="s">
        <v>11</v>
      </c>
      <c r="F1810" s="2" t="s">
        <v>25</v>
      </c>
      <c r="G1810" s="2"/>
      <c r="H1810" s="2"/>
      <c r="I1810" s="2"/>
      <c r="J1810" s="2"/>
    </row>
    <row r="1811" ht="15.75" customHeight="1">
      <c r="A1811" s="4" t="str">
        <f>HYPERLINK("https://stackoverflow.com/q/50027522", "50027522")</f>
        <v>50027522</v>
      </c>
      <c r="B1811" s="2" t="s">
        <v>1853</v>
      </c>
      <c r="C1811" s="3"/>
      <c r="D1811" s="3">
        <v>157.0</v>
      </c>
      <c r="E1811" s="2"/>
      <c r="F1811" s="2"/>
      <c r="G1811" s="2"/>
      <c r="H1811" s="2"/>
      <c r="I1811" s="2"/>
      <c r="J1811" s="2"/>
    </row>
    <row r="1812" ht="15.75" customHeight="1">
      <c r="A1812" s="4" t="str">
        <f>HYPERLINK("https://stackoverflow.com/q/52143938", "52143938")</f>
        <v>52143938</v>
      </c>
      <c r="B1812" s="2" t="s">
        <v>1854</v>
      </c>
      <c r="C1812" s="3"/>
      <c r="D1812" s="3">
        <v>157.0</v>
      </c>
      <c r="E1812" s="2"/>
      <c r="F1812" s="2"/>
      <c r="G1812" s="2"/>
      <c r="H1812" s="2"/>
      <c r="I1812" s="2"/>
      <c r="J1812" s="2"/>
    </row>
    <row r="1813" ht="15.75" customHeight="1">
      <c r="A1813" s="4" t="str">
        <f>HYPERLINK("https://stackoverflow.com/q/52406753", "52406753")</f>
        <v>52406753</v>
      </c>
      <c r="B1813" s="2" t="s">
        <v>1855</v>
      </c>
      <c r="C1813" s="3"/>
      <c r="D1813" s="3">
        <v>157.0</v>
      </c>
      <c r="E1813" s="2"/>
      <c r="F1813" s="2"/>
      <c r="G1813" s="2"/>
      <c r="H1813" s="2"/>
      <c r="I1813" s="2"/>
      <c r="J1813" s="2"/>
    </row>
    <row r="1814" ht="15.75" customHeight="1">
      <c r="A1814" s="4" t="str">
        <f>HYPERLINK("https://stackoverflow.com/q/50128461", "50128461")</f>
        <v>50128461</v>
      </c>
      <c r="B1814" s="2" t="s">
        <v>1856</v>
      </c>
      <c r="C1814" s="3">
        <v>0.0</v>
      </c>
      <c r="D1814" s="3">
        <v>156.0</v>
      </c>
      <c r="E1814" s="2"/>
      <c r="F1814" s="2"/>
      <c r="G1814" s="2"/>
      <c r="H1814" s="2"/>
      <c r="I1814" s="2"/>
      <c r="J1814" s="2"/>
    </row>
    <row r="1815" ht="15.75" customHeight="1">
      <c r="A1815" s="4" t="str">
        <f>HYPERLINK("https://stackoverflow.com/q/50168257", "50168257")</f>
        <v>50168257</v>
      </c>
      <c r="B1815" s="2" t="s">
        <v>1857</v>
      </c>
      <c r="C1815" s="3"/>
      <c r="D1815" s="3">
        <v>156.0</v>
      </c>
      <c r="E1815" s="2"/>
      <c r="F1815" s="2"/>
      <c r="G1815" s="2"/>
      <c r="H1815" s="2"/>
      <c r="I1815" s="2"/>
      <c r="J1815" s="2"/>
    </row>
    <row r="1816" ht="15.75" customHeight="1">
      <c r="A1816" s="4" t="str">
        <f>HYPERLINK("https://stackoverflow.com/q/51656823", "51656823")</f>
        <v>51656823</v>
      </c>
      <c r="B1816" s="2" t="s">
        <v>1858</v>
      </c>
      <c r="C1816" s="3"/>
      <c r="D1816" s="3">
        <v>156.0</v>
      </c>
      <c r="E1816" s="2"/>
      <c r="F1816" s="2"/>
      <c r="G1816" s="2"/>
      <c r="H1816" s="2"/>
      <c r="I1816" s="2"/>
      <c r="J1816" s="2"/>
    </row>
    <row r="1817" ht="15.75" customHeight="1">
      <c r="A1817" s="4" t="str">
        <f>HYPERLINK("https://stackoverflow.com/q/56757229", "56757229")</f>
        <v>56757229</v>
      </c>
      <c r="B1817" s="2" t="s">
        <v>1859</v>
      </c>
      <c r="C1817" s="3"/>
      <c r="D1817" s="3">
        <v>156.0</v>
      </c>
      <c r="E1817" s="2"/>
      <c r="F1817" s="2"/>
      <c r="G1817" s="2"/>
      <c r="H1817" s="2"/>
      <c r="I1817" s="2"/>
      <c r="J1817" s="2"/>
    </row>
    <row r="1818" ht="15.75" customHeight="1">
      <c r="A1818" s="4" t="str">
        <f>HYPERLINK("https://stackoverflow.com/q/53944354", "53944354")</f>
        <v>53944354</v>
      </c>
      <c r="B1818" s="2" t="s">
        <v>1860</v>
      </c>
      <c r="C1818" s="3">
        <v>1.0</v>
      </c>
      <c r="D1818" s="3">
        <v>155.0</v>
      </c>
      <c r="E1818" s="2" t="s">
        <v>11</v>
      </c>
      <c r="F1818" s="2" t="s">
        <v>73</v>
      </c>
      <c r="G1818" s="2"/>
      <c r="H1818" s="2"/>
      <c r="I1818" s="2"/>
      <c r="J1818" s="2"/>
    </row>
    <row r="1819" ht="15.75" customHeight="1">
      <c r="A1819" s="4" t="str">
        <f>HYPERLINK("https://stackoverflow.com/q/61422412", "61422412")</f>
        <v>61422412</v>
      </c>
      <c r="B1819" s="2" t="s">
        <v>1861</v>
      </c>
      <c r="C1819" s="3"/>
      <c r="D1819" s="3">
        <v>155.0</v>
      </c>
      <c r="E1819" s="9" t="s">
        <v>11</v>
      </c>
      <c r="F1819" s="2" t="s">
        <v>18</v>
      </c>
      <c r="G1819" s="2"/>
      <c r="H1819" s="2"/>
      <c r="I1819" s="2"/>
      <c r="J1819" s="2"/>
    </row>
    <row r="1820" ht="15.75" customHeight="1">
      <c r="A1820" s="4" t="str">
        <f>HYPERLINK("https://stackoverflow.com/q/18580277", "18580277")</f>
        <v>18580277</v>
      </c>
      <c r="B1820" s="2" t="s">
        <v>1862</v>
      </c>
      <c r="C1820" s="3"/>
      <c r="D1820" s="3">
        <v>155.0</v>
      </c>
      <c r="E1820" s="2"/>
      <c r="F1820" s="2"/>
      <c r="G1820" s="2"/>
      <c r="H1820" s="2"/>
      <c r="I1820" s="2"/>
      <c r="J1820" s="2"/>
    </row>
    <row r="1821" ht="15.75" customHeight="1">
      <c r="A1821" s="4" t="str">
        <f>HYPERLINK("https://stackoverflow.com/q/52296498", "52296498")</f>
        <v>52296498</v>
      </c>
      <c r="B1821" s="2" t="s">
        <v>1863</v>
      </c>
      <c r="C1821" s="3"/>
      <c r="D1821" s="3">
        <v>155.0</v>
      </c>
      <c r="E1821" s="2"/>
      <c r="F1821" s="2"/>
      <c r="G1821" s="2"/>
      <c r="H1821" s="2"/>
      <c r="I1821" s="2"/>
      <c r="J1821" s="2"/>
    </row>
    <row r="1822" ht="15.75" customHeight="1">
      <c r="A1822" s="4" t="str">
        <f>HYPERLINK("https://stackoverflow.com/q/55999786", "55999786")</f>
        <v>55999786</v>
      </c>
      <c r="B1822" s="2" t="s">
        <v>1864</v>
      </c>
      <c r="C1822" s="3"/>
      <c r="D1822" s="3">
        <v>155.0</v>
      </c>
      <c r="E1822" s="2"/>
      <c r="F1822" s="2"/>
      <c r="G1822" s="2"/>
      <c r="H1822" s="2"/>
      <c r="I1822" s="2"/>
      <c r="J1822" s="2"/>
    </row>
    <row r="1823" ht="15.75" customHeight="1">
      <c r="A1823" s="4" t="str">
        <f>HYPERLINK("https://stackoverflow.com/q/58020564", "58020564")</f>
        <v>58020564</v>
      </c>
      <c r="B1823" s="2" t="s">
        <v>1865</v>
      </c>
      <c r="C1823" s="3"/>
      <c r="D1823" s="3">
        <v>155.0</v>
      </c>
      <c r="E1823" s="2"/>
      <c r="F1823" s="2"/>
      <c r="G1823" s="2"/>
      <c r="H1823" s="2"/>
      <c r="I1823" s="2"/>
      <c r="J1823" s="2"/>
    </row>
    <row r="1824" ht="15.75" customHeight="1">
      <c r="A1824" s="4" t="str">
        <f>HYPERLINK("https://stackoverflow.com/q/55312355", "55312355")</f>
        <v>55312355</v>
      </c>
      <c r="B1824" s="2" t="s">
        <v>1866</v>
      </c>
      <c r="C1824" s="3">
        <v>1.0</v>
      </c>
      <c r="D1824" s="3">
        <v>154.0</v>
      </c>
      <c r="E1824" s="9" t="s">
        <v>11</v>
      </c>
      <c r="F1824" s="2" t="s">
        <v>18</v>
      </c>
      <c r="G1824" s="2" t="s">
        <v>25</v>
      </c>
      <c r="H1824" s="2"/>
      <c r="I1824" s="2"/>
      <c r="J1824" s="2"/>
    </row>
    <row r="1825" ht="15.75" customHeight="1">
      <c r="A1825" s="4" t="str">
        <f>HYPERLINK("https://stackoverflow.com/q/42638538", "42638538")</f>
        <v>42638538</v>
      </c>
      <c r="B1825" s="2" t="s">
        <v>1867</v>
      </c>
      <c r="C1825" s="3"/>
      <c r="D1825" s="3">
        <v>154.0</v>
      </c>
      <c r="E1825" s="2" t="s">
        <v>11</v>
      </c>
      <c r="F1825" s="2" t="s">
        <v>25</v>
      </c>
      <c r="G1825" s="2"/>
      <c r="H1825" s="2"/>
      <c r="I1825" s="2"/>
      <c r="J1825" s="2"/>
    </row>
    <row r="1826" ht="15.75" customHeight="1">
      <c r="A1826" s="4" t="str">
        <f>HYPERLINK("https://stackoverflow.com/q/57909595", "57909595")</f>
        <v>57909595</v>
      </c>
      <c r="B1826" s="2" t="s">
        <v>1868</v>
      </c>
      <c r="C1826" s="3"/>
      <c r="D1826" s="3">
        <v>154.0</v>
      </c>
      <c r="E1826" s="2"/>
      <c r="F1826" s="2"/>
      <c r="G1826" s="2"/>
      <c r="H1826" s="2"/>
      <c r="I1826" s="2"/>
      <c r="J1826" s="2"/>
    </row>
    <row r="1827" ht="15.75" customHeight="1">
      <c r="A1827" s="4" t="str">
        <f>HYPERLINK("https://stackoverflow.com/q/46537440", "46537440")</f>
        <v>46537440</v>
      </c>
      <c r="B1827" s="2" t="s">
        <v>1869</v>
      </c>
      <c r="C1827" s="3"/>
      <c r="D1827" s="3">
        <v>153.0</v>
      </c>
      <c r="E1827" s="9" t="s">
        <v>11</v>
      </c>
      <c r="F1827" s="2" t="s">
        <v>16</v>
      </c>
      <c r="G1827" s="2"/>
      <c r="H1827" s="2"/>
      <c r="I1827" s="2"/>
      <c r="J1827" s="2"/>
    </row>
    <row r="1828" ht="15.75" customHeight="1">
      <c r="A1828" s="4" t="str">
        <f>HYPERLINK("https://stackoverflow.com/q/55043215", "55043215")</f>
        <v>55043215</v>
      </c>
      <c r="B1828" s="2" t="s">
        <v>1870</v>
      </c>
      <c r="C1828" s="3"/>
      <c r="D1828" s="3">
        <v>153.0</v>
      </c>
      <c r="E1828" s="2" t="s">
        <v>537</v>
      </c>
      <c r="F1828" s="2" t="s">
        <v>194</v>
      </c>
      <c r="G1828" s="2"/>
      <c r="H1828" s="2"/>
      <c r="I1828" s="2"/>
      <c r="J1828" s="2"/>
    </row>
    <row r="1829" ht="15.75" customHeight="1">
      <c r="A1829" s="4" t="str">
        <f>HYPERLINK("https://stackoverflow.com/q/28393085", "28393085")</f>
        <v>28393085</v>
      </c>
      <c r="B1829" s="2" t="s">
        <v>1871</v>
      </c>
      <c r="C1829" s="3"/>
      <c r="D1829" s="3">
        <v>153.0</v>
      </c>
      <c r="E1829" s="2"/>
      <c r="F1829" s="2"/>
      <c r="G1829" s="2"/>
      <c r="H1829" s="2"/>
      <c r="I1829" s="2"/>
      <c r="J1829" s="2"/>
    </row>
    <row r="1830" ht="15.75" customHeight="1">
      <c r="A1830" s="4" t="str">
        <f>HYPERLINK("https://stackoverflow.com/q/61065007", "61065007")</f>
        <v>61065007</v>
      </c>
      <c r="B1830" s="2" t="s">
        <v>1872</v>
      </c>
      <c r="C1830" s="3"/>
      <c r="D1830" s="3">
        <v>153.0</v>
      </c>
      <c r="E1830" s="2"/>
      <c r="F1830" s="2"/>
      <c r="G1830" s="2"/>
      <c r="H1830" s="2"/>
      <c r="I1830" s="2"/>
      <c r="J1830" s="2"/>
    </row>
    <row r="1831" ht="15.75" customHeight="1">
      <c r="A1831" s="4" t="str">
        <f>HYPERLINK("https://stackoverflow.com/q/56228164", "56228164")</f>
        <v>56228164</v>
      </c>
      <c r="B1831" s="2" t="s">
        <v>1873</v>
      </c>
      <c r="C1831" s="3">
        <v>1.0</v>
      </c>
      <c r="D1831" s="3">
        <v>152.0</v>
      </c>
      <c r="E1831" s="2"/>
      <c r="F1831" s="2"/>
      <c r="G1831" s="2"/>
      <c r="H1831" s="2"/>
      <c r="I1831" s="2"/>
      <c r="J1831" s="2"/>
    </row>
    <row r="1832" ht="15.75" customHeight="1">
      <c r="A1832" s="4" t="str">
        <f>HYPERLINK("https://stackoverflow.com/q/56243818", "56243818")</f>
        <v>56243818</v>
      </c>
      <c r="B1832" s="2" t="s">
        <v>1874</v>
      </c>
      <c r="C1832" s="3">
        <v>0.0</v>
      </c>
      <c r="D1832" s="3">
        <v>152.0</v>
      </c>
      <c r="E1832" s="2"/>
      <c r="F1832" s="2"/>
      <c r="G1832" s="2"/>
      <c r="H1832" s="2"/>
      <c r="I1832" s="2"/>
      <c r="J1832" s="2"/>
    </row>
    <row r="1833" ht="15.75" customHeight="1">
      <c r="A1833" s="4" t="str">
        <f>HYPERLINK("https://stackoverflow.com/q/38376454", "38376454")</f>
        <v>38376454</v>
      </c>
      <c r="B1833" s="2" t="s">
        <v>1875</v>
      </c>
      <c r="C1833" s="3"/>
      <c r="D1833" s="3">
        <v>152.0</v>
      </c>
      <c r="E1833" s="2"/>
      <c r="F1833" s="2"/>
      <c r="G1833" s="2"/>
      <c r="H1833" s="2"/>
      <c r="I1833" s="2"/>
      <c r="J1833" s="2"/>
    </row>
    <row r="1834" ht="15.75" customHeight="1">
      <c r="A1834" s="4" t="str">
        <f>HYPERLINK("https://stackoverflow.com/q/55991295", "55991295")</f>
        <v>55991295</v>
      </c>
      <c r="B1834" s="2" t="s">
        <v>1876</v>
      </c>
      <c r="C1834" s="3"/>
      <c r="D1834" s="3">
        <v>152.0</v>
      </c>
      <c r="E1834" s="2"/>
      <c r="F1834" s="2"/>
      <c r="G1834" s="2"/>
      <c r="H1834" s="2"/>
      <c r="I1834" s="2"/>
      <c r="J1834" s="2"/>
    </row>
    <row r="1835" ht="15.75" customHeight="1">
      <c r="A1835" s="4" t="str">
        <f>HYPERLINK("https://stackoverflow.com/q/56389977", "56389977")</f>
        <v>56389977</v>
      </c>
      <c r="B1835" s="2" t="s">
        <v>1877</v>
      </c>
      <c r="C1835" s="3"/>
      <c r="D1835" s="3">
        <v>152.0</v>
      </c>
      <c r="E1835" s="2"/>
      <c r="F1835" s="2"/>
      <c r="G1835" s="2"/>
      <c r="H1835" s="2"/>
      <c r="I1835" s="2"/>
      <c r="J1835" s="2"/>
    </row>
    <row r="1836" ht="15.75" customHeight="1">
      <c r="A1836" s="4" t="str">
        <f>HYPERLINK("https://stackoverflow.com/q/42955004", "42955004")</f>
        <v>42955004</v>
      </c>
      <c r="B1836" s="2" t="s">
        <v>1878</v>
      </c>
      <c r="C1836" s="3">
        <v>1.0</v>
      </c>
      <c r="D1836" s="3">
        <v>151.0</v>
      </c>
      <c r="E1836" s="2" t="s">
        <v>11</v>
      </c>
      <c r="F1836" s="2" t="s">
        <v>56</v>
      </c>
      <c r="G1836" s="2"/>
      <c r="H1836" s="2"/>
      <c r="I1836" s="2"/>
      <c r="J1836" s="2"/>
    </row>
    <row r="1837" ht="15.75" customHeight="1">
      <c r="A1837" s="4" t="str">
        <f>HYPERLINK("https://stackoverflow.com/q/46970906", "46970906")</f>
        <v>46970906</v>
      </c>
      <c r="B1837" s="2" t="s">
        <v>1879</v>
      </c>
      <c r="C1837" s="3"/>
      <c r="D1837" s="3">
        <v>151.0</v>
      </c>
      <c r="E1837" s="2" t="s">
        <v>11</v>
      </c>
      <c r="F1837" s="2" t="s">
        <v>35</v>
      </c>
      <c r="G1837" s="2" t="s">
        <v>18</v>
      </c>
      <c r="H1837" s="2"/>
      <c r="I1837" s="2"/>
      <c r="J1837" s="2"/>
    </row>
    <row r="1838" ht="15.75" customHeight="1">
      <c r="A1838" s="4" t="str">
        <f>HYPERLINK("https://stackoverflow.com/q/51960443", "51960443")</f>
        <v>51960443</v>
      </c>
      <c r="B1838" s="2" t="s">
        <v>1880</v>
      </c>
      <c r="C1838" s="3"/>
      <c r="D1838" s="3">
        <v>151.0</v>
      </c>
      <c r="E1838" s="2"/>
      <c r="F1838" s="2"/>
      <c r="G1838" s="2"/>
      <c r="H1838" s="2"/>
      <c r="I1838" s="2"/>
      <c r="J1838" s="2"/>
    </row>
    <row r="1839" ht="15.75" customHeight="1">
      <c r="A1839" s="4" t="str">
        <f>HYPERLINK("https://stackoverflow.com/q/55847405", "55847405")</f>
        <v>55847405</v>
      </c>
      <c r="B1839" s="2" t="s">
        <v>1881</v>
      </c>
      <c r="C1839" s="3"/>
      <c r="D1839" s="3">
        <v>151.0</v>
      </c>
      <c r="E1839" s="2"/>
      <c r="F1839" s="2"/>
      <c r="G1839" s="2"/>
      <c r="H1839" s="2"/>
      <c r="I1839" s="2"/>
      <c r="J1839" s="2"/>
    </row>
    <row r="1840" ht="15.75" customHeight="1">
      <c r="A1840" s="4" t="str">
        <f>HYPERLINK("https://stackoverflow.com/q/58467091", "58467091")</f>
        <v>58467091</v>
      </c>
      <c r="B1840" s="2" t="s">
        <v>1882</v>
      </c>
      <c r="C1840" s="3"/>
      <c r="D1840" s="3">
        <v>151.0</v>
      </c>
      <c r="E1840" s="2"/>
      <c r="F1840" s="2"/>
      <c r="G1840" s="2"/>
      <c r="H1840" s="2"/>
      <c r="I1840" s="2"/>
      <c r="J1840" s="2"/>
    </row>
    <row r="1841" ht="15.75" customHeight="1">
      <c r="A1841" s="4" t="str">
        <f>HYPERLINK("https://stackoverflow.com/q/56615245", "56615245")</f>
        <v>56615245</v>
      </c>
      <c r="B1841" s="2" t="s">
        <v>1883</v>
      </c>
      <c r="C1841" s="3"/>
      <c r="D1841" s="3">
        <v>150.0</v>
      </c>
      <c r="E1841" s="2"/>
      <c r="F1841" s="2"/>
      <c r="G1841" s="2"/>
      <c r="H1841" s="2"/>
      <c r="I1841" s="2"/>
      <c r="J1841" s="2"/>
    </row>
    <row r="1842" ht="15.75" customHeight="1">
      <c r="A1842" s="4" t="str">
        <f>HYPERLINK("https://stackoverflow.com/q/56742705", "56742705")</f>
        <v>56742705</v>
      </c>
      <c r="B1842" s="2" t="s">
        <v>1884</v>
      </c>
      <c r="C1842" s="3"/>
      <c r="D1842" s="3">
        <v>150.0</v>
      </c>
      <c r="E1842" s="2"/>
      <c r="F1842" s="2"/>
      <c r="G1842" s="2"/>
      <c r="H1842" s="2"/>
      <c r="I1842" s="2"/>
      <c r="J1842" s="2"/>
    </row>
    <row r="1843" ht="15.75" customHeight="1">
      <c r="A1843" s="4" t="str">
        <f>HYPERLINK("https://stackoverflow.com/q/59759473", "59759473")</f>
        <v>59759473</v>
      </c>
      <c r="B1843" s="2" t="s">
        <v>1885</v>
      </c>
      <c r="C1843" s="3">
        <v>1.0</v>
      </c>
      <c r="D1843" s="3">
        <v>149.0</v>
      </c>
      <c r="E1843" s="2"/>
      <c r="F1843" s="2"/>
      <c r="G1843" s="2"/>
      <c r="H1843" s="2"/>
      <c r="I1843" s="2"/>
      <c r="J1843" s="2"/>
    </row>
    <row r="1844" ht="15.75" customHeight="1">
      <c r="A1844" s="4" t="str">
        <f>HYPERLINK("https://stackoverflow.com/q/38434097", "38434097")</f>
        <v>38434097</v>
      </c>
      <c r="B1844" s="2" t="s">
        <v>1886</v>
      </c>
      <c r="C1844" s="3">
        <v>0.0</v>
      </c>
      <c r="D1844" s="3">
        <v>149.0</v>
      </c>
      <c r="E1844" s="2"/>
      <c r="F1844" s="2"/>
      <c r="G1844" s="2"/>
      <c r="H1844" s="2"/>
      <c r="I1844" s="2"/>
      <c r="J1844" s="2"/>
    </row>
    <row r="1845" ht="15.75" customHeight="1">
      <c r="A1845" s="4" t="str">
        <f>HYPERLINK("https://stackoverflow.com/q/42295539", "42295539")</f>
        <v>42295539</v>
      </c>
      <c r="B1845" s="2" t="s">
        <v>1887</v>
      </c>
      <c r="C1845" s="3"/>
      <c r="D1845" s="3">
        <v>149.0</v>
      </c>
      <c r="E1845" s="2" t="s">
        <v>11</v>
      </c>
      <c r="F1845" s="2" t="s">
        <v>30</v>
      </c>
      <c r="G1845" s="2"/>
      <c r="H1845" s="2"/>
      <c r="I1845" s="2"/>
      <c r="J1845" s="2"/>
    </row>
    <row r="1846" ht="15.75" customHeight="1">
      <c r="A1846" s="4" t="str">
        <f>HYPERLINK("https://stackoverflow.com/q/54352320", "54352320")</f>
        <v>54352320</v>
      </c>
      <c r="B1846" s="2" t="s">
        <v>1888</v>
      </c>
      <c r="C1846" s="3"/>
      <c r="D1846" s="3">
        <v>149.0</v>
      </c>
      <c r="E1846" s="2" t="s">
        <v>11</v>
      </c>
      <c r="F1846" s="2" t="s">
        <v>44</v>
      </c>
      <c r="G1846" s="2"/>
      <c r="H1846" s="2"/>
      <c r="I1846" s="2"/>
      <c r="J1846" s="2"/>
    </row>
    <row r="1847" ht="15.75" customHeight="1">
      <c r="A1847" s="4" t="str">
        <f>HYPERLINK("https://stackoverflow.com/q/22163118", "22163118")</f>
        <v>22163118</v>
      </c>
      <c r="B1847" s="2" t="s">
        <v>1889</v>
      </c>
      <c r="C1847" s="3"/>
      <c r="D1847" s="3">
        <v>149.0</v>
      </c>
      <c r="E1847" s="2"/>
      <c r="F1847" s="2"/>
      <c r="G1847" s="2"/>
      <c r="H1847" s="2"/>
      <c r="I1847" s="2"/>
      <c r="J1847" s="2"/>
    </row>
    <row r="1848" ht="15.75" customHeight="1">
      <c r="A1848" s="4" t="str">
        <f>HYPERLINK("https://stackoverflow.com/q/48773927", "48773927")</f>
        <v>48773927</v>
      </c>
      <c r="B1848" s="2" t="s">
        <v>1890</v>
      </c>
      <c r="C1848" s="3"/>
      <c r="D1848" s="3">
        <v>149.0</v>
      </c>
      <c r="E1848" s="2"/>
      <c r="F1848" s="2"/>
      <c r="G1848" s="2"/>
      <c r="H1848" s="2"/>
      <c r="I1848" s="2"/>
      <c r="J1848" s="2"/>
    </row>
    <row r="1849" ht="15.75" customHeight="1">
      <c r="A1849" s="4" t="str">
        <f>HYPERLINK("https://stackoverflow.com/q/56276882", "56276882")</f>
        <v>56276882</v>
      </c>
      <c r="B1849" s="2" t="s">
        <v>1891</v>
      </c>
      <c r="C1849" s="3"/>
      <c r="D1849" s="3">
        <v>149.0</v>
      </c>
      <c r="E1849" s="2"/>
      <c r="F1849" s="2"/>
      <c r="G1849" s="2"/>
      <c r="H1849" s="2"/>
      <c r="I1849" s="2"/>
      <c r="J1849" s="2"/>
    </row>
    <row r="1850" ht="15.75" customHeight="1">
      <c r="A1850" s="4" t="str">
        <f>HYPERLINK("https://stackoverflow.com/q/54049205", "54049205")</f>
        <v>54049205</v>
      </c>
      <c r="B1850" s="2" t="s">
        <v>1892</v>
      </c>
      <c r="C1850" s="3"/>
      <c r="D1850" s="3">
        <v>148.0</v>
      </c>
      <c r="E1850" s="2" t="s">
        <v>11</v>
      </c>
      <c r="F1850" s="2" t="s">
        <v>14</v>
      </c>
      <c r="G1850" s="2"/>
      <c r="H1850" s="2"/>
      <c r="I1850" s="2"/>
      <c r="J1850" s="2"/>
    </row>
    <row r="1851" ht="15.75" customHeight="1">
      <c r="A1851" s="4" t="str">
        <f>HYPERLINK("https://stackoverflow.com/q/19478478", "19478478")</f>
        <v>19478478</v>
      </c>
      <c r="B1851" s="2" t="s">
        <v>1893</v>
      </c>
      <c r="C1851" s="3"/>
      <c r="D1851" s="3">
        <v>148.0</v>
      </c>
      <c r="E1851" s="2"/>
      <c r="F1851" s="2"/>
      <c r="G1851" s="2"/>
      <c r="H1851" s="2"/>
      <c r="I1851" s="2"/>
      <c r="J1851" s="2"/>
    </row>
    <row r="1852" ht="15.75" customHeight="1">
      <c r="A1852" s="4" t="str">
        <f>HYPERLINK("https://stackoverflow.com/q/45602479", "45602479")</f>
        <v>45602479</v>
      </c>
      <c r="B1852" s="2" t="s">
        <v>1894</v>
      </c>
      <c r="C1852" s="3"/>
      <c r="D1852" s="3">
        <v>148.0</v>
      </c>
      <c r="E1852" s="2"/>
      <c r="F1852" s="2"/>
      <c r="G1852" s="2"/>
      <c r="H1852" s="2"/>
      <c r="I1852" s="2"/>
      <c r="J1852" s="2"/>
    </row>
    <row r="1853" ht="15.75" customHeight="1">
      <c r="A1853" s="4" t="str">
        <f>HYPERLINK("https://stackoverflow.com/q/55835107", "55835107")</f>
        <v>55835107</v>
      </c>
      <c r="B1853" s="2" t="s">
        <v>1895</v>
      </c>
      <c r="C1853" s="3"/>
      <c r="D1853" s="3">
        <v>148.0</v>
      </c>
      <c r="E1853" s="2"/>
      <c r="F1853" s="2"/>
      <c r="G1853" s="2"/>
      <c r="H1853" s="2"/>
      <c r="I1853" s="2"/>
      <c r="J1853" s="2"/>
    </row>
    <row r="1854" ht="15.75" customHeight="1">
      <c r="A1854" s="4" t="str">
        <f>HYPERLINK("https://stackoverflow.com/q/56264549", "56264549")</f>
        <v>56264549</v>
      </c>
      <c r="B1854" s="2" t="s">
        <v>1896</v>
      </c>
      <c r="C1854" s="3"/>
      <c r="D1854" s="3">
        <v>148.0</v>
      </c>
      <c r="E1854" s="2"/>
      <c r="F1854" s="2"/>
      <c r="G1854" s="2"/>
      <c r="H1854" s="2"/>
      <c r="I1854" s="2"/>
      <c r="J1854" s="2"/>
    </row>
    <row r="1855" ht="15.75" customHeight="1">
      <c r="A1855" s="4" t="str">
        <f>HYPERLINK("https://stackoverflow.com/q/56981588", "56981588")</f>
        <v>56981588</v>
      </c>
      <c r="B1855" s="2" t="s">
        <v>1897</v>
      </c>
      <c r="C1855" s="3"/>
      <c r="D1855" s="3">
        <v>148.0</v>
      </c>
      <c r="E1855" s="2"/>
      <c r="F1855" s="2"/>
      <c r="G1855" s="2"/>
      <c r="H1855" s="2"/>
      <c r="I1855" s="2"/>
      <c r="J1855" s="2"/>
    </row>
    <row r="1856" ht="15.75" customHeight="1">
      <c r="A1856" s="4" t="str">
        <f>HYPERLINK("https://stackoverflow.com/q/31481379", "31481379")</f>
        <v>31481379</v>
      </c>
      <c r="B1856" s="2" t="s">
        <v>1898</v>
      </c>
      <c r="C1856" s="3">
        <v>2.0</v>
      </c>
      <c r="D1856" s="3">
        <v>147.0</v>
      </c>
      <c r="E1856" s="2"/>
      <c r="F1856" s="2"/>
      <c r="G1856" s="2"/>
      <c r="H1856" s="2"/>
      <c r="I1856" s="2"/>
      <c r="J1856" s="2"/>
    </row>
    <row r="1857" ht="15.75" customHeight="1">
      <c r="A1857" s="4" t="str">
        <f>HYPERLINK("https://stackoverflow.com/q/53942601", "53942601")</f>
        <v>53942601</v>
      </c>
      <c r="B1857" s="2" t="s">
        <v>1899</v>
      </c>
      <c r="C1857" s="3"/>
      <c r="D1857" s="3">
        <v>147.0</v>
      </c>
      <c r="E1857" s="2" t="s">
        <v>11</v>
      </c>
      <c r="F1857" s="2" t="s">
        <v>12</v>
      </c>
      <c r="G1857" s="2"/>
      <c r="H1857" s="2"/>
      <c r="I1857" s="2"/>
      <c r="J1857" s="2"/>
    </row>
    <row r="1858" ht="15.75" customHeight="1">
      <c r="A1858" s="4" t="str">
        <f>HYPERLINK("https://stackoverflow.com/q/28083664", "28083664")</f>
        <v>28083664</v>
      </c>
      <c r="B1858" s="2" t="s">
        <v>1900</v>
      </c>
      <c r="C1858" s="3"/>
      <c r="D1858" s="3">
        <v>147.0</v>
      </c>
      <c r="E1858" s="2"/>
      <c r="F1858" s="2"/>
      <c r="G1858" s="2"/>
      <c r="H1858" s="2"/>
      <c r="I1858" s="2"/>
      <c r="J1858" s="2"/>
    </row>
    <row r="1859" ht="15.75" customHeight="1">
      <c r="A1859" s="4" t="str">
        <f>HYPERLINK("https://stackoverflow.com/q/45711200", "45711200")</f>
        <v>45711200</v>
      </c>
      <c r="B1859" s="2" t="s">
        <v>1901</v>
      </c>
      <c r="C1859" s="3"/>
      <c r="D1859" s="3">
        <v>147.0</v>
      </c>
      <c r="E1859" s="2"/>
      <c r="F1859" s="2"/>
      <c r="G1859" s="2"/>
      <c r="H1859" s="2"/>
      <c r="I1859" s="2"/>
      <c r="J1859" s="2"/>
    </row>
    <row r="1860" ht="15.75" customHeight="1">
      <c r="A1860" s="4" t="str">
        <f>HYPERLINK("https://stackoverflow.com/q/57910501", "57910501")</f>
        <v>57910501</v>
      </c>
      <c r="B1860" s="2" t="s">
        <v>1902</v>
      </c>
      <c r="C1860" s="3"/>
      <c r="D1860" s="3">
        <v>147.0</v>
      </c>
      <c r="E1860" s="2"/>
      <c r="F1860" s="2"/>
      <c r="G1860" s="2"/>
      <c r="H1860" s="2"/>
      <c r="I1860" s="2"/>
      <c r="J1860" s="2"/>
    </row>
    <row r="1861" ht="15.75" customHeight="1">
      <c r="A1861" s="4" t="str">
        <f>HYPERLINK("https://stackoverflow.com/q/54910488", "54910488")</f>
        <v>54910488</v>
      </c>
      <c r="B1861" s="2" t="s">
        <v>1903</v>
      </c>
      <c r="C1861" s="3">
        <v>2.0</v>
      </c>
      <c r="D1861" s="3">
        <v>146.0</v>
      </c>
      <c r="E1861" s="2" t="s">
        <v>11</v>
      </c>
      <c r="F1861" s="2" t="s">
        <v>12</v>
      </c>
      <c r="G1861" s="2"/>
      <c r="H1861" s="2"/>
      <c r="I1861" s="2"/>
      <c r="J1861" s="2"/>
    </row>
    <row r="1862" ht="15.75" customHeight="1">
      <c r="A1862" s="4" t="str">
        <f>HYPERLINK("https://stackoverflow.com/q/22449283", "22449283")</f>
        <v>22449283</v>
      </c>
      <c r="B1862" s="2" t="s">
        <v>1904</v>
      </c>
      <c r="C1862" s="3"/>
      <c r="D1862" s="3">
        <v>146.0</v>
      </c>
      <c r="E1862" s="2"/>
      <c r="F1862" s="2"/>
      <c r="G1862" s="2"/>
      <c r="H1862" s="2"/>
      <c r="I1862" s="2"/>
      <c r="J1862" s="2"/>
    </row>
    <row r="1863" ht="15.75" customHeight="1">
      <c r="A1863" s="4" t="str">
        <f>HYPERLINK("https://stackoverflow.com/q/29287436", "29287436")</f>
        <v>29287436</v>
      </c>
      <c r="B1863" s="2" t="s">
        <v>1905</v>
      </c>
      <c r="C1863" s="3"/>
      <c r="D1863" s="3">
        <v>146.0</v>
      </c>
      <c r="E1863" s="2"/>
      <c r="F1863" s="2"/>
      <c r="G1863" s="2"/>
      <c r="H1863" s="2"/>
      <c r="I1863" s="2"/>
      <c r="J1863" s="2"/>
    </row>
    <row r="1864" ht="15.75" customHeight="1">
      <c r="A1864" s="4" t="str">
        <f>HYPERLINK("https://stackoverflow.com/q/48870896", "48870896")</f>
        <v>48870896</v>
      </c>
      <c r="B1864" s="2" t="s">
        <v>1906</v>
      </c>
      <c r="C1864" s="3"/>
      <c r="D1864" s="3">
        <v>146.0</v>
      </c>
      <c r="E1864" s="2"/>
      <c r="F1864" s="2"/>
      <c r="G1864" s="2"/>
      <c r="H1864" s="2"/>
      <c r="I1864" s="2"/>
      <c r="J1864" s="2"/>
    </row>
    <row r="1865" ht="15.75" customHeight="1">
      <c r="A1865" s="4" t="str">
        <f>HYPERLINK("https://stackoverflow.com/q/58374422", "58374422")</f>
        <v>58374422</v>
      </c>
      <c r="B1865" s="2" t="s">
        <v>1907</v>
      </c>
      <c r="C1865" s="3"/>
      <c r="D1865" s="3">
        <v>146.0</v>
      </c>
      <c r="E1865" s="2"/>
      <c r="F1865" s="2"/>
      <c r="G1865" s="2"/>
      <c r="H1865" s="2"/>
      <c r="I1865" s="2"/>
      <c r="J1865" s="2"/>
    </row>
    <row r="1866" ht="15.75" customHeight="1">
      <c r="A1866" s="4" t="str">
        <f>HYPERLINK("https://stackoverflow.com/q/58798429", "58798429")</f>
        <v>58798429</v>
      </c>
      <c r="B1866" s="2" t="s">
        <v>1908</v>
      </c>
      <c r="C1866" s="3"/>
      <c r="D1866" s="3">
        <v>146.0</v>
      </c>
      <c r="E1866" s="2"/>
      <c r="F1866" s="2"/>
      <c r="G1866" s="2"/>
      <c r="H1866" s="2"/>
      <c r="I1866" s="2"/>
      <c r="J1866" s="2"/>
    </row>
    <row r="1867" ht="15.75" customHeight="1">
      <c r="A1867" s="4" t="str">
        <f>HYPERLINK("https://stackoverflow.com/q/60175980", "60175980")</f>
        <v>60175980</v>
      </c>
      <c r="B1867" s="2" t="s">
        <v>1909</v>
      </c>
      <c r="C1867" s="3"/>
      <c r="D1867" s="3">
        <v>146.0</v>
      </c>
      <c r="E1867" s="2"/>
      <c r="F1867" s="2"/>
      <c r="G1867" s="2"/>
      <c r="H1867" s="2"/>
      <c r="I1867" s="2"/>
      <c r="J1867" s="2"/>
    </row>
    <row r="1868" ht="15.75" customHeight="1">
      <c r="A1868" s="4" t="str">
        <f>HYPERLINK("https://stackoverflow.com/q/47013716", "47013716")</f>
        <v>47013716</v>
      </c>
      <c r="B1868" s="2" t="s">
        <v>1910</v>
      </c>
      <c r="C1868" s="3"/>
      <c r="D1868" s="3">
        <v>145.0</v>
      </c>
      <c r="E1868" s="2" t="s">
        <v>537</v>
      </c>
      <c r="F1868" s="2" t="s">
        <v>14</v>
      </c>
      <c r="G1868" s="2"/>
      <c r="H1868" s="2"/>
      <c r="I1868" s="2"/>
      <c r="J1868" s="2"/>
    </row>
    <row r="1869" ht="15.75" customHeight="1">
      <c r="A1869" s="4" t="str">
        <f>HYPERLINK("https://stackoverflow.com/q/27153271", "27153271")</f>
        <v>27153271</v>
      </c>
      <c r="B1869" s="2" t="s">
        <v>1911</v>
      </c>
      <c r="C1869" s="3"/>
      <c r="D1869" s="3">
        <v>145.0</v>
      </c>
      <c r="E1869" s="2"/>
      <c r="F1869" s="2"/>
      <c r="G1869" s="2"/>
      <c r="H1869" s="2"/>
      <c r="I1869" s="2"/>
      <c r="J1869" s="2"/>
    </row>
    <row r="1870" ht="15.75" customHeight="1">
      <c r="A1870" s="4" t="str">
        <f>HYPERLINK("https://stackoverflow.com/q/34518419", "34518419")</f>
        <v>34518419</v>
      </c>
      <c r="B1870" s="2" t="s">
        <v>1912</v>
      </c>
      <c r="C1870" s="3"/>
      <c r="D1870" s="3">
        <v>145.0</v>
      </c>
      <c r="E1870" s="2"/>
      <c r="F1870" s="2"/>
      <c r="G1870" s="2"/>
      <c r="H1870" s="2"/>
      <c r="I1870" s="2"/>
      <c r="J1870" s="2"/>
    </row>
    <row r="1871" ht="15.75" customHeight="1">
      <c r="A1871" s="4" t="str">
        <f>HYPERLINK("https://stackoverflow.com/q/50038246", "50038246")</f>
        <v>50038246</v>
      </c>
      <c r="B1871" s="2" t="s">
        <v>1913</v>
      </c>
      <c r="C1871" s="3"/>
      <c r="D1871" s="3">
        <v>145.0</v>
      </c>
      <c r="E1871" s="2"/>
      <c r="F1871" s="2"/>
      <c r="G1871" s="2"/>
      <c r="H1871" s="2"/>
      <c r="I1871" s="2"/>
      <c r="J1871" s="2"/>
    </row>
    <row r="1872" ht="15.75" customHeight="1">
      <c r="A1872" s="4" t="str">
        <f>HYPERLINK("https://stackoverflow.com/q/50903007", "50903007")</f>
        <v>50903007</v>
      </c>
      <c r="B1872" s="2" t="s">
        <v>1914</v>
      </c>
      <c r="C1872" s="3"/>
      <c r="D1872" s="3">
        <v>145.0</v>
      </c>
      <c r="E1872" s="2"/>
      <c r="F1872" s="2"/>
      <c r="G1872" s="2"/>
      <c r="H1872" s="2"/>
      <c r="I1872" s="2"/>
      <c r="J1872" s="2"/>
    </row>
    <row r="1873" ht="15.75" customHeight="1">
      <c r="A1873" s="4" t="str">
        <f>HYPERLINK("https://stackoverflow.com/q/55971394", "55971394")</f>
        <v>55971394</v>
      </c>
      <c r="B1873" s="2" t="s">
        <v>1915</v>
      </c>
      <c r="C1873" s="3"/>
      <c r="D1873" s="3">
        <v>145.0</v>
      </c>
      <c r="E1873" s="2"/>
      <c r="F1873" s="2"/>
      <c r="G1873" s="2"/>
      <c r="H1873" s="2"/>
      <c r="I1873" s="2"/>
      <c r="J1873" s="2"/>
    </row>
    <row r="1874" ht="15.75" customHeight="1">
      <c r="A1874" s="4" t="str">
        <f>HYPERLINK("https://stackoverflow.com/q/59140407", "59140407")</f>
        <v>59140407</v>
      </c>
      <c r="B1874" s="2" t="s">
        <v>1916</v>
      </c>
      <c r="C1874" s="3"/>
      <c r="D1874" s="3">
        <v>145.0</v>
      </c>
      <c r="E1874" s="2"/>
      <c r="F1874" s="2"/>
      <c r="G1874" s="2"/>
      <c r="H1874" s="2"/>
      <c r="I1874" s="2"/>
      <c r="J1874" s="2"/>
    </row>
    <row r="1875" ht="15.75" customHeight="1">
      <c r="A1875" s="4" t="str">
        <f>HYPERLINK("https://stackoverflow.com/q/50420941", "50420941")</f>
        <v>50420941</v>
      </c>
      <c r="B1875" s="2" t="s">
        <v>1917</v>
      </c>
      <c r="C1875" s="3"/>
      <c r="D1875" s="3">
        <v>144.0</v>
      </c>
      <c r="E1875" s="2"/>
      <c r="F1875" s="2"/>
      <c r="G1875" s="2"/>
      <c r="H1875" s="2"/>
      <c r="I1875" s="2"/>
      <c r="J1875" s="2"/>
    </row>
    <row r="1876" ht="15.75" customHeight="1">
      <c r="A1876" s="4" t="str">
        <f>HYPERLINK("https://stackoverflow.com/q/52838421", "52838421")</f>
        <v>52838421</v>
      </c>
      <c r="B1876" s="2" t="s">
        <v>1918</v>
      </c>
      <c r="C1876" s="3"/>
      <c r="D1876" s="3">
        <v>144.0</v>
      </c>
      <c r="E1876" s="2"/>
      <c r="F1876" s="2"/>
      <c r="G1876" s="2"/>
      <c r="H1876" s="2"/>
      <c r="I1876" s="2"/>
      <c r="J1876" s="2"/>
    </row>
    <row r="1877" ht="15.75" customHeight="1">
      <c r="A1877" s="4" t="str">
        <f>HYPERLINK("https://stackoverflow.com/q/56162698", "56162698")</f>
        <v>56162698</v>
      </c>
      <c r="B1877" s="2" t="s">
        <v>1919</v>
      </c>
      <c r="C1877" s="3"/>
      <c r="D1877" s="3">
        <v>144.0</v>
      </c>
      <c r="E1877" s="2"/>
      <c r="F1877" s="2"/>
      <c r="G1877" s="2"/>
      <c r="H1877" s="2"/>
      <c r="I1877" s="2"/>
      <c r="J1877" s="2"/>
    </row>
    <row r="1878" ht="15.75" customHeight="1">
      <c r="A1878" s="4" t="str">
        <f>HYPERLINK("https://stackoverflow.com/q/50024563", "50024563")</f>
        <v>50024563</v>
      </c>
      <c r="B1878" s="2" t="s">
        <v>1920</v>
      </c>
      <c r="C1878" s="3">
        <v>1.0</v>
      </c>
      <c r="D1878" s="3">
        <v>143.0</v>
      </c>
      <c r="E1878" s="2"/>
      <c r="F1878" s="2"/>
      <c r="G1878" s="2"/>
      <c r="H1878" s="2"/>
      <c r="I1878" s="2"/>
      <c r="J1878" s="2"/>
    </row>
    <row r="1879" ht="15.75" customHeight="1">
      <c r="A1879" s="4" t="str">
        <f>HYPERLINK("https://stackoverflow.com/q/31990161", "31990161")</f>
        <v>31990161</v>
      </c>
      <c r="B1879" s="2" t="s">
        <v>1921</v>
      </c>
      <c r="C1879" s="3"/>
      <c r="D1879" s="3">
        <v>143.0</v>
      </c>
      <c r="E1879" s="2"/>
      <c r="F1879" s="2"/>
      <c r="G1879" s="2"/>
      <c r="H1879" s="2"/>
      <c r="I1879" s="2"/>
      <c r="J1879" s="2"/>
    </row>
    <row r="1880" ht="15.75" customHeight="1">
      <c r="A1880" s="4" t="str">
        <f>HYPERLINK("https://stackoverflow.com/q/52880268", "52880268")</f>
        <v>52880268</v>
      </c>
      <c r="B1880" s="2" t="s">
        <v>1922</v>
      </c>
      <c r="C1880" s="3"/>
      <c r="D1880" s="3">
        <v>143.0</v>
      </c>
      <c r="E1880" s="2"/>
      <c r="F1880" s="2"/>
      <c r="G1880" s="2"/>
      <c r="H1880" s="2"/>
      <c r="I1880" s="2"/>
      <c r="J1880" s="2"/>
    </row>
    <row r="1881" ht="15.75" customHeight="1">
      <c r="A1881" s="4" t="str">
        <f>HYPERLINK("https://stackoverflow.com/q/53748256", "53748256")</f>
        <v>53748256</v>
      </c>
      <c r="B1881" s="2" t="s">
        <v>1923</v>
      </c>
      <c r="C1881" s="3"/>
      <c r="D1881" s="3">
        <v>143.0</v>
      </c>
      <c r="E1881" s="2"/>
      <c r="F1881" s="2"/>
      <c r="G1881" s="2"/>
      <c r="H1881" s="2"/>
      <c r="I1881" s="2"/>
      <c r="J1881" s="2"/>
    </row>
    <row r="1882" ht="15.75" customHeight="1">
      <c r="A1882" s="4" t="str">
        <f>HYPERLINK("https://stackoverflow.com/q/56744215", "56744215")</f>
        <v>56744215</v>
      </c>
      <c r="B1882" s="2" t="s">
        <v>1924</v>
      </c>
      <c r="C1882" s="3"/>
      <c r="D1882" s="3">
        <v>143.0</v>
      </c>
      <c r="E1882" s="2"/>
      <c r="F1882" s="2"/>
      <c r="G1882" s="2"/>
      <c r="H1882" s="2"/>
      <c r="I1882" s="2"/>
      <c r="J1882" s="2"/>
    </row>
    <row r="1883" ht="15.75" customHeight="1">
      <c r="A1883" s="4" t="str">
        <f>HYPERLINK("https://stackoverflow.com/q/51831600", "51831600")</f>
        <v>51831600</v>
      </c>
      <c r="B1883" s="2" t="s">
        <v>1925</v>
      </c>
      <c r="C1883" s="3">
        <v>1.0</v>
      </c>
      <c r="D1883" s="3">
        <v>142.0</v>
      </c>
      <c r="E1883" s="2"/>
      <c r="F1883" s="2"/>
      <c r="G1883" s="2"/>
      <c r="H1883" s="2"/>
      <c r="I1883" s="2"/>
      <c r="J1883" s="2"/>
    </row>
    <row r="1884" ht="15.75" customHeight="1">
      <c r="A1884" s="4" t="str">
        <f>HYPERLINK("https://stackoverflow.com/q/58185005", "58185005")</f>
        <v>58185005</v>
      </c>
      <c r="B1884" s="2" t="s">
        <v>1926</v>
      </c>
      <c r="C1884" s="3">
        <v>1.0</v>
      </c>
      <c r="D1884" s="3">
        <v>142.0</v>
      </c>
      <c r="E1884" s="2"/>
      <c r="F1884" s="2"/>
      <c r="G1884" s="2"/>
      <c r="H1884" s="2"/>
      <c r="I1884" s="2"/>
      <c r="J1884" s="2"/>
    </row>
    <row r="1885" ht="15.75" customHeight="1">
      <c r="A1885" s="4" t="str">
        <f>HYPERLINK("https://stackoverflow.com/q/47025667", "47025667")</f>
        <v>47025667</v>
      </c>
      <c r="B1885" s="2" t="s">
        <v>1927</v>
      </c>
      <c r="C1885" s="3"/>
      <c r="D1885" s="3">
        <v>142.0</v>
      </c>
      <c r="E1885" s="9" t="s">
        <v>11</v>
      </c>
      <c r="F1885" s="2" t="s">
        <v>16</v>
      </c>
      <c r="G1885" s="2"/>
      <c r="H1885" s="2"/>
      <c r="I1885" s="2"/>
      <c r="J1885" s="2"/>
    </row>
    <row r="1886" ht="15.75" customHeight="1">
      <c r="A1886" s="4" t="str">
        <f>HYPERLINK("https://stackoverflow.com/q/29060765", "29060765")</f>
        <v>29060765</v>
      </c>
      <c r="B1886" s="2" t="s">
        <v>1928</v>
      </c>
      <c r="C1886" s="3"/>
      <c r="D1886" s="3">
        <v>142.0</v>
      </c>
      <c r="E1886" s="2"/>
      <c r="F1886" s="2"/>
      <c r="G1886" s="2"/>
      <c r="H1886" s="2"/>
      <c r="I1886" s="2"/>
      <c r="J1886" s="2"/>
    </row>
    <row r="1887" ht="15.75" customHeight="1">
      <c r="A1887" s="4" t="str">
        <f>HYPERLINK("https://stackoverflow.com/q/35569887", "35569887")</f>
        <v>35569887</v>
      </c>
      <c r="B1887" s="2" t="s">
        <v>1929</v>
      </c>
      <c r="C1887" s="3"/>
      <c r="D1887" s="3">
        <v>142.0</v>
      </c>
      <c r="E1887" s="2"/>
      <c r="F1887" s="2"/>
      <c r="G1887" s="2"/>
      <c r="H1887" s="2"/>
      <c r="I1887" s="2"/>
      <c r="J1887" s="2"/>
    </row>
    <row r="1888" ht="15.75" customHeight="1">
      <c r="A1888" s="4" t="str">
        <f>HYPERLINK("https://stackoverflow.com/q/49301986", "49301986")</f>
        <v>49301986</v>
      </c>
      <c r="B1888" s="2" t="s">
        <v>1930</v>
      </c>
      <c r="C1888" s="3"/>
      <c r="D1888" s="3">
        <v>142.0</v>
      </c>
      <c r="E1888" s="2"/>
      <c r="F1888" s="2"/>
      <c r="G1888" s="2"/>
      <c r="H1888" s="2"/>
      <c r="I1888" s="2"/>
      <c r="J1888" s="2"/>
    </row>
    <row r="1889" ht="15.75" customHeight="1">
      <c r="A1889" s="4" t="str">
        <f>HYPERLINK("https://stackoverflow.com/q/51881224", "51881224")</f>
        <v>51881224</v>
      </c>
      <c r="B1889" s="2" t="s">
        <v>1931</v>
      </c>
      <c r="C1889" s="3"/>
      <c r="D1889" s="3">
        <v>142.0</v>
      </c>
      <c r="E1889" s="2"/>
      <c r="F1889" s="2"/>
      <c r="G1889" s="2"/>
      <c r="H1889" s="2"/>
      <c r="I1889" s="2"/>
      <c r="J1889" s="2"/>
    </row>
    <row r="1890" ht="15.75" customHeight="1">
      <c r="A1890" s="4" t="str">
        <f>HYPERLINK("https://stackoverflow.com/q/52261990", "52261990")</f>
        <v>52261990</v>
      </c>
      <c r="B1890" s="2" t="s">
        <v>1932</v>
      </c>
      <c r="C1890" s="3"/>
      <c r="D1890" s="3">
        <v>142.0</v>
      </c>
      <c r="E1890" s="2"/>
      <c r="F1890" s="2"/>
      <c r="G1890" s="2"/>
      <c r="H1890" s="2"/>
      <c r="I1890" s="2"/>
      <c r="J1890" s="2"/>
    </row>
    <row r="1891" ht="15.75" customHeight="1">
      <c r="A1891" s="4" t="str">
        <f>HYPERLINK("https://stackoverflow.com/q/42215621", "42215621")</f>
        <v>42215621</v>
      </c>
      <c r="B1891" s="2" t="s">
        <v>1933</v>
      </c>
      <c r="C1891" s="3"/>
      <c r="D1891" s="3">
        <v>141.0</v>
      </c>
      <c r="E1891" s="2" t="s">
        <v>11</v>
      </c>
      <c r="F1891" s="2" t="s">
        <v>12</v>
      </c>
      <c r="G1891" s="2"/>
      <c r="H1891" s="2"/>
      <c r="I1891" s="2"/>
      <c r="J1891" s="2"/>
    </row>
    <row r="1892" ht="15.75" customHeight="1">
      <c r="A1892" s="4" t="str">
        <f>HYPERLINK("https://stackoverflow.com/q/54406837", "54406837")</f>
        <v>54406837</v>
      </c>
      <c r="B1892" s="2" t="s">
        <v>1934</v>
      </c>
      <c r="C1892" s="3"/>
      <c r="D1892" s="3">
        <v>141.0</v>
      </c>
      <c r="E1892" s="2" t="s">
        <v>11</v>
      </c>
      <c r="F1892" s="2" t="s">
        <v>35</v>
      </c>
      <c r="G1892" s="2"/>
      <c r="H1892" s="2"/>
      <c r="I1892" s="2"/>
      <c r="J1892" s="2"/>
    </row>
    <row r="1893" ht="15.75" customHeight="1">
      <c r="A1893" s="4" t="str">
        <f>HYPERLINK("https://stackoverflow.com/q/53170139", "53170139")</f>
        <v>53170139</v>
      </c>
      <c r="B1893" s="2" t="s">
        <v>1935</v>
      </c>
      <c r="C1893" s="3"/>
      <c r="D1893" s="3">
        <v>141.0</v>
      </c>
      <c r="E1893" s="2"/>
      <c r="F1893" s="2"/>
      <c r="G1893" s="2"/>
      <c r="H1893" s="2"/>
      <c r="I1893" s="2"/>
      <c r="J1893" s="2"/>
    </row>
    <row r="1894" ht="15.75" customHeight="1">
      <c r="A1894" s="4" t="str">
        <f>HYPERLINK("https://stackoverflow.com/q/42239047", "42239047")</f>
        <v>42239047</v>
      </c>
      <c r="B1894" s="2" t="s">
        <v>1936</v>
      </c>
      <c r="C1894" s="3"/>
      <c r="D1894" s="3">
        <v>140.0</v>
      </c>
      <c r="E1894" s="2" t="s">
        <v>11</v>
      </c>
      <c r="F1894" s="2" t="s">
        <v>12</v>
      </c>
      <c r="G1894" s="2"/>
      <c r="H1894" s="2"/>
      <c r="I1894" s="2"/>
      <c r="J1894" s="2"/>
    </row>
    <row r="1895" ht="15.75" customHeight="1">
      <c r="A1895" s="4" t="str">
        <f>HYPERLINK("https://stackoverflow.com/q/42908516", "42908516")</f>
        <v>42908516</v>
      </c>
      <c r="B1895" s="2" t="s">
        <v>1937</v>
      </c>
      <c r="C1895" s="3"/>
      <c r="D1895" s="3">
        <v>140.0</v>
      </c>
      <c r="E1895" s="2" t="s">
        <v>11</v>
      </c>
      <c r="F1895" s="2" t="s">
        <v>25</v>
      </c>
      <c r="G1895" s="2"/>
      <c r="H1895" s="2"/>
      <c r="I1895" s="2"/>
      <c r="J1895" s="2"/>
    </row>
    <row r="1896" ht="15.75" customHeight="1">
      <c r="A1896" s="4" t="str">
        <f>HYPERLINK("https://stackoverflow.com/q/48621279", "48621279")</f>
        <v>48621279</v>
      </c>
      <c r="B1896" s="2" t="s">
        <v>1938</v>
      </c>
      <c r="C1896" s="3"/>
      <c r="D1896" s="3">
        <v>140.0</v>
      </c>
      <c r="E1896" s="2"/>
      <c r="F1896" s="2"/>
      <c r="G1896" s="2"/>
      <c r="H1896" s="2"/>
      <c r="I1896" s="2"/>
      <c r="J1896" s="2"/>
    </row>
    <row r="1897" ht="15.75" customHeight="1">
      <c r="A1897" s="4" t="str">
        <f>HYPERLINK("https://stackoverflow.com/q/57127349", "57127349")</f>
        <v>57127349</v>
      </c>
      <c r="B1897" s="2" t="s">
        <v>1939</v>
      </c>
      <c r="C1897" s="3"/>
      <c r="D1897" s="3">
        <v>140.0</v>
      </c>
      <c r="E1897" s="2"/>
      <c r="F1897" s="2"/>
      <c r="G1897" s="2"/>
      <c r="H1897" s="2"/>
      <c r="I1897" s="2"/>
      <c r="J1897" s="2"/>
    </row>
    <row r="1898" ht="15.75" customHeight="1">
      <c r="A1898" s="4" t="str">
        <f>HYPERLINK("https://stackoverflow.com/q/55024778", "55024778")</f>
        <v>55024778</v>
      </c>
      <c r="B1898" s="2" t="s">
        <v>1940</v>
      </c>
      <c r="C1898" s="3">
        <v>1.0</v>
      </c>
      <c r="D1898" s="3">
        <v>139.0</v>
      </c>
      <c r="E1898" s="2" t="s">
        <v>11</v>
      </c>
      <c r="F1898" s="2" t="s">
        <v>25</v>
      </c>
      <c r="G1898" s="2"/>
      <c r="H1898" s="2"/>
      <c r="I1898" s="2"/>
      <c r="J1898" s="2"/>
    </row>
    <row r="1899" ht="15.75" customHeight="1">
      <c r="A1899" s="4" t="str">
        <f>HYPERLINK("https://stackoverflow.com/q/58114590", "58114590")</f>
        <v>58114590</v>
      </c>
      <c r="B1899" s="2" t="s">
        <v>1941</v>
      </c>
      <c r="C1899" s="3"/>
      <c r="D1899" s="3">
        <v>139.0</v>
      </c>
      <c r="E1899" s="2"/>
      <c r="F1899" s="2"/>
      <c r="G1899" s="2"/>
      <c r="H1899" s="2"/>
      <c r="I1899" s="2"/>
      <c r="J1899" s="2"/>
    </row>
    <row r="1900" ht="15.75" customHeight="1">
      <c r="A1900" s="4" t="str">
        <f>HYPERLINK("https://stackoverflow.com/q/43500546", "43500546")</f>
        <v>43500546</v>
      </c>
      <c r="B1900" s="2" t="s">
        <v>1942</v>
      </c>
      <c r="C1900" s="3"/>
      <c r="D1900" s="3">
        <v>138.0</v>
      </c>
      <c r="E1900" s="2" t="s">
        <v>11</v>
      </c>
      <c r="F1900" s="2" t="s">
        <v>25</v>
      </c>
      <c r="G1900" s="2" t="s">
        <v>44</v>
      </c>
      <c r="H1900" s="2"/>
      <c r="I1900" s="2"/>
      <c r="J1900" s="2"/>
    </row>
    <row r="1901" ht="15.75" customHeight="1">
      <c r="A1901" s="4" t="str">
        <f>HYPERLINK("https://stackoverflow.com/q/54060686", "54060686")</f>
        <v>54060686</v>
      </c>
      <c r="B1901" s="2" t="s">
        <v>1943</v>
      </c>
      <c r="C1901" s="3"/>
      <c r="D1901" s="3">
        <v>138.0</v>
      </c>
      <c r="E1901" s="2" t="s">
        <v>11</v>
      </c>
      <c r="F1901" s="2" t="s">
        <v>12</v>
      </c>
      <c r="G1901" s="2"/>
      <c r="H1901" s="2"/>
      <c r="I1901" s="2"/>
      <c r="J1901" s="2"/>
    </row>
    <row r="1902" ht="15.75" customHeight="1">
      <c r="A1902" s="4" t="str">
        <f>HYPERLINK("https://stackoverflow.com/q/48880561", "48880561")</f>
        <v>48880561</v>
      </c>
      <c r="B1902" s="2" t="s">
        <v>1944</v>
      </c>
      <c r="C1902" s="3"/>
      <c r="D1902" s="3">
        <v>138.0</v>
      </c>
      <c r="E1902" s="2"/>
      <c r="F1902" s="2"/>
      <c r="G1902" s="2"/>
      <c r="H1902" s="2"/>
      <c r="I1902" s="2"/>
      <c r="J1902" s="2"/>
    </row>
    <row r="1903" ht="15.75" customHeight="1">
      <c r="A1903" s="4" t="str">
        <f>HYPERLINK("https://stackoverflow.com/q/50936643", "50936643")</f>
        <v>50936643</v>
      </c>
      <c r="B1903" s="2" t="s">
        <v>1945</v>
      </c>
      <c r="C1903" s="3"/>
      <c r="D1903" s="3">
        <v>138.0</v>
      </c>
      <c r="E1903" s="2"/>
      <c r="F1903" s="2"/>
      <c r="G1903" s="2"/>
      <c r="H1903" s="2"/>
      <c r="I1903" s="2"/>
      <c r="J1903" s="2"/>
    </row>
    <row r="1904" ht="15.75" customHeight="1">
      <c r="A1904" s="4" t="str">
        <f>HYPERLINK("https://stackoverflow.com/q/51242918", "51242918")</f>
        <v>51242918</v>
      </c>
      <c r="B1904" s="2" t="s">
        <v>1946</v>
      </c>
      <c r="C1904" s="3"/>
      <c r="D1904" s="3">
        <v>138.0</v>
      </c>
      <c r="E1904" s="2"/>
      <c r="F1904" s="2"/>
      <c r="G1904" s="2"/>
      <c r="H1904" s="2"/>
      <c r="I1904" s="2"/>
      <c r="J1904" s="2"/>
    </row>
    <row r="1905" ht="15.75" customHeight="1">
      <c r="A1905" s="4" t="str">
        <f>HYPERLINK("https://stackoverflow.com/q/52034362", "52034362")</f>
        <v>52034362</v>
      </c>
      <c r="B1905" s="2" t="s">
        <v>1947</v>
      </c>
      <c r="C1905" s="3"/>
      <c r="D1905" s="3">
        <v>138.0</v>
      </c>
      <c r="E1905" s="2"/>
      <c r="F1905" s="2"/>
      <c r="G1905" s="2"/>
      <c r="H1905" s="2"/>
      <c r="I1905" s="2"/>
      <c r="J1905" s="2"/>
    </row>
    <row r="1906" ht="15.75" customHeight="1">
      <c r="A1906" s="4" t="str">
        <f>HYPERLINK("https://stackoverflow.com/q/57828966", "57828966")</f>
        <v>57828966</v>
      </c>
      <c r="B1906" s="2" t="s">
        <v>1948</v>
      </c>
      <c r="C1906" s="3">
        <v>2.0</v>
      </c>
      <c r="D1906" s="3">
        <v>137.0</v>
      </c>
      <c r="E1906" s="2"/>
      <c r="F1906" s="2"/>
      <c r="G1906" s="2"/>
      <c r="H1906" s="2"/>
      <c r="I1906" s="2"/>
      <c r="J1906" s="2"/>
    </row>
    <row r="1907" ht="15.75" customHeight="1">
      <c r="A1907" s="4" t="str">
        <f>HYPERLINK("https://stackoverflow.com/q/13480693", "13480693")</f>
        <v>13480693</v>
      </c>
      <c r="B1907" s="2" t="s">
        <v>1949</v>
      </c>
      <c r="C1907" s="3"/>
      <c r="D1907" s="3">
        <v>137.0</v>
      </c>
      <c r="E1907" s="2"/>
      <c r="F1907" s="2"/>
      <c r="G1907" s="2"/>
      <c r="H1907" s="2"/>
      <c r="I1907" s="2"/>
      <c r="J1907" s="2"/>
    </row>
    <row r="1908" ht="15.75" customHeight="1">
      <c r="A1908" s="4" t="str">
        <f>HYPERLINK("https://stackoverflow.com/q/23539254", "23539254")</f>
        <v>23539254</v>
      </c>
      <c r="B1908" s="2" t="s">
        <v>1950</v>
      </c>
      <c r="C1908" s="3"/>
      <c r="D1908" s="3">
        <v>137.0</v>
      </c>
      <c r="E1908" s="2"/>
      <c r="F1908" s="2"/>
      <c r="G1908" s="2"/>
      <c r="H1908" s="2"/>
      <c r="I1908" s="2"/>
      <c r="J1908" s="2"/>
    </row>
    <row r="1909" ht="15.75" customHeight="1">
      <c r="A1909" s="4" t="str">
        <f>HYPERLINK("https://stackoverflow.com/q/45949757", "45949757")</f>
        <v>45949757</v>
      </c>
      <c r="B1909" s="2" t="s">
        <v>1951</v>
      </c>
      <c r="C1909" s="3"/>
      <c r="D1909" s="3">
        <v>137.0</v>
      </c>
      <c r="E1909" s="2"/>
      <c r="F1909" s="2"/>
      <c r="G1909" s="2"/>
      <c r="H1909" s="2"/>
      <c r="I1909" s="2"/>
      <c r="J1909" s="2"/>
    </row>
    <row r="1910" ht="15.75" customHeight="1">
      <c r="A1910" s="4" t="str">
        <f>HYPERLINK("https://stackoverflow.com/q/56896264", "56896264")</f>
        <v>56896264</v>
      </c>
      <c r="B1910" s="2" t="s">
        <v>1952</v>
      </c>
      <c r="C1910" s="3"/>
      <c r="D1910" s="3">
        <v>137.0</v>
      </c>
      <c r="E1910" s="2"/>
      <c r="F1910" s="2"/>
      <c r="G1910" s="2"/>
      <c r="H1910" s="2"/>
      <c r="I1910" s="2"/>
      <c r="J1910" s="2"/>
    </row>
    <row r="1911" ht="15.75" customHeight="1">
      <c r="A1911" s="4" t="str">
        <f>HYPERLINK("https://stackoverflow.com/q/57887686", "57887686")</f>
        <v>57887686</v>
      </c>
      <c r="B1911" s="2" t="s">
        <v>1953</v>
      </c>
      <c r="C1911" s="3"/>
      <c r="D1911" s="3">
        <v>137.0</v>
      </c>
      <c r="E1911" s="2"/>
      <c r="F1911" s="2"/>
      <c r="G1911" s="2"/>
      <c r="H1911" s="2"/>
      <c r="I1911" s="2"/>
      <c r="J1911" s="2"/>
    </row>
    <row r="1912" ht="15.75" customHeight="1">
      <c r="A1912" s="4" t="str">
        <f>HYPERLINK("https://stackoverflow.com/q/55126170", "55126170")</f>
        <v>55126170</v>
      </c>
      <c r="B1912" s="2" t="s">
        <v>1954</v>
      </c>
      <c r="C1912" s="3"/>
      <c r="D1912" s="3">
        <v>136.0</v>
      </c>
      <c r="E1912" s="9" t="s">
        <v>11</v>
      </c>
      <c r="F1912" s="2" t="s">
        <v>16</v>
      </c>
      <c r="G1912" s="2" t="s">
        <v>30</v>
      </c>
      <c r="H1912" s="2"/>
      <c r="I1912" s="2"/>
      <c r="J1912" s="2"/>
    </row>
    <row r="1913" ht="15.75" customHeight="1">
      <c r="A1913" s="4" t="str">
        <f>HYPERLINK("https://stackoverflow.com/q/57519657", "57519657")</f>
        <v>57519657</v>
      </c>
      <c r="B1913" s="2" t="s">
        <v>1955</v>
      </c>
      <c r="C1913" s="3"/>
      <c r="D1913" s="3">
        <v>136.0</v>
      </c>
      <c r="E1913" s="2"/>
      <c r="F1913" s="2"/>
      <c r="G1913" s="2"/>
      <c r="H1913" s="2"/>
      <c r="I1913" s="2"/>
      <c r="J1913" s="2"/>
    </row>
    <row r="1914" ht="15.75" customHeight="1">
      <c r="A1914" s="4" t="str">
        <f>HYPERLINK("https://stackoverflow.com/q/38446394", "38446394")</f>
        <v>38446394</v>
      </c>
      <c r="B1914" s="2" t="s">
        <v>1956</v>
      </c>
      <c r="C1914" s="3"/>
      <c r="D1914" s="3">
        <v>135.0</v>
      </c>
      <c r="E1914" s="2"/>
      <c r="F1914" s="2"/>
      <c r="G1914" s="2"/>
      <c r="H1914" s="2"/>
      <c r="I1914" s="2"/>
      <c r="J1914" s="2"/>
    </row>
    <row r="1915" ht="15.75" customHeight="1">
      <c r="A1915" s="4" t="str">
        <f>HYPERLINK("https://stackoverflow.com/q/56055688", "56055688")</f>
        <v>56055688</v>
      </c>
      <c r="B1915" s="2" t="s">
        <v>1957</v>
      </c>
      <c r="C1915" s="3"/>
      <c r="D1915" s="3">
        <v>135.0</v>
      </c>
      <c r="E1915" s="2"/>
      <c r="F1915" s="2"/>
      <c r="G1915" s="2"/>
      <c r="H1915" s="2"/>
      <c r="I1915" s="2"/>
      <c r="J1915" s="2"/>
    </row>
    <row r="1916" ht="15.75" customHeight="1">
      <c r="A1916" s="4" t="str">
        <f>HYPERLINK("https://stackoverflow.com/q/58118210", "58118210")</f>
        <v>58118210</v>
      </c>
      <c r="B1916" s="2" t="s">
        <v>1958</v>
      </c>
      <c r="C1916" s="3"/>
      <c r="D1916" s="3">
        <v>135.0</v>
      </c>
      <c r="E1916" s="2"/>
      <c r="F1916" s="2"/>
      <c r="G1916" s="2"/>
      <c r="H1916" s="2"/>
      <c r="I1916" s="2"/>
      <c r="J1916" s="2"/>
    </row>
    <row r="1917" ht="15.75" customHeight="1">
      <c r="A1917" s="4" t="str">
        <f>HYPERLINK("https://stackoverflow.com/q/52831801", "52831801")</f>
        <v>52831801</v>
      </c>
      <c r="B1917" s="2" t="s">
        <v>1959</v>
      </c>
      <c r="C1917" s="3"/>
      <c r="D1917" s="3">
        <v>134.0</v>
      </c>
      <c r="E1917" s="9" t="s">
        <v>11</v>
      </c>
      <c r="F1917" s="2" t="s">
        <v>18</v>
      </c>
      <c r="G1917" s="2"/>
      <c r="H1917" s="2"/>
      <c r="I1917" s="2"/>
      <c r="J1917" s="2"/>
    </row>
    <row r="1918" ht="15.75" customHeight="1">
      <c r="A1918" s="4" t="str">
        <f>HYPERLINK("https://stackoverflow.com/q/39471301", "39471301")</f>
        <v>39471301</v>
      </c>
      <c r="B1918" s="2" t="s">
        <v>1960</v>
      </c>
      <c r="C1918" s="3"/>
      <c r="D1918" s="3">
        <v>134.0</v>
      </c>
      <c r="E1918" s="2"/>
      <c r="F1918" s="2"/>
      <c r="G1918" s="2"/>
      <c r="H1918" s="2"/>
      <c r="I1918" s="2"/>
      <c r="J1918" s="2"/>
    </row>
    <row r="1919" ht="15.75" customHeight="1">
      <c r="A1919" s="4" t="str">
        <f>HYPERLINK("https://stackoverflow.com/q/44335833", "44335833")</f>
        <v>44335833</v>
      </c>
      <c r="B1919" s="2" t="s">
        <v>1961</v>
      </c>
      <c r="C1919" s="3"/>
      <c r="D1919" s="3">
        <v>134.0</v>
      </c>
      <c r="E1919" s="2"/>
      <c r="F1919" s="2"/>
      <c r="G1919" s="2"/>
      <c r="H1919" s="2"/>
      <c r="I1919" s="2"/>
      <c r="J1919" s="2"/>
    </row>
    <row r="1920" ht="15.75" customHeight="1">
      <c r="A1920" s="4" t="str">
        <f>HYPERLINK("https://stackoverflow.com/q/50378352", "50378352")</f>
        <v>50378352</v>
      </c>
      <c r="B1920" s="2" t="s">
        <v>1962</v>
      </c>
      <c r="C1920" s="3"/>
      <c r="D1920" s="3">
        <v>134.0</v>
      </c>
      <c r="E1920" s="2"/>
      <c r="F1920" s="2"/>
      <c r="G1920" s="2"/>
      <c r="H1920" s="2"/>
      <c r="I1920" s="2"/>
      <c r="J1920" s="2"/>
    </row>
    <row r="1921" ht="15.75" customHeight="1">
      <c r="A1921" s="4" t="str">
        <f>HYPERLINK("https://stackoverflow.com/q/51591812", "51591812")</f>
        <v>51591812</v>
      </c>
      <c r="B1921" s="2" t="s">
        <v>1963</v>
      </c>
      <c r="C1921" s="3"/>
      <c r="D1921" s="3">
        <v>134.0</v>
      </c>
      <c r="E1921" s="2"/>
      <c r="F1921" s="2"/>
      <c r="G1921" s="2"/>
      <c r="H1921" s="2"/>
      <c r="I1921" s="2"/>
      <c r="J1921" s="2"/>
    </row>
    <row r="1922" ht="15.75" customHeight="1">
      <c r="A1922" s="4" t="str">
        <f>HYPERLINK("https://stackoverflow.com/q/52939680", "52939680")</f>
        <v>52939680</v>
      </c>
      <c r="B1922" s="2" t="s">
        <v>1964</v>
      </c>
      <c r="C1922" s="3"/>
      <c r="D1922" s="3">
        <v>134.0</v>
      </c>
      <c r="E1922" s="2"/>
      <c r="F1922" s="2"/>
      <c r="G1922" s="2"/>
      <c r="H1922" s="2"/>
      <c r="I1922" s="2"/>
      <c r="J1922" s="2"/>
    </row>
    <row r="1923" ht="15.75" customHeight="1">
      <c r="A1923" s="4" t="str">
        <f>HYPERLINK("https://stackoverflow.com/q/26226598", "26226598")</f>
        <v>26226598</v>
      </c>
      <c r="B1923" s="2" t="s">
        <v>1965</v>
      </c>
      <c r="C1923" s="3"/>
      <c r="D1923" s="3">
        <v>133.0</v>
      </c>
      <c r="E1923" s="2"/>
      <c r="F1923" s="2"/>
      <c r="G1923" s="2"/>
      <c r="H1923" s="2"/>
      <c r="I1923" s="2"/>
      <c r="J1923" s="2"/>
    </row>
    <row r="1924" ht="15.75" customHeight="1">
      <c r="A1924" s="4" t="str">
        <f>HYPERLINK("https://stackoverflow.com/q/51789832", "51789832")</f>
        <v>51789832</v>
      </c>
      <c r="B1924" s="2" t="s">
        <v>1966</v>
      </c>
      <c r="C1924" s="3"/>
      <c r="D1924" s="3">
        <v>133.0</v>
      </c>
      <c r="E1924" s="2"/>
      <c r="F1924" s="2"/>
      <c r="G1924" s="2"/>
      <c r="H1924" s="2"/>
      <c r="I1924" s="2"/>
      <c r="J1924" s="2"/>
    </row>
    <row r="1925" ht="15.75" customHeight="1">
      <c r="A1925" s="4" t="str">
        <f>HYPERLINK("https://stackoverflow.com/q/53326262", "53326262")</f>
        <v>53326262</v>
      </c>
      <c r="B1925" s="2" t="s">
        <v>1967</v>
      </c>
      <c r="C1925" s="3"/>
      <c r="D1925" s="3">
        <v>133.0</v>
      </c>
      <c r="E1925" s="2"/>
      <c r="F1925" s="2"/>
      <c r="G1925" s="2"/>
      <c r="H1925" s="2"/>
      <c r="I1925" s="2"/>
      <c r="J1925" s="2"/>
    </row>
    <row r="1926" ht="15.75" customHeight="1">
      <c r="A1926" s="4" t="str">
        <f>HYPERLINK("https://stackoverflow.com/q/57289721", "57289721")</f>
        <v>57289721</v>
      </c>
      <c r="B1926" s="2" t="s">
        <v>1968</v>
      </c>
      <c r="C1926" s="3"/>
      <c r="D1926" s="3">
        <v>133.0</v>
      </c>
      <c r="E1926" s="2"/>
      <c r="F1926" s="2"/>
      <c r="G1926" s="2"/>
      <c r="H1926" s="2"/>
      <c r="I1926" s="2"/>
      <c r="J1926" s="2"/>
    </row>
    <row r="1927" ht="15.75" customHeight="1">
      <c r="A1927" s="4" t="str">
        <f>HYPERLINK("https://stackoverflow.com/q/34819005", "34819005")</f>
        <v>34819005</v>
      </c>
      <c r="B1927" s="2" t="s">
        <v>1969</v>
      </c>
      <c r="C1927" s="3">
        <v>1.0</v>
      </c>
      <c r="D1927" s="3">
        <v>132.0</v>
      </c>
      <c r="E1927" s="2"/>
      <c r="F1927" s="2"/>
      <c r="G1927" s="2"/>
      <c r="H1927" s="2"/>
      <c r="I1927" s="2"/>
      <c r="J1927" s="2"/>
    </row>
    <row r="1928" ht="15.75" customHeight="1">
      <c r="A1928" s="4" t="str">
        <f>HYPERLINK("https://stackoverflow.com/q/46655042", "46655042")</f>
        <v>46655042</v>
      </c>
      <c r="B1928" s="2" t="s">
        <v>1970</v>
      </c>
      <c r="C1928" s="3"/>
      <c r="D1928" s="3">
        <v>132.0</v>
      </c>
      <c r="E1928" s="2" t="s">
        <v>11</v>
      </c>
      <c r="F1928" s="2" t="s">
        <v>14</v>
      </c>
      <c r="G1928" s="2"/>
      <c r="H1928" s="2"/>
      <c r="I1928" s="2"/>
      <c r="J1928" s="2"/>
    </row>
    <row r="1929" ht="15.75" customHeight="1">
      <c r="A1929" s="4" t="str">
        <f>HYPERLINK("https://stackoverflow.com/q/53169033", "53169033")</f>
        <v>53169033</v>
      </c>
      <c r="B1929" s="2" t="s">
        <v>1971</v>
      </c>
      <c r="C1929" s="3"/>
      <c r="D1929" s="3">
        <v>132.0</v>
      </c>
      <c r="E1929" s="2"/>
      <c r="F1929" s="2"/>
      <c r="G1929" s="2"/>
      <c r="H1929" s="2"/>
      <c r="I1929" s="2"/>
      <c r="J1929" s="2"/>
    </row>
    <row r="1930" ht="15.75" customHeight="1">
      <c r="A1930" s="4" t="str">
        <f>HYPERLINK("https://stackoverflow.com/q/58101720", "58101720")</f>
        <v>58101720</v>
      </c>
      <c r="B1930" s="2" t="s">
        <v>1972</v>
      </c>
      <c r="C1930" s="3"/>
      <c r="D1930" s="3">
        <v>132.0</v>
      </c>
      <c r="E1930" s="2"/>
      <c r="F1930" s="2"/>
      <c r="G1930" s="2"/>
      <c r="H1930" s="2"/>
      <c r="I1930" s="2"/>
      <c r="J1930" s="2"/>
    </row>
    <row r="1931" ht="15.75" customHeight="1">
      <c r="A1931" s="4" t="str">
        <f>HYPERLINK("https://stackoverflow.com/q/53344801", "53344801")</f>
        <v>53344801</v>
      </c>
      <c r="B1931" s="2" t="s">
        <v>1973</v>
      </c>
      <c r="C1931" s="3"/>
      <c r="D1931" s="3">
        <v>131.0</v>
      </c>
      <c r="E1931" s="2"/>
      <c r="F1931" s="2"/>
      <c r="G1931" s="2"/>
      <c r="H1931" s="2"/>
      <c r="I1931" s="2"/>
      <c r="J1931" s="2"/>
    </row>
    <row r="1932" ht="15.75" customHeight="1">
      <c r="A1932" s="4" t="str">
        <f>HYPERLINK("https://stackoverflow.com/q/32225372", "32225372")</f>
        <v>32225372</v>
      </c>
      <c r="B1932" s="2" t="s">
        <v>1974</v>
      </c>
      <c r="C1932" s="3"/>
      <c r="D1932" s="3">
        <v>130.0</v>
      </c>
      <c r="E1932" s="2"/>
      <c r="F1932" s="2"/>
      <c r="G1932" s="2"/>
      <c r="H1932" s="2"/>
      <c r="I1932" s="2"/>
      <c r="J1932" s="2"/>
    </row>
    <row r="1933" ht="15.75" customHeight="1">
      <c r="A1933" s="4" t="str">
        <f>HYPERLINK("https://stackoverflow.com/q/51657195", "51657195")</f>
        <v>51657195</v>
      </c>
      <c r="B1933" s="2" t="s">
        <v>1975</v>
      </c>
      <c r="C1933" s="3"/>
      <c r="D1933" s="3">
        <v>130.0</v>
      </c>
      <c r="E1933" s="2"/>
      <c r="F1933" s="2"/>
      <c r="G1933" s="2"/>
      <c r="H1933" s="2"/>
      <c r="I1933" s="2"/>
      <c r="J1933" s="2"/>
    </row>
    <row r="1934" ht="15.75" customHeight="1">
      <c r="A1934" s="4" t="str">
        <f>HYPERLINK("https://stackoverflow.com/q/55740306", "55740306")</f>
        <v>55740306</v>
      </c>
      <c r="B1934" s="2" t="s">
        <v>1976</v>
      </c>
      <c r="C1934" s="3">
        <v>1.0</v>
      </c>
      <c r="D1934" s="3">
        <v>129.0</v>
      </c>
      <c r="E1934" s="2"/>
      <c r="F1934" s="2"/>
      <c r="G1934" s="2"/>
      <c r="H1934" s="2"/>
      <c r="I1934" s="2"/>
      <c r="J1934" s="2"/>
    </row>
    <row r="1935" ht="15.75" customHeight="1">
      <c r="A1935" s="4" t="str">
        <f>HYPERLINK("https://stackoverflow.com/q/54945975", "54945975")</f>
        <v>54945975</v>
      </c>
      <c r="B1935" s="2" t="s">
        <v>1977</v>
      </c>
      <c r="C1935" s="3"/>
      <c r="D1935" s="3">
        <v>129.0</v>
      </c>
      <c r="E1935" s="9" t="s">
        <v>11</v>
      </c>
      <c r="F1935" s="2" t="s">
        <v>18</v>
      </c>
      <c r="G1935" s="2"/>
      <c r="H1935" s="2"/>
      <c r="I1935" s="2"/>
      <c r="J1935" s="2"/>
    </row>
    <row r="1936" ht="15.75" customHeight="1">
      <c r="A1936" s="4" t="str">
        <f>HYPERLINK("https://stackoverflow.com/q/55064804", "55064804")</f>
        <v>55064804</v>
      </c>
      <c r="B1936" s="2" t="s">
        <v>1978</v>
      </c>
      <c r="C1936" s="3"/>
      <c r="D1936" s="3">
        <v>129.0</v>
      </c>
      <c r="E1936" s="2" t="s">
        <v>11</v>
      </c>
      <c r="F1936" s="2" t="s">
        <v>35</v>
      </c>
      <c r="G1936" s="2"/>
      <c r="H1936" s="2"/>
      <c r="I1936" s="2"/>
      <c r="J1936" s="2"/>
    </row>
    <row r="1937" ht="15.75" customHeight="1">
      <c r="A1937" s="4" t="str">
        <f>HYPERLINK("https://stackoverflow.com/q/30256468", "30256468")</f>
        <v>30256468</v>
      </c>
      <c r="B1937" s="2" t="s">
        <v>1979</v>
      </c>
      <c r="C1937" s="3"/>
      <c r="D1937" s="3">
        <v>129.0</v>
      </c>
      <c r="E1937" s="2"/>
      <c r="F1937" s="2"/>
      <c r="G1937" s="2"/>
      <c r="H1937" s="2"/>
      <c r="I1937" s="2"/>
      <c r="J1937" s="2"/>
    </row>
    <row r="1938" ht="15.75" customHeight="1">
      <c r="A1938" s="4" t="str">
        <f>HYPERLINK("https://stackoverflow.com/q/52088202", "52088202")</f>
        <v>52088202</v>
      </c>
      <c r="B1938" s="2" t="s">
        <v>1980</v>
      </c>
      <c r="C1938" s="3"/>
      <c r="D1938" s="3">
        <v>129.0</v>
      </c>
      <c r="E1938" s="2"/>
      <c r="F1938" s="2"/>
      <c r="G1938" s="2"/>
      <c r="H1938" s="2"/>
      <c r="I1938" s="2"/>
      <c r="J1938" s="2"/>
    </row>
    <row r="1939" ht="15.75" customHeight="1">
      <c r="A1939" s="4" t="str">
        <f>HYPERLINK("https://stackoverflow.com/q/57310081", "57310081")</f>
        <v>57310081</v>
      </c>
      <c r="B1939" s="2" t="s">
        <v>1981</v>
      </c>
      <c r="C1939" s="3"/>
      <c r="D1939" s="3">
        <v>129.0</v>
      </c>
      <c r="E1939" s="2"/>
      <c r="F1939" s="2"/>
      <c r="G1939" s="2"/>
      <c r="H1939" s="2"/>
      <c r="I1939" s="2"/>
      <c r="J1939" s="2"/>
    </row>
    <row r="1940" ht="15.75" customHeight="1">
      <c r="A1940" s="4" t="str">
        <f>HYPERLINK("https://stackoverflow.com/q/55882359", "55882359")</f>
        <v>55882359</v>
      </c>
      <c r="B1940" s="2" t="s">
        <v>1982</v>
      </c>
      <c r="C1940" s="3">
        <v>1.0</v>
      </c>
      <c r="D1940" s="3">
        <v>128.0</v>
      </c>
      <c r="E1940" s="2"/>
      <c r="F1940" s="2"/>
      <c r="G1940" s="2"/>
      <c r="H1940" s="2"/>
      <c r="I1940" s="2"/>
      <c r="J1940" s="2"/>
    </row>
    <row r="1941" ht="15.75" customHeight="1">
      <c r="A1941" s="4" t="str">
        <f>HYPERLINK("https://stackoverflow.com/q/54688078", "54688078")</f>
        <v>54688078</v>
      </c>
      <c r="B1941" s="2" t="s">
        <v>1983</v>
      </c>
      <c r="C1941" s="3"/>
      <c r="D1941" s="3">
        <v>128.0</v>
      </c>
      <c r="E1941" s="2" t="s">
        <v>11</v>
      </c>
      <c r="F1941" s="2" t="s">
        <v>84</v>
      </c>
      <c r="G1941" s="2"/>
      <c r="H1941" s="2"/>
      <c r="I1941" s="2"/>
      <c r="J1941" s="2"/>
    </row>
    <row r="1942" ht="15.75" customHeight="1">
      <c r="A1942" s="4" t="str">
        <f>HYPERLINK("https://stackoverflow.com/q/22319457", "22319457")</f>
        <v>22319457</v>
      </c>
      <c r="B1942" s="2" t="s">
        <v>1984</v>
      </c>
      <c r="C1942" s="3"/>
      <c r="D1942" s="3">
        <v>128.0</v>
      </c>
      <c r="E1942" s="2"/>
      <c r="F1942" s="2"/>
      <c r="G1942" s="2"/>
      <c r="H1942" s="2"/>
      <c r="I1942" s="2"/>
      <c r="J1942" s="2"/>
    </row>
    <row r="1943" ht="15.75" customHeight="1">
      <c r="A1943" s="4" t="str">
        <f>HYPERLINK("https://stackoverflow.com/q/31101619", "31101619")</f>
        <v>31101619</v>
      </c>
      <c r="B1943" s="2" t="s">
        <v>1985</v>
      </c>
      <c r="C1943" s="3"/>
      <c r="D1943" s="3">
        <v>128.0</v>
      </c>
      <c r="E1943" s="2"/>
      <c r="F1943" s="2"/>
      <c r="G1943" s="2"/>
      <c r="H1943" s="2"/>
      <c r="I1943" s="2"/>
      <c r="J1943" s="2"/>
    </row>
    <row r="1944" ht="15.75" customHeight="1">
      <c r="A1944" s="4" t="str">
        <f>HYPERLINK("https://stackoverflow.com/q/32044225", "32044225")</f>
        <v>32044225</v>
      </c>
      <c r="B1944" s="2" t="s">
        <v>1986</v>
      </c>
      <c r="C1944" s="3"/>
      <c r="D1944" s="3">
        <v>128.0</v>
      </c>
      <c r="E1944" s="2"/>
      <c r="F1944" s="2"/>
      <c r="G1944" s="2"/>
      <c r="H1944" s="2"/>
      <c r="I1944" s="2"/>
      <c r="J1944" s="2"/>
    </row>
    <row r="1945" ht="15.75" customHeight="1">
      <c r="A1945" s="4" t="str">
        <f>HYPERLINK("https://stackoverflow.com/q/51429292", "51429292")</f>
        <v>51429292</v>
      </c>
      <c r="B1945" s="2" t="s">
        <v>1987</v>
      </c>
      <c r="C1945" s="3"/>
      <c r="D1945" s="3">
        <v>128.0</v>
      </c>
      <c r="E1945" s="2"/>
      <c r="F1945" s="2"/>
      <c r="G1945" s="2"/>
      <c r="H1945" s="2"/>
      <c r="I1945" s="2"/>
      <c r="J1945" s="2"/>
    </row>
    <row r="1946" ht="15.75" customHeight="1">
      <c r="A1946" s="4" t="str">
        <f>HYPERLINK("https://stackoverflow.com/q/52058662", "52058662")</f>
        <v>52058662</v>
      </c>
      <c r="B1946" s="2" t="s">
        <v>1988</v>
      </c>
      <c r="C1946" s="3"/>
      <c r="D1946" s="3">
        <v>128.0</v>
      </c>
      <c r="E1946" s="2"/>
      <c r="F1946" s="2"/>
      <c r="G1946" s="2"/>
      <c r="H1946" s="2"/>
      <c r="I1946" s="2"/>
      <c r="J1946" s="2"/>
    </row>
    <row r="1947" ht="15.75" customHeight="1">
      <c r="A1947" s="4" t="str">
        <f>HYPERLINK("https://stackoverflow.com/q/54123965", "54123965")</f>
        <v>54123965</v>
      </c>
      <c r="B1947" s="2" t="s">
        <v>1989</v>
      </c>
      <c r="C1947" s="3"/>
      <c r="D1947" s="3">
        <v>128.0</v>
      </c>
      <c r="E1947" s="2"/>
      <c r="F1947" s="2"/>
      <c r="G1947" s="2"/>
      <c r="H1947" s="2"/>
      <c r="I1947" s="2"/>
      <c r="J1947" s="2"/>
    </row>
    <row r="1948" ht="15.75" customHeight="1">
      <c r="A1948" s="4" t="str">
        <f>HYPERLINK("https://stackoverflow.com/q/56852112", "56852112")</f>
        <v>56852112</v>
      </c>
      <c r="B1948" s="2" t="s">
        <v>1990</v>
      </c>
      <c r="C1948" s="3"/>
      <c r="D1948" s="3">
        <v>128.0</v>
      </c>
      <c r="E1948" s="2"/>
      <c r="F1948" s="2"/>
      <c r="G1948" s="2"/>
      <c r="H1948" s="2"/>
      <c r="I1948" s="2"/>
      <c r="J1948" s="2"/>
    </row>
    <row r="1949" ht="15.75" customHeight="1">
      <c r="A1949" s="4" t="str">
        <f>HYPERLINK("https://stackoverflow.com/q/51468480", "51468480")</f>
        <v>51468480</v>
      </c>
      <c r="B1949" s="2" t="s">
        <v>1991</v>
      </c>
      <c r="C1949" s="3">
        <v>0.0</v>
      </c>
      <c r="D1949" s="3">
        <v>127.0</v>
      </c>
      <c r="E1949" s="2"/>
      <c r="F1949" s="2"/>
      <c r="G1949" s="2"/>
      <c r="H1949" s="2"/>
      <c r="I1949" s="2"/>
      <c r="J1949" s="2"/>
    </row>
    <row r="1950" ht="15.75" customHeight="1">
      <c r="A1950" s="4" t="str">
        <f>HYPERLINK("https://stackoverflow.com/q/43207458", "43207458")</f>
        <v>43207458</v>
      </c>
      <c r="B1950" s="2" t="s">
        <v>1992</v>
      </c>
      <c r="C1950" s="3"/>
      <c r="D1950" s="3">
        <v>127.0</v>
      </c>
      <c r="E1950" s="2" t="s">
        <v>11</v>
      </c>
      <c r="F1950" s="2" t="s">
        <v>14</v>
      </c>
      <c r="G1950" s="2"/>
      <c r="H1950" s="2"/>
      <c r="I1950" s="2"/>
      <c r="J1950" s="2"/>
    </row>
    <row r="1951" ht="15.75" customHeight="1">
      <c r="A1951" s="4" t="str">
        <f>HYPERLINK("https://stackoverflow.com/q/45563892", "45563892")</f>
        <v>45563892</v>
      </c>
      <c r="B1951" s="2" t="s">
        <v>1993</v>
      </c>
      <c r="C1951" s="3">
        <v>1.0</v>
      </c>
      <c r="D1951" s="3">
        <v>126.0</v>
      </c>
      <c r="E1951" s="2"/>
      <c r="F1951" s="2"/>
      <c r="G1951" s="2"/>
      <c r="H1951" s="2"/>
      <c r="I1951" s="2"/>
      <c r="J1951" s="2"/>
    </row>
    <row r="1952" ht="15.75" customHeight="1">
      <c r="A1952" s="4" t="str">
        <f>HYPERLINK("https://stackoverflow.com/q/47057239", "47057239")</f>
        <v>47057239</v>
      </c>
      <c r="B1952" s="2" t="s">
        <v>1994</v>
      </c>
      <c r="C1952" s="3"/>
      <c r="D1952" s="3">
        <v>126.0</v>
      </c>
      <c r="E1952" s="2" t="s">
        <v>11</v>
      </c>
      <c r="F1952" s="2" t="s">
        <v>25</v>
      </c>
      <c r="G1952" s="2"/>
      <c r="H1952" s="2"/>
      <c r="I1952" s="2"/>
      <c r="J1952" s="2"/>
    </row>
    <row r="1953" ht="15.75" customHeight="1">
      <c r="A1953" s="4" t="str">
        <f>HYPERLINK("https://stackoverflow.com/q/29458112", "29458112")</f>
        <v>29458112</v>
      </c>
      <c r="B1953" s="2" t="s">
        <v>1995</v>
      </c>
      <c r="C1953" s="3"/>
      <c r="D1953" s="3">
        <v>126.0</v>
      </c>
      <c r="E1953" s="2"/>
      <c r="F1953" s="2"/>
      <c r="G1953" s="2"/>
      <c r="H1953" s="2"/>
      <c r="I1953" s="2"/>
      <c r="J1953" s="2"/>
    </row>
    <row r="1954" ht="15.75" customHeight="1">
      <c r="A1954" s="4" t="str">
        <f>HYPERLINK("https://stackoverflow.com/q/32738016", "32738016")</f>
        <v>32738016</v>
      </c>
      <c r="B1954" s="2" t="s">
        <v>1996</v>
      </c>
      <c r="C1954" s="3"/>
      <c r="D1954" s="3">
        <v>126.0</v>
      </c>
      <c r="E1954" s="2"/>
      <c r="F1954" s="2"/>
      <c r="G1954" s="2"/>
      <c r="H1954" s="2"/>
      <c r="I1954" s="2"/>
      <c r="J1954" s="2"/>
    </row>
    <row r="1955" ht="15.75" customHeight="1">
      <c r="A1955" s="4" t="str">
        <f>HYPERLINK("https://stackoverflow.com/q/56457283", "56457283")</f>
        <v>56457283</v>
      </c>
      <c r="B1955" s="2" t="s">
        <v>1997</v>
      </c>
      <c r="C1955" s="3"/>
      <c r="D1955" s="3">
        <v>126.0</v>
      </c>
      <c r="E1955" s="2"/>
      <c r="F1955" s="2"/>
      <c r="G1955" s="2"/>
      <c r="H1955" s="2"/>
      <c r="I1955" s="2"/>
      <c r="J1955" s="2"/>
    </row>
    <row r="1956" ht="15.75" customHeight="1">
      <c r="A1956" s="4" t="str">
        <f>HYPERLINK("https://stackoverflow.com/q/57061468", "57061468")</f>
        <v>57061468</v>
      </c>
      <c r="B1956" s="2" t="s">
        <v>1998</v>
      </c>
      <c r="C1956" s="3"/>
      <c r="D1956" s="3">
        <v>126.0</v>
      </c>
      <c r="E1956" s="2"/>
      <c r="F1956" s="2"/>
      <c r="G1956" s="2"/>
      <c r="H1956" s="2"/>
      <c r="I1956" s="2"/>
      <c r="J1956" s="2"/>
    </row>
    <row r="1957" ht="15.75" customHeight="1">
      <c r="A1957" s="4" t="str">
        <f>HYPERLINK("https://stackoverflow.com/q/59251524", "59251524")</f>
        <v>59251524</v>
      </c>
      <c r="B1957" s="2" t="s">
        <v>1999</v>
      </c>
      <c r="C1957" s="3"/>
      <c r="D1957" s="3">
        <v>126.0</v>
      </c>
      <c r="E1957" s="2"/>
      <c r="F1957" s="2"/>
      <c r="G1957" s="2"/>
      <c r="H1957" s="2"/>
      <c r="I1957" s="2"/>
      <c r="J1957" s="2"/>
    </row>
    <row r="1958" ht="15.75" customHeight="1">
      <c r="A1958" s="4" t="str">
        <f>HYPERLINK("https://stackoverflow.com/q/53478159", "53478159")</f>
        <v>53478159</v>
      </c>
      <c r="B1958" s="2" t="s">
        <v>2000</v>
      </c>
      <c r="C1958" s="3"/>
      <c r="D1958" s="3">
        <v>125.0</v>
      </c>
      <c r="E1958" s="2"/>
      <c r="F1958" s="2"/>
      <c r="G1958" s="2"/>
      <c r="H1958" s="2"/>
      <c r="I1958" s="2"/>
      <c r="J1958" s="2"/>
    </row>
    <row r="1959" ht="15.75" customHeight="1">
      <c r="A1959" s="4" t="str">
        <f>HYPERLINK("https://stackoverflow.com/q/59947680", "59947680")</f>
        <v>59947680</v>
      </c>
      <c r="B1959" s="2" t="s">
        <v>2001</v>
      </c>
      <c r="C1959" s="3"/>
      <c r="D1959" s="3">
        <v>125.0</v>
      </c>
      <c r="E1959" s="2"/>
      <c r="F1959" s="2"/>
      <c r="G1959" s="2"/>
      <c r="H1959" s="2"/>
      <c r="I1959" s="2"/>
      <c r="J1959" s="2"/>
    </row>
    <row r="1960" ht="15.75" customHeight="1">
      <c r="A1960" s="4" t="str">
        <f>HYPERLINK("https://stackoverflow.com/q/54575273", "54575273")</f>
        <v>54575273</v>
      </c>
      <c r="B1960" s="2" t="s">
        <v>2002</v>
      </c>
      <c r="C1960" s="3"/>
      <c r="D1960" s="3">
        <v>124.0</v>
      </c>
      <c r="E1960" s="2" t="s">
        <v>11</v>
      </c>
      <c r="F1960" s="2" t="s">
        <v>12</v>
      </c>
      <c r="G1960" s="2"/>
      <c r="H1960" s="2"/>
      <c r="I1960" s="2"/>
      <c r="J1960" s="2"/>
    </row>
    <row r="1961" ht="15.75" customHeight="1">
      <c r="A1961" s="4" t="str">
        <f>HYPERLINK("https://stackoverflow.com/q/50490209", "50490209")</f>
        <v>50490209</v>
      </c>
      <c r="B1961" s="2" t="s">
        <v>2003</v>
      </c>
      <c r="C1961" s="3"/>
      <c r="D1961" s="3">
        <v>124.0</v>
      </c>
      <c r="E1961" s="2"/>
      <c r="F1961" s="2"/>
      <c r="G1961" s="2"/>
      <c r="H1961" s="2"/>
      <c r="I1961" s="2"/>
      <c r="J1961" s="2"/>
    </row>
    <row r="1962" ht="15.75" customHeight="1">
      <c r="A1962" s="4" t="str">
        <f>HYPERLINK("https://stackoverflow.com/q/58174411", "58174411")</f>
        <v>58174411</v>
      </c>
      <c r="B1962" s="2" t="s">
        <v>2004</v>
      </c>
      <c r="C1962" s="3">
        <v>2.0</v>
      </c>
      <c r="D1962" s="3">
        <v>123.0</v>
      </c>
      <c r="E1962" s="2"/>
      <c r="F1962" s="2"/>
      <c r="G1962" s="2"/>
      <c r="H1962" s="2"/>
      <c r="I1962" s="2"/>
      <c r="J1962" s="2"/>
    </row>
    <row r="1963" ht="15.75" customHeight="1">
      <c r="A1963" s="4" t="str">
        <f>HYPERLINK("https://stackoverflow.com/q/57170075", "57170075")</f>
        <v>57170075</v>
      </c>
      <c r="B1963" s="2" t="s">
        <v>2005</v>
      </c>
      <c r="C1963" s="3">
        <v>1.0</v>
      </c>
      <c r="D1963" s="3">
        <v>123.0</v>
      </c>
      <c r="E1963" s="2"/>
      <c r="F1963" s="2"/>
      <c r="G1963" s="2"/>
      <c r="H1963" s="2"/>
      <c r="I1963" s="2"/>
      <c r="J1963" s="2"/>
    </row>
    <row r="1964" ht="15.75" customHeight="1">
      <c r="A1964" s="4" t="str">
        <f>HYPERLINK("https://stackoverflow.com/q/46275169", "46275169")</f>
        <v>46275169</v>
      </c>
      <c r="B1964" s="2" t="s">
        <v>2006</v>
      </c>
      <c r="C1964" s="3"/>
      <c r="D1964" s="3">
        <v>123.0</v>
      </c>
      <c r="E1964" s="9" t="s">
        <v>11</v>
      </c>
      <c r="F1964" s="2" t="s">
        <v>18</v>
      </c>
      <c r="G1964" s="2"/>
      <c r="H1964" s="2"/>
      <c r="I1964" s="2"/>
      <c r="J1964" s="2"/>
    </row>
    <row r="1965" ht="15.75" customHeight="1">
      <c r="A1965" s="4" t="str">
        <f>HYPERLINK("https://stackoverflow.com/q/54472908", "54472908")</f>
        <v>54472908</v>
      </c>
      <c r="B1965" s="2" t="s">
        <v>2007</v>
      </c>
      <c r="C1965" s="3"/>
      <c r="D1965" s="3">
        <v>123.0</v>
      </c>
      <c r="E1965" s="2" t="s">
        <v>11</v>
      </c>
      <c r="F1965" s="2" t="s">
        <v>25</v>
      </c>
      <c r="G1965" s="2"/>
      <c r="H1965" s="2"/>
      <c r="I1965" s="2"/>
      <c r="J1965" s="2"/>
    </row>
    <row r="1966" ht="15.75" customHeight="1">
      <c r="A1966" s="4" t="str">
        <f>HYPERLINK("https://stackoverflow.com/q/45853491", "45853491")</f>
        <v>45853491</v>
      </c>
      <c r="B1966" s="2" t="s">
        <v>2008</v>
      </c>
      <c r="C1966" s="3"/>
      <c r="D1966" s="3">
        <v>123.0</v>
      </c>
      <c r="E1966" s="2"/>
      <c r="F1966" s="2"/>
      <c r="G1966" s="2"/>
      <c r="H1966" s="2"/>
      <c r="I1966" s="2"/>
      <c r="J1966" s="2"/>
    </row>
    <row r="1967" ht="15.75" customHeight="1">
      <c r="A1967" s="4" t="str">
        <f>HYPERLINK("https://stackoverflow.com/q/60284599", "60284599")</f>
        <v>60284599</v>
      </c>
      <c r="B1967" s="2" t="s">
        <v>2009</v>
      </c>
      <c r="C1967" s="3"/>
      <c r="D1967" s="3">
        <v>123.0</v>
      </c>
      <c r="E1967" s="2"/>
      <c r="F1967" s="2"/>
      <c r="G1967" s="2"/>
      <c r="H1967" s="2"/>
      <c r="I1967" s="2"/>
      <c r="J1967" s="2"/>
    </row>
    <row r="1968" ht="15.75" customHeight="1">
      <c r="A1968" s="4" t="str">
        <f>HYPERLINK("https://stackoverflow.com/q/43965841", "43965841")</f>
        <v>43965841</v>
      </c>
      <c r="B1968" s="2" t="s">
        <v>2010</v>
      </c>
      <c r="C1968" s="3"/>
      <c r="D1968" s="3">
        <v>122.0</v>
      </c>
      <c r="E1968" s="2" t="s">
        <v>11</v>
      </c>
      <c r="F1968" s="2" t="s">
        <v>67</v>
      </c>
      <c r="G1968" s="2"/>
      <c r="H1968" s="2"/>
      <c r="I1968" s="2"/>
      <c r="J1968" s="2"/>
    </row>
    <row r="1969" ht="15.75" customHeight="1">
      <c r="A1969" s="4" t="str">
        <f>HYPERLINK("https://stackoverflow.com/q/44145365", "44145365")</f>
        <v>44145365</v>
      </c>
      <c r="B1969" s="2" t="s">
        <v>2011</v>
      </c>
      <c r="C1969" s="3"/>
      <c r="D1969" s="3">
        <v>122.0</v>
      </c>
      <c r="E1969" s="2" t="s">
        <v>11</v>
      </c>
      <c r="F1969" s="2" t="s">
        <v>25</v>
      </c>
      <c r="G1969" s="2"/>
      <c r="H1969" s="2"/>
      <c r="I1969" s="2"/>
      <c r="J1969" s="2"/>
    </row>
    <row r="1970" ht="15.75" customHeight="1">
      <c r="A1970" s="4" t="str">
        <f>HYPERLINK("https://stackoverflow.com/q/55283966", "55283966")</f>
        <v>55283966</v>
      </c>
      <c r="B1970" s="2" t="s">
        <v>2012</v>
      </c>
      <c r="C1970" s="3"/>
      <c r="D1970" s="3">
        <v>122.0</v>
      </c>
      <c r="E1970" s="9" t="s">
        <v>11</v>
      </c>
      <c r="F1970" s="2" t="s">
        <v>16</v>
      </c>
      <c r="G1970" s="2"/>
      <c r="H1970" s="2"/>
      <c r="I1970" s="2"/>
      <c r="J1970" s="2"/>
    </row>
    <row r="1971" ht="15.75" customHeight="1">
      <c r="A1971" s="4" t="str">
        <f>HYPERLINK("https://stackoverflow.com/q/27364108", "27364108")</f>
        <v>27364108</v>
      </c>
      <c r="B1971" s="2" t="s">
        <v>2013</v>
      </c>
      <c r="C1971" s="3"/>
      <c r="D1971" s="3">
        <v>122.0</v>
      </c>
      <c r="E1971" s="2"/>
      <c r="F1971" s="2"/>
      <c r="G1971" s="2"/>
      <c r="H1971" s="2"/>
      <c r="I1971" s="2"/>
      <c r="J1971" s="2"/>
    </row>
    <row r="1972" ht="15.75" customHeight="1">
      <c r="A1972" s="4" t="str">
        <f>HYPERLINK("https://stackoverflow.com/q/34971515", "34971515")</f>
        <v>34971515</v>
      </c>
      <c r="B1972" s="2" t="s">
        <v>2014</v>
      </c>
      <c r="C1972" s="3"/>
      <c r="D1972" s="3">
        <v>122.0</v>
      </c>
      <c r="E1972" s="2"/>
      <c r="F1972" s="2"/>
      <c r="G1972" s="2"/>
      <c r="H1972" s="2"/>
      <c r="I1972" s="2"/>
      <c r="J1972" s="2"/>
    </row>
    <row r="1973" ht="15.75" customHeight="1">
      <c r="A1973" s="4" t="str">
        <f>HYPERLINK("https://stackoverflow.com/q/49957580", "49957580")</f>
        <v>49957580</v>
      </c>
      <c r="B1973" s="2" t="s">
        <v>2015</v>
      </c>
      <c r="C1973" s="3"/>
      <c r="D1973" s="3">
        <v>122.0</v>
      </c>
      <c r="E1973" s="2"/>
      <c r="F1973" s="2"/>
      <c r="G1973" s="2"/>
      <c r="H1973" s="2"/>
      <c r="I1973" s="2"/>
      <c r="J1973" s="2"/>
    </row>
    <row r="1974" ht="15.75" customHeight="1">
      <c r="A1974" s="4" t="str">
        <f>HYPERLINK("https://stackoverflow.com/q/51028474", "51028474")</f>
        <v>51028474</v>
      </c>
      <c r="B1974" s="2" t="s">
        <v>2016</v>
      </c>
      <c r="C1974" s="3"/>
      <c r="D1974" s="3">
        <v>122.0</v>
      </c>
      <c r="E1974" s="2"/>
      <c r="F1974" s="2"/>
      <c r="G1974" s="2"/>
      <c r="H1974" s="2"/>
      <c r="I1974" s="2"/>
      <c r="J1974" s="2"/>
    </row>
    <row r="1975" ht="15.75" customHeight="1">
      <c r="A1975" s="4" t="str">
        <f>HYPERLINK("https://stackoverflow.com/q/57046996", "57046996")</f>
        <v>57046996</v>
      </c>
      <c r="B1975" s="2" t="s">
        <v>2017</v>
      </c>
      <c r="C1975" s="3"/>
      <c r="D1975" s="3">
        <v>122.0</v>
      </c>
      <c r="E1975" s="2"/>
      <c r="F1975" s="2"/>
      <c r="G1975" s="2"/>
      <c r="H1975" s="2"/>
      <c r="I1975" s="2"/>
      <c r="J1975" s="2"/>
    </row>
    <row r="1976" ht="15.75" customHeight="1">
      <c r="A1976" s="4" t="str">
        <f>HYPERLINK("https://stackoverflow.com/q/57293755", "57293755")</f>
        <v>57293755</v>
      </c>
      <c r="B1976" s="2" t="s">
        <v>2018</v>
      </c>
      <c r="C1976" s="3"/>
      <c r="D1976" s="3">
        <v>122.0</v>
      </c>
      <c r="E1976" s="2"/>
      <c r="F1976" s="2"/>
      <c r="G1976" s="2"/>
      <c r="H1976" s="2"/>
      <c r="I1976" s="2"/>
      <c r="J1976" s="2"/>
    </row>
    <row r="1977" ht="15.75" customHeight="1">
      <c r="A1977" s="4" t="str">
        <f>HYPERLINK("https://stackoverflow.com/q/58646976", "58646976")</f>
        <v>58646976</v>
      </c>
      <c r="B1977" s="2" t="s">
        <v>2019</v>
      </c>
      <c r="C1977" s="3"/>
      <c r="D1977" s="3">
        <v>122.0</v>
      </c>
      <c r="E1977" s="2"/>
      <c r="F1977" s="2"/>
      <c r="G1977" s="2"/>
      <c r="H1977" s="2"/>
      <c r="I1977" s="2"/>
      <c r="J1977" s="2"/>
    </row>
    <row r="1978" ht="15.75" customHeight="1">
      <c r="A1978" s="4" t="str">
        <f>HYPERLINK("https://stackoverflow.com/q/58715146", "58715146")</f>
        <v>58715146</v>
      </c>
      <c r="B1978" s="2" t="s">
        <v>2020</v>
      </c>
      <c r="C1978" s="3"/>
      <c r="D1978" s="3">
        <v>122.0</v>
      </c>
      <c r="E1978" s="2"/>
      <c r="F1978" s="2"/>
      <c r="G1978" s="2"/>
      <c r="H1978" s="2"/>
      <c r="I1978" s="2"/>
      <c r="J1978" s="2"/>
    </row>
    <row r="1979" ht="15.75" customHeight="1">
      <c r="A1979" s="4" t="str">
        <f>HYPERLINK("https://stackoverflow.com/q/58885227", "58885227")</f>
        <v>58885227</v>
      </c>
      <c r="B1979" s="2" t="s">
        <v>2021</v>
      </c>
      <c r="C1979" s="3"/>
      <c r="D1979" s="3">
        <v>122.0</v>
      </c>
      <c r="E1979" s="2"/>
      <c r="F1979" s="2"/>
      <c r="G1979" s="2"/>
      <c r="H1979" s="2"/>
      <c r="I1979" s="2"/>
      <c r="J1979" s="2"/>
    </row>
    <row r="1980" ht="15.75" customHeight="1">
      <c r="A1980" s="4" t="str">
        <f>HYPERLINK("https://stackoverflow.com/q/49223721", "49223721")</f>
        <v>49223721</v>
      </c>
      <c r="B1980" s="2" t="s">
        <v>2022</v>
      </c>
      <c r="C1980" s="3"/>
      <c r="D1980" s="3">
        <v>121.0</v>
      </c>
      <c r="E1980" s="2"/>
      <c r="F1980" s="2"/>
      <c r="G1980" s="2"/>
      <c r="H1980" s="2"/>
      <c r="I1980" s="2"/>
      <c r="J1980" s="2"/>
    </row>
    <row r="1981" ht="15.75" customHeight="1">
      <c r="A1981" s="4" t="str">
        <f>HYPERLINK("https://stackoverflow.com/q/57466993", "57466993")</f>
        <v>57466993</v>
      </c>
      <c r="B1981" s="2" t="s">
        <v>2023</v>
      </c>
      <c r="C1981" s="3">
        <v>1.0</v>
      </c>
      <c r="D1981" s="3">
        <v>120.0</v>
      </c>
      <c r="E1981" s="2"/>
      <c r="F1981" s="2"/>
      <c r="G1981" s="2"/>
      <c r="H1981" s="2"/>
      <c r="I1981" s="2"/>
      <c r="J1981" s="2"/>
    </row>
    <row r="1982" ht="15.75" customHeight="1">
      <c r="A1982" s="4" t="str">
        <f>HYPERLINK("https://stackoverflow.com/q/54446465", "54446465")</f>
        <v>54446465</v>
      </c>
      <c r="B1982" s="2" t="s">
        <v>2024</v>
      </c>
      <c r="C1982" s="3"/>
      <c r="D1982" s="3">
        <v>120.0</v>
      </c>
      <c r="E1982" s="2" t="s">
        <v>11</v>
      </c>
      <c r="F1982" s="2" t="s">
        <v>84</v>
      </c>
      <c r="G1982" s="2"/>
      <c r="H1982" s="2"/>
      <c r="I1982" s="2"/>
      <c r="J1982" s="2"/>
    </row>
    <row r="1983" ht="15.75" customHeight="1">
      <c r="A1983" s="4" t="str">
        <f>HYPERLINK("https://stackoverflow.com/q/55297256", "55297256")</f>
        <v>55297256</v>
      </c>
      <c r="B1983" s="2" t="s">
        <v>2025</v>
      </c>
      <c r="C1983" s="3"/>
      <c r="D1983" s="3">
        <v>120.0</v>
      </c>
      <c r="E1983" s="2" t="s">
        <v>11</v>
      </c>
      <c r="F1983" s="2" t="s">
        <v>34</v>
      </c>
      <c r="G1983" s="2" t="s">
        <v>30</v>
      </c>
      <c r="H1983" s="2"/>
      <c r="I1983" s="2"/>
      <c r="J1983" s="2"/>
    </row>
    <row r="1984" ht="15.75" customHeight="1">
      <c r="A1984" s="4" t="str">
        <f>HYPERLINK("https://stackoverflow.com/q/49172417", "49172417")</f>
        <v>49172417</v>
      </c>
      <c r="B1984" s="2" t="s">
        <v>2026</v>
      </c>
      <c r="C1984" s="3"/>
      <c r="D1984" s="3">
        <v>120.0</v>
      </c>
      <c r="E1984" s="2"/>
      <c r="F1984" s="2"/>
      <c r="G1984" s="2"/>
      <c r="H1984" s="2"/>
      <c r="I1984" s="2"/>
      <c r="J1984" s="2"/>
    </row>
    <row r="1985" ht="15.75" customHeight="1">
      <c r="A1985" s="4" t="str">
        <f>HYPERLINK("https://stackoverflow.com/q/53043346", "53043346")</f>
        <v>53043346</v>
      </c>
      <c r="B1985" s="2" t="s">
        <v>2027</v>
      </c>
      <c r="C1985" s="3"/>
      <c r="D1985" s="3">
        <v>120.0</v>
      </c>
      <c r="E1985" s="2"/>
      <c r="F1985" s="2"/>
      <c r="G1985" s="2"/>
      <c r="H1985" s="2"/>
      <c r="I1985" s="2"/>
      <c r="J1985" s="2"/>
    </row>
    <row r="1986" ht="15.75" customHeight="1">
      <c r="A1986" s="4" t="str">
        <f>HYPERLINK("https://stackoverflow.com/q/53258037", "53258037")</f>
        <v>53258037</v>
      </c>
      <c r="B1986" s="2" t="s">
        <v>2028</v>
      </c>
      <c r="C1986" s="3"/>
      <c r="D1986" s="3">
        <v>120.0</v>
      </c>
      <c r="E1986" s="2"/>
      <c r="F1986" s="2"/>
      <c r="G1986" s="2"/>
      <c r="H1986" s="2"/>
      <c r="I1986" s="2"/>
      <c r="J1986" s="2"/>
    </row>
    <row r="1987" ht="15.75" customHeight="1">
      <c r="A1987" s="4" t="str">
        <f>HYPERLINK("https://stackoverflow.com/q/53702258", "53702258")</f>
        <v>53702258</v>
      </c>
      <c r="B1987" s="2" t="s">
        <v>2029</v>
      </c>
      <c r="C1987" s="3"/>
      <c r="D1987" s="3">
        <v>120.0</v>
      </c>
      <c r="E1987" s="2"/>
      <c r="F1987" s="2"/>
      <c r="G1987" s="2"/>
      <c r="H1987" s="2"/>
      <c r="I1987" s="2"/>
      <c r="J1987" s="2"/>
    </row>
    <row r="1988" ht="15.75" customHeight="1">
      <c r="A1988" s="4" t="str">
        <f>HYPERLINK("https://stackoverflow.com/q/56844066", "56844066")</f>
        <v>56844066</v>
      </c>
      <c r="B1988" s="2" t="s">
        <v>2030</v>
      </c>
      <c r="C1988" s="3"/>
      <c r="D1988" s="3">
        <v>120.0</v>
      </c>
      <c r="E1988" s="2"/>
      <c r="F1988" s="2"/>
      <c r="G1988" s="2"/>
      <c r="H1988" s="2"/>
      <c r="I1988" s="2"/>
      <c r="J1988" s="2"/>
    </row>
    <row r="1989" ht="15.75" customHeight="1">
      <c r="A1989" s="4" t="str">
        <f>HYPERLINK("https://stackoverflow.com/q/57271657", "57271657")</f>
        <v>57271657</v>
      </c>
      <c r="B1989" s="2" t="s">
        <v>2031</v>
      </c>
      <c r="C1989" s="3"/>
      <c r="D1989" s="3">
        <v>120.0</v>
      </c>
      <c r="E1989" s="2"/>
      <c r="F1989" s="2"/>
      <c r="G1989" s="2"/>
      <c r="H1989" s="2"/>
      <c r="I1989" s="2"/>
      <c r="J1989" s="2"/>
    </row>
    <row r="1990" ht="15.75" customHeight="1">
      <c r="A1990" s="4" t="str">
        <f>HYPERLINK("https://stackoverflow.com/q/47005811", "47005811")</f>
        <v>47005811</v>
      </c>
      <c r="B1990" s="2" t="s">
        <v>2032</v>
      </c>
      <c r="C1990" s="3"/>
      <c r="D1990" s="3">
        <v>119.0</v>
      </c>
      <c r="E1990" s="2" t="s">
        <v>11</v>
      </c>
      <c r="F1990" s="2" t="s">
        <v>35</v>
      </c>
      <c r="G1990" s="2"/>
      <c r="H1990" s="2"/>
      <c r="I1990" s="2"/>
      <c r="J1990" s="2"/>
    </row>
    <row r="1991" ht="15.75" customHeight="1">
      <c r="A1991" s="4" t="str">
        <f>HYPERLINK("https://stackoverflow.com/q/53843335", "53843335")</f>
        <v>53843335</v>
      </c>
      <c r="B1991" s="2" t="s">
        <v>2033</v>
      </c>
      <c r="C1991" s="3"/>
      <c r="D1991" s="3">
        <v>119.0</v>
      </c>
      <c r="E1991" s="2" t="s">
        <v>11</v>
      </c>
      <c r="F1991" s="2" t="s">
        <v>56</v>
      </c>
      <c r="G1991" s="2"/>
      <c r="H1991" s="2"/>
      <c r="I1991" s="2"/>
      <c r="J1991" s="2"/>
    </row>
    <row r="1992" ht="15.75" customHeight="1">
      <c r="A1992" s="4" t="str">
        <f>HYPERLINK("https://stackoverflow.com/q/55450821", "55450821")</f>
        <v>55450821</v>
      </c>
      <c r="B1992" s="2" t="s">
        <v>2034</v>
      </c>
      <c r="C1992" s="3"/>
      <c r="D1992" s="3">
        <v>119.0</v>
      </c>
      <c r="E1992" s="9" t="s">
        <v>11</v>
      </c>
      <c r="F1992" s="2" t="s">
        <v>18</v>
      </c>
      <c r="G1992" s="2"/>
      <c r="H1992" s="2"/>
      <c r="I1992" s="2"/>
      <c r="J1992" s="2"/>
    </row>
    <row r="1993" ht="15.75" customHeight="1">
      <c r="A1993" s="4" t="str">
        <f>HYPERLINK("https://stackoverflow.com/q/26235358", "26235358")</f>
        <v>26235358</v>
      </c>
      <c r="B1993" s="2" t="s">
        <v>2035</v>
      </c>
      <c r="C1993" s="3"/>
      <c r="D1993" s="3">
        <v>119.0</v>
      </c>
      <c r="E1993" s="2"/>
      <c r="F1993" s="2"/>
      <c r="G1993" s="2"/>
      <c r="H1993" s="2"/>
      <c r="I1993" s="2"/>
      <c r="J1993" s="2"/>
    </row>
    <row r="1994" ht="15.75" customHeight="1">
      <c r="A1994" s="4" t="str">
        <f>HYPERLINK("https://stackoverflow.com/q/35414315", "35414315")</f>
        <v>35414315</v>
      </c>
      <c r="B1994" s="2" t="s">
        <v>2036</v>
      </c>
      <c r="C1994" s="3"/>
      <c r="D1994" s="3">
        <v>119.0</v>
      </c>
      <c r="E1994" s="2"/>
      <c r="F1994" s="2"/>
      <c r="G1994" s="2"/>
      <c r="H1994" s="2"/>
      <c r="I1994" s="2"/>
      <c r="J1994" s="2"/>
    </row>
    <row r="1995" ht="15.75" customHeight="1">
      <c r="A1995" s="4" t="str">
        <f>HYPERLINK("https://stackoverflow.com/q/48404730", "48404730")</f>
        <v>48404730</v>
      </c>
      <c r="B1995" s="2" t="s">
        <v>2037</v>
      </c>
      <c r="C1995" s="3"/>
      <c r="D1995" s="3">
        <v>119.0</v>
      </c>
      <c r="E1995" s="2"/>
      <c r="F1995" s="2"/>
      <c r="G1995" s="2"/>
      <c r="H1995" s="2"/>
      <c r="I1995" s="2"/>
      <c r="J1995" s="2"/>
    </row>
    <row r="1996" ht="15.75" customHeight="1">
      <c r="A1996" s="4" t="str">
        <f>HYPERLINK("https://stackoverflow.com/q/53582460", "53582460")</f>
        <v>53582460</v>
      </c>
      <c r="B1996" s="2" t="s">
        <v>2038</v>
      </c>
      <c r="C1996" s="3"/>
      <c r="D1996" s="3">
        <v>119.0</v>
      </c>
      <c r="E1996" s="2"/>
      <c r="F1996" s="2"/>
      <c r="G1996" s="2"/>
      <c r="H1996" s="2"/>
      <c r="I1996" s="2"/>
      <c r="J1996" s="2"/>
    </row>
    <row r="1997" ht="15.75" customHeight="1">
      <c r="A1997" s="4" t="str">
        <f>HYPERLINK("https://stackoverflow.com/q/55224716", "55224716")</f>
        <v>55224716</v>
      </c>
      <c r="B1997" s="2" t="s">
        <v>2039</v>
      </c>
      <c r="C1997" s="3"/>
      <c r="D1997" s="3">
        <v>119.0</v>
      </c>
      <c r="E1997" s="2"/>
      <c r="F1997" s="2"/>
      <c r="G1997" s="2"/>
      <c r="H1997" s="2"/>
      <c r="I1997" s="2"/>
      <c r="J1997" s="2"/>
    </row>
    <row r="1998" ht="15.75" customHeight="1">
      <c r="A1998" s="4" t="str">
        <f>HYPERLINK("https://stackoverflow.com/q/55647262", "55647262")</f>
        <v>55647262</v>
      </c>
      <c r="B1998" s="2" t="s">
        <v>2040</v>
      </c>
      <c r="C1998" s="3"/>
      <c r="D1998" s="3">
        <v>119.0</v>
      </c>
      <c r="E1998" s="2"/>
      <c r="F1998" s="2"/>
      <c r="G1998" s="2"/>
      <c r="H1998" s="2"/>
      <c r="I1998" s="2"/>
      <c r="J1998" s="2"/>
    </row>
    <row r="1999" ht="15.75" customHeight="1">
      <c r="A1999" s="4" t="str">
        <f>HYPERLINK("https://stackoverflow.com/q/57314923", "57314923")</f>
        <v>57314923</v>
      </c>
      <c r="B1999" s="2" t="s">
        <v>2041</v>
      </c>
      <c r="C1999" s="3"/>
      <c r="D1999" s="3">
        <v>119.0</v>
      </c>
      <c r="E1999" s="2"/>
      <c r="F1999" s="2"/>
      <c r="G1999" s="2"/>
      <c r="H1999" s="2"/>
      <c r="I1999" s="2"/>
      <c r="J1999" s="2"/>
    </row>
    <row r="2000" ht="15.75" customHeight="1">
      <c r="A2000" s="4" t="str">
        <f>HYPERLINK("https://stackoverflow.com/q/59962143", "59962143")</f>
        <v>59962143</v>
      </c>
      <c r="B2000" s="2" t="s">
        <v>2042</v>
      </c>
      <c r="C2000" s="3"/>
      <c r="D2000" s="3">
        <v>119.0</v>
      </c>
      <c r="E2000" s="2"/>
      <c r="F2000" s="2"/>
      <c r="G2000" s="2"/>
      <c r="H2000" s="2"/>
      <c r="I2000" s="2"/>
      <c r="J2000" s="2"/>
    </row>
    <row r="2001" ht="15.75" customHeight="1">
      <c r="A2001" s="4" t="str">
        <f>HYPERLINK("https://stackoverflow.com/q/41920583", "41920583")</f>
        <v>41920583</v>
      </c>
      <c r="B2001" s="2" t="s">
        <v>2043</v>
      </c>
      <c r="C2001" s="3"/>
      <c r="D2001" s="3">
        <v>118.0</v>
      </c>
      <c r="E2001" s="2" t="s">
        <v>11</v>
      </c>
      <c r="F2001" s="2" t="s">
        <v>25</v>
      </c>
      <c r="G2001" s="2" t="s">
        <v>28</v>
      </c>
      <c r="H2001" s="2"/>
      <c r="I2001" s="2"/>
      <c r="J2001" s="2"/>
    </row>
    <row r="2002" ht="15.75" customHeight="1">
      <c r="A2002" s="4" t="str">
        <f>HYPERLINK("https://stackoverflow.com/q/53874059", "53874059")</f>
        <v>53874059</v>
      </c>
      <c r="B2002" s="2" t="s">
        <v>2044</v>
      </c>
      <c r="C2002" s="3"/>
      <c r="D2002" s="3">
        <v>118.0</v>
      </c>
      <c r="E2002" s="2" t="s">
        <v>11</v>
      </c>
      <c r="F2002" s="2" t="s">
        <v>12</v>
      </c>
      <c r="G2002" s="2"/>
      <c r="H2002" s="2"/>
      <c r="I2002" s="2"/>
      <c r="J2002" s="2"/>
    </row>
    <row r="2003" ht="15.75" customHeight="1">
      <c r="A2003" s="4" t="str">
        <f>HYPERLINK("https://stackoverflow.com/q/55286040", "55286040")</f>
        <v>55286040</v>
      </c>
      <c r="B2003" s="2" t="s">
        <v>2045</v>
      </c>
      <c r="C2003" s="3"/>
      <c r="D2003" s="3">
        <v>118.0</v>
      </c>
      <c r="E2003" s="9" t="s">
        <v>11</v>
      </c>
      <c r="F2003" s="2" t="s">
        <v>18</v>
      </c>
      <c r="G2003" s="2" t="s">
        <v>12</v>
      </c>
      <c r="H2003" s="2"/>
      <c r="I2003" s="2"/>
      <c r="J2003" s="2"/>
    </row>
    <row r="2004" ht="15.75" customHeight="1">
      <c r="A2004" s="4" t="str">
        <f>HYPERLINK("https://stackoverflow.com/q/44421727", "44421727")</f>
        <v>44421727</v>
      </c>
      <c r="B2004" s="2" t="s">
        <v>2046</v>
      </c>
      <c r="C2004" s="3"/>
      <c r="D2004" s="3">
        <v>118.0</v>
      </c>
      <c r="E2004" s="2"/>
      <c r="F2004" s="2"/>
      <c r="G2004" s="2"/>
      <c r="H2004" s="2"/>
      <c r="I2004" s="2"/>
      <c r="J2004" s="2"/>
    </row>
    <row r="2005" ht="15.75" customHeight="1">
      <c r="A2005" s="4" t="str">
        <f>HYPERLINK("https://stackoverflow.com/q/57131917", "57131917")</f>
        <v>57131917</v>
      </c>
      <c r="B2005" s="2" t="s">
        <v>2047</v>
      </c>
      <c r="C2005" s="3"/>
      <c r="D2005" s="3">
        <v>118.0</v>
      </c>
      <c r="E2005" s="2"/>
      <c r="F2005" s="2"/>
      <c r="G2005" s="2"/>
      <c r="H2005" s="2"/>
      <c r="I2005" s="2"/>
      <c r="J2005" s="2"/>
    </row>
    <row r="2006" ht="15.75" customHeight="1">
      <c r="A2006" s="4" t="str">
        <f>HYPERLINK("https://stackoverflow.com/q/58759042", "58759042")</f>
        <v>58759042</v>
      </c>
      <c r="B2006" s="2" t="s">
        <v>2048</v>
      </c>
      <c r="C2006" s="3"/>
      <c r="D2006" s="3">
        <v>118.0</v>
      </c>
      <c r="E2006" s="2"/>
      <c r="F2006" s="2"/>
      <c r="G2006" s="2"/>
      <c r="H2006" s="2"/>
      <c r="I2006" s="2"/>
      <c r="J2006" s="2"/>
    </row>
    <row r="2007" ht="15.75" customHeight="1">
      <c r="A2007" s="4" t="str">
        <f>HYPERLINK("https://stackoverflow.com/q/34776120", "34776120")</f>
        <v>34776120</v>
      </c>
      <c r="B2007" s="2" t="s">
        <v>2049</v>
      </c>
      <c r="C2007" s="3"/>
      <c r="D2007" s="3">
        <v>117.0</v>
      </c>
      <c r="E2007" s="2"/>
      <c r="F2007" s="2"/>
      <c r="G2007" s="2"/>
      <c r="H2007" s="2"/>
      <c r="I2007" s="2"/>
      <c r="J2007" s="2"/>
    </row>
    <row r="2008" ht="15.75" customHeight="1">
      <c r="A2008" s="4" t="str">
        <f>HYPERLINK("https://stackoverflow.com/q/51649558", "51649558")</f>
        <v>51649558</v>
      </c>
      <c r="B2008" s="2" t="s">
        <v>2050</v>
      </c>
      <c r="C2008" s="3"/>
      <c r="D2008" s="3">
        <v>117.0</v>
      </c>
      <c r="E2008" s="2"/>
      <c r="F2008" s="2"/>
      <c r="G2008" s="2"/>
      <c r="H2008" s="2"/>
      <c r="I2008" s="2"/>
      <c r="J2008" s="2"/>
    </row>
    <row r="2009" ht="15.75" customHeight="1">
      <c r="A2009" s="4" t="str">
        <f>HYPERLINK("https://stackoverflow.com/q/57282075", "57282075")</f>
        <v>57282075</v>
      </c>
      <c r="B2009" s="2" t="s">
        <v>2051</v>
      </c>
      <c r="C2009" s="3"/>
      <c r="D2009" s="3">
        <v>117.0</v>
      </c>
      <c r="E2009" s="2"/>
      <c r="F2009" s="2"/>
      <c r="G2009" s="2"/>
      <c r="H2009" s="2"/>
      <c r="I2009" s="2"/>
      <c r="J2009" s="2"/>
    </row>
    <row r="2010" ht="15.75" customHeight="1">
      <c r="A2010" s="4" t="str">
        <f>HYPERLINK("https://stackoverflow.com/q/59402662", "59402662")</f>
        <v>59402662</v>
      </c>
      <c r="B2010" s="2" t="s">
        <v>2052</v>
      </c>
      <c r="C2010" s="3"/>
      <c r="D2010" s="3">
        <v>117.0</v>
      </c>
      <c r="E2010" s="2"/>
      <c r="F2010" s="2"/>
      <c r="G2010" s="2"/>
      <c r="H2010" s="2"/>
      <c r="I2010" s="2"/>
      <c r="J2010" s="2"/>
    </row>
    <row r="2011" ht="15.75" customHeight="1">
      <c r="A2011" s="4" t="str">
        <f>HYPERLINK("https://stackoverflow.com/q/44418891", "44418891")</f>
        <v>44418891</v>
      </c>
      <c r="B2011" s="2" t="s">
        <v>2053</v>
      </c>
      <c r="C2011" s="3"/>
      <c r="D2011" s="3">
        <v>116.0</v>
      </c>
      <c r="E2011" s="2"/>
      <c r="F2011" s="2"/>
      <c r="G2011" s="2"/>
      <c r="H2011" s="2"/>
      <c r="I2011" s="2"/>
      <c r="J2011" s="2"/>
    </row>
    <row r="2012" ht="15.75" customHeight="1">
      <c r="A2012" s="4" t="str">
        <f>HYPERLINK("https://stackoverflow.com/q/51977946", "51977946")</f>
        <v>51977946</v>
      </c>
      <c r="B2012" s="2" t="s">
        <v>2054</v>
      </c>
      <c r="C2012" s="3"/>
      <c r="D2012" s="3">
        <v>116.0</v>
      </c>
      <c r="E2012" s="2"/>
      <c r="F2012" s="2"/>
      <c r="G2012" s="2"/>
      <c r="H2012" s="2"/>
      <c r="I2012" s="2"/>
      <c r="J2012" s="2"/>
    </row>
    <row r="2013" ht="15.75" customHeight="1">
      <c r="A2013" s="4" t="str">
        <f>HYPERLINK("https://stackoverflow.com/q/56537526", "56537526")</f>
        <v>56537526</v>
      </c>
      <c r="B2013" s="2" t="s">
        <v>2055</v>
      </c>
      <c r="C2013" s="3"/>
      <c r="D2013" s="3">
        <v>116.0</v>
      </c>
      <c r="E2013" s="2"/>
      <c r="F2013" s="2"/>
      <c r="G2013" s="2"/>
      <c r="H2013" s="2"/>
      <c r="I2013" s="2"/>
      <c r="J2013" s="2"/>
    </row>
    <row r="2014" ht="15.75" customHeight="1">
      <c r="A2014" s="4" t="str">
        <f>HYPERLINK("https://stackoverflow.com/q/58172015", "58172015")</f>
        <v>58172015</v>
      </c>
      <c r="B2014" s="2" t="s">
        <v>2056</v>
      </c>
      <c r="C2014" s="3"/>
      <c r="D2014" s="3">
        <v>116.0</v>
      </c>
      <c r="E2014" s="2"/>
      <c r="F2014" s="2"/>
      <c r="G2014" s="2"/>
      <c r="H2014" s="2"/>
      <c r="I2014" s="2"/>
      <c r="J2014" s="2"/>
    </row>
    <row r="2015" ht="15.75" customHeight="1">
      <c r="A2015" s="4" t="str">
        <f>HYPERLINK("https://stackoverflow.com/q/59389533", "59389533")</f>
        <v>59389533</v>
      </c>
      <c r="B2015" s="2" t="s">
        <v>2057</v>
      </c>
      <c r="C2015" s="3"/>
      <c r="D2015" s="3">
        <v>116.0</v>
      </c>
      <c r="E2015" s="2"/>
      <c r="F2015" s="2"/>
      <c r="G2015" s="2"/>
      <c r="H2015" s="2"/>
      <c r="I2015" s="2"/>
      <c r="J2015" s="2"/>
    </row>
    <row r="2016" ht="15.75" customHeight="1">
      <c r="A2016" s="4" t="str">
        <f>HYPERLINK("https://stackoverflow.com/q/60825789", "60825789")</f>
        <v>60825789</v>
      </c>
      <c r="B2016" s="2" t="s">
        <v>2058</v>
      </c>
      <c r="C2016" s="3"/>
      <c r="D2016" s="3">
        <v>116.0</v>
      </c>
      <c r="E2016" s="2"/>
      <c r="F2016" s="2"/>
      <c r="G2016" s="2"/>
      <c r="H2016" s="2"/>
      <c r="I2016" s="2"/>
      <c r="J2016" s="2"/>
    </row>
    <row r="2017" ht="15.75" customHeight="1">
      <c r="A2017" s="4" t="str">
        <f>HYPERLINK("https://stackoverflow.com/q/60715522", "60715522")</f>
        <v>60715522</v>
      </c>
      <c r="B2017" s="2" t="s">
        <v>2059</v>
      </c>
      <c r="C2017" s="3">
        <v>2.0</v>
      </c>
      <c r="D2017" s="3">
        <v>115.0</v>
      </c>
      <c r="E2017" s="2"/>
      <c r="F2017" s="2"/>
      <c r="G2017" s="2"/>
      <c r="H2017" s="2"/>
      <c r="I2017" s="2"/>
      <c r="J2017" s="2"/>
    </row>
    <row r="2018" ht="15.75" customHeight="1">
      <c r="A2018" s="4" t="str">
        <f>HYPERLINK("https://stackoverflow.com/q/34228425", "34228425")</f>
        <v>34228425</v>
      </c>
      <c r="B2018" s="2" t="s">
        <v>2060</v>
      </c>
      <c r="C2018" s="3">
        <v>1.0</v>
      </c>
      <c r="D2018" s="3">
        <v>115.0</v>
      </c>
      <c r="E2018" s="2"/>
      <c r="F2018" s="2"/>
      <c r="G2018" s="2"/>
      <c r="H2018" s="2"/>
      <c r="I2018" s="2"/>
      <c r="J2018" s="2"/>
    </row>
    <row r="2019" ht="15.75" customHeight="1">
      <c r="A2019" s="4" t="str">
        <f>HYPERLINK("https://stackoverflow.com/q/50877966", "50877966")</f>
        <v>50877966</v>
      </c>
      <c r="B2019" s="2" t="s">
        <v>2061</v>
      </c>
      <c r="C2019" s="3">
        <v>1.0</v>
      </c>
      <c r="D2019" s="3">
        <v>115.0</v>
      </c>
      <c r="E2019" s="2"/>
      <c r="F2019" s="2"/>
      <c r="G2019" s="2"/>
      <c r="H2019" s="2"/>
      <c r="I2019" s="2"/>
      <c r="J2019" s="2"/>
    </row>
    <row r="2020" ht="15.75" customHeight="1">
      <c r="A2020" s="4" t="str">
        <f>HYPERLINK("https://stackoverflow.com/q/33952130", "33952130")</f>
        <v>33952130</v>
      </c>
      <c r="B2020" s="2" t="s">
        <v>2062</v>
      </c>
      <c r="C2020" s="3"/>
      <c r="D2020" s="3">
        <v>115.0</v>
      </c>
      <c r="E2020" s="2"/>
      <c r="F2020" s="2"/>
      <c r="G2020" s="2"/>
      <c r="H2020" s="2"/>
      <c r="I2020" s="2"/>
      <c r="J2020" s="2"/>
    </row>
    <row r="2021" ht="15.75" customHeight="1">
      <c r="A2021" s="4" t="str">
        <f>HYPERLINK("https://stackoverflow.com/q/45931378", "45931378")</f>
        <v>45931378</v>
      </c>
      <c r="B2021" s="2" t="s">
        <v>2063</v>
      </c>
      <c r="C2021" s="3"/>
      <c r="D2021" s="3">
        <v>115.0</v>
      </c>
      <c r="E2021" s="2"/>
      <c r="F2021" s="2"/>
      <c r="G2021" s="2"/>
      <c r="H2021" s="2"/>
      <c r="I2021" s="2"/>
      <c r="J2021" s="2"/>
    </row>
    <row r="2022" ht="15.75" customHeight="1">
      <c r="A2022" s="4" t="str">
        <f>HYPERLINK("https://stackoverflow.com/q/49770636", "49770636")</f>
        <v>49770636</v>
      </c>
      <c r="B2022" s="2" t="s">
        <v>2064</v>
      </c>
      <c r="C2022" s="3"/>
      <c r="D2022" s="3">
        <v>115.0</v>
      </c>
      <c r="E2022" s="2"/>
      <c r="F2022" s="2"/>
      <c r="G2022" s="2"/>
      <c r="H2022" s="2"/>
      <c r="I2022" s="2"/>
      <c r="J2022" s="2"/>
    </row>
    <row r="2023" ht="15.75" customHeight="1">
      <c r="A2023" s="4" t="str">
        <f>HYPERLINK("https://stackoverflow.com/q/56679178", "56679178")</f>
        <v>56679178</v>
      </c>
      <c r="B2023" s="2" t="s">
        <v>2065</v>
      </c>
      <c r="C2023" s="3"/>
      <c r="D2023" s="3">
        <v>115.0</v>
      </c>
      <c r="E2023" s="2"/>
      <c r="F2023" s="2"/>
      <c r="G2023" s="2"/>
      <c r="H2023" s="2"/>
      <c r="I2023" s="2"/>
      <c r="J2023" s="2"/>
    </row>
    <row r="2024" ht="15.75" customHeight="1">
      <c r="A2024" s="4" t="str">
        <f>HYPERLINK("https://stackoverflow.com/q/57403551", "57403551")</f>
        <v>57403551</v>
      </c>
      <c r="B2024" s="2" t="s">
        <v>2066</v>
      </c>
      <c r="C2024" s="3"/>
      <c r="D2024" s="3">
        <v>115.0</v>
      </c>
      <c r="E2024" s="2"/>
      <c r="F2024" s="2"/>
      <c r="G2024" s="2"/>
      <c r="H2024" s="2"/>
      <c r="I2024" s="2"/>
      <c r="J2024" s="2"/>
    </row>
    <row r="2025" ht="15.75" customHeight="1">
      <c r="A2025" s="4" t="str">
        <f>HYPERLINK("https://stackoverflow.com/q/59719707", "59719707")</f>
        <v>59719707</v>
      </c>
      <c r="B2025" s="2" t="s">
        <v>2067</v>
      </c>
      <c r="C2025" s="3"/>
      <c r="D2025" s="3">
        <v>115.0</v>
      </c>
      <c r="E2025" s="2"/>
      <c r="F2025" s="2"/>
      <c r="G2025" s="2"/>
      <c r="H2025" s="2"/>
      <c r="I2025" s="2"/>
      <c r="J2025" s="2"/>
    </row>
    <row r="2026" ht="15.75" customHeight="1">
      <c r="A2026" s="4" t="str">
        <f>HYPERLINK("https://stackoverflow.com/q/11718933", "11718933")</f>
        <v>11718933</v>
      </c>
      <c r="B2026" s="2" t="s">
        <v>2068</v>
      </c>
      <c r="C2026" s="3"/>
      <c r="D2026" s="3">
        <v>114.0</v>
      </c>
      <c r="E2026" s="2"/>
      <c r="F2026" s="2"/>
      <c r="G2026" s="2"/>
      <c r="H2026" s="2"/>
      <c r="I2026" s="2"/>
      <c r="J2026" s="2"/>
    </row>
    <row r="2027" ht="15.75" customHeight="1">
      <c r="A2027" s="4" t="str">
        <f>HYPERLINK("https://stackoverflow.com/q/27306044", "27306044")</f>
        <v>27306044</v>
      </c>
      <c r="B2027" s="2" t="s">
        <v>2069</v>
      </c>
      <c r="C2027" s="3"/>
      <c r="D2027" s="3">
        <v>114.0</v>
      </c>
      <c r="E2027" s="2"/>
      <c r="F2027" s="2"/>
      <c r="G2027" s="2"/>
      <c r="H2027" s="2"/>
      <c r="I2027" s="2"/>
      <c r="J2027" s="2"/>
    </row>
    <row r="2028" ht="15.75" customHeight="1">
      <c r="A2028" s="4" t="str">
        <f>HYPERLINK("https://stackoverflow.com/q/45209796", "45209796")</f>
        <v>45209796</v>
      </c>
      <c r="B2028" s="2" t="s">
        <v>2070</v>
      </c>
      <c r="C2028" s="3"/>
      <c r="D2028" s="3">
        <v>114.0</v>
      </c>
      <c r="E2028" s="2"/>
      <c r="F2028" s="2"/>
      <c r="G2028" s="2"/>
      <c r="H2028" s="2"/>
      <c r="I2028" s="2"/>
      <c r="J2028" s="2"/>
    </row>
    <row r="2029" ht="15.75" customHeight="1">
      <c r="A2029" s="4" t="str">
        <f>HYPERLINK("https://stackoverflow.com/q/50130435", "50130435")</f>
        <v>50130435</v>
      </c>
      <c r="B2029" s="2" t="s">
        <v>2071</v>
      </c>
      <c r="C2029" s="3"/>
      <c r="D2029" s="3">
        <v>114.0</v>
      </c>
      <c r="E2029" s="2"/>
      <c r="F2029" s="2"/>
      <c r="G2029" s="2"/>
      <c r="H2029" s="2"/>
      <c r="I2029" s="2"/>
      <c r="J2029" s="2"/>
    </row>
    <row r="2030" ht="15.75" customHeight="1">
      <c r="A2030" s="4" t="str">
        <f>HYPERLINK("https://stackoverflow.com/q/56970311", "56970311")</f>
        <v>56970311</v>
      </c>
      <c r="B2030" s="2" t="s">
        <v>2072</v>
      </c>
      <c r="C2030" s="3"/>
      <c r="D2030" s="3">
        <v>114.0</v>
      </c>
      <c r="E2030" s="2"/>
      <c r="F2030" s="2"/>
      <c r="G2030" s="2"/>
      <c r="H2030" s="2"/>
      <c r="I2030" s="2"/>
      <c r="J2030" s="2"/>
    </row>
    <row r="2031" ht="15.75" customHeight="1">
      <c r="A2031" s="4" t="str">
        <f>HYPERLINK("https://stackoverflow.com/q/57255303", "57255303")</f>
        <v>57255303</v>
      </c>
      <c r="B2031" s="2" t="s">
        <v>2073</v>
      </c>
      <c r="C2031" s="3"/>
      <c r="D2031" s="3">
        <v>114.0</v>
      </c>
      <c r="E2031" s="2"/>
      <c r="F2031" s="2"/>
      <c r="G2031" s="2"/>
      <c r="H2031" s="2"/>
      <c r="I2031" s="2"/>
      <c r="J2031" s="2"/>
    </row>
    <row r="2032" ht="15.75" customHeight="1">
      <c r="A2032" s="4" t="str">
        <f>HYPERLINK("https://stackoverflow.com/q/58877222", "58877222")</f>
        <v>58877222</v>
      </c>
      <c r="B2032" s="2" t="s">
        <v>2074</v>
      </c>
      <c r="C2032" s="3"/>
      <c r="D2032" s="3">
        <v>114.0</v>
      </c>
      <c r="E2032" s="2"/>
      <c r="F2032" s="2"/>
      <c r="G2032" s="2"/>
      <c r="H2032" s="2"/>
      <c r="I2032" s="2"/>
      <c r="J2032" s="2"/>
    </row>
    <row r="2033" ht="15.75" customHeight="1">
      <c r="A2033" s="4" t="str">
        <f>HYPERLINK("https://stackoverflow.com/q/54373790", "54373790")</f>
        <v>54373790</v>
      </c>
      <c r="B2033" s="2" t="s">
        <v>2075</v>
      </c>
      <c r="C2033" s="3"/>
      <c r="D2033" s="3">
        <v>113.0</v>
      </c>
      <c r="E2033" s="9" t="s">
        <v>11</v>
      </c>
      <c r="F2033" s="2" t="s">
        <v>18</v>
      </c>
      <c r="G2033" s="2" t="s">
        <v>56</v>
      </c>
      <c r="H2033" s="2"/>
      <c r="I2033" s="2"/>
      <c r="J2033" s="2"/>
    </row>
    <row r="2034" ht="15.75" customHeight="1">
      <c r="A2034" s="4" t="str">
        <f>HYPERLINK("https://stackoverflow.com/q/35343564", "35343564")</f>
        <v>35343564</v>
      </c>
      <c r="B2034" s="2" t="s">
        <v>2076</v>
      </c>
      <c r="C2034" s="3"/>
      <c r="D2034" s="3">
        <v>113.0</v>
      </c>
      <c r="E2034" s="2"/>
      <c r="F2034" s="2"/>
      <c r="G2034" s="2"/>
      <c r="H2034" s="2"/>
      <c r="I2034" s="2"/>
      <c r="J2034" s="2"/>
    </row>
    <row r="2035" ht="15.75" customHeight="1">
      <c r="A2035" s="4" t="str">
        <f>HYPERLINK("https://stackoverflow.com/q/39320810", "39320810")</f>
        <v>39320810</v>
      </c>
      <c r="B2035" s="2" t="s">
        <v>2077</v>
      </c>
      <c r="C2035" s="3"/>
      <c r="D2035" s="3">
        <v>113.0</v>
      </c>
      <c r="E2035" s="2"/>
      <c r="F2035" s="2"/>
      <c r="G2035" s="2"/>
      <c r="H2035" s="2"/>
      <c r="I2035" s="2"/>
      <c r="J2035" s="2"/>
    </row>
    <row r="2036" ht="15.75" customHeight="1">
      <c r="A2036" s="4" t="str">
        <f>HYPERLINK("https://stackoverflow.com/q/40775150", "40775150")</f>
        <v>40775150</v>
      </c>
      <c r="B2036" s="2" t="s">
        <v>2078</v>
      </c>
      <c r="C2036" s="3"/>
      <c r="D2036" s="3">
        <v>113.0</v>
      </c>
      <c r="E2036" s="2"/>
      <c r="F2036" s="2"/>
      <c r="G2036" s="2"/>
      <c r="H2036" s="2"/>
      <c r="I2036" s="2"/>
      <c r="J2036" s="2"/>
    </row>
    <row r="2037" ht="15.75" customHeight="1">
      <c r="A2037" s="4" t="str">
        <f>HYPERLINK("https://stackoverflow.com/q/53604501", "53604501")</f>
        <v>53604501</v>
      </c>
      <c r="B2037" s="2" t="s">
        <v>2079</v>
      </c>
      <c r="C2037" s="3"/>
      <c r="D2037" s="3">
        <v>113.0</v>
      </c>
      <c r="E2037" s="2"/>
      <c r="F2037" s="2"/>
      <c r="G2037" s="2"/>
      <c r="H2037" s="2"/>
      <c r="I2037" s="2"/>
      <c r="J2037" s="2"/>
    </row>
    <row r="2038" ht="15.75" customHeight="1">
      <c r="A2038" s="4" t="str">
        <f>HYPERLINK("https://stackoverflow.com/q/56013510", "56013510")</f>
        <v>56013510</v>
      </c>
      <c r="B2038" s="2" t="s">
        <v>2080</v>
      </c>
      <c r="C2038" s="3"/>
      <c r="D2038" s="3">
        <v>113.0</v>
      </c>
      <c r="E2038" s="2"/>
      <c r="F2038" s="2"/>
      <c r="G2038" s="2"/>
      <c r="H2038" s="2"/>
      <c r="I2038" s="2"/>
      <c r="J2038" s="2"/>
    </row>
    <row r="2039" ht="15.75" customHeight="1">
      <c r="A2039" s="4" t="str">
        <f>HYPERLINK("https://stackoverflow.com/q/57599366", "57599366")</f>
        <v>57599366</v>
      </c>
      <c r="B2039" s="2" t="s">
        <v>2081</v>
      </c>
      <c r="C2039" s="3"/>
      <c r="D2039" s="3">
        <v>113.0</v>
      </c>
      <c r="E2039" s="2"/>
      <c r="F2039" s="2"/>
      <c r="G2039" s="2"/>
      <c r="H2039" s="2"/>
      <c r="I2039" s="2"/>
      <c r="J2039" s="2"/>
    </row>
    <row r="2040" ht="15.75" customHeight="1">
      <c r="A2040" s="4" t="str">
        <f>HYPERLINK("https://stackoverflow.com/q/59541205", "59541205")</f>
        <v>59541205</v>
      </c>
      <c r="B2040" s="2" t="s">
        <v>2082</v>
      </c>
      <c r="C2040" s="3"/>
      <c r="D2040" s="3">
        <v>113.0</v>
      </c>
      <c r="E2040" s="2"/>
      <c r="F2040" s="2"/>
      <c r="G2040" s="2"/>
      <c r="H2040" s="2"/>
      <c r="I2040" s="2"/>
      <c r="J2040" s="2"/>
    </row>
    <row r="2041" ht="15.75" customHeight="1">
      <c r="A2041" s="4" t="str">
        <f>HYPERLINK("https://stackoverflow.com/q/47564757", "47564757")</f>
        <v>47564757</v>
      </c>
      <c r="B2041" s="2" t="s">
        <v>2083</v>
      </c>
      <c r="C2041" s="3"/>
      <c r="D2041" s="3">
        <v>112.0</v>
      </c>
      <c r="E2041" s="2" t="s">
        <v>11</v>
      </c>
      <c r="F2041" s="2" t="s">
        <v>12</v>
      </c>
      <c r="G2041" s="2"/>
      <c r="H2041" s="2"/>
      <c r="I2041" s="2"/>
      <c r="J2041" s="2"/>
    </row>
    <row r="2042" ht="15.75" customHeight="1">
      <c r="A2042" s="4" t="str">
        <f>HYPERLINK("https://stackoverflow.com/q/37692232", "37692232")</f>
        <v>37692232</v>
      </c>
      <c r="B2042" s="2" t="s">
        <v>2084</v>
      </c>
      <c r="C2042" s="3"/>
      <c r="D2042" s="3">
        <v>112.0</v>
      </c>
      <c r="E2042" s="2"/>
      <c r="F2042" s="2"/>
      <c r="G2042" s="2"/>
      <c r="H2042" s="2"/>
      <c r="I2042" s="2"/>
      <c r="J2042" s="2"/>
    </row>
    <row r="2043" ht="15.75" customHeight="1">
      <c r="A2043" s="4" t="str">
        <f>HYPERLINK("https://stackoverflow.com/q/45312549", "45312549")</f>
        <v>45312549</v>
      </c>
      <c r="B2043" s="2" t="s">
        <v>2085</v>
      </c>
      <c r="C2043" s="3"/>
      <c r="D2043" s="3">
        <v>112.0</v>
      </c>
      <c r="E2043" s="2"/>
      <c r="F2043" s="2"/>
      <c r="G2043" s="2"/>
      <c r="H2043" s="2"/>
      <c r="I2043" s="2"/>
      <c r="J2043" s="2"/>
    </row>
    <row r="2044" ht="15.75" customHeight="1">
      <c r="A2044" s="4" t="str">
        <f>HYPERLINK("https://stackoverflow.com/q/45896488", "45896488")</f>
        <v>45896488</v>
      </c>
      <c r="B2044" s="2" t="s">
        <v>2086</v>
      </c>
      <c r="C2044" s="3"/>
      <c r="D2044" s="3">
        <v>112.0</v>
      </c>
      <c r="E2044" s="2"/>
      <c r="F2044" s="2"/>
      <c r="G2044" s="2"/>
      <c r="H2044" s="2"/>
      <c r="I2044" s="2"/>
      <c r="J2044" s="2"/>
    </row>
    <row r="2045" ht="15.75" customHeight="1">
      <c r="A2045" s="4" t="str">
        <f>HYPERLINK("https://stackoverflow.com/q/50028775", "50028775")</f>
        <v>50028775</v>
      </c>
      <c r="B2045" s="2" t="s">
        <v>2087</v>
      </c>
      <c r="C2045" s="3"/>
      <c r="D2045" s="3">
        <v>112.0</v>
      </c>
      <c r="E2045" s="2"/>
      <c r="F2045" s="2"/>
      <c r="G2045" s="2"/>
      <c r="H2045" s="2"/>
      <c r="I2045" s="2"/>
      <c r="J2045" s="2"/>
    </row>
    <row r="2046" ht="15.75" customHeight="1">
      <c r="A2046" s="4" t="str">
        <f>HYPERLINK("https://stackoverflow.com/q/52874947", "52874947")</f>
        <v>52874947</v>
      </c>
      <c r="B2046" s="2" t="s">
        <v>2088</v>
      </c>
      <c r="C2046" s="3"/>
      <c r="D2046" s="3">
        <v>112.0</v>
      </c>
      <c r="E2046" s="2"/>
      <c r="F2046" s="2"/>
      <c r="G2046" s="2"/>
      <c r="H2046" s="2"/>
      <c r="I2046" s="2"/>
      <c r="J2046" s="2"/>
    </row>
    <row r="2047" ht="15.75" customHeight="1">
      <c r="A2047" s="4" t="str">
        <f>HYPERLINK("https://stackoverflow.com/q/42106471", "42106471")</f>
        <v>42106471</v>
      </c>
      <c r="B2047" s="2" t="s">
        <v>2089</v>
      </c>
      <c r="C2047" s="3"/>
      <c r="D2047" s="3">
        <v>111.0</v>
      </c>
      <c r="E2047" s="2" t="s">
        <v>11</v>
      </c>
      <c r="F2047" s="2" t="s">
        <v>12</v>
      </c>
      <c r="G2047" s="2"/>
      <c r="H2047" s="2"/>
      <c r="I2047" s="2"/>
      <c r="J2047" s="2"/>
    </row>
    <row r="2048" ht="15.75" customHeight="1">
      <c r="A2048" s="4" t="str">
        <f>HYPERLINK("https://stackoverflow.com/q/54060551", "54060551")</f>
        <v>54060551</v>
      </c>
      <c r="B2048" s="2" t="s">
        <v>2090</v>
      </c>
      <c r="C2048" s="3"/>
      <c r="D2048" s="3">
        <v>111.0</v>
      </c>
      <c r="E2048" s="2" t="s">
        <v>11</v>
      </c>
      <c r="F2048" s="2" t="s">
        <v>67</v>
      </c>
      <c r="G2048" s="2"/>
      <c r="H2048" s="2"/>
      <c r="I2048" s="2"/>
      <c r="J2048" s="2"/>
    </row>
    <row r="2049" ht="15.75" customHeight="1">
      <c r="A2049" s="4" t="str">
        <f>HYPERLINK("https://stackoverflow.com/q/54473192", "54473192")</f>
        <v>54473192</v>
      </c>
      <c r="B2049" s="2" t="s">
        <v>2091</v>
      </c>
      <c r="C2049" s="3"/>
      <c r="D2049" s="3">
        <v>111.0</v>
      </c>
      <c r="E2049" s="2" t="s">
        <v>11</v>
      </c>
      <c r="F2049" s="2" t="s">
        <v>12</v>
      </c>
      <c r="G2049" s="2"/>
      <c r="H2049" s="2"/>
      <c r="I2049" s="2"/>
      <c r="J2049" s="2"/>
    </row>
    <row r="2050" ht="15.75" customHeight="1">
      <c r="A2050" s="4" t="str">
        <f>HYPERLINK("https://stackoverflow.com/q/42841546", "42841546")</f>
        <v>42841546</v>
      </c>
      <c r="B2050" s="2" t="s">
        <v>2092</v>
      </c>
      <c r="C2050" s="3"/>
      <c r="D2050" s="3">
        <v>111.0</v>
      </c>
      <c r="E2050" s="2" t="s">
        <v>537</v>
      </c>
      <c r="F2050" s="2" t="s">
        <v>194</v>
      </c>
      <c r="G2050" s="2"/>
      <c r="H2050" s="2"/>
      <c r="I2050" s="2"/>
      <c r="J2050" s="2"/>
    </row>
    <row r="2051" ht="15.75" customHeight="1">
      <c r="A2051" s="4" t="str">
        <f>HYPERLINK("https://stackoverflow.com/q/27748865", "27748865")</f>
        <v>27748865</v>
      </c>
      <c r="B2051" s="2" t="s">
        <v>2093</v>
      </c>
      <c r="C2051" s="3"/>
      <c r="D2051" s="3">
        <v>111.0</v>
      </c>
      <c r="E2051" s="2"/>
      <c r="F2051" s="2"/>
      <c r="G2051" s="2"/>
      <c r="H2051" s="2"/>
      <c r="I2051" s="2"/>
      <c r="J2051" s="2"/>
    </row>
    <row r="2052" ht="15.75" customHeight="1">
      <c r="A2052" s="4" t="str">
        <f>HYPERLINK("https://stackoverflow.com/q/45473657", "45473657")</f>
        <v>45473657</v>
      </c>
      <c r="B2052" s="2" t="s">
        <v>2094</v>
      </c>
      <c r="C2052" s="3"/>
      <c r="D2052" s="3">
        <v>111.0</v>
      </c>
      <c r="E2052" s="2"/>
      <c r="F2052" s="2"/>
      <c r="G2052" s="2"/>
      <c r="H2052" s="2"/>
      <c r="I2052" s="2"/>
      <c r="J2052" s="2"/>
    </row>
    <row r="2053" ht="15.75" customHeight="1">
      <c r="A2053" s="4" t="str">
        <f>HYPERLINK("https://stackoverflow.com/q/49375184", "49375184")</f>
        <v>49375184</v>
      </c>
      <c r="B2053" s="2" t="s">
        <v>2095</v>
      </c>
      <c r="C2053" s="3"/>
      <c r="D2053" s="3">
        <v>111.0</v>
      </c>
      <c r="E2053" s="2"/>
      <c r="F2053" s="2"/>
      <c r="G2053" s="2"/>
      <c r="H2053" s="2"/>
      <c r="I2053" s="2"/>
      <c r="J2053" s="2"/>
    </row>
    <row r="2054" ht="15.75" customHeight="1">
      <c r="A2054" s="4" t="str">
        <f>HYPERLINK("https://stackoverflow.com/q/45555483", "45555483")</f>
        <v>45555483</v>
      </c>
      <c r="B2054" s="2" t="s">
        <v>2096</v>
      </c>
      <c r="C2054" s="3"/>
      <c r="D2054" s="3">
        <v>110.0</v>
      </c>
      <c r="E2054" s="2"/>
      <c r="F2054" s="2"/>
      <c r="G2054" s="2"/>
      <c r="H2054" s="2"/>
      <c r="I2054" s="2"/>
      <c r="J2054" s="2"/>
    </row>
    <row r="2055" ht="15.75" customHeight="1">
      <c r="A2055" s="4" t="str">
        <f>HYPERLINK("https://stackoverflow.com/q/50783112", "50783112")</f>
        <v>50783112</v>
      </c>
      <c r="B2055" s="2" t="s">
        <v>2097</v>
      </c>
      <c r="C2055" s="3"/>
      <c r="D2055" s="3">
        <v>110.0</v>
      </c>
      <c r="E2055" s="2"/>
      <c r="F2055" s="2"/>
      <c r="G2055" s="2"/>
      <c r="H2055" s="2"/>
      <c r="I2055" s="2"/>
      <c r="J2055" s="2"/>
    </row>
    <row r="2056" ht="15.75" customHeight="1">
      <c r="A2056" s="4" t="str">
        <f>HYPERLINK("https://stackoverflow.com/q/53644174", "53644174")</f>
        <v>53644174</v>
      </c>
      <c r="B2056" s="2" t="s">
        <v>2098</v>
      </c>
      <c r="C2056" s="3"/>
      <c r="D2056" s="3">
        <v>110.0</v>
      </c>
      <c r="E2056" s="2"/>
      <c r="F2056" s="2"/>
      <c r="G2056" s="2"/>
      <c r="H2056" s="2"/>
      <c r="I2056" s="2"/>
      <c r="J2056" s="2"/>
    </row>
    <row r="2057" ht="15.75" customHeight="1">
      <c r="A2057" s="4" t="str">
        <f>HYPERLINK("https://stackoverflow.com/q/55238384", "55238384")</f>
        <v>55238384</v>
      </c>
      <c r="B2057" s="2" t="s">
        <v>2099</v>
      </c>
      <c r="C2057" s="3"/>
      <c r="D2057" s="3">
        <v>109.0</v>
      </c>
      <c r="E2057" s="2" t="s">
        <v>59</v>
      </c>
      <c r="F2057" s="2" t="s">
        <v>21</v>
      </c>
      <c r="G2057" s="2"/>
      <c r="H2057" s="2"/>
      <c r="I2057" s="2"/>
      <c r="J2057" s="2"/>
    </row>
    <row r="2058" ht="15.75" customHeight="1">
      <c r="A2058" s="4" t="str">
        <f>HYPERLINK("https://stackoverflow.com/q/46541679", "46541679")</f>
        <v>46541679</v>
      </c>
      <c r="B2058" s="2" t="s">
        <v>2100</v>
      </c>
      <c r="C2058" s="3"/>
      <c r="D2058" s="3">
        <v>109.0</v>
      </c>
      <c r="E2058" s="2" t="s">
        <v>11</v>
      </c>
      <c r="F2058" s="2" t="s">
        <v>35</v>
      </c>
      <c r="G2058" s="2"/>
      <c r="H2058" s="2"/>
      <c r="I2058" s="2"/>
      <c r="J2058" s="2"/>
    </row>
    <row r="2059" ht="15.75" customHeight="1">
      <c r="A2059" s="4" t="str">
        <f>HYPERLINK("https://stackoverflow.com/q/55471101", "55471101")</f>
        <v>55471101</v>
      </c>
      <c r="B2059" s="2" t="s">
        <v>2101</v>
      </c>
      <c r="C2059" s="3"/>
      <c r="D2059" s="3">
        <v>109.0</v>
      </c>
      <c r="E2059" s="2" t="s">
        <v>11</v>
      </c>
      <c r="F2059" s="2" t="s">
        <v>67</v>
      </c>
      <c r="G2059" s="2" t="s">
        <v>25</v>
      </c>
      <c r="H2059" s="2"/>
      <c r="I2059" s="2"/>
      <c r="J2059" s="2"/>
    </row>
    <row r="2060" ht="15.75" customHeight="1">
      <c r="A2060" s="4" t="str">
        <f>HYPERLINK("https://stackoverflow.com/q/39108557", "39108557")</f>
        <v>39108557</v>
      </c>
      <c r="B2060" s="2" t="s">
        <v>2102</v>
      </c>
      <c r="C2060" s="3"/>
      <c r="D2060" s="3">
        <v>109.0</v>
      </c>
      <c r="E2060" s="2"/>
      <c r="F2060" s="2"/>
      <c r="G2060" s="2"/>
      <c r="H2060" s="2"/>
      <c r="I2060" s="2"/>
      <c r="J2060" s="2"/>
    </row>
    <row r="2061" ht="15.75" customHeight="1">
      <c r="A2061" s="4" t="str">
        <f>HYPERLINK("https://stackoverflow.com/q/55801290", "55801290")</f>
        <v>55801290</v>
      </c>
      <c r="B2061" s="2" t="s">
        <v>2103</v>
      </c>
      <c r="C2061" s="3"/>
      <c r="D2061" s="3">
        <v>109.0</v>
      </c>
      <c r="E2061" s="2"/>
      <c r="F2061" s="2"/>
      <c r="G2061" s="2"/>
      <c r="H2061" s="2"/>
      <c r="I2061" s="2"/>
      <c r="J2061" s="2"/>
    </row>
    <row r="2062" ht="15.75" customHeight="1">
      <c r="A2062" s="4" t="str">
        <f>HYPERLINK("https://stackoverflow.com/q/60193479", "60193479")</f>
        <v>60193479</v>
      </c>
      <c r="B2062" s="2" t="s">
        <v>2104</v>
      </c>
      <c r="C2062" s="3"/>
      <c r="D2062" s="3">
        <v>109.0</v>
      </c>
      <c r="E2062" s="2"/>
      <c r="F2062" s="2"/>
      <c r="G2062" s="2"/>
      <c r="H2062" s="2"/>
      <c r="I2062" s="2"/>
      <c r="J2062" s="2"/>
    </row>
    <row r="2063" ht="15.75" customHeight="1">
      <c r="A2063" s="4" t="str">
        <f>HYPERLINK("https://stackoverflow.com/q/50766363", "50766363")</f>
        <v>50766363</v>
      </c>
      <c r="B2063" s="2" t="s">
        <v>2105</v>
      </c>
      <c r="C2063" s="3">
        <v>1.0</v>
      </c>
      <c r="D2063" s="3">
        <v>108.0</v>
      </c>
      <c r="E2063" s="2"/>
      <c r="F2063" s="2"/>
      <c r="G2063" s="2"/>
      <c r="H2063" s="2"/>
      <c r="I2063" s="2"/>
      <c r="J2063" s="2"/>
    </row>
    <row r="2064" ht="15.75" customHeight="1">
      <c r="A2064" s="4" t="str">
        <f>HYPERLINK("https://stackoverflow.com/q/43212275", "43212275")</f>
        <v>43212275</v>
      </c>
      <c r="B2064" s="2" t="s">
        <v>2106</v>
      </c>
      <c r="C2064" s="3"/>
      <c r="D2064" s="3">
        <v>108.0</v>
      </c>
      <c r="E2064" s="9" t="s">
        <v>11</v>
      </c>
      <c r="F2064" s="2" t="s">
        <v>16</v>
      </c>
      <c r="G2064" s="2"/>
      <c r="H2064" s="2"/>
      <c r="I2064" s="2"/>
      <c r="J2064" s="2"/>
    </row>
    <row r="2065" ht="15.75" customHeight="1">
      <c r="A2065" s="4" t="str">
        <f>HYPERLINK("https://stackoverflow.com/q/51380757", "51380757")</f>
        <v>51380757</v>
      </c>
      <c r="B2065" s="2" t="s">
        <v>2107</v>
      </c>
      <c r="C2065" s="3"/>
      <c r="D2065" s="3">
        <v>108.0</v>
      </c>
      <c r="E2065" s="2" t="s">
        <v>11</v>
      </c>
      <c r="F2065" s="2" t="s">
        <v>34</v>
      </c>
      <c r="G2065" s="2"/>
      <c r="H2065" s="2"/>
      <c r="I2065" s="2"/>
      <c r="J2065" s="2"/>
    </row>
    <row r="2066" ht="15.75" customHeight="1">
      <c r="A2066" s="4" t="str">
        <f>HYPERLINK("https://stackoverflow.com/q/48651904", "48651904")</f>
        <v>48651904</v>
      </c>
      <c r="B2066" s="2" t="s">
        <v>2108</v>
      </c>
      <c r="C2066" s="3"/>
      <c r="D2066" s="3">
        <v>108.0</v>
      </c>
      <c r="E2066" s="2"/>
      <c r="F2066" s="2"/>
      <c r="G2066" s="2"/>
      <c r="H2066" s="2"/>
      <c r="I2066" s="2"/>
      <c r="J2066" s="2"/>
    </row>
    <row r="2067" ht="15.75" customHeight="1">
      <c r="A2067" s="4" t="str">
        <f>HYPERLINK("https://stackoverflow.com/q/55870883", "55870883")</f>
        <v>55870883</v>
      </c>
      <c r="B2067" s="2" t="s">
        <v>2109</v>
      </c>
      <c r="C2067" s="3"/>
      <c r="D2067" s="3">
        <v>108.0</v>
      </c>
      <c r="E2067" s="2"/>
      <c r="F2067" s="2"/>
      <c r="G2067" s="2"/>
      <c r="H2067" s="2"/>
      <c r="I2067" s="2"/>
      <c r="J2067" s="2"/>
    </row>
    <row r="2068" ht="15.75" customHeight="1">
      <c r="A2068" s="4" t="str">
        <f>HYPERLINK("https://stackoverflow.com/q/57233121", "57233121")</f>
        <v>57233121</v>
      </c>
      <c r="B2068" s="2" t="s">
        <v>2110</v>
      </c>
      <c r="C2068" s="3"/>
      <c r="D2068" s="3">
        <v>108.0</v>
      </c>
      <c r="E2068" s="2"/>
      <c r="F2068" s="2"/>
      <c r="G2068" s="2"/>
      <c r="H2068" s="2"/>
      <c r="I2068" s="2"/>
      <c r="J2068" s="2"/>
    </row>
    <row r="2069" ht="15.75" customHeight="1">
      <c r="A2069" s="4" t="str">
        <f>HYPERLINK("https://stackoverflow.com/q/57836593", "57836593")</f>
        <v>57836593</v>
      </c>
      <c r="B2069" s="2" t="s">
        <v>2111</v>
      </c>
      <c r="C2069" s="3"/>
      <c r="D2069" s="3">
        <v>108.0</v>
      </c>
      <c r="E2069" s="2"/>
      <c r="F2069" s="2"/>
      <c r="G2069" s="2"/>
      <c r="H2069" s="2"/>
      <c r="I2069" s="2"/>
      <c r="J2069" s="2"/>
    </row>
    <row r="2070" ht="15.75" customHeight="1">
      <c r="A2070" s="4" t="str">
        <f>HYPERLINK("https://stackoverflow.com/q/58776201", "58776201")</f>
        <v>58776201</v>
      </c>
      <c r="B2070" s="2" t="s">
        <v>2112</v>
      </c>
      <c r="C2070" s="3"/>
      <c r="D2070" s="3">
        <v>108.0</v>
      </c>
      <c r="E2070" s="2"/>
      <c r="F2070" s="2"/>
      <c r="G2070" s="2"/>
      <c r="H2070" s="2"/>
      <c r="I2070" s="2"/>
      <c r="J2070" s="2"/>
    </row>
    <row r="2071" ht="15.75" customHeight="1">
      <c r="A2071" s="4" t="str">
        <f>HYPERLINK("https://stackoverflow.com/q/59201429", "59201429")</f>
        <v>59201429</v>
      </c>
      <c r="B2071" s="2" t="s">
        <v>2113</v>
      </c>
      <c r="C2071" s="3"/>
      <c r="D2071" s="3">
        <v>108.0</v>
      </c>
      <c r="E2071" s="2"/>
      <c r="F2071" s="2"/>
      <c r="G2071" s="2"/>
      <c r="H2071" s="2"/>
      <c r="I2071" s="2"/>
      <c r="J2071" s="2"/>
    </row>
    <row r="2072" ht="15.75" customHeight="1">
      <c r="A2072" s="4" t="str">
        <f>HYPERLINK("https://stackoverflow.com/q/55864354", "55864354")</f>
        <v>55864354</v>
      </c>
      <c r="B2072" s="2" t="s">
        <v>2114</v>
      </c>
      <c r="C2072" s="3">
        <v>1.0</v>
      </c>
      <c r="D2072" s="3">
        <v>107.0</v>
      </c>
      <c r="E2072" s="2"/>
      <c r="F2072" s="2"/>
      <c r="G2072" s="2"/>
      <c r="H2072" s="2"/>
      <c r="I2072" s="2"/>
      <c r="J2072" s="2"/>
    </row>
    <row r="2073" ht="15.75" customHeight="1">
      <c r="A2073" s="4" t="str">
        <f>HYPERLINK("https://stackoverflow.com/q/56781139", "56781139")</f>
        <v>56781139</v>
      </c>
      <c r="B2073" s="2" t="s">
        <v>2115</v>
      </c>
      <c r="C2073" s="3">
        <v>1.0</v>
      </c>
      <c r="D2073" s="3">
        <v>107.0</v>
      </c>
      <c r="E2073" s="2"/>
      <c r="F2073" s="2"/>
      <c r="G2073" s="2"/>
      <c r="H2073" s="2"/>
      <c r="I2073" s="2"/>
      <c r="J2073" s="2"/>
    </row>
    <row r="2074" ht="15.75" customHeight="1">
      <c r="A2074" s="4" t="str">
        <f>HYPERLINK("https://stackoverflow.com/q/49419372", "49419372")</f>
        <v>49419372</v>
      </c>
      <c r="B2074" s="2" t="s">
        <v>2116</v>
      </c>
      <c r="C2074" s="3"/>
      <c r="D2074" s="3">
        <v>107.0</v>
      </c>
      <c r="E2074" s="2" t="s">
        <v>11</v>
      </c>
      <c r="F2074" s="2" t="s">
        <v>538</v>
      </c>
      <c r="G2074" s="2"/>
      <c r="H2074" s="2"/>
      <c r="I2074" s="2"/>
      <c r="J2074" s="2"/>
    </row>
    <row r="2075" ht="15.75" customHeight="1">
      <c r="A2075" s="4" t="str">
        <f>HYPERLINK("https://stackoverflow.com/q/32987050", "32987050")</f>
        <v>32987050</v>
      </c>
      <c r="B2075" s="2" t="s">
        <v>2117</v>
      </c>
      <c r="C2075" s="3"/>
      <c r="D2075" s="3">
        <v>107.0</v>
      </c>
      <c r="E2075" s="2"/>
      <c r="F2075" s="2"/>
      <c r="G2075" s="2"/>
      <c r="H2075" s="2"/>
      <c r="I2075" s="2"/>
      <c r="J2075" s="2"/>
    </row>
    <row r="2076" ht="15.75" customHeight="1">
      <c r="A2076" s="4" t="str">
        <f>HYPERLINK("https://stackoverflow.com/q/48602318", "48602318")</f>
        <v>48602318</v>
      </c>
      <c r="B2076" s="2" t="s">
        <v>2118</v>
      </c>
      <c r="C2076" s="3"/>
      <c r="D2076" s="3">
        <v>107.0</v>
      </c>
      <c r="E2076" s="2"/>
      <c r="F2076" s="2"/>
      <c r="G2076" s="2"/>
      <c r="H2076" s="2"/>
      <c r="I2076" s="2"/>
      <c r="J2076" s="2"/>
    </row>
    <row r="2077" ht="15.75" customHeight="1">
      <c r="A2077" s="4" t="str">
        <f>HYPERLINK("https://stackoverflow.com/q/49320948", "49320948")</f>
        <v>49320948</v>
      </c>
      <c r="B2077" s="2" t="s">
        <v>2119</v>
      </c>
      <c r="C2077" s="3"/>
      <c r="D2077" s="3">
        <v>107.0</v>
      </c>
      <c r="E2077" s="2"/>
      <c r="F2077" s="2"/>
      <c r="G2077" s="2"/>
      <c r="H2077" s="2"/>
      <c r="I2077" s="2"/>
      <c r="J2077" s="2"/>
    </row>
    <row r="2078" ht="15.75" customHeight="1">
      <c r="A2078" s="4" t="str">
        <f>HYPERLINK("https://stackoverflow.com/q/50407983", "50407983")</f>
        <v>50407983</v>
      </c>
      <c r="B2078" s="2" t="s">
        <v>2120</v>
      </c>
      <c r="C2078" s="3"/>
      <c r="D2078" s="3">
        <v>107.0</v>
      </c>
      <c r="E2078" s="2"/>
      <c r="F2078" s="2"/>
      <c r="G2078" s="2"/>
      <c r="H2078" s="2"/>
      <c r="I2078" s="2"/>
      <c r="J2078" s="2"/>
    </row>
    <row r="2079" ht="15.75" customHeight="1">
      <c r="A2079" s="4" t="str">
        <f>HYPERLINK("https://stackoverflow.com/q/51769448", "51769448")</f>
        <v>51769448</v>
      </c>
      <c r="B2079" s="2" t="s">
        <v>2121</v>
      </c>
      <c r="C2079" s="3"/>
      <c r="D2079" s="3">
        <v>107.0</v>
      </c>
      <c r="E2079" s="2"/>
      <c r="F2079" s="2"/>
      <c r="G2079" s="2"/>
      <c r="H2079" s="2"/>
      <c r="I2079" s="2"/>
      <c r="J2079" s="2"/>
    </row>
    <row r="2080" ht="15.75" customHeight="1">
      <c r="A2080" s="4" t="str">
        <f>HYPERLINK("https://stackoverflow.com/q/52264141", "52264141")</f>
        <v>52264141</v>
      </c>
      <c r="B2080" s="2" t="s">
        <v>2122</v>
      </c>
      <c r="C2080" s="3"/>
      <c r="D2080" s="3">
        <v>107.0</v>
      </c>
      <c r="E2080" s="2"/>
      <c r="F2080" s="2"/>
      <c r="G2080" s="2"/>
      <c r="H2080" s="2"/>
      <c r="I2080" s="2"/>
      <c r="J2080" s="2"/>
    </row>
    <row r="2081" ht="15.75" customHeight="1">
      <c r="A2081" s="4" t="str">
        <f>HYPERLINK("https://stackoverflow.com/q/55684883", "55684883")</f>
        <v>55684883</v>
      </c>
      <c r="B2081" s="2" t="s">
        <v>2123</v>
      </c>
      <c r="C2081" s="3"/>
      <c r="D2081" s="3">
        <v>107.0</v>
      </c>
      <c r="E2081" s="2"/>
      <c r="F2081" s="2"/>
      <c r="G2081" s="2"/>
      <c r="H2081" s="2"/>
      <c r="I2081" s="2"/>
      <c r="J2081" s="2"/>
    </row>
    <row r="2082" ht="15.75" customHeight="1">
      <c r="A2082" s="4" t="str">
        <f>HYPERLINK("https://stackoverflow.com/q/56508970", "56508970")</f>
        <v>56508970</v>
      </c>
      <c r="B2082" s="2" t="s">
        <v>2124</v>
      </c>
      <c r="C2082" s="3"/>
      <c r="D2082" s="3">
        <v>107.0</v>
      </c>
      <c r="E2082" s="2"/>
      <c r="F2082" s="2"/>
      <c r="G2082" s="2"/>
      <c r="H2082" s="2"/>
      <c r="I2082" s="2"/>
      <c r="J2082" s="2"/>
    </row>
    <row r="2083" ht="15.75" customHeight="1">
      <c r="A2083" s="4" t="str">
        <f>HYPERLINK("https://stackoverflow.com/q/19109573", "19109573")</f>
        <v>19109573</v>
      </c>
      <c r="B2083" s="2" t="s">
        <v>2125</v>
      </c>
      <c r="C2083" s="3"/>
      <c r="D2083" s="3">
        <v>106.0</v>
      </c>
      <c r="E2083" s="2"/>
      <c r="F2083" s="2"/>
      <c r="G2083" s="2"/>
      <c r="H2083" s="2"/>
      <c r="I2083" s="2"/>
      <c r="J2083" s="2"/>
    </row>
    <row r="2084" ht="15.75" customHeight="1">
      <c r="A2084" s="4" t="str">
        <f>HYPERLINK("https://stackoverflow.com/q/36643655", "36643655")</f>
        <v>36643655</v>
      </c>
      <c r="B2084" s="2" t="s">
        <v>2126</v>
      </c>
      <c r="C2084" s="3"/>
      <c r="D2084" s="3">
        <v>106.0</v>
      </c>
      <c r="E2084" s="2"/>
      <c r="F2084" s="2"/>
      <c r="G2084" s="2"/>
      <c r="H2084" s="2"/>
      <c r="I2084" s="2"/>
      <c r="J2084" s="2"/>
    </row>
    <row r="2085" ht="15.75" customHeight="1">
      <c r="A2085" s="4" t="str">
        <f>HYPERLINK("https://stackoverflow.com/q/50822695", "50822695")</f>
        <v>50822695</v>
      </c>
      <c r="B2085" s="2" t="s">
        <v>2127</v>
      </c>
      <c r="C2085" s="3"/>
      <c r="D2085" s="3">
        <v>106.0</v>
      </c>
      <c r="E2085" s="2"/>
      <c r="F2085" s="2"/>
      <c r="G2085" s="2"/>
      <c r="H2085" s="2"/>
      <c r="I2085" s="2"/>
      <c r="J2085" s="2"/>
    </row>
    <row r="2086" ht="15.75" customHeight="1">
      <c r="A2086" s="4" t="str">
        <f>HYPERLINK("https://stackoverflow.com/q/52719697", "52719697")</f>
        <v>52719697</v>
      </c>
      <c r="B2086" s="2" t="s">
        <v>2128</v>
      </c>
      <c r="C2086" s="3"/>
      <c r="D2086" s="3">
        <v>106.0</v>
      </c>
      <c r="E2086" s="2"/>
      <c r="F2086" s="2"/>
      <c r="G2086" s="2"/>
      <c r="H2086" s="2"/>
      <c r="I2086" s="2"/>
      <c r="J2086" s="2"/>
    </row>
    <row r="2087" ht="15.75" customHeight="1">
      <c r="A2087" s="4" t="str">
        <f>HYPERLINK("https://stackoverflow.com/q/57731105", "57731105")</f>
        <v>57731105</v>
      </c>
      <c r="B2087" s="2" t="s">
        <v>2129</v>
      </c>
      <c r="C2087" s="3"/>
      <c r="D2087" s="3">
        <v>106.0</v>
      </c>
      <c r="E2087" s="2"/>
      <c r="F2087" s="2"/>
      <c r="G2087" s="2"/>
      <c r="H2087" s="2"/>
      <c r="I2087" s="2"/>
      <c r="J2087" s="2"/>
    </row>
    <row r="2088" ht="15.75" customHeight="1">
      <c r="A2088" s="4" t="str">
        <f>HYPERLINK("https://stackoverflow.com/q/59253188", "59253188")</f>
        <v>59253188</v>
      </c>
      <c r="B2088" s="2" t="s">
        <v>2130</v>
      </c>
      <c r="C2088" s="3"/>
      <c r="D2088" s="3">
        <v>106.0</v>
      </c>
      <c r="E2088" s="2"/>
      <c r="F2088" s="2"/>
      <c r="G2088" s="2"/>
      <c r="H2088" s="2"/>
      <c r="I2088" s="2"/>
      <c r="J2088" s="2"/>
    </row>
    <row r="2089" ht="15.75" customHeight="1">
      <c r="A2089" s="4" t="str">
        <f>HYPERLINK("https://stackoverflow.com/q/46382002", "46382002")</f>
        <v>46382002</v>
      </c>
      <c r="B2089" s="2" t="s">
        <v>2131</v>
      </c>
      <c r="C2089" s="3"/>
      <c r="D2089" s="3">
        <v>105.0</v>
      </c>
      <c r="E2089" s="2" t="s">
        <v>11</v>
      </c>
      <c r="F2089" s="2" t="s">
        <v>25</v>
      </c>
      <c r="G2089" s="2"/>
      <c r="H2089" s="2"/>
      <c r="I2089" s="2"/>
      <c r="J2089" s="2"/>
    </row>
    <row r="2090" ht="15.75" customHeight="1">
      <c r="A2090" s="4" t="str">
        <f>HYPERLINK("https://stackoverflow.com/q/28991453", "28991453")</f>
        <v>28991453</v>
      </c>
      <c r="B2090" s="2" t="s">
        <v>2132</v>
      </c>
      <c r="C2090" s="3"/>
      <c r="D2090" s="3">
        <v>105.0</v>
      </c>
      <c r="E2090" s="2"/>
      <c r="F2090" s="2"/>
      <c r="G2090" s="2"/>
      <c r="H2090" s="2"/>
      <c r="I2090" s="2"/>
      <c r="J2090" s="2"/>
    </row>
    <row r="2091" ht="15.75" customHeight="1">
      <c r="A2091" s="4" t="str">
        <f>HYPERLINK("https://stackoverflow.com/q/52215513", "52215513")</f>
        <v>52215513</v>
      </c>
      <c r="B2091" s="2" t="s">
        <v>2133</v>
      </c>
      <c r="C2091" s="3"/>
      <c r="D2091" s="3">
        <v>105.0</v>
      </c>
      <c r="E2091" s="2"/>
      <c r="F2091" s="2"/>
      <c r="G2091" s="2"/>
      <c r="H2091" s="2"/>
      <c r="I2091" s="2"/>
      <c r="J2091" s="2"/>
    </row>
    <row r="2092" ht="15.75" customHeight="1">
      <c r="A2092" s="4" t="str">
        <f>HYPERLINK("https://stackoverflow.com/q/53664484", "53664484")</f>
        <v>53664484</v>
      </c>
      <c r="B2092" s="2" t="s">
        <v>2134</v>
      </c>
      <c r="C2092" s="3"/>
      <c r="D2092" s="3">
        <v>105.0</v>
      </c>
      <c r="E2092" s="2"/>
      <c r="F2092" s="2"/>
      <c r="G2092" s="2"/>
      <c r="H2092" s="2"/>
      <c r="I2092" s="2"/>
      <c r="J2092" s="2"/>
    </row>
    <row r="2093" ht="15.75" customHeight="1">
      <c r="A2093" s="4" t="str">
        <f>HYPERLINK("https://stackoverflow.com/q/53207169", "53207169")</f>
        <v>53207169</v>
      </c>
      <c r="B2093" s="2" t="s">
        <v>2135</v>
      </c>
      <c r="C2093" s="3"/>
      <c r="D2093" s="3">
        <v>104.0</v>
      </c>
      <c r="E2093" s="2"/>
      <c r="F2093" s="2"/>
      <c r="G2093" s="2"/>
      <c r="H2093" s="2"/>
      <c r="I2093" s="2"/>
      <c r="J2093" s="2"/>
    </row>
    <row r="2094" ht="15.75" customHeight="1">
      <c r="A2094" s="4" t="str">
        <f>HYPERLINK("https://stackoverflow.com/q/53207653", "53207653")</f>
        <v>53207653</v>
      </c>
      <c r="B2094" s="2" t="s">
        <v>2136</v>
      </c>
      <c r="C2094" s="3"/>
      <c r="D2094" s="3">
        <v>104.0</v>
      </c>
      <c r="E2094" s="2"/>
      <c r="F2094" s="2"/>
      <c r="G2094" s="2"/>
      <c r="H2094" s="2"/>
      <c r="I2094" s="2"/>
      <c r="J2094" s="2"/>
    </row>
    <row r="2095" ht="15.75" customHeight="1">
      <c r="A2095" s="4" t="str">
        <f>HYPERLINK("https://stackoverflow.com/q/57794087", "57794087")</f>
        <v>57794087</v>
      </c>
      <c r="B2095" s="2" t="s">
        <v>2137</v>
      </c>
      <c r="C2095" s="3"/>
      <c r="D2095" s="3">
        <v>104.0</v>
      </c>
      <c r="E2095" s="2"/>
      <c r="F2095" s="2"/>
      <c r="G2095" s="2"/>
      <c r="H2095" s="2"/>
      <c r="I2095" s="2"/>
      <c r="J2095" s="2"/>
    </row>
    <row r="2096" ht="15.75" customHeight="1">
      <c r="A2096" s="4" t="str">
        <f>HYPERLINK("https://stackoverflow.com/q/50529981", "50529981")</f>
        <v>50529981</v>
      </c>
      <c r="B2096" s="2" t="s">
        <v>2138</v>
      </c>
      <c r="C2096" s="3">
        <v>1.0</v>
      </c>
      <c r="D2096" s="3">
        <v>103.0</v>
      </c>
      <c r="E2096" s="2"/>
      <c r="F2096" s="2"/>
      <c r="G2096" s="2"/>
      <c r="H2096" s="2"/>
      <c r="I2096" s="2"/>
      <c r="J2096" s="2"/>
    </row>
    <row r="2097" ht="15.75" customHeight="1">
      <c r="A2097" s="4" t="str">
        <f>HYPERLINK("https://stackoverflow.com/q/42809056", "42809056")</f>
        <v>42809056</v>
      </c>
      <c r="B2097" s="2" t="s">
        <v>2139</v>
      </c>
      <c r="C2097" s="3"/>
      <c r="D2097" s="3">
        <v>103.0</v>
      </c>
      <c r="E2097" s="2" t="s">
        <v>11</v>
      </c>
      <c r="F2097" s="2" t="s">
        <v>25</v>
      </c>
      <c r="G2097" s="2"/>
      <c r="H2097" s="2"/>
      <c r="I2097" s="2"/>
      <c r="J2097" s="2"/>
    </row>
    <row r="2098" ht="15.75" customHeight="1">
      <c r="A2098" s="4" t="str">
        <f>HYPERLINK("https://stackoverflow.com/q/52213870", "52213870")</f>
        <v>52213870</v>
      </c>
      <c r="B2098" s="2" t="s">
        <v>2140</v>
      </c>
      <c r="C2098" s="3"/>
      <c r="D2098" s="3">
        <v>103.0</v>
      </c>
      <c r="E2098" s="2"/>
      <c r="F2098" s="2"/>
      <c r="G2098" s="2"/>
      <c r="H2098" s="2"/>
      <c r="I2098" s="2"/>
      <c r="J2098" s="2"/>
    </row>
    <row r="2099" ht="15.75" customHeight="1">
      <c r="A2099" s="4" t="str">
        <f>HYPERLINK("https://stackoverflow.com/q/52498140", "52498140")</f>
        <v>52498140</v>
      </c>
      <c r="B2099" s="2" t="s">
        <v>2141</v>
      </c>
      <c r="C2099" s="3"/>
      <c r="D2099" s="3">
        <v>103.0</v>
      </c>
      <c r="E2099" s="2"/>
      <c r="F2099" s="2"/>
      <c r="G2099" s="2"/>
      <c r="H2099" s="2"/>
      <c r="I2099" s="2"/>
      <c r="J2099" s="2"/>
    </row>
    <row r="2100" ht="15.75" customHeight="1">
      <c r="A2100" s="4" t="str">
        <f>HYPERLINK("https://stackoverflow.com/q/56373250", "56373250")</f>
        <v>56373250</v>
      </c>
      <c r="B2100" s="2" t="s">
        <v>2142</v>
      </c>
      <c r="C2100" s="3"/>
      <c r="D2100" s="3">
        <v>103.0</v>
      </c>
      <c r="E2100" s="2"/>
      <c r="F2100" s="2"/>
      <c r="G2100" s="2"/>
      <c r="H2100" s="2"/>
      <c r="I2100" s="2"/>
      <c r="J2100" s="2"/>
    </row>
    <row r="2101" ht="15.75" customHeight="1">
      <c r="A2101" s="4" t="str">
        <f>HYPERLINK("https://stackoverflow.com/q/56983444", "56983444")</f>
        <v>56983444</v>
      </c>
      <c r="B2101" s="2" t="s">
        <v>2143</v>
      </c>
      <c r="C2101" s="3"/>
      <c r="D2101" s="3">
        <v>103.0</v>
      </c>
      <c r="E2101" s="2"/>
      <c r="F2101" s="2"/>
      <c r="G2101" s="2"/>
      <c r="H2101" s="2"/>
      <c r="I2101" s="2"/>
      <c r="J2101" s="2"/>
    </row>
    <row r="2102" ht="15.75" customHeight="1">
      <c r="A2102" s="4" t="str">
        <f>HYPERLINK("https://stackoverflow.com/q/57609094", "57609094")</f>
        <v>57609094</v>
      </c>
      <c r="B2102" s="2" t="s">
        <v>2144</v>
      </c>
      <c r="C2102" s="3"/>
      <c r="D2102" s="3">
        <v>103.0</v>
      </c>
      <c r="E2102" s="2"/>
      <c r="F2102" s="2"/>
      <c r="G2102" s="2"/>
      <c r="H2102" s="2"/>
      <c r="I2102" s="2"/>
      <c r="J2102" s="2"/>
    </row>
    <row r="2103" ht="15.75" customHeight="1">
      <c r="A2103" s="4" t="str">
        <f>HYPERLINK("https://stackoverflow.com/q/58530732", "58530732")</f>
        <v>58530732</v>
      </c>
      <c r="B2103" s="2" t="s">
        <v>2145</v>
      </c>
      <c r="C2103" s="3"/>
      <c r="D2103" s="3">
        <v>103.0</v>
      </c>
      <c r="E2103" s="2"/>
      <c r="F2103" s="2"/>
      <c r="G2103" s="2"/>
      <c r="H2103" s="2"/>
      <c r="I2103" s="2"/>
      <c r="J2103" s="2"/>
    </row>
    <row r="2104" ht="15.75" customHeight="1">
      <c r="A2104" s="4" t="str">
        <f>HYPERLINK("https://stackoverflow.com/q/58682411", "58682411")</f>
        <v>58682411</v>
      </c>
      <c r="B2104" s="2" t="s">
        <v>2146</v>
      </c>
      <c r="C2104" s="3"/>
      <c r="D2104" s="3">
        <v>103.0</v>
      </c>
      <c r="E2104" s="2"/>
      <c r="F2104" s="2"/>
      <c r="G2104" s="2"/>
      <c r="H2104" s="2"/>
      <c r="I2104" s="2"/>
      <c r="J2104" s="2"/>
    </row>
    <row r="2105" ht="15.75" customHeight="1">
      <c r="A2105" s="4" t="str">
        <f>HYPERLINK("https://stackoverflow.com/q/46271988", "46271988")</f>
        <v>46271988</v>
      </c>
      <c r="B2105" s="2" t="s">
        <v>2147</v>
      </c>
      <c r="C2105" s="3"/>
      <c r="D2105" s="3">
        <v>102.0</v>
      </c>
      <c r="E2105" s="9" t="s">
        <v>11</v>
      </c>
      <c r="F2105" s="2" t="s">
        <v>18</v>
      </c>
      <c r="G2105" s="2"/>
      <c r="H2105" s="2"/>
      <c r="I2105" s="2"/>
      <c r="J2105" s="2"/>
    </row>
    <row r="2106" ht="15.75" customHeight="1">
      <c r="A2106" s="4" t="str">
        <f>HYPERLINK("https://stackoverflow.com/q/46378576", "46378576")</f>
        <v>46378576</v>
      </c>
      <c r="B2106" s="2" t="s">
        <v>2148</v>
      </c>
      <c r="C2106" s="3"/>
      <c r="D2106" s="3">
        <v>102.0</v>
      </c>
      <c r="E2106" s="2" t="s">
        <v>11</v>
      </c>
      <c r="F2106" s="2" t="s">
        <v>14</v>
      </c>
      <c r="G2106" s="2"/>
      <c r="H2106" s="2"/>
      <c r="I2106" s="2"/>
      <c r="J2106" s="2"/>
    </row>
    <row r="2107" ht="15.75" customHeight="1">
      <c r="A2107" s="4" t="str">
        <f>HYPERLINK("https://stackoverflow.com/q/46574894", "46574894")</f>
        <v>46574894</v>
      </c>
      <c r="B2107" s="2" t="s">
        <v>2149</v>
      </c>
      <c r="C2107" s="3"/>
      <c r="D2107" s="3">
        <v>102.0</v>
      </c>
      <c r="E2107" s="2" t="s">
        <v>11</v>
      </c>
      <c r="F2107" s="2" t="s">
        <v>28</v>
      </c>
      <c r="G2107" s="2"/>
      <c r="H2107" s="2"/>
      <c r="I2107" s="2"/>
      <c r="J2107" s="2"/>
    </row>
    <row r="2108" ht="15.75" customHeight="1">
      <c r="A2108" s="4" t="str">
        <f>HYPERLINK("https://stackoverflow.com/q/53887719", "53887719")</f>
        <v>53887719</v>
      </c>
      <c r="B2108" s="2" t="s">
        <v>2150</v>
      </c>
      <c r="C2108" s="3"/>
      <c r="D2108" s="3">
        <v>102.0</v>
      </c>
      <c r="E2108" s="2" t="s">
        <v>11</v>
      </c>
      <c r="F2108" s="2" t="s">
        <v>263</v>
      </c>
      <c r="G2108" s="2"/>
      <c r="H2108" s="2"/>
      <c r="I2108" s="2"/>
      <c r="J2108" s="2"/>
    </row>
    <row r="2109" ht="15.75" customHeight="1">
      <c r="A2109" s="4" t="str">
        <f>HYPERLINK("https://stackoverflow.com/q/19654786", "19654786")</f>
        <v>19654786</v>
      </c>
      <c r="B2109" s="2" t="s">
        <v>2151</v>
      </c>
      <c r="C2109" s="3"/>
      <c r="D2109" s="3">
        <v>102.0</v>
      </c>
      <c r="E2109" s="2"/>
      <c r="F2109" s="2"/>
      <c r="G2109" s="2"/>
      <c r="H2109" s="2"/>
      <c r="I2109" s="2"/>
      <c r="J2109" s="2"/>
    </row>
    <row r="2110" ht="15.75" customHeight="1">
      <c r="A2110" s="4" t="str">
        <f>HYPERLINK("https://stackoverflow.com/q/43170471", "43170471")</f>
        <v>43170471</v>
      </c>
      <c r="B2110" s="2" t="s">
        <v>2152</v>
      </c>
      <c r="C2110" s="3"/>
      <c r="D2110" s="3">
        <v>102.0</v>
      </c>
      <c r="E2110" s="2"/>
      <c r="F2110" s="2" t="s">
        <v>23</v>
      </c>
      <c r="G2110" s="2"/>
      <c r="H2110" s="2"/>
      <c r="I2110" s="2"/>
      <c r="J2110" s="2"/>
    </row>
    <row r="2111" ht="15.75" customHeight="1">
      <c r="A2111" s="4" t="str">
        <f>HYPERLINK("https://stackoverflow.com/q/45045520", "45045520")</f>
        <v>45045520</v>
      </c>
      <c r="B2111" s="2" t="s">
        <v>2153</v>
      </c>
      <c r="C2111" s="3"/>
      <c r="D2111" s="3">
        <v>102.0</v>
      </c>
      <c r="E2111" s="2"/>
      <c r="F2111" s="2"/>
      <c r="G2111" s="2"/>
      <c r="H2111" s="2"/>
      <c r="I2111" s="2"/>
      <c r="J2111" s="2"/>
    </row>
    <row r="2112" ht="15.75" customHeight="1">
      <c r="A2112" s="4" t="str">
        <f>HYPERLINK("https://stackoverflow.com/q/45238254", "45238254")</f>
        <v>45238254</v>
      </c>
      <c r="B2112" s="2" t="s">
        <v>2154</v>
      </c>
      <c r="C2112" s="3"/>
      <c r="D2112" s="3">
        <v>102.0</v>
      </c>
      <c r="E2112" s="2"/>
      <c r="F2112" s="2"/>
      <c r="G2112" s="2"/>
      <c r="H2112" s="2"/>
      <c r="I2112" s="2"/>
      <c r="J2112" s="2"/>
    </row>
    <row r="2113" ht="15.75" customHeight="1">
      <c r="A2113" s="4" t="str">
        <f>HYPERLINK("https://stackoverflow.com/q/49528679", "49528679")</f>
        <v>49528679</v>
      </c>
      <c r="B2113" s="2" t="s">
        <v>2155</v>
      </c>
      <c r="C2113" s="3"/>
      <c r="D2113" s="3">
        <v>102.0</v>
      </c>
      <c r="E2113" s="2"/>
      <c r="F2113" s="2"/>
      <c r="G2113" s="2"/>
      <c r="H2113" s="2"/>
      <c r="I2113" s="2"/>
      <c r="J2113" s="2"/>
    </row>
    <row r="2114" ht="15.75" customHeight="1">
      <c r="A2114" s="4" t="str">
        <f>HYPERLINK("https://stackoverflow.com/q/60543867", "60543867")</f>
        <v>60543867</v>
      </c>
      <c r="B2114" s="2" t="s">
        <v>2156</v>
      </c>
      <c r="C2114" s="3"/>
      <c r="D2114" s="3">
        <v>102.0</v>
      </c>
      <c r="E2114" s="2"/>
      <c r="F2114" s="2"/>
      <c r="G2114" s="2"/>
      <c r="H2114" s="2"/>
      <c r="I2114" s="2"/>
      <c r="J2114" s="2"/>
    </row>
    <row r="2115" ht="15.75" customHeight="1">
      <c r="A2115" s="4" t="str">
        <f>HYPERLINK("https://stackoverflow.com/q/50764255", "50764255")</f>
        <v>50764255</v>
      </c>
      <c r="B2115" s="2" t="s">
        <v>2157</v>
      </c>
      <c r="C2115" s="3">
        <v>0.0</v>
      </c>
      <c r="D2115" s="3">
        <v>101.0</v>
      </c>
      <c r="E2115" s="2"/>
      <c r="F2115" s="2"/>
      <c r="G2115" s="2"/>
      <c r="H2115" s="2"/>
      <c r="I2115" s="2"/>
      <c r="J2115" s="2"/>
    </row>
    <row r="2116" ht="15.75" customHeight="1">
      <c r="A2116" s="4" t="str">
        <f>HYPERLINK("https://stackoverflow.com/q/54011731", "54011731")</f>
        <v>54011731</v>
      </c>
      <c r="B2116" s="2" t="s">
        <v>2158</v>
      </c>
      <c r="C2116" s="3"/>
      <c r="D2116" s="3">
        <v>101.0</v>
      </c>
      <c r="E2116" s="9" t="s">
        <v>11</v>
      </c>
      <c r="F2116" s="2" t="s">
        <v>18</v>
      </c>
      <c r="G2116" s="2"/>
      <c r="H2116" s="2"/>
      <c r="I2116" s="2"/>
      <c r="J2116" s="2"/>
    </row>
    <row r="2117" ht="15.75" customHeight="1">
      <c r="A2117" s="4" t="str">
        <f>HYPERLINK("https://stackoverflow.com/q/36565321", "36565321")</f>
        <v>36565321</v>
      </c>
      <c r="B2117" s="2" t="s">
        <v>2159</v>
      </c>
      <c r="C2117" s="3"/>
      <c r="D2117" s="3">
        <v>101.0</v>
      </c>
      <c r="E2117" s="2"/>
      <c r="F2117" s="2"/>
      <c r="G2117" s="2"/>
      <c r="H2117" s="2"/>
      <c r="I2117" s="2"/>
      <c r="J2117" s="2"/>
    </row>
    <row r="2118" ht="15.75" customHeight="1">
      <c r="A2118" s="4" t="str">
        <f>HYPERLINK("https://stackoverflow.com/q/52648963", "52648963")</f>
        <v>52648963</v>
      </c>
      <c r="B2118" s="2" t="s">
        <v>2160</v>
      </c>
      <c r="C2118" s="3"/>
      <c r="D2118" s="3">
        <v>101.0</v>
      </c>
      <c r="E2118" s="2"/>
      <c r="F2118" s="2"/>
      <c r="G2118" s="2"/>
      <c r="H2118" s="2"/>
      <c r="I2118" s="2"/>
      <c r="J2118" s="2"/>
    </row>
    <row r="2119" ht="15.75" customHeight="1">
      <c r="A2119" s="4" t="str">
        <f>HYPERLINK("https://stackoverflow.com/q/53303701", "53303701")</f>
        <v>53303701</v>
      </c>
      <c r="B2119" s="2" t="s">
        <v>2161</v>
      </c>
      <c r="C2119" s="3"/>
      <c r="D2119" s="3">
        <v>101.0</v>
      </c>
      <c r="E2119" s="2"/>
      <c r="F2119" s="2"/>
      <c r="G2119" s="2"/>
      <c r="H2119" s="2"/>
      <c r="I2119" s="2"/>
      <c r="J2119" s="2"/>
    </row>
    <row r="2120" ht="15.75" customHeight="1">
      <c r="A2120" s="4" t="str">
        <f>HYPERLINK("https://stackoverflow.com/q/53513775", "53513775")</f>
        <v>53513775</v>
      </c>
      <c r="B2120" s="2" t="s">
        <v>2162</v>
      </c>
      <c r="C2120" s="3"/>
      <c r="D2120" s="3">
        <v>101.0</v>
      </c>
      <c r="E2120" s="2"/>
      <c r="F2120" s="2"/>
      <c r="G2120" s="2"/>
      <c r="H2120" s="2"/>
      <c r="I2120" s="2"/>
      <c r="J2120" s="2"/>
    </row>
    <row r="2121" ht="15.75" customHeight="1">
      <c r="A2121" s="4" t="str">
        <f>HYPERLINK("https://stackoverflow.com/q/55721339", "55721339")</f>
        <v>55721339</v>
      </c>
      <c r="B2121" s="2" t="s">
        <v>2163</v>
      </c>
      <c r="C2121" s="3"/>
      <c r="D2121" s="3">
        <v>101.0</v>
      </c>
      <c r="E2121" s="2"/>
      <c r="F2121" s="2"/>
      <c r="G2121" s="2"/>
      <c r="H2121" s="2"/>
      <c r="I2121" s="2"/>
      <c r="J2121" s="2"/>
    </row>
    <row r="2122" ht="15.75" customHeight="1">
      <c r="A2122" s="4" t="str">
        <f>HYPERLINK("https://stackoverflow.com/q/56746025", "56746025")</f>
        <v>56746025</v>
      </c>
      <c r="B2122" s="2" t="s">
        <v>2164</v>
      </c>
      <c r="C2122" s="3"/>
      <c r="D2122" s="3">
        <v>101.0</v>
      </c>
      <c r="E2122" s="2"/>
      <c r="F2122" s="2"/>
      <c r="G2122" s="2"/>
      <c r="H2122" s="2"/>
      <c r="I2122" s="2"/>
      <c r="J2122" s="2"/>
    </row>
    <row r="2123" ht="15.75" customHeight="1">
      <c r="A2123" s="4" t="str">
        <f>HYPERLINK("https://stackoverflow.com/q/57523091", "57523091")</f>
        <v>57523091</v>
      </c>
      <c r="B2123" s="2" t="s">
        <v>2165</v>
      </c>
      <c r="C2123" s="3"/>
      <c r="D2123" s="3">
        <v>101.0</v>
      </c>
      <c r="E2123" s="2"/>
      <c r="F2123" s="2"/>
      <c r="G2123" s="2"/>
      <c r="H2123" s="2"/>
      <c r="I2123" s="2"/>
      <c r="J2123" s="2"/>
    </row>
    <row r="2124" ht="15.75" customHeight="1">
      <c r="A2124" s="4" t="str">
        <f>HYPERLINK("https://stackoverflow.com/q/58470460", "58470460")</f>
        <v>58470460</v>
      </c>
      <c r="B2124" s="2" t="s">
        <v>2166</v>
      </c>
      <c r="C2124" s="3"/>
      <c r="D2124" s="3">
        <v>101.0</v>
      </c>
      <c r="E2124" s="2"/>
      <c r="F2124" s="2"/>
      <c r="G2124" s="2"/>
      <c r="H2124" s="2"/>
      <c r="I2124" s="2"/>
      <c r="J2124" s="2"/>
    </row>
    <row r="2125" ht="15.75" customHeight="1">
      <c r="A2125" s="4" t="str">
        <f>HYPERLINK("https://stackoverflow.com/q/55489868", "55489868")</f>
        <v>55489868</v>
      </c>
      <c r="B2125" s="2" t="s">
        <v>2167</v>
      </c>
      <c r="C2125" s="3">
        <v>1.0</v>
      </c>
      <c r="D2125" s="3">
        <v>100.0</v>
      </c>
      <c r="E2125" s="9" t="s">
        <v>11</v>
      </c>
      <c r="F2125" s="2" t="s">
        <v>16</v>
      </c>
      <c r="G2125" s="2"/>
      <c r="H2125" s="2"/>
      <c r="I2125" s="2"/>
      <c r="J2125" s="2"/>
    </row>
    <row r="2126" ht="15.75" customHeight="1">
      <c r="A2126" s="4" t="str">
        <f>HYPERLINK("https://stackoverflow.com/q/57523759", "57523759")</f>
        <v>57523759</v>
      </c>
      <c r="B2126" s="2" t="s">
        <v>2168</v>
      </c>
      <c r="C2126" s="3">
        <v>0.0</v>
      </c>
      <c r="D2126" s="3">
        <v>100.0</v>
      </c>
      <c r="E2126" s="2"/>
      <c r="F2126" s="2"/>
      <c r="G2126" s="2"/>
      <c r="H2126" s="2"/>
      <c r="I2126" s="2"/>
      <c r="J2126" s="2"/>
    </row>
    <row r="2127" ht="15.75" customHeight="1">
      <c r="A2127" s="4" t="str">
        <f>HYPERLINK("https://stackoverflow.com/q/43454426", "43454426")</f>
        <v>43454426</v>
      </c>
      <c r="B2127" s="2" t="s">
        <v>2169</v>
      </c>
      <c r="C2127" s="3"/>
      <c r="D2127" s="3">
        <v>100.0</v>
      </c>
      <c r="E2127" s="2" t="s">
        <v>11</v>
      </c>
      <c r="F2127" s="2" t="s">
        <v>25</v>
      </c>
      <c r="G2127" s="2"/>
      <c r="H2127" s="2"/>
      <c r="I2127" s="2"/>
      <c r="J2127" s="2"/>
    </row>
    <row r="2128" ht="15.75" customHeight="1">
      <c r="A2128" s="4" t="str">
        <f>HYPERLINK("https://stackoverflow.com/q/53742356", "53742356")</f>
        <v>53742356</v>
      </c>
      <c r="B2128" s="2" t="s">
        <v>2170</v>
      </c>
      <c r="C2128" s="3"/>
      <c r="D2128" s="3">
        <v>100.0</v>
      </c>
      <c r="E2128" s="2"/>
      <c r="F2128" s="2"/>
      <c r="G2128" s="2"/>
      <c r="H2128" s="2"/>
      <c r="I2128" s="2"/>
      <c r="J2128" s="2"/>
    </row>
    <row r="2129" ht="15.75" customHeight="1">
      <c r="A2129" s="4" t="str">
        <f>HYPERLINK("https://stackoverflow.com/q/55881794", "55881794")</f>
        <v>55881794</v>
      </c>
      <c r="B2129" s="2" t="s">
        <v>2171</v>
      </c>
      <c r="C2129" s="3"/>
      <c r="D2129" s="3">
        <v>100.0</v>
      </c>
      <c r="E2129" s="2"/>
      <c r="F2129" s="2"/>
      <c r="G2129" s="2"/>
      <c r="H2129" s="2"/>
      <c r="I2129" s="2"/>
      <c r="J2129" s="2"/>
    </row>
    <row r="2130" ht="15.75" customHeight="1">
      <c r="A2130" s="4" t="str">
        <f>HYPERLINK("https://stackoverflow.com/q/57710817", "57710817")</f>
        <v>57710817</v>
      </c>
      <c r="B2130" s="2" t="s">
        <v>2172</v>
      </c>
      <c r="C2130" s="3"/>
      <c r="D2130" s="3">
        <v>100.0</v>
      </c>
      <c r="E2130" s="2"/>
      <c r="F2130" s="2"/>
      <c r="G2130" s="2"/>
      <c r="H2130" s="2"/>
      <c r="I2130" s="2"/>
      <c r="J2130" s="2"/>
    </row>
    <row r="2131" ht="15.75" customHeight="1">
      <c r="A2131" s="4" t="str">
        <f>HYPERLINK("https://stackoverflow.com/q/59022984", "59022984")</f>
        <v>59022984</v>
      </c>
      <c r="B2131" s="2" t="s">
        <v>2173</v>
      </c>
      <c r="C2131" s="3"/>
      <c r="D2131" s="3">
        <v>100.0</v>
      </c>
      <c r="E2131" s="2"/>
      <c r="F2131" s="2"/>
      <c r="G2131" s="2"/>
      <c r="H2131" s="2"/>
      <c r="I2131" s="2"/>
      <c r="J2131" s="2"/>
    </row>
    <row r="2132" ht="15.75" customHeight="1">
      <c r="A2132" s="4" t="str">
        <f>HYPERLINK("https://stackoverflow.com/q/55559831", "55559831")</f>
        <v>55559831</v>
      </c>
      <c r="B2132" s="2" t="s">
        <v>2174</v>
      </c>
      <c r="C2132" s="3">
        <v>1.0</v>
      </c>
      <c r="D2132" s="3">
        <v>99.0</v>
      </c>
      <c r="E2132" s="2" t="s">
        <v>11</v>
      </c>
      <c r="F2132" s="2" t="s">
        <v>44</v>
      </c>
      <c r="G2132" s="2"/>
      <c r="H2132" s="2"/>
      <c r="I2132" s="2"/>
      <c r="J2132" s="2"/>
    </row>
    <row r="2133" ht="15.75" customHeight="1">
      <c r="A2133" s="4" t="str">
        <f>HYPERLINK("https://stackoverflow.com/q/47800766", "47800766")</f>
        <v>47800766</v>
      </c>
      <c r="B2133" s="2" t="s">
        <v>2175</v>
      </c>
      <c r="C2133" s="3"/>
      <c r="D2133" s="3">
        <v>99.0</v>
      </c>
      <c r="E2133" s="9" t="s">
        <v>11</v>
      </c>
      <c r="F2133" s="2" t="s">
        <v>18</v>
      </c>
      <c r="G2133" s="2"/>
      <c r="H2133" s="2"/>
      <c r="I2133" s="2"/>
      <c r="J2133" s="2"/>
    </row>
    <row r="2134" ht="15.75" customHeight="1">
      <c r="A2134" s="4" t="str">
        <f>HYPERLINK("https://stackoverflow.com/q/54398761", "54398761")</f>
        <v>54398761</v>
      </c>
      <c r="B2134" s="2" t="s">
        <v>2176</v>
      </c>
      <c r="C2134" s="3"/>
      <c r="D2134" s="3">
        <v>99.0</v>
      </c>
      <c r="E2134" s="2" t="s">
        <v>11</v>
      </c>
      <c r="F2134" s="2" t="s">
        <v>12</v>
      </c>
      <c r="G2134" s="2"/>
      <c r="H2134" s="2"/>
      <c r="I2134" s="2"/>
      <c r="J2134" s="2"/>
    </row>
    <row r="2135" ht="15.75" customHeight="1">
      <c r="A2135" s="4" t="str">
        <f>HYPERLINK("https://stackoverflow.com/q/55006077", "55006077")</f>
        <v>55006077</v>
      </c>
      <c r="B2135" s="2" t="s">
        <v>2177</v>
      </c>
      <c r="C2135" s="3"/>
      <c r="D2135" s="3">
        <v>99.0</v>
      </c>
      <c r="E2135" s="9" t="s">
        <v>11</v>
      </c>
      <c r="F2135" s="2" t="s">
        <v>18</v>
      </c>
      <c r="G2135" s="2"/>
      <c r="H2135" s="2"/>
      <c r="I2135" s="2"/>
      <c r="J2135" s="2"/>
    </row>
    <row r="2136" ht="15.75" customHeight="1">
      <c r="A2136" s="4" t="str">
        <f>HYPERLINK("https://stackoverflow.com/q/49928032", "49928032")</f>
        <v>49928032</v>
      </c>
      <c r="B2136" s="2" t="s">
        <v>2178</v>
      </c>
      <c r="C2136" s="3"/>
      <c r="D2136" s="3">
        <v>99.0</v>
      </c>
      <c r="E2136" s="2"/>
      <c r="F2136" s="2"/>
      <c r="G2136" s="2"/>
      <c r="H2136" s="2"/>
      <c r="I2136" s="2"/>
      <c r="J2136" s="2"/>
    </row>
    <row r="2137" ht="15.75" customHeight="1">
      <c r="A2137" s="4" t="str">
        <f>HYPERLINK("https://stackoverflow.com/q/51411038", "51411038")</f>
        <v>51411038</v>
      </c>
      <c r="B2137" s="2" t="s">
        <v>2179</v>
      </c>
      <c r="C2137" s="3"/>
      <c r="D2137" s="3">
        <v>99.0</v>
      </c>
      <c r="E2137" s="2"/>
      <c r="F2137" s="2"/>
      <c r="G2137" s="2"/>
      <c r="H2137" s="2"/>
      <c r="I2137" s="2"/>
      <c r="J2137" s="2"/>
    </row>
    <row r="2138" ht="15.75" customHeight="1">
      <c r="A2138" s="4" t="str">
        <f>HYPERLINK("https://stackoverflow.com/q/56227348", "56227348")</f>
        <v>56227348</v>
      </c>
      <c r="B2138" s="2" t="s">
        <v>2180</v>
      </c>
      <c r="C2138" s="3"/>
      <c r="D2138" s="3">
        <v>99.0</v>
      </c>
      <c r="E2138" s="2"/>
      <c r="F2138" s="2"/>
      <c r="G2138" s="2"/>
      <c r="H2138" s="2"/>
      <c r="I2138" s="2"/>
      <c r="J2138" s="2"/>
    </row>
    <row r="2139" ht="15.75" customHeight="1">
      <c r="A2139" s="4" t="str">
        <f>HYPERLINK("https://stackoverflow.com/q/57516603", "57516603")</f>
        <v>57516603</v>
      </c>
      <c r="B2139" s="2" t="s">
        <v>2181</v>
      </c>
      <c r="C2139" s="3"/>
      <c r="D2139" s="3">
        <v>99.0</v>
      </c>
      <c r="E2139" s="2"/>
      <c r="F2139" s="2"/>
      <c r="G2139" s="2"/>
      <c r="H2139" s="2"/>
      <c r="I2139" s="2"/>
      <c r="J2139" s="2"/>
    </row>
    <row r="2140" ht="15.75" customHeight="1">
      <c r="A2140" s="4" t="str">
        <f>HYPERLINK("https://stackoverflow.com/q/41987911", "41987911")</f>
        <v>41987911</v>
      </c>
      <c r="B2140" s="2" t="s">
        <v>2182</v>
      </c>
      <c r="C2140" s="3"/>
      <c r="D2140" s="3">
        <v>98.0</v>
      </c>
      <c r="E2140" s="2" t="s">
        <v>11</v>
      </c>
      <c r="F2140" s="2" t="s">
        <v>25</v>
      </c>
      <c r="G2140" s="2"/>
      <c r="H2140" s="2"/>
      <c r="I2140" s="2"/>
      <c r="J2140" s="2"/>
    </row>
    <row r="2141" ht="15.75" customHeight="1">
      <c r="A2141" s="4" t="str">
        <f>HYPERLINK("https://stackoverflow.com/q/52642674", "52642674")</f>
        <v>52642674</v>
      </c>
      <c r="B2141" s="2" t="s">
        <v>2183</v>
      </c>
      <c r="C2141" s="3"/>
      <c r="D2141" s="3">
        <v>98.0</v>
      </c>
      <c r="E2141" s="2"/>
      <c r="F2141" s="2"/>
      <c r="G2141" s="2"/>
      <c r="H2141" s="2"/>
      <c r="I2141" s="2"/>
      <c r="J2141" s="2"/>
    </row>
    <row r="2142" ht="15.75" customHeight="1">
      <c r="A2142" s="4" t="str">
        <f>HYPERLINK("https://stackoverflow.com/q/58134573", "58134573")</f>
        <v>58134573</v>
      </c>
      <c r="B2142" s="2" t="s">
        <v>2184</v>
      </c>
      <c r="C2142" s="3"/>
      <c r="D2142" s="3">
        <v>98.0</v>
      </c>
      <c r="E2142" s="2"/>
      <c r="F2142" s="2"/>
      <c r="G2142" s="2"/>
      <c r="H2142" s="2"/>
      <c r="I2142" s="2"/>
      <c r="J2142" s="2"/>
    </row>
    <row r="2143" ht="15.75" customHeight="1">
      <c r="A2143" s="4" t="str">
        <f>HYPERLINK("https://stackoverflow.com/q/59434557", "59434557")</f>
        <v>59434557</v>
      </c>
      <c r="B2143" s="2" t="s">
        <v>2185</v>
      </c>
      <c r="C2143" s="3"/>
      <c r="D2143" s="3">
        <v>98.0</v>
      </c>
      <c r="E2143" s="2"/>
      <c r="F2143" s="2"/>
      <c r="G2143" s="2"/>
      <c r="H2143" s="2"/>
      <c r="I2143" s="2"/>
      <c r="J2143" s="2"/>
    </row>
    <row r="2144" ht="15.75" customHeight="1">
      <c r="A2144" s="4" t="str">
        <f>HYPERLINK("https://stackoverflow.com/q/55207558", "55207558")</f>
        <v>55207558</v>
      </c>
      <c r="B2144" s="2" t="s">
        <v>2186</v>
      </c>
      <c r="C2144" s="3">
        <v>1.0</v>
      </c>
      <c r="D2144" s="3">
        <v>97.0</v>
      </c>
      <c r="E2144" s="2" t="s">
        <v>59</v>
      </c>
      <c r="F2144" s="2" t="s">
        <v>538</v>
      </c>
      <c r="G2144" s="2"/>
      <c r="H2144" s="2"/>
      <c r="I2144" s="2"/>
      <c r="J2144" s="2"/>
    </row>
    <row r="2145" ht="15.75" customHeight="1">
      <c r="A2145" s="4" t="str">
        <f>HYPERLINK("https://stackoverflow.com/q/48817664", "48817664")</f>
        <v>48817664</v>
      </c>
      <c r="B2145" s="2" t="s">
        <v>2187</v>
      </c>
      <c r="C2145" s="3"/>
      <c r="D2145" s="3">
        <v>97.0</v>
      </c>
      <c r="E2145" s="2"/>
      <c r="F2145" s="2"/>
      <c r="G2145" s="2"/>
      <c r="H2145" s="2"/>
      <c r="I2145" s="2"/>
      <c r="J2145" s="2"/>
    </row>
    <row r="2146" ht="15.75" customHeight="1">
      <c r="A2146" s="4" t="str">
        <f>HYPERLINK("https://stackoverflow.com/q/55875490", "55875490")</f>
        <v>55875490</v>
      </c>
      <c r="B2146" s="2" t="s">
        <v>2188</v>
      </c>
      <c r="C2146" s="3"/>
      <c r="D2146" s="3">
        <v>97.0</v>
      </c>
      <c r="E2146" s="2"/>
      <c r="F2146" s="2"/>
      <c r="G2146" s="2"/>
      <c r="H2146" s="2"/>
      <c r="I2146" s="2"/>
      <c r="J2146" s="2"/>
    </row>
    <row r="2147" ht="15.75" customHeight="1">
      <c r="A2147" s="4" t="str">
        <f>HYPERLINK("https://stackoverflow.com/q/57564400", "57564400")</f>
        <v>57564400</v>
      </c>
      <c r="B2147" s="2" t="s">
        <v>2189</v>
      </c>
      <c r="C2147" s="3"/>
      <c r="D2147" s="3">
        <v>97.0</v>
      </c>
      <c r="E2147" s="2"/>
      <c r="F2147" s="2"/>
      <c r="G2147" s="2"/>
      <c r="H2147" s="2"/>
      <c r="I2147" s="2"/>
      <c r="J2147" s="2"/>
    </row>
    <row r="2148" ht="15.75" customHeight="1">
      <c r="A2148" s="4" t="str">
        <f>HYPERLINK("https://stackoverflow.com/q/58170140", "58170140")</f>
        <v>58170140</v>
      </c>
      <c r="B2148" s="2" t="s">
        <v>2190</v>
      </c>
      <c r="C2148" s="3"/>
      <c r="D2148" s="3">
        <v>97.0</v>
      </c>
      <c r="E2148" s="2"/>
      <c r="F2148" s="2"/>
      <c r="G2148" s="2"/>
      <c r="H2148" s="2"/>
      <c r="I2148" s="2"/>
      <c r="J2148" s="2"/>
    </row>
    <row r="2149" ht="15.75" customHeight="1">
      <c r="A2149" s="4" t="str">
        <f>HYPERLINK("https://stackoverflow.com/q/58976356", "58976356")</f>
        <v>58976356</v>
      </c>
      <c r="B2149" s="2" t="s">
        <v>2191</v>
      </c>
      <c r="C2149" s="3"/>
      <c r="D2149" s="3">
        <v>97.0</v>
      </c>
      <c r="E2149" s="2"/>
      <c r="F2149" s="2"/>
      <c r="G2149" s="2"/>
      <c r="H2149" s="2"/>
      <c r="I2149" s="2"/>
      <c r="J2149" s="2"/>
    </row>
    <row r="2150" ht="15.75" customHeight="1">
      <c r="A2150" s="4" t="str">
        <f>HYPERLINK("https://stackoverflow.com/q/59475173", "59475173")</f>
        <v>59475173</v>
      </c>
      <c r="B2150" s="2" t="s">
        <v>2192</v>
      </c>
      <c r="C2150" s="3"/>
      <c r="D2150" s="3">
        <v>97.0</v>
      </c>
      <c r="E2150" s="2"/>
      <c r="F2150" s="2"/>
      <c r="G2150" s="2"/>
      <c r="H2150" s="2"/>
      <c r="I2150" s="2"/>
      <c r="J2150" s="2"/>
    </row>
    <row r="2151" ht="15.75" customHeight="1">
      <c r="A2151" s="4" t="str">
        <f>HYPERLINK("https://stackoverflow.com/q/46595947", "46595947")</f>
        <v>46595947</v>
      </c>
      <c r="B2151" s="2" t="s">
        <v>2193</v>
      </c>
      <c r="C2151" s="3">
        <v>1.0</v>
      </c>
      <c r="D2151" s="3">
        <v>96.0</v>
      </c>
      <c r="E2151" s="2" t="s">
        <v>11</v>
      </c>
      <c r="F2151" s="2" t="s">
        <v>67</v>
      </c>
      <c r="G2151" s="2"/>
      <c r="H2151" s="2"/>
      <c r="I2151" s="2"/>
      <c r="J2151" s="2"/>
    </row>
    <row r="2152" ht="15.75" customHeight="1">
      <c r="A2152" s="4" t="str">
        <f>HYPERLINK("https://stackoverflow.com/q/52898741", "52898741")</f>
        <v>52898741</v>
      </c>
      <c r="B2152" s="2" t="s">
        <v>2194</v>
      </c>
      <c r="C2152" s="3"/>
      <c r="D2152" s="3">
        <v>96.0</v>
      </c>
      <c r="E2152" s="2"/>
      <c r="F2152" s="2"/>
      <c r="G2152" s="2"/>
      <c r="H2152" s="2"/>
      <c r="I2152" s="2"/>
      <c r="J2152" s="2"/>
    </row>
    <row r="2153" ht="15.75" customHeight="1">
      <c r="A2153" s="4" t="str">
        <f>HYPERLINK("https://stackoverflow.com/q/52923228", "52923228")</f>
        <v>52923228</v>
      </c>
      <c r="B2153" s="2" t="s">
        <v>2195</v>
      </c>
      <c r="C2153" s="3"/>
      <c r="D2153" s="3">
        <v>96.0</v>
      </c>
      <c r="E2153" s="2"/>
      <c r="F2153" s="2"/>
      <c r="G2153" s="2"/>
      <c r="H2153" s="2"/>
      <c r="I2153" s="2"/>
      <c r="J2153" s="2"/>
    </row>
    <row r="2154" ht="15.75" customHeight="1">
      <c r="A2154" s="4" t="str">
        <f>HYPERLINK("https://stackoverflow.com/q/57477390", "57477390")</f>
        <v>57477390</v>
      </c>
      <c r="B2154" s="2" t="s">
        <v>2196</v>
      </c>
      <c r="C2154" s="3"/>
      <c r="D2154" s="3">
        <v>96.0</v>
      </c>
      <c r="E2154" s="2"/>
      <c r="F2154" s="2"/>
      <c r="G2154" s="2"/>
      <c r="H2154" s="2"/>
      <c r="I2154" s="2"/>
      <c r="J2154" s="2"/>
    </row>
    <row r="2155" ht="15.75" customHeight="1">
      <c r="A2155" s="4" t="str">
        <f>HYPERLINK("https://stackoverflow.com/q/58876011", "58876011")</f>
        <v>58876011</v>
      </c>
      <c r="B2155" s="2" t="s">
        <v>2197</v>
      </c>
      <c r="C2155" s="3"/>
      <c r="D2155" s="3">
        <v>96.0</v>
      </c>
      <c r="E2155" s="2"/>
      <c r="F2155" s="2"/>
      <c r="G2155" s="2"/>
      <c r="H2155" s="2"/>
      <c r="I2155" s="2"/>
      <c r="J2155" s="2"/>
    </row>
    <row r="2156" ht="15.75" customHeight="1">
      <c r="A2156" s="4" t="str">
        <f>HYPERLINK("https://stackoverflow.com/q/59345059", "59345059")</f>
        <v>59345059</v>
      </c>
      <c r="B2156" s="2" t="s">
        <v>2198</v>
      </c>
      <c r="C2156" s="3"/>
      <c r="D2156" s="3">
        <v>96.0</v>
      </c>
      <c r="E2156" s="2"/>
      <c r="F2156" s="2"/>
      <c r="G2156" s="2"/>
      <c r="H2156" s="2"/>
      <c r="I2156" s="2"/>
      <c r="J2156" s="2"/>
    </row>
    <row r="2157" ht="15.75" customHeight="1">
      <c r="A2157" s="4" t="str">
        <f>HYPERLINK("https://stackoverflow.com/q/58041573", "58041573")</f>
        <v>58041573</v>
      </c>
      <c r="B2157" s="2" t="s">
        <v>2199</v>
      </c>
      <c r="C2157" s="3">
        <v>1.0</v>
      </c>
      <c r="D2157" s="3">
        <v>95.0</v>
      </c>
      <c r="E2157" s="2"/>
      <c r="F2157" s="2"/>
      <c r="G2157" s="2"/>
      <c r="H2157" s="2"/>
      <c r="I2157" s="2"/>
      <c r="J2157" s="2"/>
    </row>
    <row r="2158" ht="15.75" customHeight="1">
      <c r="A2158" s="4" t="str">
        <f>HYPERLINK("https://stackoverflow.com/q/44560224", "44560224")</f>
        <v>44560224</v>
      </c>
      <c r="B2158" s="2" t="s">
        <v>2200</v>
      </c>
      <c r="C2158" s="3">
        <v>0.0</v>
      </c>
      <c r="D2158" s="3">
        <v>95.0</v>
      </c>
      <c r="E2158" s="2"/>
      <c r="F2158" s="2"/>
      <c r="G2158" s="2"/>
      <c r="H2158" s="2"/>
      <c r="I2158" s="2"/>
      <c r="J2158" s="2"/>
    </row>
    <row r="2159" ht="15.75" customHeight="1">
      <c r="A2159" s="4" t="str">
        <f>HYPERLINK("https://stackoverflow.com/q/57430993", "57430993")</f>
        <v>57430993</v>
      </c>
      <c r="B2159" s="2" t="s">
        <v>2201</v>
      </c>
      <c r="C2159" s="3">
        <v>0.0</v>
      </c>
      <c r="D2159" s="3">
        <v>95.0</v>
      </c>
      <c r="E2159" s="2"/>
      <c r="F2159" s="2"/>
      <c r="G2159" s="2"/>
      <c r="H2159" s="2"/>
      <c r="I2159" s="2"/>
      <c r="J2159" s="2"/>
    </row>
    <row r="2160" ht="15.75" customHeight="1">
      <c r="A2160" s="4" t="str">
        <f>HYPERLINK("https://stackoverflow.com/q/54574872", "54574872")</f>
        <v>54574872</v>
      </c>
      <c r="B2160" s="2" t="s">
        <v>2202</v>
      </c>
      <c r="C2160" s="3"/>
      <c r="D2160" s="3">
        <v>95.0</v>
      </c>
      <c r="E2160" s="9" t="s">
        <v>11</v>
      </c>
      <c r="F2160" s="2" t="s">
        <v>18</v>
      </c>
      <c r="G2160" s="2"/>
      <c r="H2160" s="2"/>
      <c r="I2160" s="2"/>
      <c r="J2160" s="2"/>
    </row>
    <row r="2161" ht="15.75" customHeight="1">
      <c r="A2161" s="4" t="str">
        <f>HYPERLINK("https://stackoverflow.com/q/41088232", "41088232")</f>
        <v>41088232</v>
      </c>
      <c r="B2161" s="2" t="s">
        <v>2203</v>
      </c>
      <c r="C2161" s="3"/>
      <c r="D2161" s="3">
        <v>95.0</v>
      </c>
      <c r="E2161" s="2"/>
      <c r="F2161" s="2"/>
      <c r="G2161" s="2"/>
      <c r="H2161" s="2"/>
      <c r="I2161" s="2"/>
      <c r="J2161" s="2"/>
    </row>
    <row r="2162" ht="15.75" customHeight="1">
      <c r="A2162" s="4" t="str">
        <f>HYPERLINK("https://stackoverflow.com/q/52958536", "52958536")</f>
        <v>52958536</v>
      </c>
      <c r="B2162" s="2" t="s">
        <v>2204</v>
      </c>
      <c r="C2162" s="3"/>
      <c r="D2162" s="3">
        <v>95.0</v>
      </c>
      <c r="E2162" s="2"/>
      <c r="F2162" s="2"/>
      <c r="G2162" s="2"/>
      <c r="H2162" s="2"/>
      <c r="I2162" s="2"/>
      <c r="J2162" s="2"/>
    </row>
    <row r="2163" ht="15.75" customHeight="1">
      <c r="A2163" s="4" t="str">
        <f>HYPERLINK("https://stackoverflow.com/q/56336076", "56336076")</f>
        <v>56336076</v>
      </c>
      <c r="B2163" s="2" t="s">
        <v>2205</v>
      </c>
      <c r="C2163" s="3"/>
      <c r="D2163" s="3">
        <v>95.0</v>
      </c>
      <c r="E2163" s="2"/>
      <c r="F2163" s="2"/>
      <c r="G2163" s="2"/>
      <c r="H2163" s="2"/>
      <c r="I2163" s="2"/>
      <c r="J2163" s="2"/>
    </row>
    <row r="2164" ht="15.75" customHeight="1">
      <c r="A2164" s="4" t="str">
        <f>HYPERLINK("https://stackoverflow.com/q/56846426", "56846426")</f>
        <v>56846426</v>
      </c>
      <c r="B2164" s="2" t="s">
        <v>2206</v>
      </c>
      <c r="C2164" s="3"/>
      <c r="D2164" s="3">
        <v>95.0</v>
      </c>
      <c r="E2164" s="2"/>
      <c r="F2164" s="2"/>
      <c r="G2164" s="2"/>
      <c r="H2164" s="2"/>
      <c r="I2164" s="2"/>
      <c r="J2164" s="2"/>
    </row>
    <row r="2165" ht="15.75" customHeight="1">
      <c r="A2165" s="4" t="str">
        <f>HYPERLINK("https://stackoverflow.com/q/57879053", "57879053")</f>
        <v>57879053</v>
      </c>
      <c r="B2165" s="2" t="s">
        <v>2207</v>
      </c>
      <c r="C2165" s="3"/>
      <c r="D2165" s="3">
        <v>95.0</v>
      </c>
      <c r="E2165" s="2"/>
      <c r="F2165" s="2"/>
      <c r="G2165" s="2"/>
      <c r="H2165" s="2"/>
      <c r="I2165" s="2"/>
      <c r="J2165" s="2"/>
    </row>
    <row r="2166" ht="15.75" customHeight="1">
      <c r="A2166" s="4" t="str">
        <f>HYPERLINK("https://stackoverflow.com/q/58097200", "58097200")</f>
        <v>58097200</v>
      </c>
      <c r="B2166" s="2" t="s">
        <v>2208</v>
      </c>
      <c r="C2166" s="3"/>
      <c r="D2166" s="3">
        <v>95.0</v>
      </c>
      <c r="E2166" s="2"/>
      <c r="F2166" s="2"/>
      <c r="G2166" s="2"/>
      <c r="H2166" s="2"/>
      <c r="I2166" s="2"/>
      <c r="J2166" s="2"/>
    </row>
    <row r="2167" ht="15.75" customHeight="1">
      <c r="A2167" s="4" t="str">
        <f>HYPERLINK("https://stackoverflow.com/q/58118966", "58118966")</f>
        <v>58118966</v>
      </c>
      <c r="B2167" s="2" t="s">
        <v>2209</v>
      </c>
      <c r="C2167" s="3"/>
      <c r="D2167" s="3">
        <v>95.0</v>
      </c>
      <c r="E2167" s="2"/>
      <c r="F2167" s="2"/>
      <c r="G2167" s="2"/>
      <c r="H2167" s="2"/>
      <c r="I2167" s="2"/>
      <c r="J2167" s="2"/>
    </row>
    <row r="2168" ht="15.75" customHeight="1">
      <c r="A2168" s="4" t="str">
        <f>HYPERLINK("https://stackoverflow.com/q/58935331", "58935331")</f>
        <v>58935331</v>
      </c>
      <c r="B2168" s="2" t="s">
        <v>2210</v>
      </c>
      <c r="C2168" s="3"/>
      <c r="D2168" s="3">
        <v>95.0</v>
      </c>
      <c r="E2168" s="2"/>
      <c r="F2168" s="2"/>
      <c r="G2168" s="2"/>
      <c r="H2168" s="2"/>
      <c r="I2168" s="2"/>
      <c r="J2168" s="2"/>
    </row>
    <row r="2169" ht="15.75" customHeight="1">
      <c r="A2169" s="4" t="str">
        <f>HYPERLINK("https://stackoverflow.com/q/14634758", "14634758")</f>
        <v>14634758</v>
      </c>
      <c r="B2169" s="2" t="s">
        <v>2211</v>
      </c>
      <c r="C2169" s="3"/>
      <c r="D2169" s="3">
        <v>94.0</v>
      </c>
      <c r="E2169" s="2"/>
      <c r="F2169" s="2"/>
      <c r="G2169" s="2"/>
      <c r="H2169" s="2"/>
      <c r="I2169" s="2"/>
      <c r="J2169" s="2"/>
    </row>
    <row r="2170" ht="15.75" customHeight="1">
      <c r="A2170" s="4" t="str">
        <f>HYPERLINK("https://stackoverflow.com/q/31145919", "31145919")</f>
        <v>31145919</v>
      </c>
      <c r="B2170" s="2" t="s">
        <v>2212</v>
      </c>
      <c r="C2170" s="3"/>
      <c r="D2170" s="3">
        <v>94.0</v>
      </c>
      <c r="E2170" s="2"/>
      <c r="F2170" s="2"/>
      <c r="G2170" s="2"/>
      <c r="H2170" s="2"/>
      <c r="I2170" s="2"/>
      <c r="J2170" s="2"/>
    </row>
    <row r="2171" ht="15.75" customHeight="1">
      <c r="A2171" s="4" t="str">
        <f>HYPERLINK("https://stackoverflow.com/q/51056684", "51056684")</f>
        <v>51056684</v>
      </c>
      <c r="B2171" s="2" t="s">
        <v>2213</v>
      </c>
      <c r="C2171" s="3"/>
      <c r="D2171" s="3">
        <v>94.0</v>
      </c>
      <c r="E2171" s="2"/>
      <c r="F2171" s="2"/>
      <c r="G2171" s="2"/>
      <c r="H2171" s="2"/>
      <c r="I2171" s="2"/>
      <c r="J2171" s="2"/>
    </row>
    <row r="2172" ht="15.75" customHeight="1">
      <c r="A2172" s="4" t="str">
        <f>HYPERLINK("https://stackoverflow.com/q/58255162", "58255162")</f>
        <v>58255162</v>
      </c>
      <c r="B2172" s="2" t="s">
        <v>2214</v>
      </c>
      <c r="C2172" s="3"/>
      <c r="D2172" s="3">
        <v>94.0</v>
      </c>
      <c r="E2172" s="2"/>
      <c r="F2172" s="2"/>
      <c r="G2172" s="2"/>
      <c r="H2172" s="2"/>
      <c r="I2172" s="2"/>
      <c r="J2172" s="2"/>
    </row>
    <row r="2173" ht="15.75" customHeight="1">
      <c r="A2173" s="4" t="str">
        <f>HYPERLINK("https://stackoverflow.com/q/60495312", "60495312")</f>
        <v>60495312</v>
      </c>
      <c r="B2173" s="2" t="s">
        <v>2215</v>
      </c>
      <c r="C2173" s="3"/>
      <c r="D2173" s="3">
        <v>94.0</v>
      </c>
      <c r="E2173" s="2"/>
      <c r="F2173" s="2"/>
      <c r="G2173" s="2"/>
      <c r="H2173" s="2"/>
      <c r="I2173" s="2"/>
      <c r="J2173" s="2"/>
    </row>
    <row r="2174" ht="15.75" customHeight="1">
      <c r="A2174" s="4" t="str">
        <f>HYPERLINK("https://stackoverflow.com/q/48082476", "48082476")</f>
        <v>48082476</v>
      </c>
      <c r="B2174" s="2" t="s">
        <v>2216</v>
      </c>
      <c r="C2174" s="3"/>
      <c r="D2174" s="3">
        <v>93.0</v>
      </c>
      <c r="E2174" s="2" t="s">
        <v>11</v>
      </c>
      <c r="F2174" s="2" t="s">
        <v>67</v>
      </c>
      <c r="G2174" s="2"/>
      <c r="H2174" s="2"/>
      <c r="I2174" s="2"/>
      <c r="J2174" s="2"/>
    </row>
    <row r="2175" ht="15.75" customHeight="1">
      <c r="A2175" s="4" t="str">
        <f>HYPERLINK("https://stackoverflow.com/q/45171327", "45171327")</f>
        <v>45171327</v>
      </c>
      <c r="B2175" s="2" t="s">
        <v>2217</v>
      </c>
      <c r="C2175" s="3"/>
      <c r="D2175" s="3">
        <v>93.0</v>
      </c>
      <c r="E2175" s="2"/>
      <c r="F2175" s="2"/>
      <c r="G2175" s="2"/>
      <c r="H2175" s="2"/>
      <c r="I2175" s="2"/>
      <c r="J2175" s="2"/>
    </row>
    <row r="2176" ht="15.75" customHeight="1">
      <c r="A2176" s="4" t="str">
        <f>HYPERLINK("https://stackoverflow.com/q/51523396", "51523396")</f>
        <v>51523396</v>
      </c>
      <c r="B2176" s="2" t="s">
        <v>2218</v>
      </c>
      <c r="C2176" s="3"/>
      <c r="D2176" s="3">
        <v>93.0</v>
      </c>
      <c r="E2176" s="2"/>
      <c r="F2176" s="2"/>
      <c r="G2176" s="2"/>
      <c r="H2176" s="2"/>
      <c r="I2176" s="2"/>
      <c r="J2176" s="2"/>
    </row>
    <row r="2177" ht="15.75" customHeight="1">
      <c r="A2177" s="4" t="str">
        <f>HYPERLINK("https://stackoverflow.com/q/53808662", "53808662")</f>
        <v>53808662</v>
      </c>
      <c r="B2177" s="2" t="s">
        <v>2219</v>
      </c>
      <c r="C2177" s="3"/>
      <c r="D2177" s="3">
        <v>93.0</v>
      </c>
      <c r="E2177" s="2"/>
      <c r="F2177" s="2"/>
      <c r="G2177" s="2"/>
      <c r="H2177" s="2"/>
      <c r="I2177" s="2"/>
      <c r="J2177" s="2"/>
    </row>
    <row r="2178" ht="15.75" customHeight="1">
      <c r="A2178" s="4" t="str">
        <f>HYPERLINK("https://stackoverflow.com/q/56603585", "56603585")</f>
        <v>56603585</v>
      </c>
      <c r="B2178" s="2" t="s">
        <v>2220</v>
      </c>
      <c r="C2178" s="3"/>
      <c r="D2178" s="3">
        <v>93.0</v>
      </c>
      <c r="E2178" s="2"/>
      <c r="F2178" s="2"/>
      <c r="G2178" s="2"/>
      <c r="H2178" s="2"/>
      <c r="I2178" s="2"/>
      <c r="J2178" s="2"/>
    </row>
    <row r="2179" ht="15.75" customHeight="1">
      <c r="A2179" s="4" t="str">
        <f>HYPERLINK("https://stackoverflow.com/q/57483160", "57483160")</f>
        <v>57483160</v>
      </c>
      <c r="B2179" s="2" t="s">
        <v>2221</v>
      </c>
      <c r="C2179" s="3"/>
      <c r="D2179" s="3">
        <v>93.0</v>
      </c>
      <c r="E2179" s="2"/>
      <c r="F2179" s="2"/>
      <c r="G2179" s="2"/>
      <c r="H2179" s="2"/>
      <c r="I2179" s="2"/>
      <c r="J2179" s="2"/>
    </row>
    <row r="2180" ht="15.75" customHeight="1">
      <c r="A2180" s="4" t="str">
        <f>HYPERLINK("https://stackoverflow.com/q/58376301", "58376301")</f>
        <v>58376301</v>
      </c>
      <c r="B2180" s="2" t="s">
        <v>2222</v>
      </c>
      <c r="C2180" s="3"/>
      <c r="D2180" s="3">
        <v>93.0</v>
      </c>
      <c r="E2180" s="2"/>
      <c r="F2180" s="2"/>
      <c r="G2180" s="2"/>
      <c r="H2180" s="2"/>
      <c r="I2180" s="2"/>
      <c r="J2180" s="2"/>
    </row>
    <row r="2181" ht="15.75" customHeight="1">
      <c r="A2181" s="4" t="str">
        <f>HYPERLINK("https://stackoverflow.com/q/58468165", "58468165")</f>
        <v>58468165</v>
      </c>
      <c r="B2181" s="2" t="s">
        <v>2223</v>
      </c>
      <c r="C2181" s="3"/>
      <c r="D2181" s="3">
        <v>93.0</v>
      </c>
      <c r="E2181" s="2"/>
      <c r="F2181" s="2"/>
      <c r="G2181" s="2"/>
      <c r="H2181" s="2"/>
      <c r="I2181" s="2"/>
      <c r="J2181" s="2"/>
    </row>
    <row r="2182" ht="15.75" customHeight="1">
      <c r="A2182" s="4" t="str">
        <f>HYPERLINK("https://stackoverflow.com/q/59592466", "59592466")</f>
        <v>59592466</v>
      </c>
      <c r="B2182" s="2" t="s">
        <v>2224</v>
      </c>
      <c r="C2182" s="3"/>
      <c r="D2182" s="3">
        <v>93.0</v>
      </c>
      <c r="E2182" s="2"/>
      <c r="F2182" s="2"/>
      <c r="G2182" s="2"/>
      <c r="H2182" s="2"/>
      <c r="I2182" s="2"/>
      <c r="J2182" s="2"/>
    </row>
    <row r="2183" ht="15.75" customHeight="1">
      <c r="A2183" s="4" t="str">
        <f>HYPERLINK("https://stackoverflow.com/q/28865644", "28865644")</f>
        <v>28865644</v>
      </c>
      <c r="B2183" s="2" t="s">
        <v>2225</v>
      </c>
      <c r="C2183" s="3">
        <v>1.0</v>
      </c>
      <c r="D2183" s="3">
        <v>92.0</v>
      </c>
      <c r="E2183" s="2"/>
      <c r="F2183" s="2"/>
      <c r="G2183" s="2"/>
      <c r="H2183" s="2"/>
      <c r="I2183" s="2"/>
      <c r="J2183" s="2"/>
    </row>
    <row r="2184" ht="15.75" customHeight="1">
      <c r="A2184" s="4" t="str">
        <f>HYPERLINK("https://stackoverflow.com/q/53729079", "53729079")</f>
        <v>53729079</v>
      </c>
      <c r="B2184" s="2" t="s">
        <v>2226</v>
      </c>
      <c r="C2184" s="3">
        <v>1.0</v>
      </c>
      <c r="D2184" s="3">
        <v>92.0</v>
      </c>
      <c r="E2184" s="2"/>
      <c r="F2184" s="2"/>
      <c r="G2184" s="2"/>
      <c r="H2184" s="2"/>
      <c r="I2184" s="2"/>
      <c r="J2184" s="2"/>
    </row>
    <row r="2185" ht="15.75" customHeight="1">
      <c r="A2185" s="4" t="str">
        <f>HYPERLINK("https://stackoverflow.com/q/55614851", "55614851")</f>
        <v>55614851</v>
      </c>
      <c r="B2185" s="2" t="s">
        <v>2227</v>
      </c>
      <c r="C2185" s="3">
        <v>1.0</v>
      </c>
      <c r="D2185" s="3">
        <v>92.0</v>
      </c>
      <c r="E2185" s="2"/>
      <c r="F2185" s="2"/>
      <c r="G2185" s="2"/>
      <c r="H2185" s="2"/>
      <c r="I2185" s="2"/>
      <c r="J2185" s="2"/>
    </row>
    <row r="2186" ht="15.75" customHeight="1">
      <c r="A2186" s="4" t="str">
        <f>HYPERLINK("https://stackoverflow.com/q/55005441", "55005441")</f>
        <v>55005441</v>
      </c>
      <c r="B2186" s="2" t="s">
        <v>2228</v>
      </c>
      <c r="C2186" s="3"/>
      <c r="D2186" s="3">
        <v>92.0</v>
      </c>
      <c r="E2186" s="2" t="s">
        <v>59</v>
      </c>
      <c r="F2186" s="2" t="s">
        <v>28</v>
      </c>
      <c r="G2186" s="2"/>
      <c r="H2186" s="2"/>
      <c r="I2186" s="2"/>
      <c r="J2186" s="2"/>
    </row>
    <row r="2187" ht="15.75" customHeight="1">
      <c r="A2187" s="4" t="str">
        <f>HYPERLINK("https://stackoverflow.com/q/51748181", "51748181")</f>
        <v>51748181</v>
      </c>
      <c r="B2187" s="2" t="s">
        <v>2229</v>
      </c>
      <c r="C2187" s="3"/>
      <c r="D2187" s="3">
        <v>92.0</v>
      </c>
      <c r="E2187" s="2"/>
      <c r="F2187" s="2"/>
      <c r="G2187" s="2"/>
      <c r="H2187" s="2"/>
      <c r="I2187" s="2"/>
      <c r="J2187" s="2"/>
    </row>
    <row r="2188" ht="15.75" customHeight="1">
      <c r="A2188" s="4" t="str">
        <f>HYPERLINK("https://stackoverflow.com/q/56159484", "56159484")</f>
        <v>56159484</v>
      </c>
      <c r="B2188" s="2" t="s">
        <v>2230</v>
      </c>
      <c r="C2188" s="3"/>
      <c r="D2188" s="3">
        <v>92.0</v>
      </c>
      <c r="E2188" s="2"/>
      <c r="F2188" s="2"/>
      <c r="G2188" s="2"/>
      <c r="H2188" s="2"/>
      <c r="I2188" s="2"/>
      <c r="J2188" s="2"/>
    </row>
    <row r="2189" ht="15.75" customHeight="1">
      <c r="A2189" s="4" t="str">
        <f>HYPERLINK("https://stackoverflow.com/q/58102675", "58102675")</f>
        <v>58102675</v>
      </c>
      <c r="B2189" s="2" t="s">
        <v>2231</v>
      </c>
      <c r="C2189" s="3"/>
      <c r="D2189" s="3">
        <v>92.0</v>
      </c>
      <c r="E2189" s="2"/>
      <c r="F2189" s="2"/>
      <c r="G2189" s="2"/>
      <c r="H2189" s="2"/>
      <c r="I2189" s="2"/>
      <c r="J2189" s="2"/>
    </row>
    <row r="2190" ht="15.75" customHeight="1">
      <c r="A2190" s="4" t="str">
        <f>HYPERLINK("https://stackoverflow.com/q/44425720", "44425720")</f>
        <v>44425720</v>
      </c>
      <c r="B2190" s="2" t="s">
        <v>2232</v>
      </c>
      <c r="C2190" s="3">
        <v>1.0</v>
      </c>
      <c r="D2190" s="3">
        <v>91.0</v>
      </c>
      <c r="E2190" s="2"/>
      <c r="F2190" s="2"/>
      <c r="G2190" s="2"/>
      <c r="H2190" s="2"/>
      <c r="I2190" s="2"/>
      <c r="J2190" s="2"/>
    </row>
    <row r="2191" ht="15.75" customHeight="1">
      <c r="A2191" s="4" t="str">
        <f>HYPERLINK("https://stackoverflow.com/q/43243120", "43243120")</f>
        <v>43243120</v>
      </c>
      <c r="B2191" s="2" t="s">
        <v>2233</v>
      </c>
      <c r="C2191" s="3"/>
      <c r="D2191" s="3">
        <v>91.0</v>
      </c>
      <c r="E2191" s="2" t="s">
        <v>59</v>
      </c>
      <c r="F2191" s="2" t="s">
        <v>21</v>
      </c>
      <c r="G2191" s="2" t="s">
        <v>25</v>
      </c>
      <c r="H2191" s="2"/>
      <c r="I2191" s="2"/>
      <c r="J2191" s="2"/>
    </row>
    <row r="2192" ht="15.75" customHeight="1">
      <c r="A2192" s="4" t="str">
        <f>HYPERLINK("https://stackoverflow.com/q/39875139", "39875139")</f>
        <v>39875139</v>
      </c>
      <c r="B2192" s="2" t="s">
        <v>2234</v>
      </c>
      <c r="C2192" s="3"/>
      <c r="D2192" s="3">
        <v>91.0</v>
      </c>
      <c r="E2192" s="2"/>
      <c r="F2192" s="2"/>
      <c r="G2192" s="2"/>
      <c r="H2192" s="2"/>
      <c r="I2192" s="2"/>
      <c r="J2192" s="2"/>
    </row>
    <row r="2193" ht="15.75" customHeight="1">
      <c r="A2193" s="4" t="str">
        <f>HYPERLINK("https://stackoverflow.com/q/40277399", "40277399")</f>
        <v>40277399</v>
      </c>
      <c r="B2193" s="2" t="s">
        <v>2235</v>
      </c>
      <c r="C2193" s="3"/>
      <c r="D2193" s="3">
        <v>91.0</v>
      </c>
      <c r="E2193" s="2"/>
      <c r="F2193" s="2"/>
      <c r="G2193" s="2"/>
      <c r="H2193" s="2"/>
      <c r="I2193" s="2"/>
      <c r="J2193" s="2"/>
    </row>
    <row r="2194" ht="15.75" customHeight="1">
      <c r="A2194" s="4" t="str">
        <f>HYPERLINK("https://stackoverflow.com/q/51529636", "51529636")</f>
        <v>51529636</v>
      </c>
      <c r="B2194" s="2" t="s">
        <v>2236</v>
      </c>
      <c r="C2194" s="3"/>
      <c r="D2194" s="3">
        <v>91.0</v>
      </c>
      <c r="E2194" s="2"/>
      <c r="F2194" s="2"/>
      <c r="G2194" s="2"/>
      <c r="H2194" s="2"/>
      <c r="I2194" s="2"/>
      <c r="J2194" s="2"/>
    </row>
    <row r="2195" ht="15.75" customHeight="1">
      <c r="A2195" s="4" t="str">
        <f>HYPERLINK("https://stackoverflow.com/q/54138914", "54138914")</f>
        <v>54138914</v>
      </c>
      <c r="B2195" s="2" t="s">
        <v>2237</v>
      </c>
      <c r="C2195" s="3"/>
      <c r="D2195" s="3">
        <v>91.0</v>
      </c>
      <c r="E2195" s="2"/>
      <c r="F2195" s="2"/>
      <c r="G2195" s="2"/>
      <c r="H2195" s="2"/>
      <c r="I2195" s="2"/>
      <c r="J2195" s="2"/>
    </row>
    <row r="2196" ht="15.75" customHeight="1">
      <c r="A2196" s="4" t="str">
        <f>HYPERLINK("https://stackoverflow.com/q/56900896", "56900896")</f>
        <v>56900896</v>
      </c>
      <c r="B2196" s="2" t="s">
        <v>2238</v>
      </c>
      <c r="C2196" s="3"/>
      <c r="D2196" s="3">
        <v>91.0</v>
      </c>
      <c r="E2196" s="2"/>
      <c r="F2196" s="2"/>
      <c r="G2196" s="2"/>
      <c r="H2196" s="2"/>
      <c r="I2196" s="2"/>
      <c r="J2196" s="2"/>
    </row>
    <row r="2197" ht="15.75" customHeight="1">
      <c r="A2197" s="4" t="str">
        <f>HYPERLINK("https://stackoverflow.com/q/58090624", "58090624")</f>
        <v>58090624</v>
      </c>
      <c r="B2197" s="2" t="s">
        <v>2239</v>
      </c>
      <c r="C2197" s="3"/>
      <c r="D2197" s="3">
        <v>91.0</v>
      </c>
      <c r="E2197" s="2"/>
      <c r="F2197" s="2"/>
      <c r="G2197" s="2"/>
      <c r="H2197" s="2"/>
      <c r="I2197" s="2"/>
      <c r="J2197" s="2"/>
    </row>
    <row r="2198" ht="15.75" customHeight="1">
      <c r="A2198" s="4" t="str">
        <f>HYPERLINK("https://stackoverflow.com/q/58945570", "58945570")</f>
        <v>58945570</v>
      </c>
      <c r="B2198" s="2" t="s">
        <v>2240</v>
      </c>
      <c r="C2198" s="3"/>
      <c r="D2198" s="3">
        <v>91.0</v>
      </c>
      <c r="E2198" s="2"/>
      <c r="F2198" s="2"/>
      <c r="G2198" s="2"/>
      <c r="H2198" s="2"/>
      <c r="I2198" s="2"/>
      <c r="J2198" s="2"/>
    </row>
    <row r="2199" ht="15.75" customHeight="1">
      <c r="A2199" s="4" t="str">
        <f>HYPERLINK("https://stackoverflow.com/q/59858610", "59858610")</f>
        <v>59858610</v>
      </c>
      <c r="B2199" s="2" t="s">
        <v>2241</v>
      </c>
      <c r="C2199" s="3">
        <v>0.0</v>
      </c>
      <c r="D2199" s="3">
        <v>90.0</v>
      </c>
      <c r="E2199" s="2"/>
      <c r="F2199" s="2"/>
      <c r="G2199" s="2"/>
      <c r="H2199" s="2"/>
      <c r="I2199" s="2"/>
      <c r="J2199" s="2"/>
    </row>
    <row r="2200" ht="15.75" customHeight="1">
      <c r="A2200" s="4" t="str">
        <f>HYPERLINK("https://stackoverflow.com/q/46336305", "46336305")</f>
        <v>46336305</v>
      </c>
      <c r="B2200" s="2" t="s">
        <v>2242</v>
      </c>
      <c r="C2200" s="3"/>
      <c r="D2200" s="3">
        <v>90.0</v>
      </c>
      <c r="E2200" s="2" t="s">
        <v>11</v>
      </c>
      <c r="F2200" s="2" t="s">
        <v>263</v>
      </c>
      <c r="G2200" s="2"/>
      <c r="H2200" s="2"/>
      <c r="I2200" s="2"/>
      <c r="J2200" s="2"/>
    </row>
    <row r="2201" ht="15.75" customHeight="1">
      <c r="A2201" s="4" t="str">
        <f>HYPERLINK("https://stackoverflow.com/q/46717398", "46717398")</f>
        <v>46717398</v>
      </c>
      <c r="B2201" s="2" t="s">
        <v>2243</v>
      </c>
      <c r="C2201" s="3"/>
      <c r="D2201" s="3">
        <v>90.0</v>
      </c>
      <c r="E2201" s="2" t="s">
        <v>11</v>
      </c>
      <c r="F2201" s="2" t="s">
        <v>25</v>
      </c>
      <c r="G2201" s="2"/>
      <c r="H2201" s="2"/>
      <c r="I2201" s="2"/>
      <c r="J2201" s="2"/>
    </row>
    <row r="2202" ht="15.75" customHeight="1">
      <c r="A2202" s="4" t="str">
        <f>HYPERLINK("https://stackoverflow.com/q/55405120", "55405120")</f>
        <v>55405120</v>
      </c>
      <c r="B2202" s="2" t="s">
        <v>2244</v>
      </c>
      <c r="C2202" s="3"/>
      <c r="D2202" s="3">
        <v>90.0</v>
      </c>
      <c r="E2202" s="2" t="s">
        <v>11</v>
      </c>
      <c r="F2202" s="2" t="s">
        <v>67</v>
      </c>
      <c r="G2202" s="2" t="s">
        <v>25</v>
      </c>
      <c r="H2202" s="2"/>
      <c r="I2202" s="2"/>
      <c r="J2202" s="2"/>
    </row>
    <row r="2203" ht="15.75" customHeight="1">
      <c r="A2203" s="4" t="str">
        <f>HYPERLINK("https://stackoverflow.com/q/56104228", "56104228")</f>
        <v>56104228</v>
      </c>
      <c r="B2203" s="2" t="s">
        <v>2245</v>
      </c>
      <c r="C2203" s="3"/>
      <c r="D2203" s="3">
        <v>90.0</v>
      </c>
      <c r="E2203" s="2"/>
      <c r="F2203" s="2"/>
      <c r="G2203" s="2"/>
      <c r="H2203" s="2"/>
      <c r="I2203" s="2"/>
      <c r="J2203" s="2"/>
    </row>
    <row r="2204" ht="15.75" customHeight="1">
      <c r="A2204" s="4" t="str">
        <f>HYPERLINK("https://stackoverflow.com/q/57170193", "57170193")</f>
        <v>57170193</v>
      </c>
      <c r="B2204" s="2" t="s">
        <v>2246</v>
      </c>
      <c r="C2204" s="3"/>
      <c r="D2204" s="3">
        <v>90.0</v>
      </c>
      <c r="E2204" s="2"/>
      <c r="F2204" s="2"/>
      <c r="G2204" s="2"/>
      <c r="H2204" s="2"/>
      <c r="I2204" s="2"/>
      <c r="J2204" s="2"/>
    </row>
    <row r="2205" ht="15.75" customHeight="1">
      <c r="A2205" s="4" t="str">
        <f>HYPERLINK("https://stackoverflow.com/q/48279047", "48279047")</f>
        <v>48279047</v>
      </c>
      <c r="B2205" s="2" t="s">
        <v>2247</v>
      </c>
      <c r="C2205" s="3"/>
      <c r="D2205" s="3">
        <v>89.0</v>
      </c>
      <c r="E2205" s="2" t="s">
        <v>11</v>
      </c>
      <c r="F2205" s="2" t="s">
        <v>183</v>
      </c>
      <c r="G2205" s="2"/>
      <c r="H2205" s="2"/>
      <c r="I2205" s="2"/>
      <c r="J2205" s="2"/>
    </row>
    <row r="2206" ht="15.75" customHeight="1">
      <c r="A2206" s="4" t="str">
        <f>HYPERLINK("https://stackoverflow.com/q/54042741", "54042741")</f>
        <v>54042741</v>
      </c>
      <c r="B2206" s="2" t="s">
        <v>2248</v>
      </c>
      <c r="C2206" s="3"/>
      <c r="D2206" s="3">
        <v>89.0</v>
      </c>
      <c r="E2206" s="9" t="s">
        <v>11</v>
      </c>
      <c r="F2206" s="2" t="s">
        <v>16</v>
      </c>
      <c r="G2206" s="2"/>
      <c r="H2206" s="2"/>
      <c r="I2206" s="2"/>
      <c r="J2206" s="2"/>
    </row>
    <row r="2207" ht="15.75" customHeight="1">
      <c r="A2207" s="4" t="str">
        <f>HYPERLINK("https://stackoverflow.com/q/51105421", "51105421")</f>
        <v>51105421</v>
      </c>
      <c r="B2207" s="2" t="s">
        <v>2249</v>
      </c>
      <c r="C2207" s="3"/>
      <c r="D2207" s="3">
        <v>89.0</v>
      </c>
      <c r="E2207" s="2"/>
      <c r="F2207" s="2"/>
      <c r="G2207" s="2"/>
      <c r="H2207" s="2"/>
      <c r="I2207" s="2"/>
      <c r="J2207" s="2"/>
    </row>
    <row r="2208" ht="15.75" customHeight="1">
      <c r="A2208" s="4" t="str">
        <f>HYPERLINK("https://stackoverflow.com/q/51623407", "51623407")</f>
        <v>51623407</v>
      </c>
      <c r="B2208" s="2" t="s">
        <v>2250</v>
      </c>
      <c r="C2208" s="3"/>
      <c r="D2208" s="3">
        <v>89.0</v>
      </c>
      <c r="E2208" s="2"/>
      <c r="F2208" s="2"/>
      <c r="G2208" s="2"/>
      <c r="H2208" s="2"/>
      <c r="I2208" s="2"/>
      <c r="J2208" s="2"/>
    </row>
    <row r="2209" ht="15.75" customHeight="1">
      <c r="A2209" s="4" t="str">
        <f>HYPERLINK("https://stackoverflow.com/q/51653789", "51653789")</f>
        <v>51653789</v>
      </c>
      <c r="B2209" s="2" t="s">
        <v>2251</v>
      </c>
      <c r="C2209" s="3"/>
      <c r="D2209" s="3">
        <v>89.0</v>
      </c>
      <c r="E2209" s="2"/>
      <c r="F2209" s="2"/>
      <c r="G2209" s="2"/>
      <c r="H2209" s="2"/>
      <c r="I2209" s="2"/>
      <c r="J2209" s="2"/>
    </row>
    <row r="2210" ht="15.75" customHeight="1">
      <c r="A2210" s="4" t="str">
        <f>HYPERLINK("https://stackoverflow.com/q/58730563", "58730563")</f>
        <v>58730563</v>
      </c>
      <c r="B2210" s="2" t="s">
        <v>2252</v>
      </c>
      <c r="C2210" s="3"/>
      <c r="D2210" s="3">
        <v>89.0</v>
      </c>
      <c r="E2210" s="2"/>
      <c r="F2210" s="2"/>
      <c r="G2210" s="2"/>
      <c r="H2210" s="2"/>
      <c r="I2210" s="2"/>
      <c r="J2210" s="2"/>
    </row>
    <row r="2211" ht="15.75" customHeight="1">
      <c r="A2211" s="4" t="str">
        <f>HYPERLINK("https://stackoverflow.com/q/58867149", "58867149")</f>
        <v>58867149</v>
      </c>
      <c r="B2211" s="2" t="s">
        <v>2253</v>
      </c>
      <c r="C2211" s="3"/>
      <c r="D2211" s="3">
        <v>89.0</v>
      </c>
      <c r="E2211" s="2"/>
      <c r="F2211" s="2"/>
      <c r="G2211" s="2"/>
      <c r="H2211" s="2"/>
      <c r="I2211" s="2"/>
      <c r="J2211" s="2"/>
    </row>
    <row r="2212" ht="15.75" customHeight="1">
      <c r="A2212" s="4" t="str">
        <f>HYPERLINK("https://stackoverflow.com/q/58874315", "58874315")</f>
        <v>58874315</v>
      </c>
      <c r="B2212" s="2" t="s">
        <v>2254</v>
      </c>
      <c r="C2212" s="3"/>
      <c r="D2212" s="3">
        <v>89.0</v>
      </c>
      <c r="E2212" s="2"/>
      <c r="F2212" s="2"/>
      <c r="G2212" s="2"/>
      <c r="H2212" s="2"/>
      <c r="I2212" s="2"/>
      <c r="J2212" s="2"/>
    </row>
    <row r="2213" ht="15.75" customHeight="1">
      <c r="A2213" s="4" t="str">
        <f>HYPERLINK("https://stackoverflow.com/q/55748694", "55748694")</f>
        <v>55748694</v>
      </c>
      <c r="B2213" s="2" t="s">
        <v>2255</v>
      </c>
      <c r="C2213" s="3">
        <v>2.0</v>
      </c>
      <c r="D2213" s="3">
        <v>88.0</v>
      </c>
      <c r="E2213" s="2"/>
      <c r="F2213" s="2"/>
      <c r="G2213" s="2"/>
      <c r="H2213" s="2"/>
      <c r="I2213" s="2"/>
      <c r="J2213" s="2"/>
    </row>
    <row r="2214" ht="15.75" customHeight="1">
      <c r="A2214" s="4" t="str">
        <f>HYPERLINK("https://stackoverflow.com/q/58151144", "58151144")</f>
        <v>58151144</v>
      </c>
      <c r="B2214" s="2" t="s">
        <v>2256</v>
      </c>
      <c r="C2214" s="3">
        <v>2.0</v>
      </c>
      <c r="D2214" s="3">
        <v>88.0</v>
      </c>
      <c r="E2214" s="2"/>
      <c r="F2214" s="2"/>
      <c r="G2214" s="2"/>
      <c r="H2214" s="2"/>
      <c r="I2214" s="2"/>
      <c r="J2214" s="2"/>
    </row>
    <row r="2215" ht="15.75" customHeight="1">
      <c r="A2215" s="4" t="str">
        <f>HYPERLINK("https://stackoverflow.com/q/46206200", "46206200")</f>
        <v>46206200</v>
      </c>
      <c r="B2215" s="2" t="s">
        <v>2257</v>
      </c>
      <c r="C2215" s="3"/>
      <c r="D2215" s="3">
        <v>88.0</v>
      </c>
      <c r="E2215" s="2" t="s">
        <v>11</v>
      </c>
      <c r="F2215" s="2" t="s">
        <v>56</v>
      </c>
      <c r="G2215" s="2"/>
      <c r="H2215" s="2"/>
      <c r="I2215" s="2"/>
      <c r="J2215" s="2"/>
    </row>
    <row r="2216" ht="15.75" customHeight="1">
      <c r="A2216" s="4" t="str">
        <f>HYPERLINK("https://stackoverflow.com/q/21871067", "21871067")</f>
        <v>21871067</v>
      </c>
      <c r="B2216" s="2" t="s">
        <v>2258</v>
      </c>
      <c r="C2216" s="3"/>
      <c r="D2216" s="3">
        <v>88.0</v>
      </c>
      <c r="E2216" s="2"/>
      <c r="F2216" s="2"/>
      <c r="G2216" s="2"/>
      <c r="H2216" s="2"/>
      <c r="I2216" s="2"/>
      <c r="J2216" s="2"/>
    </row>
    <row r="2217" ht="15.75" customHeight="1">
      <c r="A2217" s="4" t="str">
        <f>HYPERLINK("https://stackoverflow.com/q/49288450", "49288450")</f>
        <v>49288450</v>
      </c>
      <c r="B2217" s="2" t="s">
        <v>2259</v>
      </c>
      <c r="C2217" s="3"/>
      <c r="D2217" s="3">
        <v>88.0</v>
      </c>
      <c r="E2217" s="2"/>
      <c r="F2217" s="2"/>
      <c r="G2217" s="2"/>
      <c r="H2217" s="2"/>
      <c r="I2217" s="2"/>
      <c r="J2217" s="2"/>
    </row>
    <row r="2218" ht="15.75" customHeight="1">
      <c r="A2218" s="4" t="str">
        <f>HYPERLINK("https://stackoverflow.com/q/51849298", "51849298")</f>
        <v>51849298</v>
      </c>
      <c r="B2218" s="2" t="s">
        <v>2260</v>
      </c>
      <c r="C2218" s="3"/>
      <c r="D2218" s="3">
        <v>88.0</v>
      </c>
      <c r="E2218" s="2"/>
      <c r="F2218" s="2"/>
      <c r="G2218" s="2"/>
      <c r="H2218" s="2"/>
      <c r="I2218" s="2"/>
      <c r="J2218" s="2"/>
    </row>
    <row r="2219" ht="15.75" customHeight="1">
      <c r="A2219" s="4" t="str">
        <f>HYPERLINK("https://stackoverflow.com/q/52706803", "52706803")</f>
        <v>52706803</v>
      </c>
      <c r="B2219" s="2" t="s">
        <v>2261</v>
      </c>
      <c r="C2219" s="3"/>
      <c r="D2219" s="3">
        <v>88.0</v>
      </c>
      <c r="E2219" s="2"/>
      <c r="F2219" s="2"/>
      <c r="G2219" s="2"/>
      <c r="H2219" s="2"/>
      <c r="I2219" s="2"/>
      <c r="J2219" s="2"/>
    </row>
    <row r="2220" ht="15.75" customHeight="1">
      <c r="A2220" s="4" t="str">
        <f>HYPERLINK("https://stackoverflow.com/q/57623152", "57623152")</f>
        <v>57623152</v>
      </c>
      <c r="B2220" s="2" t="s">
        <v>2262</v>
      </c>
      <c r="C2220" s="3"/>
      <c r="D2220" s="3">
        <v>88.0</v>
      </c>
      <c r="E2220" s="2"/>
      <c r="F2220" s="2"/>
      <c r="G2220" s="2"/>
      <c r="H2220" s="2"/>
      <c r="I2220" s="2"/>
      <c r="J2220" s="2"/>
    </row>
    <row r="2221" ht="15.75" customHeight="1">
      <c r="A2221" s="4" t="str">
        <f>HYPERLINK("https://stackoverflow.com/q/58074597", "58074597")</f>
        <v>58074597</v>
      </c>
      <c r="B2221" s="2" t="s">
        <v>2263</v>
      </c>
      <c r="C2221" s="3"/>
      <c r="D2221" s="3">
        <v>88.0</v>
      </c>
      <c r="E2221" s="2"/>
      <c r="F2221" s="2"/>
      <c r="G2221" s="2"/>
      <c r="H2221" s="2"/>
      <c r="I2221" s="2"/>
      <c r="J2221" s="2"/>
    </row>
    <row r="2222" ht="15.75" customHeight="1">
      <c r="A2222" s="4" t="str">
        <f>HYPERLINK("https://stackoverflow.com/q/58224388", "58224388")</f>
        <v>58224388</v>
      </c>
      <c r="B2222" s="2" t="s">
        <v>2264</v>
      </c>
      <c r="C2222" s="3"/>
      <c r="D2222" s="3">
        <v>88.0</v>
      </c>
      <c r="E2222" s="2"/>
      <c r="F2222" s="2"/>
      <c r="G2222" s="2"/>
      <c r="H2222" s="2"/>
      <c r="I2222" s="2"/>
      <c r="J2222" s="2"/>
    </row>
    <row r="2223" ht="15.75" customHeight="1">
      <c r="A2223" s="4" t="str">
        <f>HYPERLINK("https://stackoverflow.com/q/58573319", "58573319")</f>
        <v>58573319</v>
      </c>
      <c r="B2223" s="2" t="s">
        <v>2265</v>
      </c>
      <c r="C2223" s="3"/>
      <c r="D2223" s="3">
        <v>88.0</v>
      </c>
      <c r="E2223" s="2"/>
      <c r="F2223" s="2"/>
      <c r="G2223" s="2"/>
      <c r="H2223" s="2"/>
      <c r="I2223" s="2"/>
      <c r="J2223" s="2"/>
    </row>
    <row r="2224" ht="15.75" customHeight="1">
      <c r="A2224" s="4" t="str">
        <f>HYPERLINK("https://stackoverflow.com/q/54734086", "54734086")</f>
        <v>54734086</v>
      </c>
      <c r="B2224" s="2" t="s">
        <v>2266</v>
      </c>
      <c r="C2224" s="3"/>
      <c r="D2224" s="3">
        <v>87.0</v>
      </c>
      <c r="E2224" s="2" t="s">
        <v>11</v>
      </c>
      <c r="F2224" s="2" t="s">
        <v>30</v>
      </c>
      <c r="G2224" s="2"/>
      <c r="H2224" s="2"/>
      <c r="I2224" s="2"/>
      <c r="J2224" s="2"/>
    </row>
    <row r="2225" ht="15.75" customHeight="1">
      <c r="A2225" s="4" t="str">
        <f>HYPERLINK("https://stackoverflow.com/q/54894563", "54894563")</f>
        <v>54894563</v>
      </c>
      <c r="B2225" s="2" t="s">
        <v>2267</v>
      </c>
      <c r="C2225" s="3"/>
      <c r="D2225" s="3">
        <v>87.0</v>
      </c>
      <c r="E2225" s="2" t="s">
        <v>11</v>
      </c>
      <c r="F2225" s="2" t="s">
        <v>35</v>
      </c>
      <c r="G2225" s="2"/>
      <c r="H2225" s="2"/>
      <c r="I2225" s="2"/>
      <c r="J2225" s="2"/>
    </row>
    <row r="2226" ht="15.75" customHeight="1">
      <c r="A2226" s="4" t="str">
        <f>HYPERLINK("https://stackoverflow.com/q/53930543", "53930543")</f>
        <v>53930543</v>
      </c>
      <c r="B2226" s="2" t="s">
        <v>2268</v>
      </c>
      <c r="C2226" s="3"/>
      <c r="D2226" s="3">
        <v>87.0</v>
      </c>
      <c r="E2226" s="2" t="s">
        <v>537</v>
      </c>
      <c r="F2226" s="2" t="s">
        <v>2269</v>
      </c>
      <c r="G2226" s="2"/>
      <c r="H2226" s="2"/>
      <c r="I2226" s="2"/>
      <c r="J2226" s="2"/>
    </row>
    <row r="2227" ht="15.75" customHeight="1">
      <c r="A2227" s="4" t="str">
        <f>HYPERLINK("https://stackoverflow.com/q/25926998", "25926998")</f>
        <v>25926998</v>
      </c>
      <c r="B2227" s="2" t="s">
        <v>2270</v>
      </c>
      <c r="C2227" s="3"/>
      <c r="D2227" s="3">
        <v>87.0</v>
      </c>
      <c r="E2227" s="2"/>
      <c r="F2227" s="2"/>
      <c r="G2227" s="2"/>
      <c r="H2227" s="2"/>
      <c r="I2227" s="2"/>
      <c r="J2227" s="2"/>
    </row>
    <row r="2228" ht="15.75" customHeight="1">
      <c r="A2228" s="4" t="str">
        <f>HYPERLINK("https://stackoverflow.com/q/45766911", "45766911")</f>
        <v>45766911</v>
      </c>
      <c r="B2228" s="2" t="s">
        <v>2271</v>
      </c>
      <c r="C2228" s="3"/>
      <c r="D2228" s="3">
        <v>87.0</v>
      </c>
      <c r="E2228" s="2"/>
      <c r="F2228" s="2"/>
      <c r="G2228" s="2"/>
      <c r="H2228" s="2"/>
      <c r="I2228" s="2"/>
      <c r="J2228" s="2"/>
    </row>
    <row r="2229" ht="15.75" customHeight="1">
      <c r="A2229" s="4" t="str">
        <f>HYPERLINK("https://stackoverflow.com/q/55695608", "55695608")</f>
        <v>55695608</v>
      </c>
      <c r="B2229" s="2" t="s">
        <v>2272</v>
      </c>
      <c r="C2229" s="3"/>
      <c r="D2229" s="3">
        <v>87.0</v>
      </c>
      <c r="E2229" s="2"/>
      <c r="F2229" s="2"/>
      <c r="G2229" s="2"/>
      <c r="H2229" s="2"/>
      <c r="I2229" s="2"/>
      <c r="J2229" s="2"/>
    </row>
    <row r="2230" ht="15.75" customHeight="1">
      <c r="A2230" s="4" t="str">
        <f>HYPERLINK("https://stackoverflow.com/q/55738130", "55738130")</f>
        <v>55738130</v>
      </c>
      <c r="B2230" s="2" t="s">
        <v>2273</v>
      </c>
      <c r="C2230" s="3"/>
      <c r="D2230" s="3">
        <v>87.0</v>
      </c>
      <c r="E2230" s="2"/>
      <c r="F2230" s="2"/>
      <c r="G2230" s="2"/>
      <c r="H2230" s="2"/>
      <c r="I2230" s="2"/>
      <c r="J2230" s="2"/>
    </row>
    <row r="2231" ht="15.75" customHeight="1">
      <c r="A2231" s="4" t="str">
        <f>HYPERLINK("https://stackoverflow.com/q/55945647", "55945647")</f>
        <v>55945647</v>
      </c>
      <c r="B2231" s="2" t="s">
        <v>2274</v>
      </c>
      <c r="C2231" s="3"/>
      <c r="D2231" s="3">
        <v>87.0</v>
      </c>
      <c r="E2231" s="2"/>
      <c r="F2231" s="2"/>
      <c r="G2231" s="2"/>
      <c r="H2231" s="2"/>
      <c r="I2231" s="2"/>
      <c r="J2231" s="2"/>
    </row>
    <row r="2232" ht="15.75" customHeight="1">
      <c r="A2232" s="4" t="str">
        <f>HYPERLINK("https://stackoverflow.com/q/56271708", "56271708")</f>
        <v>56271708</v>
      </c>
      <c r="B2232" s="2" t="s">
        <v>2275</v>
      </c>
      <c r="C2232" s="3"/>
      <c r="D2232" s="3">
        <v>87.0</v>
      </c>
      <c r="E2232" s="2"/>
      <c r="F2232" s="2"/>
      <c r="G2232" s="2"/>
      <c r="H2232" s="2"/>
      <c r="I2232" s="2"/>
      <c r="J2232" s="2"/>
    </row>
    <row r="2233" ht="15.75" customHeight="1">
      <c r="A2233" s="4" t="str">
        <f>HYPERLINK("https://stackoverflow.com/q/57425460", "57425460")</f>
        <v>57425460</v>
      </c>
      <c r="B2233" s="2" t="s">
        <v>2276</v>
      </c>
      <c r="C2233" s="3"/>
      <c r="D2233" s="3">
        <v>87.0</v>
      </c>
      <c r="E2233" s="2"/>
      <c r="F2233" s="2"/>
      <c r="G2233" s="2"/>
      <c r="H2233" s="2"/>
      <c r="I2233" s="2"/>
      <c r="J2233" s="2"/>
    </row>
    <row r="2234" ht="15.75" customHeight="1">
      <c r="A2234" s="4" t="str">
        <f>HYPERLINK("https://stackoverflow.com/q/59404027", "59404027")</f>
        <v>59404027</v>
      </c>
      <c r="B2234" s="2" t="s">
        <v>2277</v>
      </c>
      <c r="C2234" s="3"/>
      <c r="D2234" s="3">
        <v>87.0</v>
      </c>
      <c r="E2234" s="2"/>
      <c r="F2234" s="2"/>
      <c r="G2234" s="2"/>
      <c r="H2234" s="2"/>
      <c r="I2234" s="2"/>
      <c r="J2234" s="2"/>
    </row>
    <row r="2235" ht="15.75" customHeight="1">
      <c r="A2235" s="4" t="str">
        <f>HYPERLINK("https://stackoverflow.com/q/61526443", "61526443")</f>
        <v>61526443</v>
      </c>
      <c r="B2235" s="2" t="s">
        <v>2278</v>
      </c>
      <c r="C2235" s="3"/>
      <c r="D2235" s="3">
        <v>87.0</v>
      </c>
      <c r="E2235" s="2"/>
      <c r="F2235" s="2"/>
      <c r="G2235" s="2"/>
      <c r="H2235" s="2"/>
      <c r="I2235" s="2"/>
      <c r="J2235" s="2"/>
    </row>
    <row r="2236" ht="15.75" customHeight="1">
      <c r="A2236" s="4" t="str">
        <f>HYPERLINK("https://stackoverflow.com/q/46600731", "46600731")</f>
        <v>46600731</v>
      </c>
      <c r="B2236" s="2" t="s">
        <v>2279</v>
      </c>
      <c r="C2236" s="3">
        <v>1.0</v>
      </c>
      <c r="D2236" s="3">
        <v>86.0</v>
      </c>
      <c r="E2236" s="2" t="s">
        <v>11</v>
      </c>
      <c r="F2236" s="2" t="s">
        <v>28</v>
      </c>
      <c r="G2236" s="2" t="s">
        <v>44</v>
      </c>
      <c r="H2236" s="2"/>
      <c r="I2236" s="2"/>
      <c r="J2236" s="2"/>
    </row>
    <row r="2237" ht="15.75" customHeight="1">
      <c r="A2237" s="4" t="str">
        <f>HYPERLINK("https://stackoverflow.com/q/17801810", "17801810")</f>
        <v>17801810</v>
      </c>
      <c r="B2237" s="2" t="s">
        <v>2280</v>
      </c>
      <c r="C2237" s="3"/>
      <c r="D2237" s="3">
        <v>86.0</v>
      </c>
      <c r="E2237" s="2"/>
      <c r="F2237" s="2"/>
      <c r="G2237" s="2"/>
      <c r="H2237" s="2"/>
      <c r="I2237" s="2"/>
      <c r="J2237" s="2"/>
    </row>
    <row r="2238" ht="15.75" customHeight="1">
      <c r="A2238" s="4" t="str">
        <f>HYPERLINK("https://stackoverflow.com/q/50591528", "50591528")</f>
        <v>50591528</v>
      </c>
      <c r="B2238" s="2" t="s">
        <v>2281</v>
      </c>
      <c r="C2238" s="3"/>
      <c r="D2238" s="3">
        <v>86.0</v>
      </c>
      <c r="E2238" s="2"/>
      <c r="F2238" s="2"/>
      <c r="G2238" s="2"/>
      <c r="H2238" s="2"/>
      <c r="I2238" s="2"/>
      <c r="J2238" s="2"/>
    </row>
    <row r="2239" ht="15.75" customHeight="1">
      <c r="A2239" s="4" t="str">
        <f>HYPERLINK("https://stackoverflow.com/q/51168530", "51168530")</f>
        <v>51168530</v>
      </c>
      <c r="B2239" s="2" t="s">
        <v>2282</v>
      </c>
      <c r="C2239" s="3"/>
      <c r="D2239" s="3">
        <v>86.0</v>
      </c>
      <c r="E2239" s="2"/>
      <c r="F2239" s="2"/>
      <c r="G2239" s="2"/>
      <c r="H2239" s="2"/>
      <c r="I2239" s="2"/>
      <c r="J2239" s="2"/>
    </row>
    <row r="2240" ht="15.75" customHeight="1">
      <c r="A2240" s="4" t="str">
        <f>HYPERLINK("https://stackoverflow.com/q/52201545", "52201545")</f>
        <v>52201545</v>
      </c>
      <c r="B2240" s="2" t="s">
        <v>2283</v>
      </c>
      <c r="C2240" s="3"/>
      <c r="D2240" s="3">
        <v>86.0</v>
      </c>
      <c r="E2240" s="2"/>
      <c r="F2240" s="2"/>
      <c r="G2240" s="2"/>
      <c r="H2240" s="2"/>
      <c r="I2240" s="2"/>
      <c r="J2240" s="2"/>
    </row>
    <row r="2241" ht="15.75" customHeight="1">
      <c r="A2241" s="4" t="str">
        <f>HYPERLINK("https://stackoverflow.com/q/56024780", "56024780")</f>
        <v>56024780</v>
      </c>
      <c r="B2241" s="2" t="s">
        <v>2284</v>
      </c>
      <c r="C2241" s="3"/>
      <c r="D2241" s="3">
        <v>86.0</v>
      </c>
      <c r="E2241" s="2"/>
      <c r="F2241" s="2"/>
      <c r="G2241" s="2"/>
      <c r="H2241" s="2"/>
      <c r="I2241" s="2"/>
      <c r="J2241" s="2"/>
    </row>
    <row r="2242" ht="15.75" customHeight="1">
      <c r="A2242" s="4" t="str">
        <f>HYPERLINK("https://stackoverflow.com/q/57098814", "57098814")</f>
        <v>57098814</v>
      </c>
      <c r="B2242" s="2" t="s">
        <v>2285</v>
      </c>
      <c r="C2242" s="3"/>
      <c r="D2242" s="3">
        <v>86.0</v>
      </c>
      <c r="E2242" s="2"/>
      <c r="F2242" s="2"/>
      <c r="G2242" s="2"/>
      <c r="H2242" s="2"/>
      <c r="I2242" s="2"/>
      <c r="J2242" s="2"/>
    </row>
    <row r="2243" ht="15.75" customHeight="1">
      <c r="A2243" s="4" t="str">
        <f>HYPERLINK("https://stackoverflow.com/q/57325266", "57325266")</f>
        <v>57325266</v>
      </c>
      <c r="B2243" s="2" t="s">
        <v>2286</v>
      </c>
      <c r="C2243" s="3"/>
      <c r="D2243" s="3">
        <v>86.0</v>
      </c>
      <c r="E2243" s="2"/>
      <c r="F2243" s="2"/>
      <c r="G2243" s="2"/>
      <c r="H2243" s="2"/>
      <c r="I2243" s="2"/>
      <c r="J2243" s="2"/>
    </row>
    <row r="2244" ht="15.75" customHeight="1">
      <c r="A2244" s="4" t="str">
        <f>HYPERLINK("https://stackoverflow.com/q/59680264", "59680264")</f>
        <v>59680264</v>
      </c>
      <c r="B2244" s="2" t="s">
        <v>2287</v>
      </c>
      <c r="C2244" s="3"/>
      <c r="D2244" s="3">
        <v>86.0</v>
      </c>
      <c r="E2244" s="2"/>
      <c r="F2244" s="2"/>
      <c r="G2244" s="2"/>
      <c r="H2244" s="2"/>
      <c r="I2244" s="2"/>
      <c r="J2244" s="2"/>
    </row>
    <row r="2245" ht="15.75" customHeight="1">
      <c r="A2245" s="4" t="str">
        <f>HYPERLINK("https://stackoverflow.com/q/59943554", "59943554")</f>
        <v>59943554</v>
      </c>
      <c r="B2245" s="2" t="s">
        <v>2288</v>
      </c>
      <c r="C2245" s="3"/>
      <c r="D2245" s="3">
        <v>86.0</v>
      </c>
      <c r="E2245" s="2"/>
      <c r="F2245" s="2"/>
      <c r="G2245" s="2"/>
      <c r="H2245" s="2"/>
      <c r="I2245" s="2"/>
      <c r="J2245" s="2"/>
    </row>
    <row r="2246" ht="15.75" customHeight="1">
      <c r="A2246" s="4" t="str">
        <f>HYPERLINK("https://stackoverflow.com/q/56134883", "56134883")</f>
        <v>56134883</v>
      </c>
      <c r="B2246" s="2" t="s">
        <v>2289</v>
      </c>
      <c r="C2246" s="3"/>
      <c r="D2246" s="3">
        <v>85.0</v>
      </c>
      <c r="E2246" s="9" t="s">
        <v>11</v>
      </c>
      <c r="F2246" s="2" t="s">
        <v>18</v>
      </c>
      <c r="G2246" s="2"/>
      <c r="H2246" s="2"/>
      <c r="I2246" s="2"/>
      <c r="J2246" s="2"/>
    </row>
    <row r="2247" ht="15.75" customHeight="1">
      <c r="A2247" s="4" t="str">
        <f>HYPERLINK("https://stackoverflow.com/q/36257435", "36257435")</f>
        <v>36257435</v>
      </c>
      <c r="B2247" s="2" t="s">
        <v>2290</v>
      </c>
      <c r="C2247" s="3"/>
      <c r="D2247" s="3">
        <v>85.0</v>
      </c>
      <c r="E2247" s="2"/>
      <c r="F2247" s="2"/>
      <c r="G2247" s="2"/>
      <c r="H2247" s="2"/>
      <c r="I2247" s="2"/>
      <c r="J2247" s="2"/>
    </row>
    <row r="2248" ht="15.75" customHeight="1">
      <c r="A2248" s="4" t="str">
        <f>HYPERLINK("https://stackoverflow.com/q/45019323", "45019323")</f>
        <v>45019323</v>
      </c>
      <c r="B2248" s="2" t="s">
        <v>2291</v>
      </c>
      <c r="C2248" s="3"/>
      <c r="D2248" s="3">
        <v>85.0</v>
      </c>
      <c r="E2248" s="2"/>
      <c r="F2248" s="2"/>
      <c r="G2248" s="2"/>
      <c r="H2248" s="2"/>
      <c r="I2248" s="2"/>
      <c r="J2248" s="2"/>
    </row>
    <row r="2249" ht="15.75" customHeight="1">
      <c r="A2249" s="4" t="str">
        <f>HYPERLINK("https://stackoverflow.com/q/45975826", "45975826")</f>
        <v>45975826</v>
      </c>
      <c r="B2249" s="2" t="s">
        <v>2292</v>
      </c>
      <c r="C2249" s="3"/>
      <c r="D2249" s="3">
        <v>85.0</v>
      </c>
      <c r="E2249" s="2"/>
      <c r="F2249" s="2"/>
      <c r="G2249" s="2"/>
      <c r="H2249" s="2"/>
      <c r="I2249" s="2"/>
      <c r="J2249" s="2"/>
    </row>
    <row r="2250" ht="15.75" customHeight="1">
      <c r="A2250" s="4" t="str">
        <f>HYPERLINK("https://stackoverflow.com/q/52191591", "52191591")</f>
        <v>52191591</v>
      </c>
      <c r="B2250" s="2" t="s">
        <v>2293</v>
      </c>
      <c r="C2250" s="3"/>
      <c r="D2250" s="3">
        <v>85.0</v>
      </c>
      <c r="E2250" s="2"/>
      <c r="F2250" s="2"/>
      <c r="G2250" s="2"/>
      <c r="H2250" s="2"/>
      <c r="I2250" s="2"/>
      <c r="J2250" s="2"/>
    </row>
    <row r="2251" ht="15.75" customHeight="1">
      <c r="A2251" s="4" t="str">
        <f>HYPERLINK("https://stackoverflow.com/q/53580445", "53580445")</f>
        <v>53580445</v>
      </c>
      <c r="B2251" s="2" t="s">
        <v>2294</v>
      </c>
      <c r="C2251" s="3"/>
      <c r="D2251" s="3">
        <v>85.0</v>
      </c>
      <c r="E2251" s="2"/>
      <c r="F2251" s="2"/>
      <c r="G2251" s="2"/>
      <c r="H2251" s="2"/>
      <c r="I2251" s="2"/>
      <c r="J2251" s="2"/>
    </row>
    <row r="2252" ht="15.75" customHeight="1">
      <c r="A2252" s="4" t="str">
        <f>HYPERLINK("https://stackoverflow.com/q/56006399", "56006399")</f>
        <v>56006399</v>
      </c>
      <c r="B2252" s="2" t="s">
        <v>2295</v>
      </c>
      <c r="C2252" s="3"/>
      <c r="D2252" s="3">
        <v>85.0</v>
      </c>
      <c r="E2252" s="2"/>
      <c r="F2252" s="2"/>
      <c r="G2252" s="2"/>
      <c r="H2252" s="2"/>
      <c r="I2252" s="2"/>
      <c r="J2252" s="2"/>
    </row>
    <row r="2253" ht="15.75" customHeight="1">
      <c r="A2253" s="4" t="str">
        <f>HYPERLINK("https://stackoverflow.com/q/56264042", "56264042")</f>
        <v>56264042</v>
      </c>
      <c r="B2253" s="2" t="s">
        <v>2296</v>
      </c>
      <c r="C2253" s="3"/>
      <c r="D2253" s="3">
        <v>85.0</v>
      </c>
      <c r="E2253" s="2"/>
      <c r="F2253" s="2"/>
      <c r="G2253" s="2"/>
      <c r="H2253" s="2"/>
      <c r="I2253" s="2"/>
      <c r="J2253" s="2"/>
    </row>
    <row r="2254" ht="15.75" customHeight="1">
      <c r="A2254" s="4" t="str">
        <f>HYPERLINK("https://stackoverflow.com/q/56816270", "56816270")</f>
        <v>56816270</v>
      </c>
      <c r="B2254" s="2" t="s">
        <v>2297</v>
      </c>
      <c r="C2254" s="3"/>
      <c r="D2254" s="3">
        <v>85.0</v>
      </c>
      <c r="E2254" s="2"/>
      <c r="F2254" s="2"/>
      <c r="G2254" s="2"/>
      <c r="H2254" s="2"/>
      <c r="I2254" s="2"/>
      <c r="J2254" s="2"/>
    </row>
    <row r="2255" ht="15.75" customHeight="1">
      <c r="A2255" s="4" t="str">
        <f>HYPERLINK("https://stackoverflow.com/q/57089313", "57089313")</f>
        <v>57089313</v>
      </c>
      <c r="B2255" s="2" t="s">
        <v>2298</v>
      </c>
      <c r="C2255" s="3"/>
      <c r="D2255" s="3">
        <v>85.0</v>
      </c>
      <c r="E2255" s="2"/>
      <c r="F2255" s="2"/>
      <c r="G2255" s="2"/>
      <c r="H2255" s="2"/>
      <c r="I2255" s="2"/>
      <c r="J2255" s="2"/>
    </row>
    <row r="2256" ht="15.75" customHeight="1">
      <c r="A2256" s="4" t="str">
        <f>HYPERLINK("https://stackoverflow.com/q/57250709", "57250709")</f>
        <v>57250709</v>
      </c>
      <c r="B2256" s="2" t="s">
        <v>2299</v>
      </c>
      <c r="C2256" s="3"/>
      <c r="D2256" s="3">
        <v>85.0</v>
      </c>
      <c r="E2256" s="2"/>
      <c r="F2256" s="2"/>
      <c r="G2256" s="2"/>
      <c r="H2256" s="2"/>
      <c r="I2256" s="2"/>
      <c r="J2256" s="2"/>
    </row>
    <row r="2257" ht="15.75" customHeight="1">
      <c r="A2257" s="4" t="str">
        <f>HYPERLINK("https://stackoverflow.com/q/57647663", "57647663")</f>
        <v>57647663</v>
      </c>
      <c r="B2257" s="2" t="s">
        <v>2300</v>
      </c>
      <c r="C2257" s="3"/>
      <c r="D2257" s="3">
        <v>85.0</v>
      </c>
      <c r="E2257" s="2"/>
      <c r="F2257" s="2"/>
      <c r="G2257" s="2"/>
      <c r="H2257" s="2"/>
      <c r="I2257" s="2"/>
      <c r="J2257" s="2"/>
    </row>
    <row r="2258" ht="15.75" customHeight="1">
      <c r="A2258" s="4" t="str">
        <f>HYPERLINK("https://stackoverflow.com/q/58218403", "58218403")</f>
        <v>58218403</v>
      </c>
      <c r="B2258" s="2" t="s">
        <v>2301</v>
      </c>
      <c r="C2258" s="3"/>
      <c r="D2258" s="3">
        <v>85.0</v>
      </c>
      <c r="E2258" s="2"/>
      <c r="F2258" s="2"/>
      <c r="G2258" s="2"/>
      <c r="H2258" s="2"/>
      <c r="I2258" s="2"/>
      <c r="J2258" s="2"/>
    </row>
    <row r="2259" ht="15.75" customHeight="1">
      <c r="A2259" s="4" t="str">
        <f>HYPERLINK("https://stackoverflow.com/q/58726753", "58726753")</f>
        <v>58726753</v>
      </c>
      <c r="B2259" s="2" t="s">
        <v>2302</v>
      </c>
      <c r="C2259" s="3"/>
      <c r="D2259" s="3">
        <v>85.0</v>
      </c>
      <c r="E2259" s="2"/>
      <c r="F2259" s="2"/>
      <c r="G2259" s="2"/>
      <c r="H2259" s="2"/>
      <c r="I2259" s="2"/>
      <c r="J2259" s="2"/>
    </row>
    <row r="2260" ht="15.75" customHeight="1">
      <c r="A2260" s="4" t="str">
        <f>HYPERLINK("https://stackoverflow.com/q/59103273", "59103273")</f>
        <v>59103273</v>
      </c>
      <c r="B2260" s="2" t="s">
        <v>2303</v>
      </c>
      <c r="C2260" s="3"/>
      <c r="D2260" s="3">
        <v>85.0</v>
      </c>
      <c r="E2260" s="2"/>
      <c r="F2260" s="2"/>
      <c r="G2260" s="2"/>
      <c r="H2260" s="2"/>
      <c r="I2260" s="2"/>
      <c r="J2260" s="2"/>
    </row>
    <row r="2261" ht="15.75" customHeight="1">
      <c r="A2261" s="4" t="str">
        <f>HYPERLINK("https://stackoverflow.com/q/59575132", "59575132")</f>
        <v>59575132</v>
      </c>
      <c r="B2261" s="2" t="s">
        <v>2304</v>
      </c>
      <c r="C2261" s="3"/>
      <c r="D2261" s="3">
        <v>85.0</v>
      </c>
      <c r="E2261" s="2"/>
      <c r="F2261" s="2"/>
      <c r="G2261" s="2"/>
      <c r="H2261" s="2"/>
      <c r="I2261" s="2"/>
      <c r="J2261" s="2"/>
    </row>
    <row r="2262" ht="15.75" customHeight="1">
      <c r="A2262" s="4" t="str">
        <f>HYPERLINK("https://stackoverflow.com/q/56859374", "56859374")</f>
        <v>56859374</v>
      </c>
      <c r="B2262" s="2" t="s">
        <v>2305</v>
      </c>
      <c r="C2262" s="3">
        <v>1.0</v>
      </c>
      <c r="D2262" s="3">
        <v>84.0</v>
      </c>
      <c r="E2262" s="2"/>
      <c r="F2262" s="2"/>
      <c r="G2262" s="2"/>
      <c r="H2262" s="2"/>
      <c r="I2262" s="2"/>
      <c r="J2262" s="2"/>
    </row>
    <row r="2263" ht="15.75" customHeight="1">
      <c r="A2263" s="4" t="str">
        <f>HYPERLINK("https://stackoverflow.com/q/59748089", "59748089")</f>
        <v>59748089</v>
      </c>
      <c r="B2263" s="2" t="s">
        <v>2306</v>
      </c>
      <c r="C2263" s="3">
        <v>1.0</v>
      </c>
      <c r="D2263" s="3">
        <v>84.0</v>
      </c>
      <c r="E2263" s="2"/>
      <c r="F2263" s="2"/>
      <c r="G2263" s="2"/>
      <c r="H2263" s="2"/>
      <c r="I2263" s="2"/>
      <c r="J2263" s="2"/>
    </row>
    <row r="2264" ht="15.75" customHeight="1">
      <c r="A2264" s="4" t="str">
        <f>HYPERLINK("https://stackoverflow.com/q/46565154", "46565154")</f>
        <v>46565154</v>
      </c>
      <c r="B2264" s="2" t="s">
        <v>2307</v>
      </c>
      <c r="C2264" s="3"/>
      <c r="D2264" s="3">
        <v>84.0</v>
      </c>
      <c r="E2264" s="2" t="s">
        <v>20</v>
      </c>
      <c r="F2264" s="2" t="s">
        <v>21</v>
      </c>
      <c r="G2264" s="2"/>
      <c r="H2264" s="2"/>
      <c r="I2264" s="2"/>
      <c r="J2264" s="2"/>
    </row>
    <row r="2265" ht="15.75" customHeight="1">
      <c r="A2265" s="4" t="str">
        <f>HYPERLINK("https://stackoverflow.com/q/44140332", "44140332")</f>
        <v>44140332</v>
      </c>
      <c r="B2265" s="2" t="s">
        <v>2308</v>
      </c>
      <c r="C2265" s="3"/>
      <c r="D2265" s="3">
        <v>84.0</v>
      </c>
      <c r="E2265" s="2" t="s">
        <v>11</v>
      </c>
      <c r="F2265" s="2" t="s">
        <v>183</v>
      </c>
      <c r="G2265" s="2"/>
      <c r="H2265" s="2"/>
      <c r="I2265" s="2"/>
      <c r="J2265" s="2"/>
    </row>
    <row r="2266" ht="15.75" customHeight="1">
      <c r="A2266" s="4" t="str">
        <f>HYPERLINK("https://stackoverflow.com/q/34757888", "34757888")</f>
        <v>34757888</v>
      </c>
      <c r="B2266" s="2" t="s">
        <v>2309</v>
      </c>
      <c r="C2266" s="3"/>
      <c r="D2266" s="3">
        <v>84.0</v>
      </c>
      <c r="E2266" s="2"/>
      <c r="F2266" s="2"/>
      <c r="G2266" s="2"/>
      <c r="H2266" s="2"/>
      <c r="I2266" s="2"/>
      <c r="J2266" s="2"/>
    </row>
    <row r="2267" ht="15.75" customHeight="1">
      <c r="A2267" s="4" t="str">
        <f>HYPERLINK("https://stackoverflow.com/q/34916160", "34916160")</f>
        <v>34916160</v>
      </c>
      <c r="B2267" s="2" t="s">
        <v>2310</v>
      </c>
      <c r="C2267" s="3"/>
      <c r="D2267" s="3">
        <v>84.0</v>
      </c>
      <c r="E2267" s="2"/>
      <c r="F2267" s="2"/>
      <c r="G2267" s="2"/>
      <c r="H2267" s="2"/>
      <c r="I2267" s="2"/>
      <c r="J2267" s="2"/>
    </row>
    <row r="2268" ht="15.75" customHeight="1">
      <c r="A2268" s="4" t="str">
        <f>HYPERLINK("https://stackoverflow.com/q/38733792", "38733792")</f>
        <v>38733792</v>
      </c>
      <c r="B2268" s="2" t="s">
        <v>2311</v>
      </c>
      <c r="C2268" s="3"/>
      <c r="D2268" s="3">
        <v>84.0</v>
      </c>
      <c r="E2268" s="2"/>
      <c r="F2268" s="2"/>
      <c r="G2268" s="2"/>
      <c r="H2268" s="2"/>
      <c r="I2268" s="2"/>
      <c r="J2268" s="2"/>
    </row>
    <row r="2269" ht="15.75" customHeight="1">
      <c r="A2269" s="4" t="str">
        <f>HYPERLINK("https://stackoverflow.com/q/48611557", "48611557")</f>
        <v>48611557</v>
      </c>
      <c r="B2269" s="2" t="s">
        <v>2312</v>
      </c>
      <c r="C2269" s="3"/>
      <c r="D2269" s="3">
        <v>84.0</v>
      </c>
      <c r="E2269" s="2"/>
      <c r="F2269" s="2"/>
      <c r="G2269" s="2"/>
      <c r="H2269" s="2"/>
      <c r="I2269" s="2"/>
      <c r="J2269" s="2"/>
    </row>
    <row r="2270" ht="15.75" customHeight="1">
      <c r="A2270" s="4" t="str">
        <f>HYPERLINK("https://stackoverflow.com/q/48647359", "48647359")</f>
        <v>48647359</v>
      </c>
      <c r="B2270" s="2" t="s">
        <v>2313</v>
      </c>
      <c r="C2270" s="3"/>
      <c r="D2270" s="3">
        <v>84.0</v>
      </c>
      <c r="E2270" s="2"/>
      <c r="F2270" s="2"/>
      <c r="G2270" s="2"/>
      <c r="H2270" s="2"/>
      <c r="I2270" s="2"/>
      <c r="J2270" s="2"/>
    </row>
    <row r="2271" ht="15.75" customHeight="1">
      <c r="A2271" s="4" t="str">
        <f>HYPERLINK("https://stackoverflow.com/q/56239055", "56239055")</f>
        <v>56239055</v>
      </c>
      <c r="B2271" s="2" t="s">
        <v>2314</v>
      </c>
      <c r="C2271" s="3"/>
      <c r="D2271" s="3">
        <v>84.0</v>
      </c>
      <c r="E2271" s="2"/>
      <c r="F2271" s="2"/>
      <c r="G2271" s="2"/>
      <c r="H2271" s="2"/>
      <c r="I2271" s="2"/>
      <c r="J2271" s="2"/>
    </row>
    <row r="2272" ht="15.75" customHeight="1">
      <c r="A2272" s="4" t="str">
        <f>HYPERLINK("https://stackoverflow.com/q/56921005", "56921005")</f>
        <v>56921005</v>
      </c>
      <c r="B2272" s="2" t="s">
        <v>2315</v>
      </c>
      <c r="C2272" s="3"/>
      <c r="D2272" s="3">
        <v>84.0</v>
      </c>
      <c r="E2272" s="2"/>
      <c r="F2272" s="2"/>
      <c r="G2272" s="2"/>
      <c r="H2272" s="2"/>
      <c r="I2272" s="2"/>
      <c r="J2272" s="2"/>
    </row>
    <row r="2273" ht="15.75" customHeight="1">
      <c r="A2273" s="4" t="str">
        <f>HYPERLINK("https://stackoverflow.com/q/57062051", "57062051")</f>
        <v>57062051</v>
      </c>
      <c r="B2273" s="2" t="s">
        <v>2316</v>
      </c>
      <c r="C2273" s="3"/>
      <c r="D2273" s="3">
        <v>84.0</v>
      </c>
      <c r="E2273" s="2"/>
      <c r="F2273" s="2"/>
      <c r="G2273" s="2"/>
      <c r="H2273" s="2"/>
      <c r="I2273" s="2"/>
      <c r="J2273" s="2"/>
    </row>
    <row r="2274" ht="15.75" customHeight="1">
      <c r="A2274" s="4" t="str">
        <f>HYPERLINK("https://stackoverflow.com/q/44041037", "44041037")</f>
        <v>44041037</v>
      </c>
      <c r="B2274" s="2" t="s">
        <v>2317</v>
      </c>
      <c r="C2274" s="3">
        <v>3.0</v>
      </c>
      <c r="D2274" s="3">
        <v>83.0</v>
      </c>
      <c r="E2274" s="9" t="s">
        <v>11</v>
      </c>
      <c r="F2274" s="2" t="s">
        <v>18</v>
      </c>
      <c r="G2274" s="2"/>
      <c r="H2274" s="2"/>
      <c r="I2274" s="2"/>
      <c r="J2274" s="2"/>
    </row>
    <row r="2275" ht="15.75" customHeight="1">
      <c r="A2275" s="4" t="str">
        <f>HYPERLINK("https://stackoverflow.com/q/42859142", "42859142")</f>
        <v>42859142</v>
      </c>
      <c r="B2275" s="2" t="s">
        <v>2318</v>
      </c>
      <c r="C2275" s="3"/>
      <c r="D2275" s="3">
        <v>83.0</v>
      </c>
      <c r="E2275" s="2" t="s">
        <v>11</v>
      </c>
      <c r="F2275" s="2" t="s">
        <v>14</v>
      </c>
      <c r="G2275" s="2"/>
      <c r="H2275" s="2"/>
      <c r="I2275" s="2"/>
      <c r="J2275" s="2"/>
    </row>
    <row r="2276" ht="15.75" customHeight="1">
      <c r="A2276" s="4" t="str">
        <f>HYPERLINK("https://stackoverflow.com/q/55176954", "55176954")</f>
        <v>55176954</v>
      </c>
      <c r="B2276" s="2" t="s">
        <v>2319</v>
      </c>
      <c r="C2276" s="3"/>
      <c r="D2276" s="3">
        <v>83.0</v>
      </c>
      <c r="E2276" s="2" t="s">
        <v>11</v>
      </c>
      <c r="F2276" s="2" t="s">
        <v>25</v>
      </c>
      <c r="G2276" s="2"/>
      <c r="H2276" s="2"/>
      <c r="I2276" s="2"/>
      <c r="J2276" s="2"/>
    </row>
    <row r="2277" ht="15.75" customHeight="1">
      <c r="A2277" s="4" t="str">
        <f>HYPERLINK("https://stackoverflow.com/q/49944261", "49944261")</f>
        <v>49944261</v>
      </c>
      <c r="B2277" s="2" t="s">
        <v>2320</v>
      </c>
      <c r="C2277" s="3"/>
      <c r="D2277" s="3">
        <v>83.0</v>
      </c>
      <c r="E2277" s="2"/>
      <c r="F2277" s="2"/>
      <c r="G2277" s="2"/>
      <c r="H2277" s="2"/>
      <c r="I2277" s="2"/>
      <c r="J2277" s="2"/>
    </row>
    <row r="2278" ht="15.75" customHeight="1">
      <c r="A2278" s="4" t="str">
        <f>HYPERLINK("https://stackoverflow.com/q/53618469", "53618469")</f>
        <v>53618469</v>
      </c>
      <c r="B2278" s="2" t="s">
        <v>2321</v>
      </c>
      <c r="C2278" s="3"/>
      <c r="D2278" s="3">
        <v>83.0</v>
      </c>
      <c r="E2278" s="2"/>
      <c r="F2278" s="2"/>
      <c r="G2278" s="2"/>
      <c r="H2278" s="2"/>
      <c r="I2278" s="2"/>
      <c r="J2278" s="2"/>
    </row>
    <row r="2279" ht="15.75" customHeight="1">
      <c r="A2279" s="4" t="str">
        <f>HYPERLINK("https://stackoverflow.com/q/55644204", "55644204")</f>
        <v>55644204</v>
      </c>
      <c r="B2279" s="2" t="s">
        <v>2322</v>
      </c>
      <c r="C2279" s="3"/>
      <c r="D2279" s="3">
        <v>83.0</v>
      </c>
      <c r="E2279" s="2"/>
      <c r="F2279" s="2"/>
      <c r="G2279" s="2"/>
      <c r="H2279" s="2"/>
      <c r="I2279" s="2"/>
      <c r="J2279" s="2"/>
    </row>
    <row r="2280" ht="15.75" customHeight="1">
      <c r="A2280" s="4" t="str">
        <f>HYPERLINK("https://stackoverflow.com/q/55832224", "55832224")</f>
        <v>55832224</v>
      </c>
      <c r="B2280" s="2" t="s">
        <v>2323</v>
      </c>
      <c r="C2280" s="3"/>
      <c r="D2280" s="3">
        <v>83.0</v>
      </c>
      <c r="E2280" s="2"/>
      <c r="F2280" s="2"/>
      <c r="G2280" s="2"/>
      <c r="H2280" s="2"/>
      <c r="I2280" s="2"/>
      <c r="J2280" s="2"/>
    </row>
    <row r="2281" ht="15.75" customHeight="1">
      <c r="A2281" s="4" t="str">
        <f>HYPERLINK("https://stackoverflow.com/q/56646153", "56646153")</f>
        <v>56646153</v>
      </c>
      <c r="B2281" s="2" t="s">
        <v>2324</v>
      </c>
      <c r="C2281" s="3"/>
      <c r="D2281" s="3">
        <v>83.0</v>
      </c>
      <c r="E2281" s="2"/>
      <c r="F2281" s="2"/>
      <c r="G2281" s="2"/>
      <c r="H2281" s="2"/>
      <c r="I2281" s="2"/>
      <c r="J2281" s="2"/>
    </row>
    <row r="2282" ht="15.75" customHeight="1">
      <c r="A2282" s="4" t="str">
        <f>HYPERLINK("https://stackoverflow.com/q/56748978", "56748978")</f>
        <v>56748978</v>
      </c>
      <c r="B2282" s="2" t="s">
        <v>2325</v>
      </c>
      <c r="C2282" s="3"/>
      <c r="D2282" s="3">
        <v>83.0</v>
      </c>
      <c r="E2282" s="2"/>
      <c r="F2282" s="2"/>
      <c r="G2282" s="2"/>
      <c r="H2282" s="2"/>
      <c r="I2282" s="2"/>
      <c r="J2282" s="2"/>
    </row>
    <row r="2283" ht="15.75" customHeight="1">
      <c r="A2283" s="4" t="str">
        <f>HYPERLINK("https://stackoverflow.com/q/57676928", "57676928")</f>
        <v>57676928</v>
      </c>
      <c r="B2283" s="2" t="s">
        <v>2326</v>
      </c>
      <c r="C2283" s="3"/>
      <c r="D2283" s="3">
        <v>83.0</v>
      </c>
      <c r="E2283" s="2"/>
      <c r="F2283" s="2"/>
      <c r="G2283" s="2"/>
      <c r="H2283" s="2"/>
      <c r="I2283" s="2"/>
      <c r="J2283" s="2"/>
    </row>
    <row r="2284" ht="15.75" customHeight="1">
      <c r="A2284" s="4" t="str">
        <f>HYPERLINK("https://stackoverflow.com/q/58952758", "58952758")</f>
        <v>58952758</v>
      </c>
      <c r="B2284" s="2" t="s">
        <v>2327</v>
      </c>
      <c r="C2284" s="3"/>
      <c r="D2284" s="3">
        <v>83.0</v>
      </c>
      <c r="E2284" s="2"/>
      <c r="F2284" s="2"/>
      <c r="G2284" s="2"/>
      <c r="H2284" s="2"/>
      <c r="I2284" s="2"/>
      <c r="J2284" s="2"/>
    </row>
    <row r="2285" ht="15.75" customHeight="1">
      <c r="A2285" s="4" t="str">
        <f>HYPERLINK("https://stackoverflow.com/q/60736675", "60736675")</f>
        <v>60736675</v>
      </c>
      <c r="B2285" s="2" t="s">
        <v>2328</v>
      </c>
      <c r="C2285" s="3">
        <v>3.0</v>
      </c>
      <c r="D2285" s="3">
        <v>82.0</v>
      </c>
      <c r="E2285" s="2"/>
      <c r="F2285" s="2"/>
      <c r="G2285" s="2"/>
      <c r="H2285" s="2"/>
      <c r="I2285" s="2"/>
      <c r="J2285" s="2"/>
    </row>
    <row r="2286" ht="15.75" customHeight="1">
      <c r="A2286" s="4" t="str">
        <f>HYPERLINK("https://stackoverflow.com/q/57677076", "57677076")</f>
        <v>57677076</v>
      </c>
      <c r="B2286" s="2" t="s">
        <v>2329</v>
      </c>
      <c r="C2286" s="3">
        <v>1.0</v>
      </c>
      <c r="D2286" s="3">
        <v>82.0</v>
      </c>
      <c r="E2286" s="2"/>
      <c r="F2286" s="2"/>
      <c r="G2286" s="2"/>
      <c r="H2286" s="2"/>
      <c r="I2286" s="2"/>
      <c r="J2286" s="2"/>
    </row>
    <row r="2287" ht="15.75" customHeight="1">
      <c r="A2287" s="4" t="str">
        <f>HYPERLINK("https://stackoverflow.com/q/59062489", "59062489")</f>
        <v>59062489</v>
      </c>
      <c r="B2287" s="2" t="s">
        <v>2330</v>
      </c>
      <c r="C2287" s="3">
        <v>1.0</v>
      </c>
      <c r="D2287" s="3">
        <v>82.0</v>
      </c>
      <c r="E2287" s="2"/>
      <c r="F2287" s="2"/>
      <c r="G2287" s="2"/>
      <c r="H2287" s="2"/>
      <c r="I2287" s="2"/>
      <c r="J2287" s="2"/>
    </row>
    <row r="2288" ht="15.75" customHeight="1">
      <c r="A2288" s="4" t="str">
        <f>HYPERLINK("https://stackoverflow.com/q/46447525", "46447525")</f>
        <v>46447525</v>
      </c>
      <c r="B2288" s="2" t="s">
        <v>2331</v>
      </c>
      <c r="C2288" s="3"/>
      <c r="D2288" s="3">
        <v>82.0</v>
      </c>
      <c r="E2288" s="2" t="s">
        <v>11</v>
      </c>
      <c r="F2288" s="2" t="s">
        <v>67</v>
      </c>
      <c r="G2288" s="2"/>
      <c r="H2288" s="2"/>
      <c r="I2288" s="2"/>
      <c r="J2288" s="2"/>
    </row>
    <row r="2289" ht="15.75" customHeight="1">
      <c r="A2289" s="4" t="str">
        <f>HYPERLINK("https://stackoverflow.com/q/54695712", "54695712")</f>
        <v>54695712</v>
      </c>
      <c r="B2289" s="2" t="s">
        <v>2332</v>
      </c>
      <c r="C2289" s="3"/>
      <c r="D2289" s="3">
        <v>82.0</v>
      </c>
      <c r="E2289" s="2" t="s">
        <v>11</v>
      </c>
      <c r="F2289" s="2" t="s">
        <v>12</v>
      </c>
      <c r="G2289" s="2"/>
      <c r="H2289" s="2"/>
      <c r="I2289" s="2"/>
      <c r="J2289" s="2"/>
    </row>
    <row r="2290" ht="15.75" customHeight="1">
      <c r="A2290" s="4" t="str">
        <f>HYPERLINK("https://stackoverflow.com/q/61208367", "61208367")</f>
        <v>61208367</v>
      </c>
      <c r="B2290" s="2" t="s">
        <v>2333</v>
      </c>
      <c r="C2290" s="3"/>
      <c r="D2290" s="3">
        <v>82.0</v>
      </c>
      <c r="E2290" s="2" t="s">
        <v>11</v>
      </c>
      <c r="F2290" s="2" t="s">
        <v>67</v>
      </c>
      <c r="G2290" s="2"/>
      <c r="H2290" s="2"/>
      <c r="I2290" s="2"/>
      <c r="J2290" s="2"/>
    </row>
    <row r="2291" ht="15.75" customHeight="1">
      <c r="A2291" s="4" t="str">
        <f>HYPERLINK("https://stackoverflow.com/q/46976482", "46976482")</f>
        <v>46976482</v>
      </c>
      <c r="B2291" s="2" t="s">
        <v>2334</v>
      </c>
      <c r="C2291" s="3"/>
      <c r="D2291" s="3">
        <v>82.0</v>
      </c>
      <c r="E2291" s="2" t="s">
        <v>537</v>
      </c>
      <c r="F2291" s="2" t="s">
        <v>194</v>
      </c>
      <c r="G2291" s="2"/>
      <c r="H2291" s="2"/>
      <c r="I2291" s="2"/>
      <c r="J2291" s="2"/>
    </row>
    <row r="2292" ht="15.75" customHeight="1">
      <c r="A2292" s="4" t="str">
        <f>HYPERLINK("https://stackoverflow.com/q/52888222", "52888222")</f>
        <v>52888222</v>
      </c>
      <c r="B2292" s="2" t="s">
        <v>2335</v>
      </c>
      <c r="C2292" s="3"/>
      <c r="D2292" s="3">
        <v>82.0</v>
      </c>
      <c r="E2292" s="2"/>
      <c r="F2292" s="2"/>
      <c r="G2292" s="2"/>
      <c r="H2292" s="2"/>
      <c r="I2292" s="2"/>
      <c r="J2292" s="2"/>
    </row>
    <row r="2293" ht="15.75" customHeight="1">
      <c r="A2293" s="4" t="str">
        <f>HYPERLINK("https://stackoverflow.com/q/53669169", "53669169")</f>
        <v>53669169</v>
      </c>
      <c r="B2293" s="2" t="s">
        <v>2336</v>
      </c>
      <c r="C2293" s="3"/>
      <c r="D2293" s="3">
        <v>82.0</v>
      </c>
      <c r="E2293" s="2"/>
      <c r="F2293" s="2"/>
      <c r="G2293" s="2"/>
      <c r="H2293" s="2"/>
      <c r="I2293" s="2"/>
      <c r="J2293" s="2"/>
    </row>
    <row r="2294" ht="15.75" customHeight="1">
      <c r="A2294" s="4" t="str">
        <f>HYPERLINK("https://stackoverflow.com/q/53670395", "53670395")</f>
        <v>53670395</v>
      </c>
      <c r="B2294" s="2" t="s">
        <v>2337</v>
      </c>
      <c r="C2294" s="3"/>
      <c r="D2294" s="3">
        <v>82.0</v>
      </c>
      <c r="E2294" s="2"/>
      <c r="F2294" s="2"/>
      <c r="G2294" s="2"/>
      <c r="H2294" s="2"/>
      <c r="I2294" s="2"/>
      <c r="J2294" s="2"/>
    </row>
    <row r="2295" ht="15.75" customHeight="1">
      <c r="A2295" s="4" t="str">
        <f>HYPERLINK("https://stackoverflow.com/q/53690242", "53690242")</f>
        <v>53690242</v>
      </c>
      <c r="B2295" s="2" t="s">
        <v>2338</v>
      </c>
      <c r="C2295" s="3"/>
      <c r="D2295" s="3">
        <v>82.0</v>
      </c>
      <c r="E2295" s="2"/>
      <c r="F2295" s="2"/>
      <c r="G2295" s="2"/>
      <c r="H2295" s="2"/>
      <c r="I2295" s="2"/>
      <c r="J2295" s="2"/>
    </row>
    <row r="2296" ht="15.75" customHeight="1">
      <c r="A2296" s="4" t="str">
        <f>HYPERLINK("https://stackoverflow.com/q/56481283", "56481283")</f>
        <v>56481283</v>
      </c>
      <c r="B2296" s="2" t="s">
        <v>2339</v>
      </c>
      <c r="C2296" s="3"/>
      <c r="D2296" s="3">
        <v>82.0</v>
      </c>
      <c r="E2296" s="2"/>
      <c r="F2296" s="2"/>
      <c r="G2296" s="2"/>
      <c r="H2296" s="2"/>
      <c r="I2296" s="2"/>
      <c r="J2296" s="2"/>
    </row>
    <row r="2297" ht="15.75" customHeight="1">
      <c r="A2297" s="4" t="str">
        <f>HYPERLINK("https://stackoverflow.com/q/56953869", "56953869")</f>
        <v>56953869</v>
      </c>
      <c r="B2297" s="2" t="s">
        <v>2340</v>
      </c>
      <c r="C2297" s="3"/>
      <c r="D2297" s="3">
        <v>82.0</v>
      </c>
      <c r="E2297" s="2"/>
      <c r="F2297" s="2"/>
      <c r="G2297" s="2"/>
      <c r="H2297" s="2"/>
      <c r="I2297" s="2"/>
      <c r="J2297" s="2"/>
    </row>
    <row r="2298" ht="15.75" customHeight="1">
      <c r="A2298" s="4" t="str">
        <f>HYPERLINK("https://stackoverflow.com/q/57322919", "57322919")</f>
        <v>57322919</v>
      </c>
      <c r="B2298" s="2" t="s">
        <v>2341</v>
      </c>
      <c r="C2298" s="3"/>
      <c r="D2298" s="3">
        <v>82.0</v>
      </c>
      <c r="E2298" s="2"/>
      <c r="F2298" s="2"/>
      <c r="G2298" s="2"/>
      <c r="H2298" s="2"/>
      <c r="I2298" s="2"/>
      <c r="J2298" s="2"/>
    </row>
    <row r="2299" ht="15.75" customHeight="1">
      <c r="A2299" s="4" t="str">
        <f>HYPERLINK("https://stackoverflow.com/q/57848501", "57848501")</f>
        <v>57848501</v>
      </c>
      <c r="B2299" s="2" t="s">
        <v>2342</v>
      </c>
      <c r="C2299" s="3"/>
      <c r="D2299" s="3">
        <v>82.0</v>
      </c>
      <c r="E2299" s="2"/>
      <c r="F2299" s="2"/>
      <c r="G2299" s="2"/>
      <c r="H2299" s="2"/>
      <c r="I2299" s="2"/>
      <c r="J2299" s="2"/>
    </row>
    <row r="2300" ht="15.75" customHeight="1">
      <c r="A2300" s="4" t="str">
        <f>HYPERLINK("https://stackoverflow.com/q/60496009", "60496009")</f>
        <v>60496009</v>
      </c>
      <c r="B2300" s="2" t="s">
        <v>2343</v>
      </c>
      <c r="C2300" s="3"/>
      <c r="D2300" s="3">
        <v>82.0</v>
      </c>
      <c r="E2300" s="2"/>
      <c r="F2300" s="2"/>
      <c r="G2300" s="2"/>
      <c r="H2300" s="2"/>
      <c r="I2300" s="2"/>
      <c r="J2300" s="2"/>
    </row>
    <row r="2301" ht="15.75" customHeight="1">
      <c r="A2301" s="4" t="str">
        <f>HYPERLINK("https://stackoverflow.com/q/56958594", "56958594")</f>
        <v>56958594</v>
      </c>
      <c r="B2301" s="2" t="s">
        <v>2344</v>
      </c>
      <c r="C2301" s="3">
        <v>1.0</v>
      </c>
      <c r="D2301" s="3">
        <v>81.0</v>
      </c>
      <c r="E2301" s="2"/>
      <c r="F2301" s="2"/>
      <c r="G2301" s="2"/>
      <c r="H2301" s="2"/>
      <c r="I2301" s="2"/>
      <c r="J2301" s="2"/>
    </row>
    <row r="2302" ht="15.75" customHeight="1">
      <c r="A2302" s="4" t="str">
        <f>HYPERLINK("https://stackoverflow.com/q/58221749", "58221749")</f>
        <v>58221749</v>
      </c>
      <c r="B2302" s="2" t="s">
        <v>2345</v>
      </c>
      <c r="C2302" s="3">
        <v>1.0</v>
      </c>
      <c r="D2302" s="3">
        <v>81.0</v>
      </c>
      <c r="E2302" s="2"/>
      <c r="F2302" s="2"/>
      <c r="G2302" s="2"/>
      <c r="H2302" s="2"/>
      <c r="I2302" s="2"/>
      <c r="J2302" s="2"/>
    </row>
    <row r="2303" ht="15.75" customHeight="1">
      <c r="A2303" s="4" t="str">
        <f>HYPERLINK("https://stackoverflow.com/q/56380897", "56380897")</f>
        <v>56380897</v>
      </c>
      <c r="B2303" s="2" t="s">
        <v>2346</v>
      </c>
      <c r="C2303" s="3"/>
      <c r="D2303" s="3">
        <v>81.0</v>
      </c>
      <c r="E2303" s="2"/>
      <c r="F2303" s="2"/>
      <c r="G2303" s="2"/>
      <c r="H2303" s="2"/>
      <c r="I2303" s="2"/>
      <c r="J2303" s="2"/>
    </row>
    <row r="2304" ht="15.75" customHeight="1">
      <c r="A2304" s="4" t="str">
        <f>HYPERLINK("https://stackoverflow.com/q/59986306", "59986306")</f>
        <v>59986306</v>
      </c>
      <c r="B2304" s="2" t="s">
        <v>2347</v>
      </c>
      <c r="C2304" s="3"/>
      <c r="D2304" s="3">
        <v>81.0</v>
      </c>
      <c r="E2304" s="2"/>
      <c r="F2304" s="2"/>
      <c r="G2304" s="2"/>
      <c r="H2304" s="2"/>
      <c r="I2304" s="2"/>
      <c r="J2304" s="2"/>
    </row>
    <row r="2305" ht="15.75" customHeight="1">
      <c r="A2305" s="4" t="str">
        <f>HYPERLINK("https://stackoverflow.com/q/55488988", "55488988")</f>
        <v>55488988</v>
      </c>
      <c r="B2305" s="2" t="s">
        <v>2348</v>
      </c>
      <c r="C2305" s="3"/>
      <c r="D2305" s="3">
        <v>80.0</v>
      </c>
      <c r="E2305" s="2" t="s">
        <v>11</v>
      </c>
      <c r="F2305" s="2" t="s">
        <v>25</v>
      </c>
      <c r="G2305" s="2" t="s">
        <v>14</v>
      </c>
      <c r="H2305" s="2"/>
      <c r="I2305" s="2"/>
      <c r="J2305" s="2"/>
    </row>
    <row r="2306" ht="15.75" customHeight="1">
      <c r="A2306" s="4" t="str">
        <f>HYPERLINK("https://stackoverflow.com/q/49035373", "49035373")</f>
        <v>49035373</v>
      </c>
      <c r="B2306" s="2" t="s">
        <v>2349</v>
      </c>
      <c r="C2306" s="3"/>
      <c r="D2306" s="3">
        <v>80.0</v>
      </c>
      <c r="E2306" s="2"/>
      <c r="F2306" s="2"/>
      <c r="G2306" s="2"/>
      <c r="H2306" s="2"/>
      <c r="I2306" s="2"/>
      <c r="J2306" s="2"/>
    </row>
    <row r="2307" ht="15.75" customHeight="1">
      <c r="A2307" s="4" t="str">
        <f>HYPERLINK("https://stackoverflow.com/q/51893056", "51893056")</f>
        <v>51893056</v>
      </c>
      <c r="B2307" s="2" t="s">
        <v>2350</v>
      </c>
      <c r="C2307" s="3"/>
      <c r="D2307" s="3">
        <v>80.0</v>
      </c>
      <c r="E2307" s="2"/>
      <c r="F2307" s="2"/>
      <c r="G2307" s="2"/>
      <c r="H2307" s="2"/>
      <c r="I2307" s="2"/>
      <c r="J2307" s="2"/>
    </row>
    <row r="2308" ht="15.75" customHeight="1">
      <c r="A2308" s="4" t="str">
        <f>HYPERLINK("https://stackoverflow.com/q/52205799", "52205799")</f>
        <v>52205799</v>
      </c>
      <c r="B2308" s="2" t="s">
        <v>2351</v>
      </c>
      <c r="C2308" s="3"/>
      <c r="D2308" s="3">
        <v>80.0</v>
      </c>
      <c r="E2308" s="2"/>
      <c r="F2308" s="2"/>
      <c r="G2308" s="2"/>
      <c r="H2308" s="2"/>
      <c r="I2308" s="2"/>
      <c r="J2308" s="2"/>
    </row>
    <row r="2309" ht="15.75" customHeight="1">
      <c r="A2309" s="4" t="str">
        <f>HYPERLINK("https://stackoverflow.com/q/53161038", "53161038")</f>
        <v>53161038</v>
      </c>
      <c r="B2309" s="2" t="s">
        <v>2352</v>
      </c>
      <c r="C2309" s="3"/>
      <c r="D2309" s="3">
        <v>80.0</v>
      </c>
      <c r="E2309" s="2"/>
      <c r="F2309" s="2"/>
      <c r="G2309" s="2"/>
      <c r="H2309" s="2"/>
      <c r="I2309" s="2"/>
      <c r="J2309" s="2"/>
    </row>
    <row r="2310" ht="15.75" customHeight="1">
      <c r="A2310" s="4" t="str">
        <f>HYPERLINK("https://stackoverflow.com/q/53534973", "53534973")</f>
        <v>53534973</v>
      </c>
      <c r="B2310" s="2" t="s">
        <v>2353</v>
      </c>
      <c r="C2310" s="3"/>
      <c r="D2310" s="3">
        <v>80.0</v>
      </c>
      <c r="E2310" s="2"/>
      <c r="F2310" s="2"/>
      <c r="G2310" s="2"/>
      <c r="H2310" s="2"/>
      <c r="I2310" s="2"/>
      <c r="J2310" s="2"/>
    </row>
    <row r="2311" ht="15.75" customHeight="1">
      <c r="A2311" s="4" t="str">
        <f>HYPERLINK("https://stackoverflow.com/q/58832168", "58832168")</f>
        <v>58832168</v>
      </c>
      <c r="B2311" s="2" t="s">
        <v>2354</v>
      </c>
      <c r="C2311" s="3"/>
      <c r="D2311" s="3">
        <v>80.0</v>
      </c>
      <c r="E2311" s="2"/>
      <c r="F2311" s="2"/>
      <c r="G2311" s="2"/>
      <c r="H2311" s="2"/>
      <c r="I2311" s="2"/>
      <c r="J2311" s="2"/>
    </row>
    <row r="2312" ht="15.75" customHeight="1">
      <c r="A2312" s="4" t="str">
        <f>HYPERLINK("https://stackoverflow.com/q/59085464", "59085464")</f>
        <v>59085464</v>
      </c>
      <c r="B2312" s="2" t="s">
        <v>2355</v>
      </c>
      <c r="C2312" s="3"/>
      <c r="D2312" s="3">
        <v>80.0</v>
      </c>
      <c r="E2312" s="2"/>
      <c r="F2312" s="2"/>
      <c r="G2312" s="2"/>
      <c r="H2312" s="2"/>
      <c r="I2312" s="2"/>
      <c r="J2312" s="2"/>
    </row>
    <row r="2313" ht="15.75" customHeight="1">
      <c r="A2313" s="4" t="str">
        <f>HYPERLINK("https://stackoverflow.com/q/46340789", "46340789")</f>
        <v>46340789</v>
      </c>
      <c r="B2313" s="2" t="s">
        <v>2356</v>
      </c>
      <c r="C2313" s="3">
        <v>1.0</v>
      </c>
      <c r="D2313" s="3">
        <v>79.0</v>
      </c>
      <c r="E2313" s="9" t="s">
        <v>11</v>
      </c>
      <c r="F2313" s="2" t="s">
        <v>18</v>
      </c>
      <c r="G2313" s="2"/>
      <c r="H2313" s="2"/>
      <c r="I2313" s="2"/>
      <c r="J2313" s="2"/>
    </row>
    <row r="2314" ht="15.75" customHeight="1">
      <c r="A2314" s="4" t="str">
        <f>HYPERLINK("https://stackoverflow.com/q/49311336", "49311336")</f>
        <v>49311336</v>
      </c>
      <c r="B2314" s="2" t="s">
        <v>2357</v>
      </c>
      <c r="C2314" s="3">
        <v>1.0</v>
      </c>
      <c r="D2314" s="3">
        <v>79.0</v>
      </c>
      <c r="E2314" s="2"/>
      <c r="F2314" s="2"/>
      <c r="G2314" s="2"/>
      <c r="H2314" s="2"/>
      <c r="I2314" s="2"/>
      <c r="J2314" s="2"/>
    </row>
    <row r="2315" ht="15.75" customHeight="1">
      <c r="A2315" s="4" t="str">
        <f>HYPERLINK("https://stackoverflow.com/q/61713625", "61713625")</f>
        <v>61713625</v>
      </c>
      <c r="B2315" s="2" t="s">
        <v>2358</v>
      </c>
      <c r="C2315" s="3">
        <v>0.0</v>
      </c>
      <c r="D2315" s="3">
        <v>79.0</v>
      </c>
      <c r="E2315" s="2" t="s">
        <v>11</v>
      </c>
      <c r="F2315" s="2" t="s">
        <v>12</v>
      </c>
      <c r="G2315" s="2"/>
      <c r="H2315" s="2"/>
      <c r="I2315" s="2"/>
      <c r="J2315" s="2"/>
    </row>
    <row r="2316" ht="15.75" customHeight="1">
      <c r="A2316" s="4" t="str">
        <f>HYPERLINK("https://stackoverflow.com/q/48190454", "48190454")</f>
        <v>48190454</v>
      </c>
      <c r="B2316" s="2" t="s">
        <v>2359</v>
      </c>
      <c r="C2316" s="3"/>
      <c r="D2316" s="3">
        <v>79.0</v>
      </c>
      <c r="E2316" s="2" t="s">
        <v>11</v>
      </c>
      <c r="F2316" s="2" t="s">
        <v>14</v>
      </c>
      <c r="G2316" s="2"/>
      <c r="H2316" s="2"/>
      <c r="I2316" s="2"/>
      <c r="J2316" s="2"/>
    </row>
    <row r="2317" ht="15.75" customHeight="1">
      <c r="A2317" s="4" t="str">
        <f>HYPERLINK("https://stackoverflow.com/q/55164994", "55164994")</f>
        <v>55164994</v>
      </c>
      <c r="B2317" s="2" t="s">
        <v>2360</v>
      </c>
      <c r="C2317" s="3"/>
      <c r="D2317" s="3">
        <v>79.0</v>
      </c>
      <c r="E2317" s="2" t="s">
        <v>11</v>
      </c>
      <c r="F2317" s="2" t="s">
        <v>67</v>
      </c>
      <c r="G2317" s="2"/>
      <c r="H2317" s="2"/>
      <c r="I2317" s="2"/>
      <c r="J2317" s="2"/>
    </row>
    <row r="2318" ht="15.75" customHeight="1">
      <c r="A2318" s="4" t="str">
        <f>HYPERLINK("https://stackoverflow.com/q/61452894", "61452894")</f>
        <v>61452894</v>
      </c>
      <c r="B2318" s="2" t="s">
        <v>2361</v>
      </c>
      <c r="C2318" s="3"/>
      <c r="D2318" s="3">
        <v>79.0</v>
      </c>
      <c r="E2318" s="2" t="s">
        <v>11</v>
      </c>
      <c r="F2318" s="2" t="s">
        <v>25</v>
      </c>
      <c r="G2318" s="2"/>
      <c r="H2318" s="2"/>
      <c r="I2318" s="2"/>
      <c r="J2318" s="2"/>
    </row>
    <row r="2319" ht="15.75" customHeight="1">
      <c r="A2319" s="4" t="str">
        <f>HYPERLINK("https://stackoverflow.com/q/44394501", "44394501")</f>
        <v>44394501</v>
      </c>
      <c r="B2319" s="2" t="s">
        <v>2362</v>
      </c>
      <c r="C2319" s="3"/>
      <c r="D2319" s="3">
        <v>79.0</v>
      </c>
      <c r="E2319" s="2"/>
      <c r="F2319" s="2"/>
      <c r="G2319" s="2"/>
      <c r="H2319" s="2"/>
      <c r="I2319" s="2"/>
      <c r="J2319" s="2"/>
    </row>
    <row r="2320" ht="15.75" customHeight="1">
      <c r="A2320" s="4" t="str">
        <f>HYPERLINK("https://stackoverflow.com/q/49200336", "49200336")</f>
        <v>49200336</v>
      </c>
      <c r="B2320" s="2" t="s">
        <v>2363</v>
      </c>
      <c r="C2320" s="3"/>
      <c r="D2320" s="3">
        <v>79.0</v>
      </c>
      <c r="E2320" s="2"/>
      <c r="F2320" s="2"/>
      <c r="G2320" s="2"/>
      <c r="H2320" s="2"/>
      <c r="I2320" s="2"/>
      <c r="J2320" s="2"/>
    </row>
    <row r="2321" ht="15.75" customHeight="1">
      <c r="A2321" s="4" t="str">
        <f>HYPERLINK("https://stackoverflow.com/q/49249899", "49249899")</f>
        <v>49249899</v>
      </c>
      <c r="B2321" s="2" t="s">
        <v>2364</v>
      </c>
      <c r="C2321" s="3"/>
      <c r="D2321" s="3">
        <v>79.0</v>
      </c>
      <c r="E2321" s="2"/>
      <c r="F2321" s="2"/>
      <c r="G2321" s="2"/>
      <c r="H2321" s="2"/>
      <c r="I2321" s="2"/>
      <c r="J2321" s="2"/>
    </row>
    <row r="2322" ht="15.75" customHeight="1">
      <c r="A2322" s="4" t="str">
        <f>HYPERLINK("https://stackoverflow.com/q/58297072", "58297072")</f>
        <v>58297072</v>
      </c>
      <c r="B2322" s="2" t="s">
        <v>2365</v>
      </c>
      <c r="C2322" s="3"/>
      <c r="D2322" s="3">
        <v>79.0</v>
      </c>
      <c r="E2322" s="2"/>
      <c r="F2322" s="2"/>
      <c r="G2322" s="2"/>
      <c r="H2322" s="2"/>
      <c r="I2322" s="2"/>
      <c r="J2322" s="2"/>
    </row>
    <row r="2323" ht="15.75" customHeight="1">
      <c r="A2323" s="4" t="str">
        <f>HYPERLINK("https://stackoverflow.com/q/44073389", "44073389")</f>
        <v>44073389</v>
      </c>
      <c r="B2323" s="2" t="s">
        <v>2366</v>
      </c>
      <c r="C2323" s="3"/>
      <c r="D2323" s="3">
        <v>78.0</v>
      </c>
      <c r="E2323" s="2" t="s">
        <v>11</v>
      </c>
      <c r="F2323" s="2" t="s">
        <v>44</v>
      </c>
      <c r="G2323" s="2" t="s">
        <v>34</v>
      </c>
      <c r="H2323" s="2"/>
      <c r="I2323" s="2"/>
      <c r="J2323" s="2"/>
    </row>
    <row r="2324" ht="15.75" customHeight="1">
      <c r="A2324" s="4" t="str">
        <f>HYPERLINK("https://stackoverflow.com/q/54248770", "54248770")</f>
        <v>54248770</v>
      </c>
      <c r="B2324" s="2" t="s">
        <v>2367</v>
      </c>
      <c r="C2324" s="3"/>
      <c r="D2324" s="3">
        <v>78.0</v>
      </c>
      <c r="E2324" s="2" t="s">
        <v>11</v>
      </c>
      <c r="F2324" s="2" t="s">
        <v>12</v>
      </c>
      <c r="G2324" s="2"/>
      <c r="H2324" s="2"/>
      <c r="I2324" s="2"/>
      <c r="J2324" s="2"/>
    </row>
    <row r="2325" ht="15.75" customHeight="1">
      <c r="A2325" s="4" t="str">
        <f>HYPERLINK("https://stackoverflow.com/q/40525663", "40525663")</f>
        <v>40525663</v>
      </c>
      <c r="B2325" s="2" t="s">
        <v>2368</v>
      </c>
      <c r="C2325" s="3"/>
      <c r="D2325" s="3">
        <v>78.0</v>
      </c>
      <c r="E2325" s="2"/>
      <c r="F2325" s="2"/>
      <c r="G2325" s="2"/>
      <c r="H2325" s="2"/>
      <c r="I2325" s="2"/>
      <c r="J2325" s="2"/>
    </row>
    <row r="2326" ht="15.75" customHeight="1">
      <c r="A2326" s="4" t="str">
        <f>HYPERLINK("https://stackoverflow.com/q/46016491", "46016491")</f>
        <v>46016491</v>
      </c>
      <c r="B2326" s="2" t="s">
        <v>2369</v>
      </c>
      <c r="C2326" s="3"/>
      <c r="D2326" s="3">
        <v>78.0</v>
      </c>
      <c r="E2326" s="2"/>
      <c r="F2326" s="2"/>
      <c r="G2326" s="2"/>
      <c r="H2326" s="2"/>
      <c r="I2326" s="2"/>
      <c r="J2326" s="2"/>
    </row>
    <row r="2327" ht="15.75" customHeight="1">
      <c r="A2327" s="4" t="str">
        <f>HYPERLINK("https://stackoverflow.com/q/49580441", "49580441")</f>
        <v>49580441</v>
      </c>
      <c r="B2327" s="2" t="s">
        <v>2370</v>
      </c>
      <c r="C2327" s="3"/>
      <c r="D2327" s="3">
        <v>78.0</v>
      </c>
      <c r="E2327" s="2"/>
      <c r="F2327" s="2"/>
      <c r="G2327" s="2"/>
      <c r="H2327" s="2"/>
      <c r="I2327" s="2"/>
      <c r="J2327" s="2"/>
    </row>
    <row r="2328" ht="15.75" customHeight="1">
      <c r="A2328" s="4" t="str">
        <f>HYPERLINK("https://stackoverflow.com/q/58091962", "58091962")</f>
        <v>58091962</v>
      </c>
      <c r="B2328" s="2" t="s">
        <v>2371</v>
      </c>
      <c r="C2328" s="3"/>
      <c r="D2328" s="3">
        <v>78.0</v>
      </c>
      <c r="E2328" s="2"/>
      <c r="F2328" s="2"/>
      <c r="G2328" s="2"/>
      <c r="H2328" s="2"/>
      <c r="I2328" s="2"/>
      <c r="J2328" s="2"/>
    </row>
    <row r="2329" ht="15.75" customHeight="1">
      <c r="A2329" s="4" t="str">
        <f>HYPERLINK("https://stackoverflow.com/q/58416726", "58416726")</f>
        <v>58416726</v>
      </c>
      <c r="B2329" s="2" t="s">
        <v>2372</v>
      </c>
      <c r="C2329" s="3"/>
      <c r="D2329" s="3">
        <v>78.0</v>
      </c>
      <c r="E2329" s="2"/>
      <c r="F2329" s="2"/>
      <c r="G2329" s="2"/>
      <c r="H2329" s="2"/>
      <c r="I2329" s="2"/>
      <c r="J2329" s="2"/>
    </row>
    <row r="2330" ht="15.75" customHeight="1">
      <c r="A2330" s="4" t="str">
        <f>HYPERLINK("https://stackoverflow.com/q/58435535", "58435535")</f>
        <v>58435535</v>
      </c>
      <c r="B2330" s="2" t="s">
        <v>2373</v>
      </c>
      <c r="C2330" s="3"/>
      <c r="D2330" s="3">
        <v>78.0</v>
      </c>
      <c r="E2330" s="2"/>
      <c r="F2330" s="2"/>
      <c r="G2330" s="2"/>
      <c r="H2330" s="2"/>
      <c r="I2330" s="2"/>
      <c r="J2330" s="2"/>
    </row>
    <row r="2331" ht="15.75" customHeight="1">
      <c r="A2331" s="4" t="str">
        <f>HYPERLINK("https://stackoverflow.com/q/59861020", "59861020")</f>
        <v>59861020</v>
      </c>
      <c r="B2331" s="2" t="s">
        <v>2374</v>
      </c>
      <c r="C2331" s="3"/>
      <c r="D2331" s="3">
        <v>78.0</v>
      </c>
      <c r="E2331" s="2"/>
      <c r="F2331" s="2"/>
      <c r="G2331" s="2"/>
      <c r="H2331" s="2"/>
      <c r="I2331" s="2"/>
      <c r="J2331" s="2"/>
    </row>
    <row r="2332" ht="15.75" customHeight="1">
      <c r="A2332" s="4" t="str">
        <f>HYPERLINK("https://stackoverflow.com/q/54857737", "54857737")</f>
        <v>54857737</v>
      </c>
      <c r="B2332" s="2" t="s">
        <v>2375</v>
      </c>
      <c r="C2332" s="3">
        <v>1.0</v>
      </c>
      <c r="D2332" s="3">
        <v>77.0</v>
      </c>
      <c r="E2332" s="2" t="s">
        <v>11</v>
      </c>
      <c r="F2332" s="2" t="s">
        <v>44</v>
      </c>
      <c r="G2332" s="2"/>
      <c r="H2332" s="2"/>
      <c r="I2332" s="2"/>
      <c r="J2332" s="2"/>
    </row>
    <row r="2333" ht="15.75" customHeight="1">
      <c r="A2333" s="4" t="str">
        <f>HYPERLINK("https://stackoverflow.com/q/57404280", "57404280")</f>
        <v>57404280</v>
      </c>
      <c r="B2333" s="2" t="s">
        <v>2376</v>
      </c>
      <c r="C2333" s="3">
        <v>1.0</v>
      </c>
      <c r="D2333" s="3">
        <v>77.0</v>
      </c>
      <c r="E2333" s="2"/>
      <c r="F2333" s="2"/>
      <c r="G2333" s="2"/>
      <c r="H2333" s="2"/>
      <c r="I2333" s="2"/>
      <c r="J2333" s="2"/>
    </row>
    <row r="2334" ht="15.75" customHeight="1">
      <c r="A2334" s="4" t="str">
        <f>HYPERLINK("https://stackoverflow.com/q/55104440", "55104440")</f>
        <v>55104440</v>
      </c>
      <c r="B2334" s="2" t="s">
        <v>2377</v>
      </c>
      <c r="C2334" s="3"/>
      <c r="D2334" s="3">
        <v>77.0</v>
      </c>
      <c r="E2334" s="9" t="s">
        <v>11</v>
      </c>
      <c r="F2334" s="2" t="s">
        <v>16</v>
      </c>
      <c r="G2334" s="2"/>
      <c r="H2334" s="2"/>
      <c r="I2334" s="2"/>
      <c r="J2334" s="2"/>
    </row>
    <row r="2335" ht="15.75" customHeight="1">
      <c r="A2335" s="4" t="str">
        <f>HYPERLINK("https://stackoverflow.com/q/55137884", "55137884")</f>
        <v>55137884</v>
      </c>
      <c r="B2335" s="2" t="s">
        <v>2378</v>
      </c>
      <c r="C2335" s="3"/>
      <c r="D2335" s="3">
        <v>77.0</v>
      </c>
      <c r="E2335" s="2" t="s">
        <v>11</v>
      </c>
      <c r="F2335" s="2" t="s">
        <v>12</v>
      </c>
      <c r="G2335" s="2"/>
      <c r="H2335" s="2"/>
      <c r="I2335" s="2"/>
      <c r="J2335" s="2"/>
    </row>
    <row r="2336" ht="15.75" customHeight="1">
      <c r="A2336" s="4" t="str">
        <f>HYPERLINK("https://stackoverflow.com/q/55179755", "55179755")</f>
        <v>55179755</v>
      </c>
      <c r="B2336" s="2" t="s">
        <v>2379</v>
      </c>
      <c r="C2336" s="3"/>
      <c r="D2336" s="3">
        <v>77.0</v>
      </c>
      <c r="E2336" s="9" t="s">
        <v>11</v>
      </c>
      <c r="F2336" s="2" t="s">
        <v>18</v>
      </c>
      <c r="G2336" s="2"/>
      <c r="H2336" s="2"/>
      <c r="I2336" s="2"/>
      <c r="J2336" s="2"/>
    </row>
    <row r="2337" ht="15.75" customHeight="1">
      <c r="A2337" s="4" t="str">
        <f>HYPERLINK("https://stackoverflow.com/q/21422363", "21422363")</f>
        <v>21422363</v>
      </c>
      <c r="B2337" s="2" t="s">
        <v>2380</v>
      </c>
      <c r="C2337" s="3"/>
      <c r="D2337" s="3">
        <v>77.0</v>
      </c>
      <c r="E2337" s="2"/>
      <c r="F2337" s="2"/>
      <c r="G2337" s="2"/>
      <c r="H2337" s="2"/>
      <c r="I2337" s="2"/>
      <c r="J2337" s="2"/>
    </row>
    <row r="2338" ht="15.75" customHeight="1">
      <c r="A2338" s="4" t="str">
        <f>HYPERLINK("https://stackoverflow.com/q/44510491", "44510491")</f>
        <v>44510491</v>
      </c>
      <c r="B2338" s="2" t="s">
        <v>2381</v>
      </c>
      <c r="C2338" s="3"/>
      <c r="D2338" s="3">
        <v>77.0</v>
      </c>
      <c r="E2338" s="2"/>
      <c r="F2338" s="2"/>
      <c r="G2338" s="2"/>
      <c r="H2338" s="2"/>
      <c r="I2338" s="2"/>
      <c r="J2338" s="2"/>
    </row>
    <row r="2339" ht="15.75" customHeight="1">
      <c r="A2339" s="4" t="str">
        <f>HYPERLINK("https://stackoverflow.com/q/48642274", "48642274")</f>
        <v>48642274</v>
      </c>
      <c r="B2339" s="2" t="s">
        <v>2382</v>
      </c>
      <c r="C2339" s="3"/>
      <c r="D2339" s="3">
        <v>77.0</v>
      </c>
      <c r="E2339" s="2"/>
      <c r="F2339" s="2"/>
      <c r="G2339" s="2"/>
      <c r="H2339" s="2"/>
      <c r="I2339" s="2"/>
      <c r="J2339" s="2"/>
    </row>
    <row r="2340" ht="15.75" customHeight="1">
      <c r="A2340" s="4" t="str">
        <f>HYPERLINK("https://stackoverflow.com/q/51105842", "51105842")</f>
        <v>51105842</v>
      </c>
      <c r="B2340" s="2" t="s">
        <v>2383</v>
      </c>
      <c r="C2340" s="3"/>
      <c r="D2340" s="3">
        <v>77.0</v>
      </c>
      <c r="E2340" s="2"/>
      <c r="F2340" s="2"/>
      <c r="G2340" s="2"/>
      <c r="H2340" s="2"/>
      <c r="I2340" s="2"/>
      <c r="J2340" s="2"/>
    </row>
    <row r="2341" ht="15.75" customHeight="1">
      <c r="A2341" s="4" t="str">
        <f>HYPERLINK("https://stackoverflow.com/q/53008138", "53008138")</f>
        <v>53008138</v>
      </c>
      <c r="B2341" s="2" t="s">
        <v>2384</v>
      </c>
      <c r="C2341" s="3"/>
      <c r="D2341" s="3">
        <v>77.0</v>
      </c>
      <c r="E2341" s="2"/>
      <c r="F2341" s="2"/>
      <c r="G2341" s="2"/>
      <c r="H2341" s="2"/>
      <c r="I2341" s="2"/>
      <c r="J2341" s="2"/>
    </row>
    <row r="2342" ht="15.75" customHeight="1">
      <c r="A2342" s="4" t="str">
        <f>HYPERLINK("https://stackoverflow.com/q/53486490", "53486490")</f>
        <v>53486490</v>
      </c>
      <c r="B2342" s="2" t="s">
        <v>2385</v>
      </c>
      <c r="C2342" s="3"/>
      <c r="D2342" s="3">
        <v>77.0</v>
      </c>
      <c r="E2342" s="2"/>
      <c r="F2342" s="2"/>
      <c r="G2342" s="2"/>
      <c r="H2342" s="2"/>
      <c r="I2342" s="2"/>
      <c r="J2342" s="2"/>
    </row>
    <row r="2343" ht="15.75" customHeight="1">
      <c r="A2343" s="4" t="str">
        <f>HYPERLINK("https://stackoverflow.com/q/56573602", "56573602")</f>
        <v>56573602</v>
      </c>
      <c r="B2343" s="2" t="s">
        <v>2386</v>
      </c>
      <c r="C2343" s="3"/>
      <c r="D2343" s="3">
        <v>77.0</v>
      </c>
      <c r="E2343" s="2"/>
      <c r="F2343" s="2"/>
      <c r="G2343" s="2"/>
      <c r="H2343" s="2"/>
      <c r="I2343" s="2"/>
      <c r="J2343" s="2"/>
    </row>
    <row r="2344" ht="15.75" customHeight="1">
      <c r="A2344" s="4" t="str">
        <f>HYPERLINK("https://stackoverflow.com/q/56679749", "56679749")</f>
        <v>56679749</v>
      </c>
      <c r="B2344" s="2" t="s">
        <v>2387</v>
      </c>
      <c r="C2344" s="3"/>
      <c r="D2344" s="3">
        <v>77.0</v>
      </c>
      <c r="E2344" s="2"/>
      <c r="F2344" s="2"/>
      <c r="G2344" s="2"/>
      <c r="H2344" s="2"/>
      <c r="I2344" s="2"/>
      <c r="J2344" s="2"/>
    </row>
    <row r="2345" ht="15.75" customHeight="1">
      <c r="A2345" s="4" t="str">
        <f>HYPERLINK("https://stackoverflow.com/q/59960130", "59960130")</f>
        <v>59960130</v>
      </c>
      <c r="B2345" s="2" t="s">
        <v>2388</v>
      </c>
      <c r="C2345" s="3"/>
      <c r="D2345" s="3">
        <v>77.0</v>
      </c>
      <c r="E2345" s="2"/>
      <c r="F2345" s="2"/>
      <c r="G2345" s="2"/>
      <c r="H2345" s="2"/>
      <c r="I2345" s="2"/>
      <c r="J2345" s="2"/>
    </row>
    <row r="2346" ht="15.75" customHeight="1">
      <c r="A2346" s="4" t="str">
        <f>HYPERLINK("https://stackoverflow.com/q/54005457", "54005457")</f>
        <v>54005457</v>
      </c>
      <c r="B2346" s="2" t="s">
        <v>2389</v>
      </c>
      <c r="C2346" s="3"/>
      <c r="D2346" s="3">
        <v>76.0</v>
      </c>
      <c r="E2346" s="9" t="s">
        <v>11</v>
      </c>
      <c r="F2346" s="2" t="s">
        <v>18</v>
      </c>
      <c r="G2346" s="2"/>
      <c r="H2346" s="2"/>
      <c r="I2346" s="2"/>
      <c r="J2346" s="2"/>
    </row>
    <row r="2347" ht="15.75" customHeight="1">
      <c r="A2347" s="4" t="str">
        <f>HYPERLINK("https://stackoverflow.com/q/54365658", "54365658")</f>
        <v>54365658</v>
      </c>
      <c r="B2347" s="2" t="s">
        <v>2390</v>
      </c>
      <c r="C2347" s="3"/>
      <c r="D2347" s="3">
        <v>76.0</v>
      </c>
      <c r="E2347" s="2" t="s">
        <v>11</v>
      </c>
      <c r="F2347" s="2" t="s">
        <v>28</v>
      </c>
      <c r="G2347" s="2"/>
      <c r="H2347" s="2"/>
      <c r="I2347" s="2"/>
      <c r="J2347" s="2"/>
    </row>
    <row r="2348" ht="15.75" customHeight="1">
      <c r="A2348" s="4" t="str">
        <f>HYPERLINK("https://stackoverflow.com/q/55408264", "55408264")</f>
        <v>55408264</v>
      </c>
      <c r="B2348" s="2" t="s">
        <v>2391</v>
      </c>
      <c r="C2348" s="3"/>
      <c r="D2348" s="3">
        <v>76.0</v>
      </c>
      <c r="E2348" s="9" t="s">
        <v>11</v>
      </c>
      <c r="F2348" s="2" t="s">
        <v>18</v>
      </c>
      <c r="G2348" s="2"/>
      <c r="H2348" s="2"/>
      <c r="I2348" s="2"/>
      <c r="J2348" s="2"/>
    </row>
    <row r="2349" ht="15.75" customHeight="1">
      <c r="A2349" s="4" t="str">
        <f>HYPERLINK("https://stackoverflow.com/q/53288846", "53288846")</f>
        <v>53288846</v>
      </c>
      <c r="B2349" s="2" t="s">
        <v>2392</v>
      </c>
      <c r="C2349" s="3"/>
      <c r="D2349" s="3">
        <v>76.0</v>
      </c>
      <c r="E2349" s="2"/>
      <c r="F2349" s="2"/>
      <c r="G2349" s="2"/>
      <c r="H2349" s="2"/>
      <c r="I2349" s="2"/>
      <c r="J2349" s="2"/>
    </row>
    <row r="2350" ht="15.75" customHeight="1">
      <c r="A2350" s="4" t="str">
        <f>HYPERLINK("https://stackoverflow.com/q/56535605", "56535605")</f>
        <v>56535605</v>
      </c>
      <c r="B2350" s="2" t="s">
        <v>2393</v>
      </c>
      <c r="C2350" s="3"/>
      <c r="D2350" s="3">
        <v>76.0</v>
      </c>
      <c r="E2350" s="2"/>
      <c r="F2350" s="2"/>
      <c r="G2350" s="2"/>
      <c r="H2350" s="2"/>
      <c r="I2350" s="2"/>
      <c r="J2350" s="2"/>
    </row>
    <row r="2351" ht="15.75" customHeight="1">
      <c r="A2351" s="4" t="str">
        <f>HYPERLINK("https://stackoverflow.com/q/57359844", "57359844")</f>
        <v>57359844</v>
      </c>
      <c r="B2351" s="2" t="s">
        <v>2394</v>
      </c>
      <c r="C2351" s="3"/>
      <c r="D2351" s="3">
        <v>76.0</v>
      </c>
      <c r="E2351" s="2"/>
      <c r="F2351" s="2"/>
      <c r="G2351" s="2"/>
      <c r="H2351" s="2"/>
      <c r="I2351" s="2"/>
      <c r="J2351" s="2"/>
    </row>
    <row r="2352" ht="15.75" customHeight="1">
      <c r="A2352" s="4" t="str">
        <f>HYPERLINK("https://stackoverflow.com/q/57895035", "57895035")</f>
        <v>57895035</v>
      </c>
      <c r="B2352" s="2" t="s">
        <v>2395</v>
      </c>
      <c r="C2352" s="3"/>
      <c r="D2352" s="3">
        <v>76.0</v>
      </c>
      <c r="E2352" s="2"/>
      <c r="F2352" s="2"/>
      <c r="G2352" s="2"/>
      <c r="H2352" s="2"/>
      <c r="I2352" s="2"/>
      <c r="J2352" s="2"/>
    </row>
    <row r="2353" ht="15.75" customHeight="1">
      <c r="A2353" s="4" t="str">
        <f>HYPERLINK("https://stackoverflow.com/q/58011656", "58011656")</f>
        <v>58011656</v>
      </c>
      <c r="B2353" s="2" t="s">
        <v>2396</v>
      </c>
      <c r="C2353" s="3"/>
      <c r="D2353" s="3">
        <v>76.0</v>
      </c>
      <c r="E2353" s="2"/>
      <c r="F2353" s="2"/>
      <c r="G2353" s="2"/>
      <c r="H2353" s="2"/>
      <c r="I2353" s="2"/>
      <c r="J2353" s="2"/>
    </row>
    <row r="2354" ht="15.75" customHeight="1">
      <c r="A2354" s="4" t="str">
        <f>HYPERLINK("https://stackoverflow.com/q/58677883", "58677883")</f>
        <v>58677883</v>
      </c>
      <c r="B2354" s="2" t="s">
        <v>2397</v>
      </c>
      <c r="C2354" s="3"/>
      <c r="D2354" s="3">
        <v>76.0</v>
      </c>
      <c r="E2354" s="2"/>
      <c r="F2354" s="2"/>
      <c r="G2354" s="2"/>
      <c r="H2354" s="2"/>
      <c r="I2354" s="2"/>
      <c r="J2354" s="2"/>
    </row>
    <row r="2355" ht="15.75" customHeight="1">
      <c r="A2355" s="4" t="str">
        <f>HYPERLINK("https://stackoverflow.com/q/60269505", "60269505")</f>
        <v>60269505</v>
      </c>
      <c r="B2355" s="2" t="s">
        <v>2398</v>
      </c>
      <c r="C2355" s="3"/>
      <c r="D2355" s="3">
        <v>76.0</v>
      </c>
      <c r="E2355" s="2"/>
      <c r="F2355" s="2"/>
      <c r="G2355" s="2"/>
      <c r="H2355" s="2"/>
      <c r="I2355" s="2"/>
      <c r="J2355" s="2"/>
    </row>
    <row r="2356" ht="15.75" customHeight="1">
      <c r="A2356" s="4" t="str">
        <f>HYPERLINK("https://stackoverflow.com/q/47333242", "47333242")</f>
        <v>47333242</v>
      </c>
      <c r="B2356" s="2" t="s">
        <v>2399</v>
      </c>
      <c r="C2356" s="3"/>
      <c r="D2356" s="3">
        <v>75.0</v>
      </c>
      <c r="E2356" s="2" t="s">
        <v>59</v>
      </c>
      <c r="F2356" s="2" t="s">
        <v>21</v>
      </c>
      <c r="G2356" s="2" t="s">
        <v>25</v>
      </c>
      <c r="H2356" s="2"/>
      <c r="I2356" s="2"/>
      <c r="J2356" s="2"/>
    </row>
    <row r="2357" ht="15.75" customHeight="1">
      <c r="A2357" s="4" t="str">
        <f>HYPERLINK("https://stackoverflow.com/q/44070042", "44070042")</f>
        <v>44070042</v>
      </c>
      <c r="B2357" s="2" t="s">
        <v>2400</v>
      </c>
      <c r="C2357" s="3"/>
      <c r="D2357" s="3">
        <v>75.0</v>
      </c>
      <c r="E2357" s="2" t="s">
        <v>11</v>
      </c>
      <c r="F2357" s="2" t="s">
        <v>30</v>
      </c>
      <c r="G2357" s="2"/>
      <c r="H2357" s="2"/>
      <c r="I2357" s="2"/>
      <c r="J2357" s="2"/>
    </row>
    <row r="2358" ht="15.75" customHeight="1">
      <c r="A2358" s="4" t="str">
        <f>HYPERLINK("https://stackoverflow.com/q/54577461", "54577461")</f>
        <v>54577461</v>
      </c>
      <c r="B2358" s="2" t="s">
        <v>2401</v>
      </c>
      <c r="C2358" s="3"/>
      <c r="D2358" s="3">
        <v>75.0</v>
      </c>
      <c r="E2358" s="2" t="s">
        <v>11</v>
      </c>
      <c r="F2358" s="2" t="s">
        <v>12</v>
      </c>
      <c r="G2358" s="2"/>
      <c r="H2358" s="2"/>
      <c r="I2358" s="2"/>
      <c r="J2358" s="2"/>
    </row>
    <row r="2359" ht="15.75" customHeight="1">
      <c r="A2359" s="4" t="str">
        <f>HYPERLINK("https://stackoverflow.com/q/54618164", "54618164")</f>
        <v>54618164</v>
      </c>
      <c r="B2359" s="2" t="s">
        <v>2402</v>
      </c>
      <c r="C2359" s="3"/>
      <c r="D2359" s="3">
        <v>75.0</v>
      </c>
      <c r="E2359" s="9" t="s">
        <v>11</v>
      </c>
      <c r="F2359" s="2" t="s">
        <v>18</v>
      </c>
      <c r="G2359" s="2"/>
      <c r="H2359" s="2"/>
      <c r="I2359" s="2"/>
      <c r="J2359" s="2"/>
    </row>
    <row r="2360" ht="15.75" customHeight="1">
      <c r="A2360" s="4" t="str">
        <f>HYPERLINK("https://stackoverflow.com/q/55161617", "55161617")</f>
        <v>55161617</v>
      </c>
      <c r="B2360" s="2" t="s">
        <v>2403</v>
      </c>
      <c r="C2360" s="3"/>
      <c r="D2360" s="3">
        <v>75.0</v>
      </c>
      <c r="E2360" s="2" t="s">
        <v>11</v>
      </c>
      <c r="F2360" s="2" t="s">
        <v>44</v>
      </c>
      <c r="G2360" s="2"/>
      <c r="H2360" s="2"/>
      <c r="I2360" s="2"/>
      <c r="J2360" s="2"/>
    </row>
    <row r="2361" ht="15.75" customHeight="1">
      <c r="A2361" s="4" t="str">
        <f>HYPERLINK("https://stackoverflow.com/q/14281766", "14281766")</f>
        <v>14281766</v>
      </c>
      <c r="B2361" s="2" t="s">
        <v>2404</v>
      </c>
      <c r="C2361" s="3"/>
      <c r="D2361" s="3">
        <v>75.0</v>
      </c>
      <c r="E2361" s="2"/>
      <c r="F2361" s="2"/>
      <c r="G2361" s="2"/>
      <c r="H2361" s="2"/>
      <c r="I2361" s="2"/>
      <c r="J2361" s="2"/>
    </row>
    <row r="2362" ht="15.75" customHeight="1">
      <c r="A2362" s="4" t="str">
        <f>HYPERLINK("https://stackoverflow.com/q/41194285", "41194285")</f>
        <v>41194285</v>
      </c>
      <c r="B2362" s="2" t="s">
        <v>2405</v>
      </c>
      <c r="C2362" s="3"/>
      <c r="D2362" s="3">
        <v>75.0</v>
      </c>
      <c r="E2362" s="2"/>
      <c r="F2362" s="2"/>
      <c r="G2362" s="2"/>
      <c r="H2362" s="2"/>
      <c r="I2362" s="2"/>
      <c r="J2362" s="2"/>
    </row>
    <row r="2363" ht="15.75" customHeight="1">
      <c r="A2363" s="4" t="str">
        <f>HYPERLINK("https://stackoverflow.com/q/51175074", "51175074")</f>
        <v>51175074</v>
      </c>
      <c r="B2363" s="2" t="s">
        <v>2406</v>
      </c>
      <c r="C2363" s="3"/>
      <c r="D2363" s="3">
        <v>75.0</v>
      </c>
      <c r="E2363" s="2"/>
      <c r="F2363" s="2"/>
      <c r="G2363" s="2"/>
      <c r="H2363" s="2"/>
      <c r="I2363" s="2"/>
      <c r="J2363" s="2"/>
    </row>
    <row r="2364" ht="15.75" customHeight="1">
      <c r="A2364" s="4" t="str">
        <f>HYPERLINK("https://stackoverflow.com/q/51572657", "51572657")</f>
        <v>51572657</v>
      </c>
      <c r="B2364" s="2" t="s">
        <v>2407</v>
      </c>
      <c r="C2364" s="3"/>
      <c r="D2364" s="3">
        <v>75.0</v>
      </c>
      <c r="E2364" s="2"/>
      <c r="F2364" s="2"/>
      <c r="G2364" s="2"/>
      <c r="H2364" s="2"/>
      <c r="I2364" s="2"/>
      <c r="J2364" s="2"/>
    </row>
    <row r="2365" ht="15.75" customHeight="1">
      <c r="A2365" s="4" t="str">
        <f>HYPERLINK("https://stackoverflow.com/q/51840153", "51840153")</f>
        <v>51840153</v>
      </c>
      <c r="B2365" s="2" t="s">
        <v>2408</v>
      </c>
      <c r="C2365" s="3"/>
      <c r="D2365" s="3">
        <v>75.0</v>
      </c>
      <c r="E2365" s="2"/>
      <c r="F2365" s="2"/>
      <c r="G2365" s="2"/>
      <c r="H2365" s="2"/>
      <c r="I2365" s="2"/>
      <c r="J2365" s="2"/>
    </row>
    <row r="2366" ht="15.75" customHeight="1">
      <c r="A2366" s="4" t="str">
        <f>HYPERLINK("https://stackoverflow.com/q/57085012", "57085012")</f>
        <v>57085012</v>
      </c>
      <c r="B2366" s="2" t="s">
        <v>2409</v>
      </c>
      <c r="C2366" s="3"/>
      <c r="D2366" s="3">
        <v>75.0</v>
      </c>
      <c r="E2366" s="2"/>
      <c r="F2366" s="2"/>
      <c r="G2366" s="2"/>
      <c r="H2366" s="2"/>
      <c r="I2366" s="2"/>
      <c r="J2366" s="2"/>
    </row>
    <row r="2367" ht="15.75" customHeight="1">
      <c r="A2367" s="4" t="str">
        <f>HYPERLINK("https://stackoverflow.com/q/59886892", "59886892")</f>
        <v>59886892</v>
      </c>
      <c r="B2367" s="2" t="s">
        <v>2410</v>
      </c>
      <c r="C2367" s="3"/>
      <c r="D2367" s="3">
        <v>75.0</v>
      </c>
      <c r="E2367" s="2"/>
      <c r="F2367" s="2"/>
      <c r="G2367" s="2"/>
      <c r="H2367" s="2"/>
      <c r="I2367" s="2"/>
      <c r="J2367" s="2"/>
    </row>
    <row r="2368" ht="15.75" customHeight="1">
      <c r="A2368" s="4" t="str">
        <f>HYPERLINK("https://stackoverflow.com/q/60416906", "60416906")</f>
        <v>60416906</v>
      </c>
      <c r="B2368" s="2" t="s">
        <v>2411</v>
      </c>
      <c r="C2368" s="3"/>
      <c r="D2368" s="3">
        <v>75.0</v>
      </c>
      <c r="E2368" s="2"/>
      <c r="F2368" s="2"/>
      <c r="G2368" s="2"/>
      <c r="H2368" s="2"/>
      <c r="I2368" s="2"/>
      <c r="J2368" s="2"/>
    </row>
    <row r="2369" ht="15.75" customHeight="1">
      <c r="A2369" s="4" t="str">
        <f>HYPERLINK("https://stackoverflow.com/q/60769225", "60769225")</f>
        <v>60769225</v>
      </c>
      <c r="B2369" s="2" t="s">
        <v>2412</v>
      </c>
      <c r="C2369" s="3"/>
      <c r="D2369" s="3">
        <v>75.0</v>
      </c>
      <c r="E2369" s="2"/>
      <c r="F2369" s="2"/>
      <c r="G2369" s="2"/>
      <c r="H2369" s="2"/>
      <c r="I2369" s="2"/>
      <c r="J2369" s="2"/>
    </row>
    <row r="2370" ht="15.75" customHeight="1">
      <c r="A2370" s="4" t="str">
        <f>HYPERLINK("https://stackoverflow.com/q/55435560", "55435560")</f>
        <v>55435560</v>
      </c>
      <c r="B2370" s="2" t="s">
        <v>2413</v>
      </c>
      <c r="C2370" s="3"/>
      <c r="D2370" s="3">
        <v>74.0</v>
      </c>
      <c r="E2370" s="2" t="s">
        <v>11</v>
      </c>
      <c r="F2370" s="2" t="s">
        <v>35</v>
      </c>
      <c r="G2370" s="2" t="s">
        <v>18</v>
      </c>
      <c r="H2370" s="2"/>
      <c r="I2370" s="2"/>
      <c r="J2370" s="2"/>
    </row>
    <row r="2371" ht="15.75" customHeight="1">
      <c r="A2371" s="4" t="str">
        <f>HYPERLINK("https://stackoverflow.com/q/52612424", "52612424")</f>
        <v>52612424</v>
      </c>
      <c r="B2371" s="2" t="s">
        <v>2414</v>
      </c>
      <c r="C2371" s="3"/>
      <c r="D2371" s="3">
        <v>74.0</v>
      </c>
      <c r="E2371" s="2"/>
      <c r="F2371" s="2"/>
      <c r="G2371" s="2"/>
      <c r="H2371" s="2"/>
      <c r="I2371" s="2"/>
      <c r="J2371" s="2"/>
    </row>
    <row r="2372" ht="15.75" customHeight="1">
      <c r="A2372" s="4" t="str">
        <f>HYPERLINK("https://stackoverflow.com/q/53784092", "53784092")</f>
        <v>53784092</v>
      </c>
      <c r="B2372" s="2" t="s">
        <v>2415</v>
      </c>
      <c r="C2372" s="3"/>
      <c r="D2372" s="3">
        <v>74.0</v>
      </c>
      <c r="E2372" s="2"/>
      <c r="F2372" s="2"/>
      <c r="G2372" s="2"/>
      <c r="H2372" s="2"/>
      <c r="I2372" s="2"/>
      <c r="J2372" s="2"/>
    </row>
    <row r="2373" ht="15.75" customHeight="1">
      <c r="A2373" s="4" t="str">
        <f>HYPERLINK("https://stackoverflow.com/q/58143160", "58143160")</f>
        <v>58143160</v>
      </c>
      <c r="B2373" s="2" t="s">
        <v>2416</v>
      </c>
      <c r="C2373" s="3"/>
      <c r="D2373" s="3">
        <v>74.0</v>
      </c>
      <c r="E2373" s="2"/>
      <c r="F2373" s="2"/>
      <c r="G2373" s="2"/>
      <c r="H2373" s="2"/>
      <c r="I2373" s="2"/>
      <c r="J2373" s="2"/>
    </row>
    <row r="2374" ht="15.75" customHeight="1">
      <c r="A2374" s="4" t="str">
        <f>HYPERLINK("https://stackoverflow.com/q/58281244", "58281244")</f>
        <v>58281244</v>
      </c>
      <c r="B2374" s="2" t="s">
        <v>2417</v>
      </c>
      <c r="C2374" s="3"/>
      <c r="D2374" s="3">
        <v>74.0</v>
      </c>
      <c r="E2374" s="2"/>
      <c r="F2374" s="2"/>
      <c r="G2374" s="2"/>
      <c r="H2374" s="2"/>
      <c r="I2374" s="2"/>
      <c r="J2374" s="2"/>
    </row>
    <row r="2375" ht="15.75" customHeight="1">
      <c r="A2375" s="4" t="str">
        <f>HYPERLINK("https://stackoverflow.com/q/59285415", "59285415")</f>
        <v>59285415</v>
      </c>
      <c r="B2375" s="2" t="s">
        <v>2418</v>
      </c>
      <c r="C2375" s="3"/>
      <c r="D2375" s="3">
        <v>74.0</v>
      </c>
      <c r="E2375" s="2"/>
      <c r="F2375" s="2"/>
      <c r="G2375" s="2"/>
      <c r="H2375" s="2"/>
      <c r="I2375" s="2"/>
      <c r="J2375" s="2"/>
    </row>
    <row r="2376" ht="15.75" customHeight="1">
      <c r="A2376" s="4" t="str">
        <f>HYPERLINK("https://stackoverflow.com/q/60140719", "60140719")</f>
        <v>60140719</v>
      </c>
      <c r="B2376" s="2" t="s">
        <v>2419</v>
      </c>
      <c r="C2376" s="3"/>
      <c r="D2376" s="3">
        <v>74.0</v>
      </c>
      <c r="E2376" s="2"/>
      <c r="F2376" s="2"/>
      <c r="G2376" s="2"/>
      <c r="H2376" s="2"/>
      <c r="I2376" s="2"/>
      <c r="J2376" s="2"/>
    </row>
    <row r="2377" ht="15.75" customHeight="1">
      <c r="A2377" s="4" t="str">
        <f>HYPERLINK("https://stackoverflow.com/q/54288494", "54288494")</f>
        <v>54288494</v>
      </c>
      <c r="B2377" s="2" t="s">
        <v>2420</v>
      </c>
      <c r="C2377" s="3">
        <v>1.0</v>
      </c>
      <c r="D2377" s="3">
        <v>73.0</v>
      </c>
      <c r="E2377" s="2" t="s">
        <v>11</v>
      </c>
      <c r="F2377" s="2" t="s">
        <v>12</v>
      </c>
      <c r="G2377" s="2"/>
      <c r="H2377" s="2"/>
      <c r="I2377" s="2"/>
      <c r="J2377" s="2"/>
    </row>
    <row r="2378" ht="15.75" customHeight="1">
      <c r="A2378" s="4" t="str">
        <f>HYPERLINK("https://stackoverflow.com/q/46206207", "46206207")</f>
        <v>46206207</v>
      </c>
      <c r="B2378" s="2" t="s">
        <v>2421</v>
      </c>
      <c r="C2378" s="3"/>
      <c r="D2378" s="3">
        <v>73.0</v>
      </c>
      <c r="E2378" s="2" t="s">
        <v>11</v>
      </c>
      <c r="F2378" s="2" t="s">
        <v>25</v>
      </c>
      <c r="G2378" s="2"/>
      <c r="H2378" s="2"/>
      <c r="I2378" s="2"/>
      <c r="J2378" s="2"/>
    </row>
    <row r="2379" ht="15.75" customHeight="1">
      <c r="A2379" s="4" t="str">
        <f>HYPERLINK("https://stackoverflow.com/q/46798556", "46798556")</f>
        <v>46798556</v>
      </c>
      <c r="B2379" s="2" t="s">
        <v>2422</v>
      </c>
      <c r="C2379" s="3"/>
      <c r="D2379" s="3">
        <v>73.0</v>
      </c>
      <c r="E2379" s="2" t="s">
        <v>11</v>
      </c>
      <c r="F2379" s="2" t="s">
        <v>25</v>
      </c>
      <c r="G2379" s="2"/>
      <c r="H2379" s="2"/>
      <c r="I2379" s="2"/>
      <c r="J2379" s="2"/>
    </row>
    <row r="2380" ht="15.75" customHeight="1">
      <c r="A2380" s="4" t="str">
        <f>HYPERLINK("https://stackoverflow.com/q/52626952", "52626952")</f>
        <v>52626952</v>
      </c>
      <c r="B2380" s="2" t="s">
        <v>2423</v>
      </c>
      <c r="C2380" s="3"/>
      <c r="D2380" s="3">
        <v>73.0</v>
      </c>
      <c r="E2380" s="2"/>
      <c r="F2380" s="2"/>
      <c r="G2380" s="2"/>
      <c r="H2380" s="2"/>
      <c r="I2380" s="2"/>
      <c r="J2380" s="2"/>
    </row>
    <row r="2381" ht="15.75" customHeight="1">
      <c r="A2381" s="4" t="str">
        <f>HYPERLINK("https://stackoverflow.com/q/53199680", "53199680")</f>
        <v>53199680</v>
      </c>
      <c r="B2381" s="2" t="s">
        <v>2424</v>
      </c>
      <c r="C2381" s="3"/>
      <c r="D2381" s="3">
        <v>73.0</v>
      </c>
      <c r="E2381" s="2"/>
      <c r="F2381" s="2"/>
      <c r="G2381" s="2"/>
      <c r="H2381" s="2"/>
      <c r="I2381" s="2"/>
      <c r="J2381" s="2"/>
    </row>
    <row r="2382" ht="15.75" customHeight="1">
      <c r="A2382" s="4" t="str">
        <f>HYPERLINK("https://stackoverflow.com/q/57461595", "57461595")</f>
        <v>57461595</v>
      </c>
      <c r="B2382" s="2" t="s">
        <v>2425</v>
      </c>
      <c r="C2382" s="3"/>
      <c r="D2382" s="3">
        <v>73.0</v>
      </c>
      <c r="E2382" s="2"/>
      <c r="F2382" s="2"/>
      <c r="G2382" s="2"/>
      <c r="H2382" s="2"/>
      <c r="I2382" s="2"/>
      <c r="J2382" s="2"/>
    </row>
    <row r="2383" ht="15.75" customHeight="1">
      <c r="A2383" s="4" t="str">
        <f>HYPERLINK("https://stackoverflow.com/q/57750105", "57750105")</f>
        <v>57750105</v>
      </c>
      <c r="B2383" s="2" t="s">
        <v>2426</v>
      </c>
      <c r="C2383" s="3"/>
      <c r="D2383" s="3">
        <v>73.0</v>
      </c>
      <c r="E2383" s="2"/>
      <c r="F2383" s="2"/>
      <c r="G2383" s="2"/>
      <c r="H2383" s="2"/>
      <c r="I2383" s="2"/>
      <c r="J2383" s="2"/>
    </row>
    <row r="2384" ht="15.75" customHeight="1">
      <c r="A2384" s="4" t="str">
        <f>HYPERLINK("https://stackoverflow.com/q/58346580", "58346580")</f>
        <v>58346580</v>
      </c>
      <c r="B2384" s="2" t="s">
        <v>2427</v>
      </c>
      <c r="C2384" s="3"/>
      <c r="D2384" s="3">
        <v>73.0</v>
      </c>
      <c r="E2384" s="2"/>
      <c r="F2384" s="2"/>
      <c r="G2384" s="2"/>
      <c r="H2384" s="2"/>
      <c r="I2384" s="2"/>
      <c r="J2384" s="2"/>
    </row>
    <row r="2385" ht="15.75" customHeight="1">
      <c r="A2385" s="4" t="str">
        <f>HYPERLINK("https://stackoverflow.com/q/58841047", "58841047")</f>
        <v>58841047</v>
      </c>
      <c r="B2385" s="2" t="s">
        <v>2428</v>
      </c>
      <c r="C2385" s="3"/>
      <c r="D2385" s="3">
        <v>73.0</v>
      </c>
      <c r="E2385" s="2"/>
      <c r="F2385" s="2"/>
      <c r="G2385" s="2"/>
      <c r="H2385" s="2"/>
      <c r="I2385" s="2"/>
      <c r="J2385" s="2"/>
    </row>
    <row r="2386" ht="15.75" customHeight="1">
      <c r="A2386" s="4" t="str">
        <f>HYPERLINK("https://stackoverflow.com/q/57416596", "57416596")</f>
        <v>57416596</v>
      </c>
      <c r="B2386" s="2" t="s">
        <v>2429</v>
      </c>
      <c r="C2386" s="3">
        <v>0.0</v>
      </c>
      <c r="D2386" s="3">
        <v>72.0</v>
      </c>
      <c r="E2386" s="2"/>
      <c r="F2386" s="2"/>
      <c r="G2386" s="2"/>
      <c r="H2386" s="2"/>
      <c r="I2386" s="2"/>
      <c r="J2386" s="2"/>
    </row>
    <row r="2387" ht="15.75" customHeight="1">
      <c r="A2387" s="4" t="str">
        <f>HYPERLINK("https://stackoverflow.com/q/55143718", "55143718")</f>
        <v>55143718</v>
      </c>
      <c r="B2387" s="2" t="s">
        <v>2430</v>
      </c>
      <c r="C2387" s="3"/>
      <c r="D2387" s="3">
        <v>72.0</v>
      </c>
      <c r="E2387" s="2" t="s">
        <v>11</v>
      </c>
      <c r="F2387" s="2" t="s">
        <v>67</v>
      </c>
      <c r="G2387" s="2"/>
      <c r="H2387" s="2"/>
      <c r="I2387" s="2"/>
      <c r="J2387" s="2"/>
    </row>
    <row r="2388" ht="15.75" customHeight="1">
      <c r="A2388" s="4" t="str">
        <f>HYPERLINK("https://stackoverflow.com/q/45380713", "45380713")</f>
        <v>45380713</v>
      </c>
      <c r="B2388" s="2" t="s">
        <v>2431</v>
      </c>
      <c r="C2388" s="3"/>
      <c r="D2388" s="3">
        <v>72.0</v>
      </c>
      <c r="E2388" s="2"/>
      <c r="F2388" s="2"/>
      <c r="G2388" s="2"/>
      <c r="H2388" s="2"/>
      <c r="I2388" s="2"/>
      <c r="J2388" s="2"/>
    </row>
    <row r="2389" ht="15.75" customHeight="1">
      <c r="A2389" s="4" t="str">
        <f>HYPERLINK("https://stackoverflow.com/q/51685009", "51685009")</f>
        <v>51685009</v>
      </c>
      <c r="B2389" s="2" t="s">
        <v>2432</v>
      </c>
      <c r="C2389" s="3"/>
      <c r="D2389" s="3">
        <v>72.0</v>
      </c>
      <c r="E2389" s="2"/>
      <c r="F2389" s="2"/>
      <c r="G2389" s="2"/>
      <c r="H2389" s="2"/>
      <c r="I2389" s="2"/>
      <c r="J2389" s="2"/>
    </row>
    <row r="2390" ht="15.75" customHeight="1">
      <c r="A2390" s="4" t="str">
        <f>HYPERLINK("https://stackoverflow.com/q/52120970", "52120970")</f>
        <v>52120970</v>
      </c>
      <c r="B2390" s="2" t="s">
        <v>2433</v>
      </c>
      <c r="C2390" s="3"/>
      <c r="D2390" s="3">
        <v>72.0</v>
      </c>
      <c r="E2390" s="2"/>
      <c r="F2390" s="2"/>
      <c r="G2390" s="2"/>
      <c r="H2390" s="2"/>
      <c r="I2390" s="2"/>
      <c r="J2390" s="2"/>
    </row>
    <row r="2391" ht="15.75" customHeight="1">
      <c r="A2391" s="4" t="str">
        <f>HYPERLINK("https://stackoverflow.com/q/59249246", "59249246")</f>
        <v>59249246</v>
      </c>
      <c r="B2391" s="2" t="s">
        <v>2434</v>
      </c>
      <c r="C2391" s="3"/>
      <c r="D2391" s="3">
        <v>72.0</v>
      </c>
      <c r="E2391" s="2"/>
      <c r="F2391" s="2"/>
      <c r="G2391" s="2"/>
      <c r="H2391" s="2"/>
      <c r="I2391" s="2"/>
      <c r="J2391" s="2"/>
    </row>
    <row r="2392" ht="15.75" customHeight="1">
      <c r="A2392" s="4" t="str">
        <f>HYPERLINK("https://stackoverflow.com/q/59368840", "59368840")</f>
        <v>59368840</v>
      </c>
      <c r="B2392" s="2" t="s">
        <v>2435</v>
      </c>
      <c r="C2392" s="3"/>
      <c r="D2392" s="3">
        <v>72.0</v>
      </c>
      <c r="E2392" s="2"/>
      <c r="F2392" s="2"/>
      <c r="G2392" s="2"/>
      <c r="H2392" s="2"/>
      <c r="I2392" s="2"/>
      <c r="J2392" s="2"/>
    </row>
    <row r="2393" ht="15.75" customHeight="1">
      <c r="A2393" s="4" t="str">
        <f>HYPERLINK("https://stackoverflow.com/q/55520394", "55520394")</f>
        <v>55520394</v>
      </c>
      <c r="B2393" s="2" t="s">
        <v>2436</v>
      </c>
      <c r="C2393" s="3">
        <v>1.0</v>
      </c>
      <c r="D2393" s="3">
        <v>71.0</v>
      </c>
      <c r="E2393" s="2" t="s">
        <v>11</v>
      </c>
      <c r="F2393" s="2" t="s">
        <v>12</v>
      </c>
      <c r="G2393" s="2"/>
      <c r="H2393" s="2"/>
      <c r="I2393" s="2"/>
      <c r="J2393" s="2"/>
    </row>
    <row r="2394" ht="15.75" customHeight="1">
      <c r="A2394" s="4" t="str">
        <f>HYPERLINK("https://stackoverflow.com/q/50865772", "50865772")</f>
        <v>50865772</v>
      </c>
      <c r="B2394" s="2" t="s">
        <v>2437</v>
      </c>
      <c r="C2394" s="3">
        <v>1.0</v>
      </c>
      <c r="D2394" s="3">
        <v>71.0</v>
      </c>
      <c r="E2394" s="2"/>
      <c r="F2394" s="2"/>
      <c r="G2394" s="2"/>
      <c r="H2394" s="2"/>
      <c r="I2394" s="2"/>
      <c r="J2394" s="2"/>
    </row>
    <row r="2395" ht="15.75" customHeight="1">
      <c r="A2395" s="4" t="str">
        <f>HYPERLINK("https://stackoverflow.com/q/55778580", "55778580")</f>
        <v>55778580</v>
      </c>
      <c r="B2395" s="2" t="s">
        <v>2438</v>
      </c>
      <c r="C2395" s="3">
        <v>1.0</v>
      </c>
      <c r="D2395" s="3">
        <v>71.0</v>
      </c>
      <c r="E2395" s="2"/>
      <c r="F2395" s="2"/>
      <c r="G2395" s="2"/>
      <c r="H2395" s="2"/>
      <c r="I2395" s="2"/>
      <c r="J2395" s="2"/>
    </row>
    <row r="2396" ht="15.75" customHeight="1">
      <c r="A2396" s="4" t="str">
        <f>HYPERLINK("https://stackoverflow.com/q/58594685", "58594685")</f>
        <v>58594685</v>
      </c>
      <c r="B2396" s="2" t="s">
        <v>2439</v>
      </c>
      <c r="C2396" s="3">
        <v>1.0</v>
      </c>
      <c r="D2396" s="3">
        <v>71.0</v>
      </c>
      <c r="E2396" s="2"/>
      <c r="F2396" s="2"/>
      <c r="G2396" s="2"/>
      <c r="H2396" s="2"/>
      <c r="I2396" s="2"/>
      <c r="J2396" s="2"/>
    </row>
    <row r="2397" ht="15.75" customHeight="1">
      <c r="A2397" s="4" t="str">
        <f>HYPERLINK("https://stackoverflow.com/q/53838659", "53838659")</f>
        <v>53838659</v>
      </c>
      <c r="B2397" s="2" t="s">
        <v>2440</v>
      </c>
      <c r="C2397" s="3"/>
      <c r="D2397" s="3">
        <v>71.0</v>
      </c>
      <c r="E2397" s="2" t="s">
        <v>11</v>
      </c>
      <c r="F2397" s="2" t="s">
        <v>14</v>
      </c>
      <c r="G2397" s="2"/>
      <c r="H2397" s="2"/>
      <c r="I2397" s="2"/>
      <c r="J2397" s="2"/>
    </row>
    <row r="2398" ht="15.75" customHeight="1">
      <c r="A2398" s="4" t="str">
        <f>HYPERLINK("https://stackoverflow.com/q/29466750", "29466750")</f>
        <v>29466750</v>
      </c>
      <c r="B2398" s="2" t="s">
        <v>2441</v>
      </c>
      <c r="C2398" s="3"/>
      <c r="D2398" s="3">
        <v>71.0</v>
      </c>
      <c r="E2398" s="2"/>
      <c r="F2398" s="2"/>
      <c r="G2398" s="2"/>
      <c r="H2398" s="2"/>
      <c r="I2398" s="2"/>
      <c r="J2398" s="2"/>
    </row>
    <row r="2399" ht="15.75" customHeight="1">
      <c r="A2399" s="4" t="str">
        <f>HYPERLINK("https://stackoverflow.com/q/50171963", "50171963")</f>
        <v>50171963</v>
      </c>
      <c r="B2399" s="2" t="s">
        <v>2442</v>
      </c>
      <c r="C2399" s="3"/>
      <c r="D2399" s="3">
        <v>71.0</v>
      </c>
      <c r="E2399" s="2"/>
      <c r="F2399" s="2"/>
      <c r="G2399" s="2"/>
      <c r="H2399" s="2"/>
      <c r="I2399" s="2"/>
      <c r="J2399" s="2"/>
    </row>
    <row r="2400" ht="15.75" customHeight="1">
      <c r="A2400" s="4" t="str">
        <f>HYPERLINK("https://stackoverflow.com/q/52363765", "52363765")</f>
        <v>52363765</v>
      </c>
      <c r="B2400" s="2" t="s">
        <v>2443</v>
      </c>
      <c r="C2400" s="3"/>
      <c r="D2400" s="3">
        <v>71.0</v>
      </c>
      <c r="E2400" s="2"/>
      <c r="F2400" s="2"/>
      <c r="G2400" s="2"/>
      <c r="H2400" s="2"/>
      <c r="I2400" s="2"/>
      <c r="J2400" s="2"/>
    </row>
    <row r="2401" ht="15.75" customHeight="1">
      <c r="A2401" s="4" t="str">
        <f>HYPERLINK("https://stackoverflow.com/q/53751429", "53751429")</f>
        <v>53751429</v>
      </c>
      <c r="B2401" s="2" t="s">
        <v>2444</v>
      </c>
      <c r="C2401" s="3"/>
      <c r="D2401" s="3">
        <v>71.0</v>
      </c>
      <c r="E2401" s="2"/>
      <c r="F2401" s="2"/>
      <c r="G2401" s="2"/>
      <c r="H2401" s="2"/>
      <c r="I2401" s="2"/>
      <c r="J2401" s="2"/>
    </row>
    <row r="2402" ht="15.75" customHeight="1">
      <c r="A2402" s="4" t="str">
        <f>HYPERLINK("https://stackoverflow.com/q/56564515", "56564515")</f>
        <v>56564515</v>
      </c>
      <c r="B2402" s="2" t="s">
        <v>2445</v>
      </c>
      <c r="C2402" s="3"/>
      <c r="D2402" s="3">
        <v>71.0</v>
      </c>
      <c r="E2402" s="2"/>
      <c r="F2402" s="2"/>
      <c r="G2402" s="2"/>
      <c r="H2402" s="2"/>
      <c r="I2402" s="2"/>
      <c r="J2402" s="2"/>
    </row>
    <row r="2403" ht="15.75" customHeight="1">
      <c r="A2403" s="4" t="str">
        <f>HYPERLINK("https://stackoverflow.com/q/58379764", "58379764")</f>
        <v>58379764</v>
      </c>
      <c r="B2403" s="2" t="s">
        <v>2446</v>
      </c>
      <c r="C2403" s="3"/>
      <c r="D2403" s="3">
        <v>71.0</v>
      </c>
      <c r="E2403" s="2"/>
      <c r="F2403" s="2"/>
      <c r="G2403" s="2"/>
      <c r="H2403" s="2"/>
      <c r="I2403" s="2"/>
      <c r="J2403" s="2"/>
    </row>
    <row r="2404" ht="15.75" customHeight="1">
      <c r="A2404" s="4" t="str">
        <f>HYPERLINK("https://stackoverflow.com/q/58824579", "58824579")</f>
        <v>58824579</v>
      </c>
      <c r="B2404" s="2" t="s">
        <v>2447</v>
      </c>
      <c r="C2404" s="3"/>
      <c r="D2404" s="3">
        <v>71.0</v>
      </c>
      <c r="E2404" s="2"/>
      <c r="F2404" s="2"/>
      <c r="G2404" s="2"/>
      <c r="H2404" s="2"/>
      <c r="I2404" s="2"/>
      <c r="J2404" s="2"/>
    </row>
    <row r="2405" ht="15.75" customHeight="1">
      <c r="A2405" s="4" t="str">
        <f>HYPERLINK("https://stackoverflow.com/q/59158534", "59158534")</f>
        <v>59158534</v>
      </c>
      <c r="B2405" s="2" t="s">
        <v>2448</v>
      </c>
      <c r="C2405" s="3"/>
      <c r="D2405" s="3">
        <v>71.0</v>
      </c>
      <c r="E2405" s="2"/>
      <c r="F2405" s="2"/>
      <c r="G2405" s="2"/>
      <c r="H2405" s="2"/>
      <c r="I2405" s="2"/>
      <c r="J2405" s="2"/>
    </row>
    <row r="2406" ht="15.75" customHeight="1">
      <c r="A2406" s="4" t="str">
        <f>HYPERLINK("https://stackoverflow.com/q/46124156", "46124156")</f>
        <v>46124156</v>
      </c>
      <c r="B2406" s="2" t="s">
        <v>2449</v>
      </c>
      <c r="C2406" s="3"/>
      <c r="D2406" s="3">
        <v>70.0</v>
      </c>
      <c r="E2406" s="9" t="s">
        <v>11</v>
      </c>
      <c r="F2406" s="2" t="s">
        <v>18</v>
      </c>
      <c r="G2406" s="2"/>
      <c r="H2406" s="2"/>
      <c r="I2406" s="2"/>
      <c r="J2406" s="2"/>
    </row>
    <row r="2407" ht="15.75" customHeight="1">
      <c r="A2407" s="4" t="str">
        <f>HYPERLINK("https://stackoverflow.com/q/46647666", "46647666")</f>
        <v>46647666</v>
      </c>
      <c r="B2407" s="2" t="s">
        <v>2450</v>
      </c>
      <c r="C2407" s="3"/>
      <c r="D2407" s="3">
        <v>70.0</v>
      </c>
      <c r="E2407" s="2" t="s">
        <v>11</v>
      </c>
      <c r="F2407" s="2" t="s">
        <v>44</v>
      </c>
      <c r="G2407" s="2"/>
      <c r="H2407" s="2"/>
      <c r="I2407" s="2"/>
      <c r="J2407" s="2"/>
    </row>
    <row r="2408" ht="15.75" customHeight="1">
      <c r="A2408" s="4" t="str">
        <f>HYPERLINK("https://stackoverflow.com/q/53843783", "53843783")</f>
        <v>53843783</v>
      </c>
      <c r="B2408" s="2" t="s">
        <v>2451</v>
      </c>
      <c r="C2408" s="3"/>
      <c r="D2408" s="3">
        <v>70.0</v>
      </c>
      <c r="E2408" s="2" t="s">
        <v>11</v>
      </c>
      <c r="F2408" s="2" t="s">
        <v>67</v>
      </c>
      <c r="G2408" s="2" t="s">
        <v>25</v>
      </c>
      <c r="H2408" s="2"/>
      <c r="I2408" s="2"/>
      <c r="J2408" s="2"/>
    </row>
    <row r="2409" ht="15.75" customHeight="1">
      <c r="A2409" s="4" t="str">
        <f>HYPERLINK("https://stackoverflow.com/q/54662808", "54662808")</f>
        <v>54662808</v>
      </c>
      <c r="B2409" s="2" t="s">
        <v>2452</v>
      </c>
      <c r="C2409" s="3"/>
      <c r="D2409" s="3">
        <v>70.0</v>
      </c>
      <c r="E2409" s="2" t="s">
        <v>11</v>
      </c>
      <c r="F2409" s="2" t="s">
        <v>35</v>
      </c>
      <c r="G2409" s="2" t="s">
        <v>272</v>
      </c>
      <c r="H2409" s="2"/>
      <c r="I2409" s="2"/>
      <c r="J2409" s="2"/>
    </row>
    <row r="2410" ht="15.75" customHeight="1">
      <c r="A2410" s="4" t="str">
        <f>HYPERLINK("https://stackoverflow.com/q/54881057", "54881057")</f>
        <v>54881057</v>
      </c>
      <c r="B2410" s="2" t="s">
        <v>2453</v>
      </c>
      <c r="C2410" s="3"/>
      <c r="D2410" s="3">
        <v>70.0</v>
      </c>
      <c r="E2410" s="2" t="s">
        <v>11</v>
      </c>
      <c r="F2410" s="2" t="s">
        <v>35</v>
      </c>
      <c r="G2410" s="2"/>
      <c r="H2410" s="2"/>
      <c r="I2410" s="2"/>
      <c r="J2410" s="2"/>
    </row>
    <row r="2411" ht="15.75" customHeight="1">
      <c r="A2411" s="4" t="str">
        <f>HYPERLINK("https://stackoverflow.com/q/45281799", "45281799")</f>
        <v>45281799</v>
      </c>
      <c r="B2411" s="2" t="s">
        <v>2454</v>
      </c>
      <c r="C2411" s="3"/>
      <c r="D2411" s="3">
        <v>70.0</v>
      </c>
      <c r="E2411" s="2"/>
      <c r="F2411" s="2"/>
      <c r="G2411" s="2"/>
      <c r="H2411" s="2"/>
      <c r="I2411" s="2"/>
      <c r="J2411" s="2"/>
    </row>
    <row r="2412" ht="15.75" customHeight="1">
      <c r="A2412" s="4" t="str">
        <f>HYPERLINK("https://stackoverflow.com/q/53197839", "53197839")</f>
        <v>53197839</v>
      </c>
      <c r="B2412" s="2" t="s">
        <v>2455</v>
      </c>
      <c r="C2412" s="3"/>
      <c r="D2412" s="3">
        <v>70.0</v>
      </c>
      <c r="E2412" s="2"/>
      <c r="F2412" s="2"/>
      <c r="G2412" s="2"/>
      <c r="H2412" s="2"/>
      <c r="I2412" s="2"/>
      <c r="J2412" s="2"/>
    </row>
    <row r="2413" ht="15.75" customHeight="1">
      <c r="A2413" s="4" t="str">
        <f>HYPERLINK("https://stackoverflow.com/q/53743401", "53743401")</f>
        <v>53743401</v>
      </c>
      <c r="B2413" s="2" t="s">
        <v>2456</v>
      </c>
      <c r="C2413" s="3"/>
      <c r="D2413" s="3">
        <v>70.0</v>
      </c>
      <c r="E2413" s="2"/>
      <c r="F2413" s="2"/>
      <c r="G2413" s="2"/>
      <c r="H2413" s="2"/>
      <c r="I2413" s="2"/>
      <c r="J2413" s="2"/>
    </row>
    <row r="2414" ht="15.75" customHeight="1">
      <c r="A2414" s="4" t="str">
        <f>HYPERLINK("https://stackoverflow.com/q/56178580", "56178580")</f>
        <v>56178580</v>
      </c>
      <c r="B2414" s="2" t="s">
        <v>2457</v>
      </c>
      <c r="C2414" s="3"/>
      <c r="D2414" s="3">
        <v>70.0</v>
      </c>
      <c r="E2414" s="2"/>
      <c r="F2414" s="2"/>
      <c r="G2414" s="2"/>
      <c r="H2414" s="2"/>
      <c r="I2414" s="2"/>
      <c r="J2414" s="2"/>
    </row>
    <row r="2415" ht="15.75" customHeight="1">
      <c r="A2415" s="4" t="str">
        <f>HYPERLINK("https://stackoverflow.com/q/56539668", "56539668")</f>
        <v>56539668</v>
      </c>
      <c r="B2415" s="2" t="s">
        <v>2458</v>
      </c>
      <c r="C2415" s="3"/>
      <c r="D2415" s="3">
        <v>70.0</v>
      </c>
      <c r="E2415" s="2"/>
      <c r="F2415" s="2"/>
      <c r="G2415" s="2"/>
      <c r="H2415" s="2"/>
      <c r="I2415" s="2"/>
      <c r="J2415" s="2"/>
    </row>
    <row r="2416" ht="15.75" customHeight="1">
      <c r="A2416" s="4" t="str">
        <f>HYPERLINK("https://stackoverflow.com/q/56993150", "56993150")</f>
        <v>56993150</v>
      </c>
      <c r="B2416" s="2" t="s">
        <v>2459</v>
      </c>
      <c r="C2416" s="3"/>
      <c r="D2416" s="3">
        <v>70.0</v>
      </c>
      <c r="E2416" s="2"/>
      <c r="F2416" s="2"/>
      <c r="G2416" s="2"/>
      <c r="H2416" s="2"/>
      <c r="I2416" s="2"/>
      <c r="J2416" s="2"/>
    </row>
    <row r="2417" ht="15.75" customHeight="1">
      <c r="A2417" s="4" t="str">
        <f>HYPERLINK("https://stackoverflow.com/q/58698789", "58698789")</f>
        <v>58698789</v>
      </c>
      <c r="B2417" s="2" t="s">
        <v>2460</v>
      </c>
      <c r="C2417" s="3"/>
      <c r="D2417" s="3">
        <v>70.0</v>
      </c>
      <c r="E2417" s="2"/>
      <c r="F2417" s="2"/>
      <c r="G2417" s="2"/>
      <c r="H2417" s="2"/>
      <c r="I2417" s="2"/>
      <c r="J2417" s="2"/>
    </row>
    <row r="2418" ht="15.75" customHeight="1">
      <c r="A2418" s="4" t="str">
        <f>HYPERLINK("https://stackoverflow.com/q/58844302", "58844302")</f>
        <v>58844302</v>
      </c>
      <c r="B2418" s="2" t="s">
        <v>2461</v>
      </c>
      <c r="C2418" s="3"/>
      <c r="D2418" s="3">
        <v>70.0</v>
      </c>
      <c r="E2418" s="2"/>
      <c r="F2418" s="2"/>
      <c r="G2418" s="2"/>
      <c r="H2418" s="2"/>
      <c r="I2418" s="2"/>
      <c r="J2418" s="2"/>
    </row>
    <row r="2419" ht="15.75" customHeight="1">
      <c r="A2419" s="4" t="str">
        <f>HYPERLINK("https://stackoverflow.com/q/59852901", "59852901")</f>
        <v>59852901</v>
      </c>
      <c r="B2419" s="2" t="s">
        <v>2462</v>
      </c>
      <c r="C2419" s="3"/>
      <c r="D2419" s="3">
        <v>70.0</v>
      </c>
      <c r="E2419" s="2"/>
      <c r="F2419" s="2"/>
      <c r="G2419" s="2"/>
      <c r="H2419" s="2"/>
      <c r="I2419" s="2"/>
      <c r="J2419" s="2"/>
    </row>
    <row r="2420" ht="15.75" customHeight="1">
      <c r="A2420" s="4" t="str">
        <f>HYPERLINK("https://stackoverflow.com/q/60017517", "60017517")</f>
        <v>60017517</v>
      </c>
      <c r="B2420" s="2" t="s">
        <v>2463</v>
      </c>
      <c r="C2420" s="3"/>
      <c r="D2420" s="3">
        <v>70.0</v>
      </c>
      <c r="E2420" s="2"/>
      <c r="F2420" s="2"/>
      <c r="G2420" s="2"/>
      <c r="H2420" s="2"/>
      <c r="I2420" s="2"/>
      <c r="J2420" s="2"/>
    </row>
    <row r="2421" ht="15.75" customHeight="1">
      <c r="A2421" s="4" t="str">
        <f>HYPERLINK("https://stackoverflow.com/q/58632538", "58632538")</f>
        <v>58632538</v>
      </c>
      <c r="B2421" s="2" t="s">
        <v>2464</v>
      </c>
      <c r="C2421" s="3">
        <v>2.0</v>
      </c>
      <c r="D2421" s="3">
        <v>69.0</v>
      </c>
      <c r="E2421" s="2"/>
      <c r="F2421" s="2"/>
      <c r="G2421" s="2"/>
      <c r="H2421" s="2"/>
      <c r="I2421" s="2"/>
      <c r="J2421" s="2"/>
    </row>
    <row r="2422" ht="15.75" customHeight="1">
      <c r="A2422" s="4" t="str">
        <f>HYPERLINK("https://stackoverflow.com/q/54790585", "54790585")</f>
        <v>54790585</v>
      </c>
      <c r="B2422" s="2" t="s">
        <v>2465</v>
      </c>
      <c r="C2422" s="3">
        <v>1.0</v>
      </c>
      <c r="D2422" s="3">
        <v>69.0</v>
      </c>
      <c r="E2422" s="2" t="s">
        <v>11</v>
      </c>
      <c r="F2422" s="2" t="s">
        <v>194</v>
      </c>
      <c r="G2422" s="2"/>
      <c r="H2422" s="2"/>
      <c r="I2422" s="2"/>
      <c r="J2422" s="2"/>
    </row>
    <row r="2423" ht="15.75" customHeight="1">
      <c r="A2423" s="4" t="str">
        <f>HYPERLINK("https://stackoverflow.com/q/45555969", "45555969")</f>
        <v>45555969</v>
      </c>
      <c r="B2423" s="2" t="s">
        <v>2466</v>
      </c>
      <c r="C2423" s="3"/>
      <c r="D2423" s="3">
        <v>69.0</v>
      </c>
      <c r="E2423" s="2" t="s">
        <v>72</v>
      </c>
      <c r="F2423" s="2" t="s">
        <v>506</v>
      </c>
      <c r="G2423" s="2"/>
      <c r="H2423" s="2"/>
      <c r="I2423" s="2"/>
      <c r="J2423" s="2"/>
    </row>
    <row r="2424" ht="15.75" customHeight="1">
      <c r="A2424" s="4" t="str">
        <f>HYPERLINK("https://stackoverflow.com/q/34880856", "34880856")</f>
        <v>34880856</v>
      </c>
      <c r="B2424" s="2" t="s">
        <v>2467</v>
      </c>
      <c r="C2424" s="3"/>
      <c r="D2424" s="3">
        <v>69.0</v>
      </c>
      <c r="E2424" s="2"/>
      <c r="F2424" s="2"/>
      <c r="G2424" s="2"/>
      <c r="H2424" s="2"/>
      <c r="I2424" s="2"/>
      <c r="J2424" s="2"/>
    </row>
    <row r="2425" ht="15.75" customHeight="1">
      <c r="A2425" s="4" t="str">
        <f>HYPERLINK("https://stackoverflow.com/q/35066446", "35066446")</f>
        <v>35066446</v>
      </c>
      <c r="B2425" s="2" t="s">
        <v>2468</v>
      </c>
      <c r="C2425" s="3"/>
      <c r="D2425" s="3">
        <v>69.0</v>
      </c>
      <c r="E2425" s="2"/>
      <c r="F2425" s="2"/>
      <c r="G2425" s="2"/>
      <c r="H2425" s="2"/>
      <c r="I2425" s="2"/>
      <c r="J2425" s="2"/>
    </row>
    <row r="2426" ht="15.75" customHeight="1">
      <c r="A2426" s="4" t="str">
        <f>HYPERLINK("https://stackoverflow.com/q/48525962", "48525962")</f>
        <v>48525962</v>
      </c>
      <c r="B2426" s="2" t="s">
        <v>2469</v>
      </c>
      <c r="C2426" s="3"/>
      <c r="D2426" s="3">
        <v>69.0</v>
      </c>
      <c r="E2426" s="2"/>
      <c r="F2426" s="2"/>
      <c r="G2426" s="2"/>
      <c r="H2426" s="2"/>
      <c r="I2426" s="2"/>
      <c r="J2426" s="2"/>
    </row>
    <row r="2427" ht="15.75" customHeight="1">
      <c r="A2427" s="4" t="str">
        <f>HYPERLINK("https://stackoverflow.com/q/48752410", "48752410")</f>
        <v>48752410</v>
      </c>
      <c r="B2427" s="2" t="s">
        <v>2470</v>
      </c>
      <c r="C2427" s="3"/>
      <c r="D2427" s="3">
        <v>69.0</v>
      </c>
      <c r="E2427" s="2"/>
      <c r="F2427" s="2"/>
      <c r="G2427" s="2"/>
      <c r="H2427" s="2"/>
      <c r="I2427" s="2"/>
      <c r="J2427" s="2"/>
    </row>
    <row r="2428" ht="15.75" customHeight="1">
      <c r="A2428" s="4" t="str">
        <f>HYPERLINK("https://stackoverflow.com/q/57820524", "57820524")</f>
        <v>57820524</v>
      </c>
      <c r="B2428" s="2" t="s">
        <v>2471</v>
      </c>
      <c r="C2428" s="3"/>
      <c r="D2428" s="3">
        <v>69.0</v>
      </c>
      <c r="E2428" s="2"/>
      <c r="F2428" s="2"/>
      <c r="G2428" s="2"/>
      <c r="H2428" s="2"/>
      <c r="I2428" s="2"/>
      <c r="J2428" s="2"/>
    </row>
    <row r="2429" ht="15.75" customHeight="1">
      <c r="A2429" s="4" t="str">
        <f>HYPERLINK("https://stackoverflow.com/q/58115925", "58115925")</f>
        <v>58115925</v>
      </c>
      <c r="B2429" s="2" t="s">
        <v>2472</v>
      </c>
      <c r="C2429" s="3"/>
      <c r="D2429" s="3">
        <v>69.0</v>
      </c>
      <c r="E2429" s="2"/>
      <c r="F2429" s="2"/>
      <c r="G2429" s="2"/>
      <c r="H2429" s="2"/>
      <c r="I2429" s="2"/>
      <c r="J2429" s="2"/>
    </row>
    <row r="2430" ht="15.75" customHeight="1">
      <c r="A2430" s="4" t="str">
        <f>HYPERLINK("https://stackoverflow.com/q/58802554", "58802554")</f>
        <v>58802554</v>
      </c>
      <c r="B2430" s="2" t="s">
        <v>2473</v>
      </c>
      <c r="C2430" s="3"/>
      <c r="D2430" s="3">
        <v>69.0</v>
      </c>
      <c r="E2430" s="2"/>
      <c r="F2430" s="2"/>
      <c r="G2430" s="2"/>
      <c r="H2430" s="2"/>
      <c r="I2430" s="2"/>
      <c r="J2430" s="2"/>
    </row>
    <row r="2431" ht="15.75" customHeight="1">
      <c r="A2431" s="4" t="str">
        <f>HYPERLINK("https://stackoverflow.com/q/58959973", "58959973")</f>
        <v>58959973</v>
      </c>
      <c r="B2431" s="2" t="s">
        <v>2474</v>
      </c>
      <c r="C2431" s="3"/>
      <c r="D2431" s="3">
        <v>69.0</v>
      </c>
      <c r="E2431" s="2"/>
      <c r="F2431" s="2"/>
      <c r="G2431" s="2"/>
      <c r="H2431" s="2"/>
      <c r="I2431" s="2"/>
      <c r="J2431" s="2"/>
    </row>
    <row r="2432" ht="15.75" customHeight="1">
      <c r="A2432" s="4" t="str">
        <f>HYPERLINK("https://stackoverflow.com/q/59369955", "59369955")</f>
        <v>59369955</v>
      </c>
      <c r="B2432" s="2" t="s">
        <v>2475</v>
      </c>
      <c r="C2432" s="3"/>
      <c r="D2432" s="3">
        <v>69.0</v>
      </c>
      <c r="E2432" s="2"/>
      <c r="F2432" s="2"/>
      <c r="G2432" s="2"/>
      <c r="H2432" s="2"/>
      <c r="I2432" s="2"/>
      <c r="J2432" s="2"/>
    </row>
    <row r="2433" ht="15.75" customHeight="1">
      <c r="A2433" s="4" t="str">
        <f>HYPERLINK("https://stackoverflow.com/q/59798677", "59798677")</f>
        <v>59798677</v>
      </c>
      <c r="B2433" s="2" t="s">
        <v>2476</v>
      </c>
      <c r="C2433" s="3"/>
      <c r="D2433" s="3">
        <v>69.0</v>
      </c>
      <c r="E2433" s="2"/>
      <c r="F2433" s="2"/>
      <c r="G2433" s="2"/>
      <c r="H2433" s="2"/>
      <c r="I2433" s="2"/>
      <c r="J2433" s="2"/>
    </row>
    <row r="2434" ht="15.75" customHeight="1">
      <c r="A2434" s="4" t="str">
        <f>HYPERLINK("https://stackoverflow.com/q/60662730", "60662730")</f>
        <v>60662730</v>
      </c>
      <c r="B2434" s="2" t="s">
        <v>2477</v>
      </c>
      <c r="C2434" s="3"/>
      <c r="D2434" s="3">
        <v>69.0</v>
      </c>
      <c r="E2434" s="2"/>
      <c r="F2434" s="2"/>
      <c r="G2434" s="2"/>
      <c r="H2434" s="2"/>
      <c r="I2434" s="2"/>
      <c r="J2434" s="2"/>
    </row>
    <row r="2435" ht="15.75" customHeight="1">
      <c r="A2435" s="4" t="str">
        <f>HYPERLINK("https://stackoverflow.com/q/43061699", "43061699")</f>
        <v>43061699</v>
      </c>
      <c r="B2435" s="2" t="s">
        <v>2478</v>
      </c>
      <c r="C2435" s="3"/>
      <c r="D2435" s="3">
        <v>68.0</v>
      </c>
      <c r="E2435" s="2" t="s">
        <v>11</v>
      </c>
      <c r="F2435" s="2" t="s">
        <v>35</v>
      </c>
      <c r="G2435" s="2"/>
      <c r="H2435" s="2"/>
      <c r="I2435" s="2"/>
      <c r="J2435" s="2"/>
    </row>
    <row r="2436" ht="15.75" customHeight="1">
      <c r="A2436" s="4" t="str">
        <f>HYPERLINK("https://stackoverflow.com/q/51432021", "51432021")</f>
        <v>51432021</v>
      </c>
      <c r="B2436" s="2" t="s">
        <v>2479</v>
      </c>
      <c r="C2436" s="3"/>
      <c r="D2436" s="3">
        <v>68.0</v>
      </c>
      <c r="E2436" s="2" t="s">
        <v>11</v>
      </c>
      <c r="F2436" s="2" t="s">
        <v>25</v>
      </c>
      <c r="G2436" s="2"/>
      <c r="H2436" s="2"/>
      <c r="I2436" s="2"/>
      <c r="J2436" s="2"/>
    </row>
    <row r="2437" ht="15.75" customHeight="1">
      <c r="A2437" s="4" t="str">
        <f>HYPERLINK("https://stackoverflow.com/q/53862192", "53862192")</f>
        <v>53862192</v>
      </c>
      <c r="B2437" s="2" t="s">
        <v>2480</v>
      </c>
      <c r="C2437" s="3"/>
      <c r="D2437" s="3">
        <v>68.0</v>
      </c>
      <c r="E2437" s="2" t="s">
        <v>11</v>
      </c>
      <c r="F2437" s="2" t="s">
        <v>30</v>
      </c>
      <c r="G2437" s="2"/>
      <c r="H2437" s="2"/>
      <c r="I2437" s="2"/>
      <c r="J2437" s="2"/>
    </row>
    <row r="2438" ht="15.75" customHeight="1">
      <c r="A2438" s="4" t="str">
        <f>HYPERLINK("https://stackoverflow.com/q/30877737", "30877737")</f>
        <v>30877737</v>
      </c>
      <c r="B2438" s="2" t="s">
        <v>2481</v>
      </c>
      <c r="C2438" s="3"/>
      <c r="D2438" s="3">
        <v>68.0</v>
      </c>
      <c r="E2438" s="2"/>
      <c r="F2438" s="2"/>
      <c r="G2438" s="2"/>
      <c r="H2438" s="2"/>
      <c r="I2438" s="2"/>
      <c r="J2438" s="2"/>
    </row>
    <row r="2439" ht="15.75" customHeight="1">
      <c r="A2439" s="4" t="str">
        <f>HYPERLINK("https://stackoverflow.com/q/31434640", "31434640")</f>
        <v>31434640</v>
      </c>
      <c r="B2439" s="2" t="s">
        <v>2482</v>
      </c>
      <c r="C2439" s="3"/>
      <c r="D2439" s="3">
        <v>68.0</v>
      </c>
      <c r="E2439" s="2"/>
      <c r="F2439" s="2"/>
      <c r="G2439" s="2"/>
      <c r="H2439" s="2"/>
      <c r="I2439" s="2"/>
      <c r="J2439" s="2"/>
    </row>
    <row r="2440" ht="15.75" customHeight="1">
      <c r="A2440" s="4" t="str">
        <f>HYPERLINK("https://stackoverflow.com/q/36986164", "36986164")</f>
        <v>36986164</v>
      </c>
      <c r="B2440" s="2" t="s">
        <v>2483</v>
      </c>
      <c r="C2440" s="3"/>
      <c r="D2440" s="3">
        <v>68.0</v>
      </c>
      <c r="E2440" s="2"/>
      <c r="F2440" s="2"/>
      <c r="G2440" s="2"/>
      <c r="H2440" s="2"/>
      <c r="I2440" s="2"/>
      <c r="J2440" s="2"/>
    </row>
    <row r="2441" ht="15.75" customHeight="1">
      <c r="A2441" s="4" t="str">
        <f>HYPERLINK("https://stackoverflow.com/q/56603377", "56603377")</f>
        <v>56603377</v>
      </c>
      <c r="B2441" s="2" t="s">
        <v>2484</v>
      </c>
      <c r="C2441" s="3"/>
      <c r="D2441" s="3">
        <v>68.0</v>
      </c>
      <c r="E2441" s="2"/>
      <c r="F2441" s="2"/>
      <c r="G2441" s="2"/>
      <c r="H2441" s="2"/>
      <c r="I2441" s="2"/>
      <c r="J2441" s="2"/>
    </row>
    <row r="2442" ht="15.75" customHeight="1">
      <c r="A2442" s="4" t="str">
        <f>HYPERLINK("https://stackoverflow.com/q/57193206", "57193206")</f>
        <v>57193206</v>
      </c>
      <c r="B2442" s="2" t="s">
        <v>2485</v>
      </c>
      <c r="C2442" s="3"/>
      <c r="D2442" s="3">
        <v>68.0</v>
      </c>
      <c r="E2442" s="2"/>
      <c r="F2442" s="2"/>
      <c r="G2442" s="2"/>
      <c r="H2442" s="2"/>
      <c r="I2442" s="2"/>
      <c r="J2442" s="2"/>
    </row>
    <row r="2443" ht="15.75" customHeight="1">
      <c r="A2443" s="4" t="str">
        <f>HYPERLINK("https://stackoverflow.com/q/57574048", "57574048")</f>
        <v>57574048</v>
      </c>
      <c r="B2443" s="2" t="s">
        <v>2486</v>
      </c>
      <c r="C2443" s="3"/>
      <c r="D2443" s="3">
        <v>68.0</v>
      </c>
      <c r="E2443" s="2"/>
      <c r="F2443" s="2"/>
      <c r="G2443" s="2"/>
      <c r="H2443" s="2"/>
      <c r="I2443" s="2"/>
      <c r="J2443" s="2"/>
    </row>
    <row r="2444" ht="15.75" customHeight="1">
      <c r="A2444" s="4" t="str">
        <f>HYPERLINK("https://stackoverflow.com/q/57620833", "57620833")</f>
        <v>57620833</v>
      </c>
      <c r="B2444" s="2" t="s">
        <v>2487</v>
      </c>
      <c r="C2444" s="3"/>
      <c r="D2444" s="3">
        <v>68.0</v>
      </c>
      <c r="E2444" s="2"/>
      <c r="F2444" s="2"/>
      <c r="G2444" s="2"/>
      <c r="H2444" s="2"/>
      <c r="I2444" s="2"/>
      <c r="J2444" s="2"/>
    </row>
    <row r="2445" ht="15.75" customHeight="1">
      <c r="A2445" s="4" t="str">
        <f>HYPERLINK("https://stackoverflow.com/q/58148161", "58148161")</f>
        <v>58148161</v>
      </c>
      <c r="B2445" s="2" t="s">
        <v>2488</v>
      </c>
      <c r="C2445" s="3"/>
      <c r="D2445" s="3">
        <v>68.0</v>
      </c>
      <c r="E2445" s="2"/>
      <c r="F2445" s="2"/>
      <c r="G2445" s="2"/>
      <c r="H2445" s="2"/>
      <c r="I2445" s="2"/>
      <c r="J2445" s="2"/>
    </row>
    <row r="2446" ht="15.75" customHeight="1">
      <c r="A2446" s="4" t="str">
        <f>HYPERLINK("https://stackoverflow.com/q/58861074", "58861074")</f>
        <v>58861074</v>
      </c>
      <c r="B2446" s="2" t="s">
        <v>2489</v>
      </c>
      <c r="C2446" s="3"/>
      <c r="D2446" s="3">
        <v>68.0</v>
      </c>
      <c r="E2446" s="2"/>
      <c r="F2446" s="2"/>
      <c r="G2446" s="2"/>
      <c r="H2446" s="2"/>
      <c r="I2446" s="2"/>
      <c r="J2446" s="2"/>
    </row>
    <row r="2447" ht="15.75" customHeight="1">
      <c r="A2447" s="4" t="str">
        <f>HYPERLINK("https://stackoverflow.com/q/55240089", "55240089")</f>
        <v>55240089</v>
      </c>
      <c r="B2447" s="2" t="s">
        <v>2490</v>
      </c>
      <c r="C2447" s="3">
        <v>1.0</v>
      </c>
      <c r="D2447" s="3">
        <v>67.0</v>
      </c>
      <c r="E2447" s="2" t="s">
        <v>11</v>
      </c>
      <c r="F2447" s="2" t="s">
        <v>21</v>
      </c>
      <c r="G2447" s="2" t="s">
        <v>25</v>
      </c>
      <c r="H2447" s="2"/>
      <c r="I2447" s="2"/>
      <c r="J2447" s="2"/>
    </row>
    <row r="2448" ht="15.75" customHeight="1">
      <c r="A2448" s="4" t="str">
        <f>HYPERLINK("https://stackoverflow.com/q/56227556", "56227556")</f>
        <v>56227556</v>
      </c>
      <c r="B2448" s="2" t="s">
        <v>2491</v>
      </c>
      <c r="C2448" s="3">
        <v>1.0</v>
      </c>
      <c r="D2448" s="3">
        <v>67.0</v>
      </c>
      <c r="E2448" s="2"/>
      <c r="F2448" s="2"/>
      <c r="G2448" s="2"/>
      <c r="H2448" s="2"/>
      <c r="I2448" s="2"/>
      <c r="J2448" s="2"/>
    </row>
    <row r="2449" ht="15.75" customHeight="1">
      <c r="A2449" s="4" t="str">
        <f>HYPERLINK("https://stackoverflow.com/q/46608926", "46608926")</f>
        <v>46608926</v>
      </c>
      <c r="B2449" s="2" t="s">
        <v>2492</v>
      </c>
      <c r="C2449" s="3"/>
      <c r="D2449" s="3">
        <v>67.0</v>
      </c>
      <c r="E2449" s="2" t="s">
        <v>11</v>
      </c>
      <c r="F2449" s="2" t="s">
        <v>14</v>
      </c>
      <c r="G2449" s="2"/>
      <c r="H2449" s="2"/>
      <c r="I2449" s="2"/>
      <c r="J2449" s="2"/>
    </row>
    <row r="2450" ht="15.75" customHeight="1">
      <c r="A2450" s="4" t="str">
        <f>HYPERLINK("https://stackoverflow.com/q/27424312", "27424312")</f>
        <v>27424312</v>
      </c>
      <c r="B2450" s="2" t="s">
        <v>2493</v>
      </c>
      <c r="C2450" s="3"/>
      <c r="D2450" s="3">
        <v>67.0</v>
      </c>
      <c r="E2450" s="2"/>
      <c r="F2450" s="2"/>
      <c r="G2450" s="2"/>
      <c r="H2450" s="2"/>
      <c r="I2450" s="2"/>
      <c r="J2450" s="2"/>
    </row>
    <row r="2451" ht="15.75" customHeight="1">
      <c r="A2451" s="4" t="str">
        <f>HYPERLINK("https://stackoverflow.com/q/50427696", "50427696")</f>
        <v>50427696</v>
      </c>
      <c r="B2451" s="2" t="s">
        <v>2494</v>
      </c>
      <c r="C2451" s="3"/>
      <c r="D2451" s="3">
        <v>67.0</v>
      </c>
      <c r="E2451" s="2"/>
      <c r="F2451" s="2"/>
      <c r="G2451" s="2"/>
      <c r="H2451" s="2"/>
      <c r="I2451" s="2"/>
      <c r="J2451" s="2"/>
    </row>
    <row r="2452" ht="15.75" customHeight="1">
      <c r="A2452" s="4" t="str">
        <f>HYPERLINK("https://stackoverflow.com/q/53192185", "53192185")</f>
        <v>53192185</v>
      </c>
      <c r="B2452" s="2" t="s">
        <v>2495</v>
      </c>
      <c r="C2452" s="3"/>
      <c r="D2452" s="3">
        <v>67.0</v>
      </c>
      <c r="E2452" s="2"/>
      <c r="F2452" s="2"/>
      <c r="G2452" s="2"/>
      <c r="H2452" s="2"/>
      <c r="I2452" s="2"/>
      <c r="J2452" s="2"/>
    </row>
    <row r="2453" ht="15.75" customHeight="1">
      <c r="A2453" s="4" t="str">
        <f>HYPERLINK("https://stackoverflow.com/q/53260499", "53260499")</f>
        <v>53260499</v>
      </c>
      <c r="B2453" s="2" t="s">
        <v>2496</v>
      </c>
      <c r="C2453" s="3"/>
      <c r="D2453" s="3">
        <v>67.0</v>
      </c>
      <c r="E2453" s="2"/>
      <c r="F2453" s="2"/>
      <c r="G2453" s="2"/>
      <c r="H2453" s="2"/>
      <c r="I2453" s="2"/>
      <c r="J2453" s="2"/>
    </row>
    <row r="2454" ht="15.75" customHeight="1">
      <c r="A2454" s="4" t="str">
        <f>HYPERLINK("https://stackoverflow.com/q/56065738", "56065738")</f>
        <v>56065738</v>
      </c>
      <c r="B2454" s="2" t="s">
        <v>2497</v>
      </c>
      <c r="C2454" s="3"/>
      <c r="D2454" s="3">
        <v>67.0</v>
      </c>
      <c r="E2454" s="2"/>
      <c r="F2454" s="2"/>
      <c r="G2454" s="2"/>
      <c r="H2454" s="2"/>
      <c r="I2454" s="2"/>
      <c r="J2454" s="2"/>
    </row>
    <row r="2455" ht="15.75" customHeight="1">
      <c r="A2455" s="4" t="str">
        <f>HYPERLINK("https://stackoverflow.com/q/56128042", "56128042")</f>
        <v>56128042</v>
      </c>
      <c r="B2455" s="2" t="s">
        <v>2498</v>
      </c>
      <c r="C2455" s="3"/>
      <c r="D2455" s="3">
        <v>67.0</v>
      </c>
      <c r="E2455" s="2"/>
      <c r="F2455" s="2"/>
      <c r="G2455" s="2"/>
      <c r="H2455" s="2"/>
      <c r="I2455" s="2"/>
      <c r="J2455" s="2"/>
    </row>
    <row r="2456" ht="15.75" customHeight="1">
      <c r="A2456" s="4" t="str">
        <f>HYPERLINK("https://stackoverflow.com/q/57207120", "57207120")</f>
        <v>57207120</v>
      </c>
      <c r="B2456" s="2" t="s">
        <v>2499</v>
      </c>
      <c r="C2456" s="3"/>
      <c r="D2456" s="3">
        <v>67.0</v>
      </c>
      <c r="E2456" s="2"/>
      <c r="F2456" s="2"/>
      <c r="G2456" s="2"/>
      <c r="H2456" s="2"/>
      <c r="I2456" s="2"/>
      <c r="J2456" s="2"/>
    </row>
    <row r="2457" ht="15.75" customHeight="1">
      <c r="A2457" s="4" t="str">
        <f>HYPERLINK("https://stackoverflow.com/q/57430121", "57430121")</f>
        <v>57430121</v>
      </c>
      <c r="B2457" s="2" t="s">
        <v>2500</v>
      </c>
      <c r="C2457" s="3"/>
      <c r="D2457" s="3">
        <v>67.0</v>
      </c>
      <c r="E2457" s="2"/>
      <c r="F2457" s="2"/>
      <c r="G2457" s="2"/>
      <c r="H2457" s="2"/>
      <c r="I2457" s="2"/>
      <c r="J2457" s="2"/>
    </row>
    <row r="2458" ht="15.75" customHeight="1">
      <c r="A2458" s="4" t="str">
        <f>HYPERLINK("https://stackoverflow.com/q/57493498", "57493498")</f>
        <v>57493498</v>
      </c>
      <c r="B2458" s="2" t="s">
        <v>2501</v>
      </c>
      <c r="C2458" s="3"/>
      <c r="D2458" s="3">
        <v>67.0</v>
      </c>
      <c r="E2458" s="2"/>
      <c r="F2458" s="2"/>
      <c r="G2458" s="2"/>
      <c r="H2458" s="2"/>
      <c r="I2458" s="2"/>
      <c r="J2458" s="2"/>
    </row>
    <row r="2459" ht="15.75" customHeight="1">
      <c r="A2459" s="4" t="str">
        <f>HYPERLINK("https://stackoverflow.com/q/57563207", "57563207")</f>
        <v>57563207</v>
      </c>
      <c r="B2459" s="2" t="s">
        <v>2502</v>
      </c>
      <c r="C2459" s="3"/>
      <c r="D2459" s="3">
        <v>67.0</v>
      </c>
      <c r="E2459" s="2"/>
      <c r="F2459" s="2"/>
      <c r="G2459" s="2"/>
      <c r="H2459" s="2"/>
      <c r="I2459" s="2"/>
      <c r="J2459" s="2"/>
    </row>
    <row r="2460" ht="15.75" customHeight="1">
      <c r="A2460" s="4" t="str">
        <f>HYPERLINK("https://stackoverflow.com/q/58372218", "58372218")</f>
        <v>58372218</v>
      </c>
      <c r="B2460" s="2" t="s">
        <v>2503</v>
      </c>
      <c r="C2460" s="3"/>
      <c r="D2460" s="3">
        <v>67.0</v>
      </c>
      <c r="E2460" s="2"/>
      <c r="F2460" s="2"/>
      <c r="G2460" s="2"/>
      <c r="H2460" s="2"/>
      <c r="I2460" s="2"/>
      <c r="J2460" s="2"/>
    </row>
    <row r="2461" ht="15.75" customHeight="1">
      <c r="A2461" s="4" t="str">
        <f>HYPERLINK("https://stackoverflow.com/q/58438270", "58438270")</f>
        <v>58438270</v>
      </c>
      <c r="B2461" s="2" t="s">
        <v>2504</v>
      </c>
      <c r="C2461" s="3"/>
      <c r="D2461" s="3">
        <v>67.0</v>
      </c>
      <c r="E2461" s="2"/>
      <c r="F2461" s="2"/>
      <c r="G2461" s="2"/>
      <c r="H2461" s="2"/>
      <c r="I2461" s="2"/>
      <c r="J2461" s="2"/>
    </row>
    <row r="2462" ht="15.75" customHeight="1">
      <c r="A2462" s="4" t="str">
        <f>HYPERLINK("https://stackoverflow.com/q/58783610", "58783610")</f>
        <v>58783610</v>
      </c>
      <c r="B2462" s="2" t="s">
        <v>2505</v>
      </c>
      <c r="C2462" s="3"/>
      <c r="D2462" s="3">
        <v>67.0</v>
      </c>
      <c r="E2462" s="2"/>
      <c r="F2462" s="2"/>
      <c r="G2462" s="2"/>
      <c r="H2462" s="2"/>
      <c r="I2462" s="2"/>
      <c r="J2462" s="2"/>
    </row>
    <row r="2463" ht="15.75" customHeight="1">
      <c r="A2463" s="4" t="str">
        <f>HYPERLINK("https://stackoverflow.com/q/43549963", "43549963")</f>
        <v>43549963</v>
      </c>
      <c r="B2463" s="2" t="s">
        <v>2506</v>
      </c>
      <c r="C2463" s="3">
        <v>1.0</v>
      </c>
      <c r="D2463" s="3">
        <v>66.0</v>
      </c>
      <c r="E2463" s="2" t="s">
        <v>11</v>
      </c>
      <c r="F2463" s="2" t="s">
        <v>25</v>
      </c>
      <c r="G2463" s="2"/>
      <c r="H2463" s="2"/>
      <c r="I2463" s="2"/>
      <c r="J2463" s="2"/>
    </row>
    <row r="2464" ht="15.75" customHeight="1">
      <c r="A2464" s="4" t="str">
        <f>HYPERLINK("https://stackoverflow.com/q/55471918", "55471918")</f>
        <v>55471918</v>
      </c>
      <c r="B2464" s="2" t="s">
        <v>2507</v>
      </c>
      <c r="C2464" s="3">
        <v>1.0</v>
      </c>
      <c r="D2464" s="3">
        <v>66.0</v>
      </c>
      <c r="E2464" s="2" t="s">
        <v>11</v>
      </c>
      <c r="F2464" s="2" t="s">
        <v>12</v>
      </c>
      <c r="G2464" s="2"/>
      <c r="H2464" s="2"/>
      <c r="I2464" s="2"/>
      <c r="J2464" s="2"/>
    </row>
    <row r="2465" ht="15.75" customHeight="1">
      <c r="A2465" s="4" t="str">
        <f>HYPERLINK("https://stackoverflow.com/q/57969107", "57969107")</f>
        <v>57969107</v>
      </c>
      <c r="B2465" s="2" t="s">
        <v>2508</v>
      </c>
      <c r="C2465" s="3">
        <v>1.0</v>
      </c>
      <c r="D2465" s="3">
        <v>66.0</v>
      </c>
      <c r="E2465" s="2"/>
      <c r="F2465" s="2"/>
      <c r="G2465" s="2"/>
      <c r="H2465" s="2"/>
      <c r="I2465" s="2"/>
      <c r="J2465" s="2"/>
    </row>
    <row r="2466" ht="15.75" customHeight="1">
      <c r="A2466" s="4" t="str">
        <f>HYPERLINK("https://stackoverflow.com/q/46429884", "46429884")</f>
        <v>46429884</v>
      </c>
      <c r="B2466" s="2" t="s">
        <v>2509</v>
      </c>
      <c r="C2466" s="3"/>
      <c r="D2466" s="3">
        <v>66.0</v>
      </c>
      <c r="E2466" s="9" t="s">
        <v>11</v>
      </c>
      <c r="F2466" s="2" t="s">
        <v>18</v>
      </c>
      <c r="G2466" s="2"/>
      <c r="H2466" s="2"/>
      <c r="I2466" s="2"/>
      <c r="J2466" s="2"/>
    </row>
    <row r="2467" ht="15.75" customHeight="1">
      <c r="A2467" s="4" t="str">
        <f>HYPERLINK("https://stackoverflow.com/q/10761717", "10761717")</f>
        <v>10761717</v>
      </c>
      <c r="B2467" s="2" t="s">
        <v>2510</v>
      </c>
      <c r="C2467" s="3"/>
      <c r="D2467" s="3">
        <v>66.0</v>
      </c>
      <c r="E2467" s="2"/>
      <c r="F2467" s="2"/>
      <c r="G2467" s="2"/>
      <c r="H2467" s="2"/>
      <c r="I2467" s="2"/>
      <c r="J2467" s="2"/>
    </row>
    <row r="2468" ht="15.75" customHeight="1">
      <c r="A2468" s="4" t="str">
        <f>HYPERLINK("https://stackoverflow.com/q/34172317", "34172317")</f>
        <v>34172317</v>
      </c>
      <c r="B2468" s="2" t="s">
        <v>2511</v>
      </c>
      <c r="C2468" s="3"/>
      <c r="D2468" s="3">
        <v>66.0</v>
      </c>
      <c r="E2468" s="2"/>
      <c r="F2468" s="2"/>
      <c r="G2468" s="2"/>
      <c r="H2468" s="2"/>
      <c r="I2468" s="2"/>
      <c r="J2468" s="2"/>
    </row>
    <row r="2469" ht="15.75" customHeight="1">
      <c r="A2469" s="4" t="str">
        <f>HYPERLINK("https://stackoverflow.com/q/53662108", "53662108")</f>
        <v>53662108</v>
      </c>
      <c r="B2469" s="2" t="s">
        <v>2512</v>
      </c>
      <c r="C2469" s="3"/>
      <c r="D2469" s="3">
        <v>66.0</v>
      </c>
      <c r="E2469" s="2"/>
      <c r="F2469" s="2"/>
      <c r="G2469" s="2"/>
      <c r="H2469" s="2"/>
      <c r="I2469" s="2"/>
      <c r="J2469" s="2"/>
    </row>
    <row r="2470" ht="15.75" customHeight="1">
      <c r="A2470" s="4" t="str">
        <f>HYPERLINK("https://stackoverflow.com/q/56164428", "56164428")</f>
        <v>56164428</v>
      </c>
      <c r="B2470" s="2" t="s">
        <v>2513</v>
      </c>
      <c r="C2470" s="3"/>
      <c r="D2470" s="3">
        <v>66.0</v>
      </c>
      <c r="E2470" s="2"/>
      <c r="F2470" s="2"/>
      <c r="G2470" s="2"/>
      <c r="H2470" s="2"/>
      <c r="I2470" s="2"/>
      <c r="J2470" s="2"/>
    </row>
    <row r="2471" ht="15.75" customHeight="1">
      <c r="A2471" s="4" t="str">
        <f>HYPERLINK("https://stackoverflow.com/q/57017120", "57017120")</f>
        <v>57017120</v>
      </c>
      <c r="B2471" s="2" t="s">
        <v>2514</v>
      </c>
      <c r="C2471" s="3"/>
      <c r="D2471" s="3">
        <v>66.0</v>
      </c>
      <c r="E2471" s="2"/>
      <c r="F2471" s="2"/>
      <c r="G2471" s="2"/>
      <c r="H2471" s="2"/>
      <c r="I2471" s="2"/>
      <c r="J2471" s="2"/>
    </row>
    <row r="2472" ht="15.75" customHeight="1">
      <c r="A2472" s="4" t="str">
        <f>HYPERLINK("https://stackoverflow.com/q/57193893", "57193893")</f>
        <v>57193893</v>
      </c>
      <c r="B2472" s="2" t="s">
        <v>2515</v>
      </c>
      <c r="C2472" s="3"/>
      <c r="D2472" s="3">
        <v>66.0</v>
      </c>
      <c r="E2472" s="2"/>
      <c r="F2472" s="2"/>
      <c r="G2472" s="2"/>
      <c r="H2472" s="2"/>
      <c r="I2472" s="2"/>
      <c r="J2472" s="2"/>
    </row>
    <row r="2473" ht="15.75" customHeight="1">
      <c r="A2473" s="4" t="str">
        <f>HYPERLINK("https://stackoverflow.com/q/57366982", "57366982")</f>
        <v>57366982</v>
      </c>
      <c r="B2473" s="2" t="s">
        <v>2516</v>
      </c>
      <c r="C2473" s="3"/>
      <c r="D2473" s="3">
        <v>66.0</v>
      </c>
      <c r="E2473" s="2"/>
      <c r="F2473" s="2"/>
      <c r="G2473" s="2"/>
      <c r="H2473" s="2"/>
      <c r="I2473" s="2"/>
      <c r="J2473" s="2"/>
    </row>
    <row r="2474" ht="15.75" customHeight="1">
      <c r="A2474" s="4" t="str">
        <f>HYPERLINK("https://stackoverflow.com/q/57428689", "57428689")</f>
        <v>57428689</v>
      </c>
      <c r="B2474" s="2" t="s">
        <v>2517</v>
      </c>
      <c r="C2474" s="3"/>
      <c r="D2474" s="3">
        <v>66.0</v>
      </c>
      <c r="E2474" s="2"/>
      <c r="F2474" s="2"/>
      <c r="G2474" s="2"/>
      <c r="H2474" s="2"/>
      <c r="I2474" s="2"/>
      <c r="J2474" s="2"/>
    </row>
    <row r="2475" ht="15.75" customHeight="1">
      <c r="A2475" s="4" t="str">
        <f>HYPERLINK("https://stackoverflow.com/q/58452561", "58452561")</f>
        <v>58452561</v>
      </c>
      <c r="B2475" s="2" t="s">
        <v>2518</v>
      </c>
      <c r="C2475" s="3"/>
      <c r="D2475" s="3">
        <v>66.0</v>
      </c>
      <c r="E2475" s="2"/>
      <c r="F2475" s="2"/>
      <c r="G2475" s="2"/>
      <c r="H2475" s="2"/>
      <c r="I2475" s="2"/>
      <c r="J2475" s="2"/>
    </row>
    <row r="2476" ht="15.75" customHeight="1">
      <c r="A2476" s="4" t="str">
        <f>HYPERLINK("https://stackoverflow.com/q/58496748", "58496748")</f>
        <v>58496748</v>
      </c>
      <c r="B2476" s="2" t="s">
        <v>2519</v>
      </c>
      <c r="C2476" s="3"/>
      <c r="D2476" s="3">
        <v>66.0</v>
      </c>
      <c r="E2476" s="2"/>
      <c r="F2476" s="2"/>
      <c r="G2476" s="2"/>
      <c r="H2476" s="2"/>
      <c r="I2476" s="2"/>
      <c r="J2476" s="2"/>
    </row>
    <row r="2477" ht="15.75" customHeight="1">
      <c r="A2477" s="4" t="str">
        <f>HYPERLINK("https://stackoverflow.com/q/58526738", "58526738")</f>
        <v>58526738</v>
      </c>
      <c r="B2477" s="2" t="s">
        <v>2520</v>
      </c>
      <c r="C2477" s="3"/>
      <c r="D2477" s="3">
        <v>66.0</v>
      </c>
      <c r="E2477" s="2"/>
      <c r="F2477" s="2"/>
      <c r="G2477" s="2"/>
      <c r="H2477" s="2"/>
      <c r="I2477" s="2"/>
      <c r="J2477" s="2"/>
    </row>
    <row r="2478" ht="15.75" customHeight="1">
      <c r="A2478" s="4" t="str">
        <f>HYPERLINK("https://stackoverflow.com/q/59050535", "59050535")</f>
        <v>59050535</v>
      </c>
      <c r="B2478" s="2" t="s">
        <v>2521</v>
      </c>
      <c r="C2478" s="3"/>
      <c r="D2478" s="3">
        <v>66.0</v>
      </c>
      <c r="E2478" s="2"/>
      <c r="F2478" s="2"/>
      <c r="G2478" s="2"/>
      <c r="H2478" s="2"/>
      <c r="I2478" s="2"/>
      <c r="J2478" s="2"/>
    </row>
    <row r="2479" ht="15.75" customHeight="1">
      <c r="A2479" s="4" t="str">
        <f>HYPERLINK("https://stackoverflow.com/q/59118573", "59118573")</f>
        <v>59118573</v>
      </c>
      <c r="B2479" s="2" t="s">
        <v>2522</v>
      </c>
      <c r="C2479" s="3"/>
      <c r="D2479" s="3">
        <v>66.0</v>
      </c>
      <c r="E2479" s="2"/>
      <c r="F2479" s="2"/>
      <c r="G2479" s="2"/>
      <c r="H2479" s="2"/>
      <c r="I2479" s="2"/>
      <c r="J2479" s="2"/>
    </row>
    <row r="2480" ht="15.75" customHeight="1">
      <c r="A2480" s="4" t="str">
        <f>HYPERLINK("https://stackoverflow.com/q/59717333", "59717333")</f>
        <v>59717333</v>
      </c>
      <c r="B2480" s="2" t="s">
        <v>2523</v>
      </c>
      <c r="C2480" s="3"/>
      <c r="D2480" s="3">
        <v>66.0</v>
      </c>
      <c r="E2480" s="2"/>
      <c r="F2480" s="2"/>
      <c r="G2480" s="2"/>
      <c r="H2480" s="2"/>
      <c r="I2480" s="2"/>
      <c r="J2480" s="2"/>
    </row>
    <row r="2481" ht="15.75" customHeight="1">
      <c r="A2481" s="4" t="str">
        <f>HYPERLINK("https://stackoverflow.com/q/60396720", "60396720")</f>
        <v>60396720</v>
      </c>
      <c r="B2481" s="2" t="s">
        <v>2524</v>
      </c>
      <c r="C2481" s="3"/>
      <c r="D2481" s="3">
        <v>66.0</v>
      </c>
      <c r="E2481" s="2"/>
      <c r="F2481" s="2"/>
      <c r="G2481" s="2"/>
      <c r="H2481" s="2"/>
      <c r="I2481" s="2"/>
      <c r="J2481" s="2"/>
    </row>
    <row r="2482" ht="15.75" customHeight="1">
      <c r="A2482" s="4" t="str">
        <f>HYPERLINK("https://stackoverflow.com/q/60556126", "60556126")</f>
        <v>60556126</v>
      </c>
      <c r="B2482" s="2" t="s">
        <v>2525</v>
      </c>
      <c r="C2482" s="3"/>
      <c r="D2482" s="3">
        <v>66.0</v>
      </c>
      <c r="E2482" s="2"/>
      <c r="F2482" s="2"/>
      <c r="G2482" s="2"/>
      <c r="H2482" s="2"/>
      <c r="I2482" s="2"/>
      <c r="J2482" s="2"/>
    </row>
    <row r="2483" ht="15.75" customHeight="1">
      <c r="A2483" s="4" t="str">
        <f>HYPERLINK("https://stackoverflow.com/q/59379754", "59379754")</f>
        <v>59379754</v>
      </c>
      <c r="B2483" s="2" t="s">
        <v>2526</v>
      </c>
      <c r="C2483" s="3">
        <v>0.0</v>
      </c>
      <c r="D2483" s="3">
        <v>65.0</v>
      </c>
      <c r="E2483" s="2"/>
      <c r="F2483" s="2"/>
      <c r="G2483" s="2"/>
      <c r="H2483" s="2"/>
      <c r="I2483" s="2"/>
      <c r="J2483" s="2"/>
    </row>
    <row r="2484" ht="15.75" customHeight="1">
      <c r="A2484" s="4" t="str">
        <f>HYPERLINK("https://stackoverflow.com/q/54011765", "54011765")</f>
        <v>54011765</v>
      </c>
      <c r="B2484" s="2" t="s">
        <v>2527</v>
      </c>
      <c r="C2484" s="3"/>
      <c r="D2484" s="3">
        <v>65.0</v>
      </c>
      <c r="E2484" s="2" t="s">
        <v>11</v>
      </c>
      <c r="F2484" s="2" t="s">
        <v>25</v>
      </c>
      <c r="G2484" s="2"/>
      <c r="H2484" s="2"/>
      <c r="I2484" s="2"/>
      <c r="J2484" s="2"/>
    </row>
    <row r="2485" ht="15.75" customHeight="1">
      <c r="A2485" s="4" t="str">
        <f>HYPERLINK("https://stackoverflow.com/q/44767791", "44767791")</f>
        <v>44767791</v>
      </c>
      <c r="B2485" s="2" t="s">
        <v>2528</v>
      </c>
      <c r="C2485" s="3"/>
      <c r="D2485" s="3">
        <v>65.0</v>
      </c>
      <c r="E2485" s="2"/>
      <c r="F2485" s="2"/>
      <c r="G2485" s="2"/>
      <c r="H2485" s="2"/>
      <c r="I2485" s="2"/>
      <c r="J2485" s="2"/>
    </row>
    <row r="2486" ht="15.75" customHeight="1">
      <c r="A2486" s="4" t="str">
        <f>HYPERLINK("https://stackoverflow.com/q/51759572", "51759572")</f>
        <v>51759572</v>
      </c>
      <c r="B2486" s="2" t="s">
        <v>2529</v>
      </c>
      <c r="C2486" s="3"/>
      <c r="D2486" s="3">
        <v>65.0</v>
      </c>
      <c r="E2486" s="2"/>
      <c r="F2486" s="2"/>
      <c r="G2486" s="2"/>
      <c r="H2486" s="2"/>
      <c r="I2486" s="2"/>
      <c r="J2486" s="2"/>
    </row>
    <row r="2487" ht="15.75" customHeight="1">
      <c r="A2487" s="4" t="str">
        <f>HYPERLINK("https://stackoverflow.com/q/52668100", "52668100")</f>
        <v>52668100</v>
      </c>
      <c r="B2487" s="2" t="s">
        <v>2530</v>
      </c>
      <c r="C2487" s="3"/>
      <c r="D2487" s="3">
        <v>65.0</v>
      </c>
      <c r="E2487" s="2"/>
      <c r="F2487" s="2"/>
      <c r="G2487" s="2"/>
      <c r="H2487" s="2"/>
      <c r="I2487" s="2"/>
      <c r="J2487" s="2"/>
    </row>
    <row r="2488" ht="15.75" customHeight="1">
      <c r="A2488" s="4" t="str">
        <f>HYPERLINK("https://stackoverflow.com/q/53208833", "53208833")</f>
        <v>53208833</v>
      </c>
      <c r="B2488" s="2" t="s">
        <v>2531</v>
      </c>
      <c r="C2488" s="3"/>
      <c r="D2488" s="3">
        <v>65.0</v>
      </c>
      <c r="E2488" s="2"/>
      <c r="F2488" s="2"/>
      <c r="G2488" s="2"/>
      <c r="H2488" s="2"/>
      <c r="I2488" s="2"/>
      <c r="J2488" s="2"/>
    </row>
    <row r="2489" ht="15.75" customHeight="1">
      <c r="A2489" s="4" t="str">
        <f>HYPERLINK("https://stackoverflow.com/q/53677413", "53677413")</f>
        <v>53677413</v>
      </c>
      <c r="B2489" s="2" t="s">
        <v>2532</v>
      </c>
      <c r="C2489" s="3"/>
      <c r="D2489" s="3">
        <v>65.0</v>
      </c>
      <c r="E2489" s="2"/>
      <c r="F2489" s="2"/>
      <c r="G2489" s="2"/>
      <c r="H2489" s="2"/>
      <c r="I2489" s="2"/>
      <c r="J2489" s="2"/>
    </row>
    <row r="2490" ht="15.75" customHeight="1">
      <c r="A2490" s="4" t="str">
        <f>HYPERLINK("https://stackoverflow.com/q/55617000", "55617000")</f>
        <v>55617000</v>
      </c>
      <c r="B2490" s="2" t="s">
        <v>2533</v>
      </c>
      <c r="C2490" s="3"/>
      <c r="D2490" s="3">
        <v>65.0</v>
      </c>
      <c r="E2490" s="2"/>
      <c r="F2490" s="2"/>
      <c r="G2490" s="2"/>
      <c r="H2490" s="2"/>
      <c r="I2490" s="2"/>
      <c r="J2490" s="2"/>
    </row>
    <row r="2491" ht="15.75" customHeight="1">
      <c r="A2491" s="4" t="str">
        <f>HYPERLINK("https://stackoverflow.com/q/56177386", "56177386")</f>
        <v>56177386</v>
      </c>
      <c r="B2491" s="2" t="s">
        <v>2534</v>
      </c>
      <c r="C2491" s="3"/>
      <c r="D2491" s="3">
        <v>65.0</v>
      </c>
      <c r="E2491" s="2"/>
      <c r="F2491" s="2"/>
      <c r="G2491" s="2"/>
      <c r="H2491" s="2"/>
      <c r="I2491" s="2"/>
      <c r="J2491" s="2"/>
    </row>
    <row r="2492" ht="15.75" customHeight="1">
      <c r="A2492" s="4" t="str">
        <f>HYPERLINK("https://stackoverflow.com/q/56662340", "56662340")</f>
        <v>56662340</v>
      </c>
      <c r="B2492" s="2" t="s">
        <v>2535</v>
      </c>
      <c r="C2492" s="3"/>
      <c r="D2492" s="3">
        <v>65.0</v>
      </c>
      <c r="E2492" s="2"/>
      <c r="F2492" s="2"/>
      <c r="G2492" s="2"/>
      <c r="H2492" s="2"/>
      <c r="I2492" s="2"/>
      <c r="J2492" s="2"/>
    </row>
    <row r="2493" ht="15.75" customHeight="1">
      <c r="A2493" s="4" t="str">
        <f>HYPERLINK("https://stackoverflow.com/q/59149471", "59149471")</f>
        <v>59149471</v>
      </c>
      <c r="B2493" s="2" t="s">
        <v>2536</v>
      </c>
      <c r="C2493" s="3"/>
      <c r="D2493" s="3">
        <v>65.0</v>
      </c>
      <c r="E2493" s="2"/>
      <c r="F2493" s="2"/>
      <c r="G2493" s="2"/>
      <c r="H2493" s="2"/>
      <c r="I2493" s="2"/>
      <c r="J2493" s="2"/>
    </row>
    <row r="2494" ht="15.75" customHeight="1">
      <c r="A2494" s="4" t="str">
        <f>HYPERLINK("https://stackoverflow.com/q/60500627", "60500627")</f>
        <v>60500627</v>
      </c>
      <c r="B2494" s="2" t="s">
        <v>2537</v>
      </c>
      <c r="C2494" s="3"/>
      <c r="D2494" s="3">
        <v>65.0</v>
      </c>
      <c r="E2494" s="2"/>
      <c r="F2494" s="2"/>
      <c r="G2494" s="2"/>
      <c r="H2494" s="2"/>
      <c r="I2494" s="2"/>
      <c r="J2494" s="2"/>
    </row>
    <row r="2495" ht="15.75" customHeight="1">
      <c r="A2495" s="4" t="str">
        <f>HYPERLINK("https://stackoverflow.com/q/60044307", "60044307")</f>
        <v>60044307</v>
      </c>
      <c r="B2495" s="2" t="s">
        <v>2538</v>
      </c>
      <c r="C2495" s="3">
        <v>1.0</v>
      </c>
      <c r="D2495" s="3">
        <v>64.0</v>
      </c>
      <c r="E2495" s="2"/>
      <c r="F2495" s="2"/>
      <c r="G2495" s="2"/>
      <c r="H2495" s="2"/>
      <c r="I2495" s="2"/>
      <c r="J2495" s="2"/>
    </row>
    <row r="2496" ht="15.75" customHeight="1">
      <c r="A2496" s="4" t="str">
        <f>HYPERLINK("https://stackoverflow.com/q/54350879", "54350879")</f>
        <v>54350879</v>
      </c>
      <c r="B2496" s="2" t="s">
        <v>2539</v>
      </c>
      <c r="C2496" s="3"/>
      <c r="D2496" s="3">
        <v>64.0</v>
      </c>
      <c r="E2496" s="2" t="s">
        <v>59</v>
      </c>
      <c r="F2496" s="2" t="s">
        <v>28</v>
      </c>
      <c r="G2496" s="2"/>
      <c r="H2496" s="2"/>
      <c r="I2496" s="2"/>
      <c r="J2496" s="2"/>
    </row>
    <row r="2497" ht="15.75" customHeight="1">
      <c r="A2497" s="4" t="str">
        <f>HYPERLINK("https://stackoverflow.com/q/42619631", "42619631")</f>
        <v>42619631</v>
      </c>
      <c r="B2497" s="2" t="s">
        <v>2540</v>
      </c>
      <c r="C2497" s="3"/>
      <c r="D2497" s="3">
        <v>64.0</v>
      </c>
      <c r="E2497" s="9" t="s">
        <v>11</v>
      </c>
      <c r="F2497" s="2" t="s">
        <v>18</v>
      </c>
      <c r="G2497" s="2"/>
      <c r="H2497" s="2"/>
      <c r="I2497" s="2"/>
      <c r="J2497" s="2"/>
    </row>
    <row r="2498" ht="15.75" customHeight="1">
      <c r="A2498" s="4" t="str">
        <f>HYPERLINK("https://stackoverflow.com/q/46348449", "46348449")</f>
        <v>46348449</v>
      </c>
      <c r="B2498" s="2" t="s">
        <v>2541</v>
      </c>
      <c r="C2498" s="3"/>
      <c r="D2498" s="3">
        <v>64.0</v>
      </c>
      <c r="E2498" s="2" t="s">
        <v>72</v>
      </c>
      <c r="F2498" s="2" t="s">
        <v>506</v>
      </c>
      <c r="G2498" s="2"/>
      <c r="H2498" s="2"/>
      <c r="I2498" s="2"/>
      <c r="J2498" s="2"/>
    </row>
    <row r="2499" ht="15.75" customHeight="1">
      <c r="A2499" s="4" t="str">
        <f>HYPERLINK("https://stackoverflow.com/q/44376454", "44376454")</f>
        <v>44376454</v>
      </c>
      <c r="B2499" s="2" t="s">
        <v>2542</v>
      </c>
      <c r="C2499" s="3"/>
      <c r="D2499" s="3">
        <v>64.0</v>
      </c>
      <c r="E2499" s="2"/>
      <c r="F2499" s="2"/>
      <c r="G2499" s="2"/>
      <c r="H2499" s="2"/>
      <c r="I2499" s="2"/>
      <c r="J2499" s="2"/>
    </row>
    <row r="2500" ht="15.75" customHeight="1">
      <c r="A2500" s="4" t="str">
        <f>HYPERLINK("https://stackoverflow.com/q/48413268", "48413268")</f>
        <v>48413268</v>
      </c>
      <c r="B2500" s="2" t="s">
        <v>2543</v>
      </c>
      <c r="C2500" s="3"/>
      <c r="D2500" s="3">
        <v>64.0</v>
      </c>
      <c r="E2500" s="2"/>
      <c r="F2500" s="2"/>
      <c r="G2500" s="2"/>
      <c r="H2500" s="2"/>
      <c r="I2500" s="2"/>
      <c r="J2500" s="2"/>
    </row>
    <row r="2501" ht="15.75" customHeight="1">
      <c r="A2501" s="4" t="str">
        <f>HYPERLINK("https://stackoverflow.com/q/49563870", "49563870")</f>
        <v>49563870</v>
      </c>
      <c r="B2501" s="2" t="s">
        <v>2544</v>
      </c>
      <c r="C2501" s="3"/>
      <c r="D2501" s="3">
        <v>64.0</v>
      </c>
      <c r="E2501" s="2"/>
      <c r="F2501" s="2"/>
      <c r="G2501" s="2"/>
      <c r="H2501" s="2"/>
      <c r="I2501" s="2"/>
      <c r="J2501" s="2"/>
    </row>
    <row r="2502" ht="15.75" customHeight="1">
      <c r="A2502" s="4" t="str">
        <f>HYPERLINK("https://stackoverflow.com/q/50613764", "50613764")</f>
        <v>50613764</v>
      </c>
      <c r="B2502" s="2" t="s">
        <v>2545</v>
      </c>
      <c r="C2502" s="3"/>
      <c r="D2502" s="3">
        <v>64.0</v>
      </c>
      <c r="E2502" s="2"/>
      <c r="F2502" s="2"/>
      <c r="G2502" s="2"/>
      <c r="H2502" s="2"/>
      <c r="I2502" s="2"/>
      <c r="J2502" s="2"/>
    </row>
    <row r="2503" ht="15.75" customHeight="1">
      <c r="A2503" s="4" t="str">
        <f>HYPERLINK("https://stackoverflow.com/q/51624741", "51624741")</f>
        <v>51624741</v>
      </c>
      <c r="B2503" s="2" t="s">
        <v>2546</v>
      </c>
      <c r="C2503" s="3"/>
      <c r="D2503" s="3">
        <v>64.0</v>
      </c>
      <c r="E2503" s="2"/>
      <c r="F2503" s="2"/>
      <c r="G2503" s="2"/>
      <c r="H2503" s="2"/>
      <c r="I2503" s="2"/>
      <c r="J2503" s="2"/>
    </row>
    <row r="2504" ht="15.75" customHeight="1">
      <c r="A2504" s="4" t="str">
        <f>HYPERLINK("https://stackoverflow.com/q/51923404", "51923404")</f>
        <v>51923404</v>
      </c>
      <c r="B2504" s="2" t="s">
        <v>2547</v>
      </c>
      <c r="C2504" s="3"/>
      <c r="D2504" s="3">
        <v>64.0</v>
      </c>
      <c r="E2504" s="2"/>
      <c r="F2504" s="2"/>
      <c r="G2504" s="2"/>
      <c r="H2504" s="2"/>
      <c r="I2504" s="2"/>
      <c r="J2504" s="2"/>
    </row>
    <row r="2505" ht="15.75" customHeight="1">
      <c r="A2505" s="4" t="str">
        <f>HYPERLINK("https://stackoverflow.com/q/52897466", "52897466")</f>
        <v>52897466</v>
      </c>
      <c r="B2505" s="2" t="s">
        <v>2548</v>
      </c>
      <c r="C2505" s="3"/>
      <c r="D2505" s="3">
        <v>64.0</v>
      </c>
      <c r="E2505" s="2"/>
      <c r="F2505" s="2"/>
      <c r="G2505" s="2"/>
      <c r="H2505" s="2"/>
      <c r="I2505" s="2"/>
      <c r="J2505" s="2"/>
    </row>
    <row r="2506" ht="15.75" customHeight="1">
      <c r="A2506" s="4" t="str">
        <f>HYPERLINK("https://stackoverflow.com/q/56078834", "56078834")</f>
        <v>56078834</v>
      </c>
      <c r="B2506" s="2" t="s">
        <v>2549</v>
      </c>
      <c r="C2506" s="3"/>
      <c r="D2506" s="3">
        <v>64.0</v>
      </c>
      <c r="E2506" s="2"/>
      <c r="F2506" s="2"/>
      <c r="G2506" s="2"/>
      <c r="H2506" s="2"/>
      <c r="I2506" s="2"/>
      <c r="J2506" s="2"/>
    </row>
    <row r="2507" ht="15.75" customHeight="1">
      <c r="A2507" s="4" t="str">
        <f>HYPERLINK("https://stackoverflow.com/q/57900028", "57900028")</f>
        <v>57900028</v>
      </c>
      <c r="B2507" s="2" t="s">
        <v>2550</v>
      </c>
      <c r="C2507" s="3"/>
      <c r="D2507" s="3">
        <v>64.0</v>
      </c>
      <c r="E2507" s="2"/>
      <c r="F2507" s="2"/>
      <c r="G2507" s="2"/>
      <c r="H2507" s="2"/>
      <c r="I2507" s="2"/>
      <c r="J2507" s="2"/>
    </row>
    <row r="2508" ht="15.75" customHeight="1">
      <c r="A2508" s="4" t="str">
        <f>HYPERLINK("https://stackoverflow.com/q/58054024", "58054024")</f>
        <v>58054024</v>
      </c>
      <c r="B2508" s="2" t="s">
        <v>2551</v>
      </c>
      <c r="C2508" s="3"/>
      <c r="D2508" s="3">
        <v>64.0</v>
      </c>
      <c r="E2508" s="2"/>
      <c r="F2508" s="2"/>
      <c r="G2508" s="2"/>
      <c r="H2508" s="2"/>
      <c r="I2508" s="2"/>
      <c r="J2508" s="2"/>
    </row>
    <row r="2509" ht="15.75" customHeight="1">
      <c r="A2509" s="4" t="str">
        <f>HYPERLINK("https://stackoverflow.com/q/58447864", "58447864")</f>
        <v>58447864</v>
      </c>
      <c r="B2509" s="2" t="s">
        <v>2552</v>
      </c>
      <c r="C2509" s="3"/>
      <c r="D2509" s="3">
        <v>64.0</v>
      </c>
      <c r="E2509" s="2"/>
      <c r="F2509" s="2"/>
      <c r="G2509" s="2"/>
      <c r="H2509" s="2"/>
      <c r="I2509" s="2"/>
      <c r="J2509" s="2"/>
    </row>
    <row r="2510" ht="15.75" customHeight="1">
      <c r="A2510" s="4" t="str">
        <f>HYPERLINK("https://stackoverflow.com/q/58481700", "58481700")</f>
        <v>58481700</v>
      </c>
      <c r="B2510" s="2" t="s">
        <v>2553</v>
      </c>
      <c r="C2510" s="3"/>
      <c r="D2510" s="3">
        <v>64.0</v>
      </c>
      <c r="E2510" s="2"/>
      <c r="F2510" s="2"/>
      <c r="G2510" s="2"/>
      <c r="H2510" s="2"/>
      <c r="I2510" s="2"/>
      <c r="J2510" s="2"/>
    </row>
    <row r="2511" ht="15.75" customHeight="1">
      <c r="A2511" s="4" t="str">
        <f>HYPERLINK("https://stackoverflow.com/q/58649380", "58649380")</f>
        <v>58649380</v>
      </c>
      <c r="B2511" s="2" t="s">
        <v>2554</v>
      </c>
      <c r="C2511" s="3"/>
      <c r="D2511" s="3">
        <v>64.0</v>
      </c>
      <c r="E2511" s="2"/>
      <c r="F2511" s="2"/>
      <c r="G2511" s="2"/>
      <c r="H2511" s="2"/>
      <c r="I2511" s="2"/>
      <c r="J2511" s="2"/>
    </row>
    <row r="2512" ht="15.75" customHeight="1">
      <c r="A2512" s="4" t="str">
        <f>HYPERLINK("https://stackoverflow.com/q/59346308", "59346308")</f>
        <v>59346308</v>
      </c>
      <c r="B2512" s="2" t="s">
        <v>2555</v>
      </c>
      <c r="C2512" s="3"/>
      <c r="D2512" s="3">
        <v>64.0</v>
      </c>
      <c r="E2512" s="2"/>
      <c r="F2512" s="2"/>
      <c r="G2512" s="2"/>
      <c r="H2512" s="2"/>
      <c r="I2512" s="2"/>
      <c r="J2512" s="2"/>
    </row>
    <row r="2513" ht="15.75" customHeight="1">
      <c r="A2513" s="4" t="str">
        <f>HYPERLINK("https://stackoverflow.com/q/59405701", "59405701")</f>
        <v>59405701</v>
      </c>
      <c r="B2513" s="2" t="s">
        <v>2556</v>
      </c>
      <c r="C2513" s="3"/>
      <c r="D2513" s="3">
        <v>64.0</v>
      </c>
      <c r="E2513" s="2"/>
      <c r="F2513" s="2"/>
      <c r="G2513" s="2"/>
      <c r="H2513" s="2"/>
      <c r="I2513" s="2"/>
      <c r="J2513" s="2"/>
    </row>
    <row r="2514" ht="15.75" customHeight="1">
      <c r="A2514" s="4" t="str">
        <f>HYPERLINK("https://stackoverflow.com/q/59164289", "59164289")</f>
        <v>59164289</v>
      </c>
      <c r="B2514" s="2" t="s">
        <v>2557</v>
      </c>
      <c r="C2514" s="3">
        <v>0.0</v>
      </c>
      <c r="D2514" s="3">
        <v>63.0</v>
      </c>
      <c r="E2514" s="2"/>
      <c r="F2514" s="2"/>
      <c r="G2514" s="2"/>
      <c r="H2514" s="2"/>
      <c r="I2514" s="2"/>
      <c r="J2514" s="2"/>
    </row>
    <row r="2515" ht="15.75" customHeight="1">
      <c r="A2515" s="4" t="str">
        <f>HYPERLINK("https://stackoverflow.com/q/53891777", "53891777")</f>
        <v>53891777</v>
      </c>
      <c r="B2515" s="2" t="s">
        <v>2558</v>
      </c>
      <c r="C2515" s="3"/>
      <c r="D2515" s="3">
        <v>63.0</v>
      </c>
      <c r="E2515" s="9" t="s">
        <v>11</v>
      </c>
      <c r="F2515" s="2" t="s">
        <v>18</v>
      </c>
      <c r="G2515" s="2"/>
      <c r="H2515" s="2"/>
      <c r="I2515" s="2"/>
      <c r="J2515" s="2"/>
    </row>
    <row r="2516" ht="15.75" customHeight="1">
      <c r="A2516" s="4" t="str">
        <f>HYPERLINK("https://stackoverflow.com/q/61459809", "61459809")</f>
        <v>61459809</v>
      </c>
      <c r="B2516" s="2" t="s">
        <v>2559</v>
      </c>
      <c r="C2516" s="3"/>
      <c r="D2516" s="3">
        <v>63.0</v>
      </c>
      <c r="E2516" s="9" t="s">
        <v>11</v>
      </c>
      <c r="F2516" s="2" t="s">
        <v>18</v>
      </c>
      <c r="G2516" s="2"/>
      <c r="H2516" s="2"/>
      <c r="I2516" s="2"/>
      <c r="J2516" s="2"/>
    </row>
    <row r="2517" ht="15.75" customHeight="1">
      <c r="A2517" s="4" t="str">
        <f>HYPERLINK("https://stackoverflow.com/q/32971342", "32971342")</f>
        <v>32971342</v>
      </c>
      <c r="B2517" s="2" t="s">
        <v>2560</v>
      </c>
      <c r="C2517" s="3"/>
      <c r="D2517" s="3">
        <v>63.0</v>
      </c>
      <c r="E2517" s="2"/>
      <c r="F2517" s="2"/>
      <c r="G2517" s="2"/>
      <c r="H2517" s="2"/>
      <c r="I2517" s="2"/>
      <c r="J2517" s="2"/>
    </row>
    <row r="2518" ht="15.75" customHeight="1">
      <c r="A2518" s="4" t="str">
        <f>HYPERLINK("https://stackoverflow.com/q/57171261", "57171261")</f>
        <v>57171261</v>
      </c>
      <c r="B2518" s="2" t="s">
        <v>2561</v>
      </c>
      <c r="C2518" s="3"/>
      <c r="D2518" s="3">
        <v>63.0</v>
      </c>
      <c r="E2518" s="2"/>
      <c r="F2518" s="2"/>
      <c r="G2518" s="2"/>
      <c r="H2518" s="2"/>
      <c r="I2518" s="2"/>
      <c r="J2518" s="2"/>
    </row>
    <row r="2519" ht="15.75" customHeight="1">
      <c r="A2519" s="4" t="str">
        <f>HYPERLINK("https://stackoverflow.com/q/57265782", "57265782")</f>
        <v>57265782</v>
      </c>
      <c r="B2519" s="2" t="s">
        <v>2562</v>
      </c>
      <c r="C2519" s="3"/>
      <c r="D2519" s="3">
        <v>63.0</v>
      </c>
      <c r="E2519" s="2"/>
      <c r="F2519" s="2"/>
      <c r="G2519" s="2"/>
      <c r="H2519" s="2"/>
      <c r="I2519" s="2"/>
      <c r="J2519" s="2"/>
    </row>
    <row r="2520" ht="15.75" customHeight="1">
      <c r="A2520" s="4" t="str">
        <f>HYPERLINK("https://stackoverflow.com/q/58720305", "58720305")</f>
        <v>58720305</v>
      </c>
      <c r="B2520" s="2" t="s">
        <v>2563</v>
      </c>
      <c r="C2520" s="3"/>
      <c r="D2520" s="3">
        <v>63.0</v>
      </c>
      <c r="E2520" s="2"/>
      <c r="F2520" s="2"/>
      <c r="G2520" s="2"/>
      <c r="H2520" s="2"/>
      <c r="I2520" s="2"/>
      <c r="J2520" s="2"/>
    </row>
    <row r="2521" ht="15.75" customHeight="1">
      <c r="A2521" s="4" t="str">
        <f>HYPERLINK("https://stackoverflow.com/q/59672677", "59672677")</f>
        <v>59672677</v>
      </c>
      <c r="B2521" s="2" t="s">
        <v>2564</v>
      </c>
      <c r="C2521" s="3"/>
      <c r="D2521" s="3">
        <v>63.0</v>
      </c>
      <c r="E2521" s="2"/>
      <c r="F2521" s="2"/>
      <c r="G2521" s="2"/>
      <c r="H2521" s="2"/>
      <c r="I2521" s="2"/>
      <c r="J2521" s="2"/>
    </row>
    <row r="2522" ht="15.75" customHeight="1">
      <c r="A2522" s="4" t="str">
        <f>HYPERLINK("https://stackoverflow.com/q/60595868", "60595868")</f>
        <v>60595868</v>
      </c>
      <c r="B2522" s="2" t="s">
        <v>2565</v>
      </c>
      <c r="C2522" s="3"/>
      <c r="D2522" s="3">
        <v>63.0</v>
      </c>
      <c r="E2522" s="2"/>
      <c r="F2522" s="2"/>
      <c r="G2522" s="2"/>
      <c r="H2522" s="2"/>
      <c r="I2522" s="2"/>
      <c r="J2522" s="2"/>
    </row>
    <row r="2523" ht="15.75" customHeight="1">
      <c r="A2523" s="4" t="str">
        <f>HYPERLINK("https://stackoverflow.com/q/59570336", "59570336")</f>
        <v>59570336</v>
      </c>
      <c r="B2523" s="2" t="s">
        <v>2566</v>
      </c>
      <c r="C2523" s="3">
        <v>0.0</v>
      </c>
      <c r="D2523" s="3">
        <v>62.0</v>
      </c>
      <c r="E2523" s="2"/>
      <c r="F2523" s="2"/>
      <c r="G2523" s="2"/>
      <c r="H2523" s="2"/>
      <c r="I2523" s="2"/>
      <c r="J2523" s="2"/>
    </row>
    <row r="2524" ht="15.75" customHeight="1">
      <c r="A2524" s="4" t="str">
        <f>HYPERLINK("https://stackoverflow.com/q/54936924", "54936924")</f>
        <v>54936924</v>
      </c>
      <c r="B2524" s="2" t="s">
        <v>2567</v>
      </c>
      <c r="C2524" s="3"/>
      <c r="D2524" s="3">
        <v>62.0</v>
      </c>
      <c r="E2524" s="2" t="s">
        <v>11</v>
      </c>
      <c r="F2524" s="2" t="s">
        <v>25</v>
      </c>
      <c r="G2524" s="2"/>
      <c r="H2524" s="2"/>
      <c r="I2524" s="2"/>
      <c r="J2524" s="2"/>
    </row>
    <row r="2525" ht="15.75" customHeight="1">
      <c r="A2525" s="4" t="str">
        <f>HYPERLINK("https://stackoverflow.com/q/55426906", "55426906")</f>
        <v>55426906</v>
      </c>
      <c r="B2525" s="2" t="s">
        <v>2568</v>
      </c>
      <c r="C2525" s="3"/>
      <c r="D2525" s="3">
        <v>62.0</v>
      </c>
      <c r="E2525" s="2" t="s">
        <v>11</v>
      </c>
      <c r="F2525" s="2" t="s">
        <v>56</v>
      </c>
      <c r="G2525" s="2"/>
      <c r="H2525" s="2"/>
      <c r="I2525" s="2"/>
      <c r="J2525" s="2"/>
    </row>
    <row r="2526" ht="15.75" customHeight="1">
      <c r="A2526" s="4" t="str">
        <f>HYPERLINK("https://stackoverflow.com/q/52952265", "52952265")</f>
        <v>52952265</v>
      </c>
      <c r="B2526" s="2" t="s">
        <v>2569</v>
      </c>
      <c r="C2526" s="3"/>
      <c r="D2526" s="3">
        <v>62.0</v>
      </c>
      <c r="E2526" s="2" t="s">
        <v>72</v>
      </c>
      <c r="F2526" s="2" t="s">
        <v>2269</v>
      </c>
      <c r="G2526" s="2"/>
      <c r="H2526" s="2"/>
      <c r="I2526" s="2"/>
      <c r="J2526" s="2"/>
    </row>
    <row r="2527" ht="15.75" customHeight="1">
      <c r="A2527" s="4" t="str">
        <f>HYPERLINK("https://stackoverflow.com/q/44442208", "44442208")</f>
        <v>44442208</v>
      </c>
      <c r="B2527" s="2" t="s">
        <v>2570</v>
      </c>
      <c r="C2527" s="3"/>
      <c r="D2527" s="3">
        <v>62.0</v>
      </c>
      <c r="E2527" s="2"/>
      <c r="F2527" s="2"/>
      <c r="G2527" s="2"/>
      <c r="H2527" s="2"/>
      <c r="I2527" s="2"/>
      <c r="J2527" s="2"/>
    </row>
    <row r="2528" ht="15.75" customHeight="1">
      <c r="A2528" s="4" t="str">
        <f>HYPERLINK("https://stackoverflow.com/q/48520584", "48520584")</f>
        <v>48520584</v>
      </c>
      <c r="B2528" s="2" t="s">
        <v>2571</v>
      </c>
      <c r="C2528" s="3"/>
      <c r="D2528" s="3">
        <v>62.0</v>
      </c>
      <c r="E2528" s="2"/>
      <c r="F2528" s="2"/>
      <c r="G2528" s="2"/>
      <c r="H2528" s="2"/>
      <c r="I2528" s="2"/>
      <c r="J2528" s="2"/>
    </row>
    <row r="2529" ht="15.75" customHeight="1">
      <c r="A2529" s="4" t="str">
        <f>HYPERLINK("https://stackoverflow.com/q/50036821", "50036821")</f>
        <v>50036821</v>
      </c>
      <c r="B2529" s="2" t="s">
        <v>2572</v>
      </c>
      <c r="C2529" s="3"/>
      <c r="D2529" s="3">
        <v>62.0</v>
      </c>
      <c r="E2529" s="2"/>
      <c r="F2529" s="2"/>
      <c r="G2529" s="2"/>
      <c r="H2529" s="2"/>
      <c r="I2529" s="2"/>
      <c r="J2529" s="2"/>
    </row>
    <row r="2530" ht="15.75" customHeight="1">
      <c r="A2530" s="4" t="str">
        <f>HYPERLINK("https://stackoverflow.com/q/52593036", "52593036")</f>
        <v>52593036</v>
      </c>
      <c r="B2530" s="2" t="s">
        <v>2573</v>
      </c>
      <c r="C2530" s="3"/>
      <c r="D2530" s="3">
        <v>62.0</v>
      </c>
      <c r="E2530" s="2"/>
      <c r="F2530" s="2"/>
      <c r="G2530" s="2"/>
      <c r="H2530" s="2"/>
      <c r="I2530" s="2"/>
      <c r="J2530" s="2"/>
    </row>
    <row r="2531" ht="15.75" customHeight="1">
      <c r="A2531" s="4" t="str">
        <f>HYPERLINK("https://stackoverflow.com/q/53109130", "53109130")</f>
        <v>53109130</v>
      </c>
      <c r="B2531" s="2" t="s">
        <v>2574</v>
      </c>
      <c r="C2531" s="3"/>
      <c r="D2531" s="3">
        <v>62.0</v>
      </c>
      <c r="E2531" s="2"/>
      <c r="F2531" s="2"/>
      <c r="G2531" s="2"/>
      <c r="H2531" s="2"/>
      <c r="I2531" s="2"/>
      <c r="J2531" s="2"/>
    </row>
    <row r="2532" ht="15.75" customHeight="1">
      <c r="A2532" s="4" t="str">
        <f>HYPERLINK("https://stackoverflow.com/q/54557467", "54557467")</f>
        <v>54557467</v>
      </c>
      <c r="B2532" s="2" t="s">
        <v>2575</v>
      </c>
      <c r="C2532" s="3"/>
      <c r="D2532" s="3">
        <v>62.0</v>
      </c>
      <c r="E2532" s="2"/>
      <c r="F2532" s="2" t="s">
        <v>23</v>
      </c>
      <c r="G2532" s="2"/>
      <c r="H2532" s="2"/>
      <c r="I2532" s="2"/>
      <c r="J2532" s="2"/>
    </row>
    <row r="2533" ht="15.75" customHeight="1">
      <c r="A2533" s="4" t="str">
        <f>HYPERLINK("https://stackoverflow.com/q/55958319", "55958319")</f>
        <v>55958319</v>
      </c>
      <c r="B2533" s="2" t="s">
        <v>2576</v>
      </c>
      <c r="C2533" s="3"/>
      <c r="D2533" s="3">
        <v>62.0</v>
      </c>
      <c r="E2533" s="2"/>
      <c r="F2533" s="2"/>
      <c r="G2533" s="2"/>
      <c r="H2533" s="2"/>
      <c r="I2533" s="2"/>
      <c r="J2533" s="2"/>
    </row>
    <row r="2534" ht="15.75" customHeight="1">
      <c r="A2534" s="4" t="str">
        <f>HYPERLINK("https://stackoverflow.com/q/58182689", "58182689")</f>
        <v>58182689</v>
      </c>
      <c r="B2534" s="2" t="s">
        <v>2577</v>
      </c>
      <c r="C2534" s="3"/>
      <c r="D2534" s="3">
        <v>62.0</v>
      </c>
      <c r="E2534" s="2"/>
      <c r="F2534" s="2"/>
      <c r="G2534" s="2"/>
      <c r="H2534" s="2"/>
      <c r="I2534" s="2"/>
      <c r="J2534" s="2"/>
    </row>
    <row r="2535" ht="15.75" customHeight="1">
      <c r="A2535" s="4" t="str">
        <f>HYPERLINK("https://stackoverflow.com/q/58598442", "58598442")</f>
        <v>58598442</v>
      </c>
      <c r="B2535" s="2" t="s">
        <v>2578</v>
      </c>
      <c r="C2535" s="3"/>
      <c r="D2535" s="3">
        <v>62.0</v>
      </c>
      <c r="E2535" s="2"/>
      <c r="F2535" s="2"/>
      <c r="G2535" s="2"/>
      <c r="H2535" s="2"/>
      <c r="I2535" s="2"/>
      <c r="J2535" s="2"/>
    </row>
    <row r="2536" ht="15.75" customHeight="1">
      <c r="A2536" s="4" t="str">
        <f>HYPERLINK("https://stackoverflow.com/q/59202468", "59202468")</f>
        <v>59202468</v>
      </c>
      <c r="B2536" s="2" t="s">
        <v>2579</v>
      </c>
      <c r="C2536" s="3"/>
      <c r="D2536" s="3">
        <v>62.0</v>
      </c>
      <c r="E2536" s="2"/>
      <c r="F2536" s="2"/>
      <c r="G2536" s="2"/>
      <c r="H2536" s="2"/>
      <c r="I2536" s="2"/>
      <c r="J2536" s="2"/>
    </row>
    <row r="2537" ht="15.75" customHeight="1">
      <c r="A2537" s="4" t="str">
        <f>HYPERLINK("https://stackoverflow.com/q/60334874", "60334874")</f>
        <v>60334874</v>
      </c>
      <c r="B2537" s="2" t="s">
        <v>2580</v>
      </c>
      <c r="C2537" s="3"/>
      <c r="D2537" s="3">
        <v>62.0</v>
      </c>
      <c r="E2537" s="2"/>
      <c r="F2537" s="2"/>
      <c r="G2537" s="2"/>
      <c r="H2537" s="2"/>
      <c r="I2537" s="2"/>
      <c r="J2537" s="2"/>
    </row>
    <row r="2538" ht="15.75" customHeight="1">
      <c r="A2538" s="4" t="str">
        <f>HYPERLINK("https://stackoverflow.com/q/46550925", "46550925")</f>
        <v>46550925</v>
      </c>
      <c r="B2538" s="2" t="s">
        <v>2581</v>
      </c>
      <c r="C2538" s="3"/>
      <c r="D2538" s="3">
        <v>61.0</v>
      </c>
      <c r="E2538" s="2" t="s">
        <v>11</v>
      </c>
      <c r="F2538" s="2" t="s">
        <v>21</v>
      </c>
      <c r="G2538" s="2"/>
      <c r="H2538" s="2"/>
      <c r="I2538" s="2"/>
      <c r="J2538" s="2"/>
    </row>
    <row r="2539" ht="15.75" customHeight="1">
      <c r="A2539" s="4" t="str">
        <f>HYPERLINK("https://stackoverflow.com/q/44789178", "44789178")</f>
        <v>44789178</v>
      </c>
      <c r="B2539" s="2" t="s">
        <v>2582</v>
      </c>
      <c r="C2539" s="3"/>
      <c r="D2539" s="3">
        <v>61.0</v>
      </c>
      <c r="E2539" s="2"/>
      <c r="F2539" s="2"/>
      <c r="G2539" s="2"/>
      <c r="H2539" s="2"/>
      <c r="I2539" s="2"/>
      <c r="J2539" s="2"/>
    </row>
    <row r="2540" ht="15.75" customHeight="1">
      <c r="A2540" s="4" t="str">
        <f>HYPERLINK("https://stackoverflow.com/q/49192135", "49192135")</f>
        <v>49192135</v>
      </c>
      <c r="B2540" s="2" t="s">
        <v>2583</v>
      </c>
      <c r="C2540" s="3"/>
      <c r="D2540" s="3">
        <v>61.0</v>
      </c>
      <c r="E2540" s="2"/>
      <c r="F2540" s="2"/>
      <c r="G2540" s="2"/>
      <c r="H2540" s="2"/>
      <c r="I2540" s="2"/>
      <c r="J2540" s="2"/>
    </row>
    <row r="2541" ht="15.75" customHeight="1">
      <c r="A2541" s="4" t="str">
        <f>HYPERLINK("https://stackoverflow.com/q/51016243", "51016243")</f>
        <v>51016243</v>
      </c>
      <c r="B2541" s="2" t="s">
        <v>2584</v>
      </c>
      <c r="C2541" s="3"/>
      <c r="D2541" s="3">
        <v>61.0</v>
      </c>
      <c r="E2541" s="2"/>
      <c r="F2541" s="2"/>
      <c r="G2541" s="2"/>
      <c r="H2541" s="2"/>
      <c r="I2541" s="2"/>
      <c r="J2541" s="2"/>
    </row>
    <row r="2542" ht="15.75" customHeight="1">
      <c r="A2542" s="4" t="str">
        <f>HYPERLINK("https://stackoverflow.com/q/52046824", "52046824")</f>
        <v>52046824</v>
      </c>
      <c r="B2542" s="2" t="s">
        <v>2585</v>
      </c>
      <c r="C2542" s="3"/>
      <c r="D2542" s="3">
        <v>61.0</v>
      </c>
      <c r="E2542" s="2"/>
      <c r="F2542" s="2"/>
      <c r="G2542" s="2"/>
      <c r="H2542" s="2"/>
      <c r="I2542" s="2"/>
      <c r="J2542" s="2"/>
    </row>
    <row r="2543" ht="15.75" customHeight="1">
      <c r="A2543" s="4" t="str">
        <f>HYPERLINK("https://stackoverflow.com/q/52057206", "52057206")</f>
        <v>52057206</v>
      </c>
      <c r="B2543" s="2" t="s">
        <v>2586</v>
      </c>
      <c r="C2543" s="3"/>
      <c r="D2543" s="3">
        <v>61.0</v>
      </c>
      <c r="E2543" s="2"/>
      <c r="F2543" s="2"/>
      <c r="G2543" s="2"/>
      <c r="H2543" s="2"/>
      <c r="I2543" s="2"/>
      <c r="J2543" s="2"/>
    </row>
    <row r="2544" ht="15.75" customHeight="1">
      <c r="A2544" s="4" t="str">
        <f>HYPERLINK("https://stackoverflow.com/q/55726162", "55726162")</f>
        <v>55726162</v>
      </c>
      <c r="B2544" s="2" t="s">
        <v>2587</v>
      </c>
      <c r="C2544" s="3"/>
      <c r="D2544" s="3">
        <v>61.0</v>
      </c>
      <c r="E2544" s="2"/>
      <c r="F2544" s="2"/>
      <c r="G2544" s="2"/>
      <c r="H2544" s="2"/>
      <c r="I2544" s="2"/>
      <c r="J2544" s="2"/>
    </row>
    <row r="2545" ht="15.75" customHeight="1">
      <c r="A2545" s="4" t="str">
        <f>HYPERLINK("https://stackoverflow.com/q/56139909", "56139909")</f>
        <v>56139909</v>
      </c>
      <c r="B2545" s="2" t="s">
        <v>2588</v>
      </c>
      <c r="C2545" s="3"/>
      <c r="D2545" s="3">
        <v>61.0</v>
      </c>
      <c r="E2545" s="2"/>
      <c r="F2545" s="2"/>
      <c r="G2545" s="2"/>
      <c r="H2545" s="2"/>
      <c r="I2545" s="2"/>
      <c r="J2545" s="2"/>
    </row>
    <row r="2546" ht="15.75" customHeight="1">
      <c r="A2546" s="4" t="str">
        <f>HYPERLINK("https://stackoverflow.com/q/56564738", "56564738")</f>
        <v>56564738</v>
      </c>
      <c r="B2546" s="2" t="s">
        <v>2589</v>
      </c>
      <c r="C2546" s="3"/>
      <c r="D2546" s="3">
        <v>61.0</v>
      </c>
      <c r="E2546" s="2"/>
      <c r="F2546" s="2"/>
      <c r="G2546" s="2"/>
      <c r="H2546" s="2"/>
      <c r="I2546" s="2"/>
      <c r="J2546" s="2"/>
    </row>
    <row r="2547" ht="15.75" customHeight="1">
      <c r="A2547" s="4" t="str">
        <f>HYPERLINK("https://stackoverflow.com/q/57398849", "57398849")</f>
        <v>57398849</v>
      </c>
      <c r="B2547" s="2" t="s">
        <v>2590</v>
      </c>
      <c r="C2547" s="3"/>
      <c r="D2547" s="3">
        <v>61.0</v>
      </c>
      <c r="E2547" s="2"/>
      <c r="F2547" s="2"/>
      <c r="G2547" s="2"/>
      <c r="H2547" s="2"/>
      <c r="I2547" s="2"/>
      <c r="J2547" s="2"/>
    </row>
    <row r="2548" ht="15.75" customHeight="1">
      <c r="A2548" s="4" t="str">
        <f>HYPERLINK("https://stackoverflow.com/q/58102357", "58102357")</f>
        <v>58102357</v>
      </c>
      <c r="B2548" s="2" t="s">
        <v>2591</v>
      </c>
      <c r="C2548" s="3"/>
      <c r="D2548" s="3">
        <v>61.0</v>
      </c>
      <c r="E2548" s="2"/>
      <c r="F2548" s="2"/>
      <c r="G2548" s="2"/>
      <c r="H2548" s="2"/>
      <c r="I2548" s="2"/>
      <c r="J2548" s="2"/>
    </row>
    <row r="2549" ht="15.75" customHeight="1">
      <c r="A2549" s="4" t="str">
        <f>HYPERLINK("https://stackoverflow.com/q/58205324", "58205324")</f>
        <v>58205324</v>
      </c>
      <c r="B2549" s="2" t="s">
        <v>2592</v>
      </c>
      <c r="C2549" s="3"/>
      <c r="D2549" s="3">
        <v>61.0</v>
      </c>
      <c r="E2549" s="2"/>
      <c r="F2549" s="2"/>
      <c r="G2549" s="2"/>
      <c r="H2549" s="2"/>
      <c r="I2549" s="2"/>
      <c r="J2549" s="2"/>
    </row>
    <row r="2550" ht="15.75" customHeight="1">
      <c r="A2550" s="4" t="str">
        <f>HYPERLINK("https://stackoverflow.com/q/58221451", "58221451")</f>
        <v>58221451</v>
      </c>
      <c r="B2550" s="2" t="s">
        <v>2593</v>
      </c>
      <c r="C2550" s="3"/>
      <c r="D2550" s="3">
        <v>61.0</v>
      </c>
      <c r="E2550" s="2"/>
      <c r="F2550" s="2"/>
      <c r="G2550" s="2"/>
      <c r="H2550" s="2"/>
      <c r="I2550" s="2"/>
      <c r="J2550" s="2"/>
    </row>
    <row r="2551" ht="15.75" customHeight="1">
      <c r="A2551" s="4" t="str">
        <f>HYPERLINK("https://stackoverflow.com/q/58416987", "58416987")</f>
        <v>58416987</v>
      </c>
      <c r="B2551" s="2" t="s">
        <v>2594</v>
      </c>
      <c r="C2551" s="3"/>
      <c r="D2551" s="3">
        <v>61.0</v>
      </c>
      <c r="E2551" s="2"/>
      <c r="F2551" s="2"/>
      <c r="G2551" s="2"/>
      <c r="H2551" s="2"/>
      <c r="I2551" s="2"/>
      <c r="J2551" s="2"/>
    </row>
    <row r="2552" ht="15.75" customHeight="1">
      <c r="A2552" s="4" t="str">
        <f>HYPERLINK("https://stackoverflow.com/q/59233638", "59233638")</f>
        <v>59233638</v>
      </c>
      <c r="B2552" s="2" t="s">
        <v>2595</v>
      </c>
      <c r="C2552" s="3"/>
      <c r="D2552" s="3">
        <v>61.0</v>
      </c>
      <c r="E2552" s="2"/>
      <c r="F2552" s="2"/>
      <c r="G2552" s="2"/>
      <c r="H2552" s="2"/>
      <c r="I2552" s="2"/>
      <c r="J2552" s="2"/>
    </row>
    <row r="2553" ht="15.75" customHeight="1">
      <c r="A2553" s="4" t="str">
        <f>HYPERLINK("https://stackoverflow.com/q/59683644", "59683644")</f>
        <v>59683644</v>
      </c>
      <c r="B2553" s="2" t="s">
        <v>2596</v>
      </c>
      <c r="C2553" s="3"/>
      <c r="D2553" s="3">
        <v>61.0</v>
      </c>
      <c r="E2553" s="2"/>
      <c r="F2553" s="2"/>
      <c r="G2553" s="2"/>
      <c r="H2553" s="2"/>
      <c r="I2553" s="2"/>
      <c r="J2553" s="2"/>
    </row>
    <row r="2554" ht="15.75" customHeight="1">
      <c r="A2554" s="4" t="str">
        <f>HYPERLINK("https://stackoverflow.com/q/58082775", "58082775")</f>
        <v>58082775</v>
      </c>
      <c r="B2554" s="2" t="s">
        <v>2597</v>
      </c>
      <c r="C2554" s="3">
        <v>1.0</v>
      </c>
      <c r="D2554" s="3">
        <v>60.0</v>
      </c>
      <c r="E2554" s="2"/>
      <c r="F2554" s="2"/>
      <c r="G2554" s="2"/>
      <c r="H2554" s="2"/>
      <c r="I2554" s="2"/>
      <c r="J2554" s="2"/>
    </row>
    <row r="2555" ht="15.75" customHeight="1">
      <c r="A2555" s="4" t="str">
        <f>HYPERLINK("https://stackoverflow.com/q/58769776", "58769776")</f>
        <v>58769776</v>
      </c>
      <c r="B2555" s="2" t="s">
        <v>2598</v>
      </c>
      <c r="C2555" s="3">
        <v>1.0</v>
      </c>
      <c r="D2555" s="3">
        <v>60.0</v>
      </c>
      <c r="E2555" s="2"/>
      <c r="F2555" s="2"/>
      <c r="G2555" s="2"/>
      <c r="H2555" s="2"/>
      <c r="I2555" s="2"/>
      <c r="J2555" s="2"/>
    </row>
    <row r="2556" ht="15.75" customHeight="1">
      <c r="A2556" s="4" t="str">
        <f>HYPERLINK("https://stackoverflow.com/q/54069553", "54069553")</f>
        <v>54069553</v>
      </c>
      <c r="B2556" s="2" t="s">
        <v>2599</v>
      </c>
      <c r="C2556" s="3"/>
      <c r="D2556" s="3">
        <v>60.0</v>
      </c>
      <c r="E2556" s="2" t="s">
        <v>11</v>
      </c>
      <c r="F2556" s="2" t="s">
        <v>21</v>
      </c>
      <c r="G2556" s="17"/>
      <c r="H2556" s="2"/>
      <c r="I2556" s="2"/>
      <c r="J2556" s="2"/>
    </row>
    <row r="2557" ht="15.75" customHeight="1">
      <c r="A2557" s="4" t="str">
        <f>HYPERLINK("https://stackoverflow.com/q/43778494", "43778494")</f>
        <v>43778494</v>
      </c>
      <c r="B2557" s="2" t="s">
        <v>2600</v>
      </c>
      <c r="C2557" s="3"/>
      <c r="D2557" s="3">
        <v>60.0</v>
      </c>
      <c r="E2557" s="2" t="s">
        <v>72</v>
      </c>
      <c r="F2557" s="2" t="s">
        <v>506</v>
      </c>
      <c r="G2557" s="2"/>
      <c r="H2557" s="2"/>
      <c r="I2557" s="2"/>
      <c r="J2557" s="2"/>
    </row>
    <row r="2558" ht="15.75" customHeight="1">
      <c r="A2558" s="4" t="str">
        <f>HYPERLINK("https://stackoverflow.com/q/35092415", "35092415")</f>
        <v>35092415</v>
      </c>
      <c r="B2558" s="2" t="s">
        <v>2601</v>
      </c>
      <c r="C2558" s="3"/>
      <c r="D2558" s="3">
        <v>60.0</v>
      </c>
      <c r="E2558" s="2"/>
      <c r="F2558" s="2"/>
      <c r="G2558" s="2"/>
      <c r="H2558" s="2"/>
      <c r="I2558" s="2"/>
      <c r="J2558" s="2"/>
    </row>
    <row r="2559" ht="15.75" customHeight="1">
      <c r="A2559" s="4" t="str">
        <f>HYPERLINK("https://stackoverflow.com/q/38446585", "38446585")</f>
        <v>38446585</v>
      </c>
      <c r="B2559" s="2" t="s">
        <v>2602</v>
      </c>
      <c r="C2559" s="3"/>
      <c r="D2559" s="3">
        <v>60.0</v>
      </c>
      <c r="E2559" s="2"/>
      <c r="F2559" s="2"/>
      <c r="G2559" s="2"/>
      <c r="H2559" s="2"/>
      <c r="I2559" s="2"/>
      <c r="J2559" s="2"/>
    </row>
    <row r="2560" ht="15.75" customHeight="1">
      <c r="A2560" s="4" t="str">
        <f>HYPERLINK("https://stackoverflow.com/q/48385134", "48385134")</f>
        <v>48385134</v>
      </c>
      <c r="B2560" s="2" t="s">
        <v>2603</v>
      </c>
      <c r="C2560" s="3"/>
      <c r="D2560" s="3">
        <v>60.0</v>
      </c>
      <c r="E2560" s="2"/>
      <c r="F2560" s="2"/>
      <c r="G2560" s="2"/>
      <c r="H2560" s="2"/>
      <c r="I2560" s="2"/>
      <c r="J2560" s="2"/>
    </row>
    <row r="2561" ht="15.75" customHeight="1">
      <c r="A2561" s="4" t="str">
        <f>HYPERLINK("https://stackoverflow.com/q/48933290", "48933290")</f>
        <v>48933290</v>
      </c>
      <c r="B2561" s="2" t="s">
        <v>2604</v>
      </c>
      <c r="C2561" s="3"/>
      <c r="D2561" s="3">
        <v>60.0</v>
      </c>
      <c r="E2561" s="2"/>
      <c r="F2561" s="2"/>
      <c r="G2561" s="2"/>
      <c r="H2561" s="2"/>
      <c r="I2561" s="2"/>
      <c r="J2561" s="2"/>
    </row>
    <row r="2562" ht="15.75" customHeight="1">
      <c r="A2562" s="4" t="str">
        <f>HYPERLINK("https://stackoverflow.com/q/56284148", "56284148")</f>
        <v>56284148</v>
      </c>
      <c r="B2562" s="2" t="s">
        <v>2605</v>
      </c>
      <c r="C2562" s="3"/>
      <c r="D2562" s="3">
        <v>60.0</v>
      </c>
      <c r="E2562" s="2"/>
      <c r="F2562" s="2"/>
      <c r="G2562" s="2"/>
      <c r="H2562" s="2"/>
      <c r="I2562" s="2"/>
      <c r="J2562" s="2"/>
    </row>
    <row r="2563" ht="15.75" customHeight="1">
      <c r="A2563" s="4" t="str">
        <f>HYPERLINK("https://stackoverflow.com/q/56577667", "56577667")</f>
        <v>56577667</v>
      </c>
      <c r="B2563" s="2" t="s">
        <v>2606</v>
      </c>
      <c r="C2563" s="3"/>
      <c r="D2563" s="3">
        <v>60.0</v>
      </c>
      <c r="E2563" s="2"/>
      <c r="F2563" s="2"/>
      <c r="G2563" s="2"/>
      <c r="H2563" s="2"/>
      <c r="I2563" s="2"/>
      <c r="J2563" s="2"/>
    </row>
    <row r="2564" ht="15.75" customHeight="1">
      <c r="A2564" s="4" t="str">
        <f>HYPERLINK("https://stackoverflow.com/q/56897283", "56897283")</f>
        <v>56897283</v>
      </c>
      <c r="B2564" s="2" t="s">
        <v>2607</v>
      </c>
      <c r="C2564" s="3"/>
      <c r="D2564" s="3">
        <v>60.0</v>
      </c>
      <c r="E2564" s="2"/>
      <c r="F2564" s="2"/>
      <c r="G2564" s="2"/>
      <c r="H2564" s="2"/>
      <c r="I2564" s="2"/>
      <c r="J2564" s="2"/>
    </row>
    <row r="2565" ht="15.75" customHeight="1">
      <c r="A2565" s="4" t="str">
        <f>HYPERLINK("https://stackoverflow.com/q/57814318", "57814318")</f>
        <v>57814318</v>
      </c>
      <c r="B2565" s="2" t="s">
        <v>2608</v>
      </c>
      <c r="C2565" s="3"/>
      <c r="D2565" s="3">
        <v>60.0</v>
      </c>
      <c r="E2565" s="2"/>
      <c r="F2565" s="2"/>
      <c r="G2565" s="2"/>
      <c r="H2565" s="2"/>
      <c r="I2565" s="2"/>
      <c r="J2565" s="2"/>
    </row>
    <row r="2566" ht="15.75" customHeight="1">
      <c r="A2566" s="4" t="str">
        <f>HYPERLINK("https://stackoverflow.com/q/58144437", "58144437")</f>
        <v>58144437</v>
      </c>
      <c r="B2566" s="2" t="s">
        <v>2609</v>
      </c>
      <c r="C2566" s="3"/>
      <c r="D2566" s="3">
        <v>60.0</v>
      </c>
      <c r="E2566" s="2"/>
      <c r="F2566" s="2"/>
      <c r="G2566" s="2"/>
      <c r="H2566" s="2"/>
      <c r="I2566" s="2"/>
      <c r="J2566" s="2"/>
    </row>
    <row r="2567" ht="15.75" customHeight="1">
      <c r="A2567" s="4" t="str">
        <f>HYPERLINK("https://stackoverflow.com/q/58401391", "58401391")</f>
        <v>58401391</v>
      </c>
      <c r="B2567" s="2" t="s">
        <v>2610</v>
      </c>
      <c r="C2567" s="3"/>
      <c r="D2567" s="3">
        <v>60.0</v>
      </c>
      <c r="E2567" s="2"/>
      <c r="F2567" s="2"/>
      <c r="G2567" s="2"/>
      <c r="H2567" s="2"/>
      <c r="I2567" s="2"/>
      <c r="J2567" s="2"/>
    </row>
    <row r="2568" ht="15.75" customHeight="1">
      <c r="A2568" s="4" t="str">
        <f>HYPERLINK("https://stackoverflow.com/q/59029392", "59029392")</f>
        <v>59029392</v>
      </c>
      <c r="B2568" s="2" t="s">
        <v>2611</v>
      </c>
      <c r="C2568" s="3"/>
      <c r="D2568" s="3">
        <v>60.0</v>
      </c>
      <c r="E2568" s="2"/>
      <c r="F2568" s="2"/>
      <c r="G2568" s="2"/>
      <c r="H2568" s="2"/>
      <c r="I2568" s="2"/>
      <c r="J2568" s="2"/>
    </row>
    <row r="2569" ht="15.75" customHeight="1">
      <c r="A2569" s="4" t="str">
        <f>HYPERLINK("https://stackoverflow.com/q/59075582", "59075582")</f>
        <v>59075582</v>
      </c>
      <c r="B2569" s="2" t="s">
        <v>2612</v>
      </c>
      <c r="C2569" s="3"/>
      <c r="D2569" s="3">
        <v>60.0</v>
      </c>
      <c r="E2569" s="2"/>
      <c r="F2569" s="2"/>
      <c r="G2569" s="2"/>
      <c r="H2569" s="2"/>
      <c r="I2569" s="2"/>
      <c r="J2569" s="2"/>
    </row>
    <row r="2570" ht="15.75" customHeight="1">
      <c r="A2570" s="4" t="str">
        <f>HYPERLINK("https://stackoverflow.com/q/60063934", "60063934")</f>
        <v>60063934</v>
      </c>
      <c r="B2570" s="2" t="s">
        <v>2613</v>
      </c>
      <c r="C2570" s="3"/>
      <c r="D2570" s="3">
        <v>60.0</v>
      </c>
      <c r="E2570" s="2"/>
      <c r="F2570" s="2"/>
      <c r="G2570" s="2"/>
      <c r="H2570" s="2"/>
      <c r="I2570" s="2"/>
      <c r="J2570" s="2"/>
    </row>
    <row r="2571" ht="15.75" customHeight="1">
      <c r="A2571" s="4" t="str">
        <f>HYPERLINK("https://stackoverflow.com/q/57482737", "57482737")</f>
        <v>57482737</v>
      </c>
      <c r="B2571" s="2" t="s">
        <v>2614</v>
      </c>
      <c r="C2571" s="3">
        <v>1.0</v>
      </c>
      <c r="D2571" s="3">
        <v>59.0</v>
      </c>
      <c r="E2571" s="2"/>
      <c r="F2571" s="2"/>
      <c r="G2571" s="2"/>
      <c r="H2571" s="2"/>
      <c r="I2571" s="2"/>
      <c r="J2571" s="2"/>
    </row>
    <row r="2572" ht="15.75" customHeight="1">
      <c r="A2572" s="4" t="str">
        <f>HYPERLINK("https://stackoverflow.com/q/55010103", "55010103")</f>
        <v>55010103</v>
      </c>
      <c r="B2572" s="2" t="s">
        <v>2615</v>
      </c>
      <c r="C2572" s="3"/>
      <c r="D2572" s="3">
        <v>59.0</v>
      </c>
      <c r="E2572" s="9" t="s">
        <v>11</v>
      </c>
      <c r="F2572" s="2" t="s">
        <v>18</v>
      </c>
      <c r="G2572" s="2"/>
      <c r="H2572" s="2"/>
      <c r="I2572" s="2"/>
      <c r="J2572" s="2"/>
    </row>
    <row r="2573" ht="15.75" customHeight="1">
      <c r="A2573" s="4" t="str">
        <f>HYPERLINK("https://stackoverflow.com/q/48633390", "48633390")</f>
        <v>48633390</v>
      </c>
      <c r="B2573" s="2" t="s">
        <v>2616</v>
      </c>
      <c r="C2573" s="3"/>
      <c r="D2573" s="3">
        <v>59.0</v>
      </c>
      <c r="E2573" s="2"/>
      <c r="F2573" s="2"/>
      <c r="G2573" s="2"/>
      <c r="H2573" s="2"/>
      <c r="I2573" s="2"/>
      <c r="J2573" s="2"/>
    </row>
    <row r="2574" ht="15.75" customHeight="1">
      <c r="A2574" s="4" t="str">
        <f>HYPERLINK("https://stackoverflow.com/q/53279941", "53279941")</f>
        <v>53279941</v>
      </c>
      <c r="B2574" s="2" t="s">
        <v>2617</v>
      </c>
      <c r="C2574" s="3"/>
      <c r="D2574" s="3">
        <v>59.0</v>
      </c>
      <c r="E2574" s="2"/>
      <c r="F2574" s="2"/>
      <c r="G2574" s="2"/>
      <c r="H2574" s="2"/>
      <c r="I2574" s="2"/>
      <c r="J2574" s="2"/>
    </row>
    <row r="2575" ht="15.75" customHeight="1">
      <c r="A2575" s="4" t="str">
        <f>HYPERLINK("https://stackoverflow.com/q/53571219", "53571219")</f>
        <v>53571219</v>
      </c>
      <c r="B2575" s="2" t="s">
        <v>2618</v>
      </c>
      <c r="C2575" s="3"/>
      <c r="D2575" s="3">
        <v>59.0</v>
      </c>
      <c r="E2575" s="2"/>
      <c r="F2575" s="2"/>
      <c r="G2575" s="2"/>
      <c r="H2575" s="2"/>
      <c r="I2575" s="2"/>
      <c r="J2575" s="2"/>
    </row>
    <row r="2576" ht="15.75" customHeight="1">
      <c r="A2576" s="4" t="str">
        <f>HYPERLINK("https://stackoverflow.com/q/56891544", "56891544")</f>
        <v>56891544</v>
      </c>
      <c r="B2576" s="2" t="s">
        <v>2619</v>
      </c>
      <c r="C2576" s="3"/>
      <c r="D2576" s="3">
        <v>59.0</v>
      </c>
      <c r="E2576" s="2"/>
      <c r="F2576" s="2"/>
      <c r="G2576" s="2"/>
      <c r="H2576" s="2"/>
      <c r="I2576" s="2"/>
      <c r="J2576" s="2"/>
    </row>
    <row r="2577" ht="15.75" customHeight="1">
      <c r="A2577" s="4" t="str">
        <f>HYPERLINK("https://stackoverflow.com/q/57996119", "57996119")</f>
        <v>57996119</v>
      </c>
      <c r="B2577" s="2" t="s">
        <v>2620</v>
      </c>
      <c r="C2577" s="3"/>
      <c r="D2577" s="3">
        <v>59.0</v>
      </c>
      <c r="E2577" s="2"/>
      <c r="F2577" s="2"/>
      <c r="G2577" s="2"/>
      <c r="H2577" s="2"/>
      <c r="I2577" s="2"/>
      <c r="J2577" s="2"/>
    </row>
    <row r="2578" ht="15.75" customHeight="1">
      <c r="A2578" s="4" t="str">
        <f>HYPERLINK("https://stackoverflow.com/q/58430408", "58430408")</f>
        <v>58430408</v>
      </c>
      <c r="B2578" s="2" t="s">
        <v>2621</v>
      </c>
      <c r="C2578" s="3"/>
      <c r="D2578" s="3">
        <v>59.0</v>
      </c>
      <c r="E2578" s="2"/>
      <c r="F2578" s="2"/>
      <c r="G2578" s="2"/>
      <c r="H2578" s="2"/>
      <c r="I2578" s="2"/>
      <c r="J2578" s="2"/>
    </row>
    <row r="2579" ht="15.75" customHeight="1">
      <c r="A2579" s="4" t="str">
        <f>HYPERLINK("https://stackoverflow.com/q/59349005", "59349005")</f>
        <v>59349005</v>
      </c>
      <c r="B2579" s="2" t="s">
        <v>2622</v>
      </c>
      <c r="C2579" s="3"/>
      <c r="D2579" s="3">
        <v>59.0</v>
      </c>
      <c r="E2579" s="2"/>
      <c r="F2579" s="2"/>
      <c r="G2579" s="2"/>
      <c r="H2579" s="2"/>
      <c r="I2579" s="2"/>
      <c r="J2579" s="2"/>
    </row>
    <row r="2580" ht="15.75" customHeight="1">
      <c r="A2580" s="4" t="str">
        <f>HYPERLINK("https://stackoverflow.com/q/60738551", "60738551")</f>
        <v>60738551</v>
      </c>
      <c r="B2580" s="2" t="s">
        <v>2623</v>
      </c>
      <c r="C2580" s="3"/>
      <c r="D2580" s="3">
        <v>59.0</v>
      </c>
      <c r="E2580" s="2"/>
      <c r="F2580" s="2"/>
      <c r="G2580" s="2"/>
      <c r="H2580" s="2"/>
      <c r="I2580" s="2"/>
      <c r="J2580" s="2"/>
    </row>
    <row r="2581" ht="15.75" customHeight="1">
      <c r="A2581" s="4" t="str">
        <f>HYPERLINK("https://stackoverflow.com/q/60400547", "60400547")</f>
        <v>60400547</v>
      </c>
      <c r="B2581" s="2" t="s">
        <v>2624</v>
      </c>
      <c r="C2581" s="3">
        <v>1.0</v>
      </c>
      <c r="D2581" s="3">
        <v>58.0</v>
      </c>
      <c r="E2581" s="2"/>
      <c r="F2581" s="2"/>
      <c r="G2581" s="2"/>
      <c r="H2581" s="2"/>
      <c r="I2581" s="2"/>
      <c r="J2581" s="2"/>
    </row>
    <row r="2582" ht="15.75" customHeight="1">
      <c r="A2582" s="4" t="str">
        <f>HYPERLINK("https://stackoverflow.com/q/58647180", "58647180")</f>
        <v>58647180</v>
      </c>
      <c r="B2582" s="2" t="s">
        <v>2625</v>
      </c>
      <c r="C2582" s="3">
        <v>0.0</v>
      </c>
      <c r="D2582" s="3">
        <v>58.0</v>
      </c>
      <c r="E2582" s="2"/>
      <c r="F2582" s="2"/>
      <c r="G2582" s="2"/>
      <c r="H2582" s="2"/>
      <c r="I2582" s="2"/>
      <c r="J2582" s="2"/>
    </row>
    <row r="2583" ht="15.75" customHeight="1">
      <c r="A2583" s="4" t="str">
        <f>HYPERLINK("https://stackoverflow.com/q/46495006", "46495006")</f>
        <v>46495006</v>
      </c>
      <c r="B2583" s="2" t="s">
        <v>2626</v>
      </c>
      <c r="C2583" s="3"/>
      <c r="D2583" s="3">
        <v>58.0</v>
      </c>
      <c r="E2583" s="2" t="s">
        <v>72</v>
      </c>
      <c r="F2583" s="2" t="s">
        <v>194</v>
      </c>
      <c r="G2583" s="2"/>
      <c r="H2583" s="2"/>
      <c r="I2583" s="2"/>
      <c r="J2583" s="2"/>
    </row>
    <row r="2584" ht="15.75" customHeight="1">
      <c r="A2584" s="4" t="str">
        <f>HYPERLINK("https://stackoverflow.com/q/45699468", "45699468")</f>
        <v>45699468</v>
      </c>
      <c r="B2584" s="2" t="s">
        <v>2627</v>
      </c>
      <c r="C2584" s="3"/>
      <c r="D2584" s="3">
        <v>58.0</v>
      </c>
      <c r="E2584" s="2"/>
      <c r="F2584" s="2"/>
      <c r="G2584" s="2"/>
      <c r="H2584" s="2"/>
      <c r="I2584" s="2"/>
      <c r="J2584" s="2"/>
    </row>
    <row r="2585" ht="15.75" customHeight="1">
      <c r="A2585" s="4" t="str">
        <f>HYPERLINK("https://stackoverflow.com/q/50170184", "50170184")</f>
        <v>50170184</v>
      </c>
      <c r="B2585" s="2" t="s">
        <v>2628</v>
      </c>
      <c r="C2585" s="3"/>
      <c r="D2585" s="3">
        <v>58.0</v>
      </c>
      <c r="E2585" s="2"/>
      <c r="F2585" s="2"/>
      <c r="G2585" s="2"/>
      <c r="H2585" s="2"/>
      <c r="I2585" s="2"/>
      <c r="J2585" s="2"/>
    </row>
    <row r="2586" ht="15.75" customHeight="1">
      <c r="A2586" s="4" t="str">
        <f>HYPERLINK("https://stackoverflow.com/q/50876280", "50876280")</f>
        <v>50876280</v>
      </c>
      <c r="B2586" s="2" t="s">
        <v>2629</v>
      </c>
      <c r="C2586" s="3"/>
      <c r="D2586" s="3">
        <v>58.0</v>
      </c>
      <c r="E2586" s="2"/>
      <c r="F2586" s="2"/>
      <c r="G2586" s="2"/>
      <c r="H2586" s="2"/>
      <c r="I2586" s="2"/>
      <c r="J2586" s="2"/>
    </row>
    <row r="2587" ht="15.75" customHeight="1">
      <c r="A2587" s="4" t="str">
        <f>HYPERLINK("https://stackoverflow.com/q/52961393", "52961393")</f>
        <v>52961393</v>
      </c>
      <c r="B2587" s="2" t="s">
        <v>2630</v>
      </c>
      <c r="C2587" s="3"/>
      <c r="D2587" s="3">
        <v>58.0</v>
      </c>
      <c r="E2587" s="2"/>
      <c r="F2587" s="2"/>
      <c r="G2587" s="2"/>
      <c r="H2587" s="2"/>
      <c r="I2587" s="2"/>
      <c r="J2587" s="2"/>
    </row>
    <row r="2588" ht="15.75" customHeight="1">
      <c r="A2588" s="4" t="str">
        <f>HYPERLINK("https://stackoverflow.com/q/53170292", "53170292")</f>
        <v>53170292</v>
      </c>
      <c r="B2588" s="2" t="s">
        <v>2631</v>
      </c>
      <c r="C2588" s="3"/>
      <c r="D2588" s="3">
        <v>58.0</v>
      </c>
      <c r="E2588" s="2"/>
      <c r="F2588" s="2"/>
      <c r="G2588" s="2"/>
      <c r="H2588" s="2"/>
      <c r="I2588" s="2"/>
      <c r="J2588" s="2"/>
    </row>
    <row r="2589" ht="15.75" customHeight="1">
      <c r="A2589" s="4" t="str">
        <f>HYPERLINK("https://stackoverflow.com/q/55807363", "55807363")</f>
        <v>55807363</v>
      </c>
      <c r="B2589" s="2" t="s">
        <v>2632</v>
      </c>
      <c r="C2589" s="3"/>
      <c r="D2589" s="3">
        <v>58.0</v>
      </c>
      <c r="E2589" s="2"/>
      <c r="F2589" s="2"/>
      <c r="G2589" s="2"/>
      <c r="H2589" s="2"/>
      <c r="I2589" s="2"/>
      <c r="J2589" s="2"/>
    </row>
    <row r="2590" ht="15.75" customHeight="1">
      <c r="A2590" s="4" t="str">
        <f>HYPERLINK("https://stackoverflow.com/q/56007280", "56007280")</f>
        <v>56007280</v>
      </c>
      <c r="B2590" s="2" t="s">
        <v>2633</v>
      </c>
      <c r="C2590" s="3"/>
      <c r="D2590" s="3">
        <v>58.0</v>
      </c>
      <c r="E2590" s="2"/>
      <c r="F2590" s="2"/>
      <c r="G2590" s="2"/>
      <c r="H2590" s="2"/>
      <c r="I2590" s="2"/>
      <c r="J2590" s="2"/>
    </row>
    <row r="2591" ht="15.75" customHeight="1">
      <c r="A2591" s="4" t="str">
        <f>HYPERLINK("https://stackoverflow.com/q/57607021", "57607021")</f>
        <v>57607021</v>
      </c>
      <c r="B2591" s="2" t="s">
        <v>2634</v>
      </c>
      <c r="C2591" s="3"/>
      <c r="D2591" s="3">
        <v>58.0</v>
      </c>
      <c r="E2591" s="2"/>
      <c r="F2591" s="2"/>
      <c r="G2591" s="2"/>
      <c r="H2591" s="2"/>
      <c r="I2591" s="2"/>
      <c r="J2591" s="2"/>
    </row>
    <row r="2592" ht="15.75" customHeight="1">
      <c r="A2592" s="4" t="str">
        <f>HYPERLINK("https://stackoverflow.com/q/57754071", "57754071")</f>
        <v>57754071</v>
      </c>
      <c r="B2592" s="2" t="s">
        <v>2635</v>
      </c>
      <c r="C2592" s="3"/>
      <c r="D2592" s="3">
        <v>58.0</v>
      </c>
      <c r="E2592" s="2"/>
      <c r="F2592" s="2"/>
      <c r="G2592" s="2"/>
      <c r="H2592" s="2"/>
      <c r="I2592" s="2"/>
      <c r="J2592" s="2"/>
    </row>
    <row r="2593" ht="15.75" customHeight="1">
      <c r="A2593" s="4" t="str">
        <f>HYPERLINK("https://stackoverflow.com/q/57859250", "57859250")</f>
        <v>57859250</v>
      </c>
      <c r="B2593" s="2" t="s">
        <v>2636</v>
      </c>
      <c r="C2593" s="3"/>
      <c r="D2593" s="3">
        <v>58.0</v>
      </c>
      <c r="E2593" s="2"/>
      <c r="F2593" s="2"/>
      <c r="G2593" s="2"/>
      <c r="H2593" s="2"/>
      <c r="I2593" s="2"/>
      <c r="J2593" s="2"/>
    </row>
    <row r="2594" ht="15.75" customHeight="1">
      <c r="A2594" s="4" t="str">
        <f>HYPERLINK("https://stackoverflow.com/q/58094733", "58094733")</f>
        <v>58094733</v>
      </c>
      <c r="B2594" s="2" t="s">
        <v>2637</v>
      </c>
      <c r="C2594" s="3"/>
      <c r="D2594" s="3">
        <v>58.0</v>
      </c>
      <c r="E2594" s="2"/>
      <c r="F2594" s="2"/>
      <c r="G2594" s="2"/>
      <c r="H2594" s="2"/>
      <c r="I2594" s="2"/>
      <c r="J2594" s="2"/>
    </row>
    <row r="2595" ht="15.75" customHeight="1">
      <c r="A2595" s="4" t="str">
        <f>HYPERLINK("https://stackoverflow.com/q/58418959", "58418959")</f>
        <v>58418959</v>
      </c>
      <c r="B2595" s="2" t="s">
        <v>2638</v>
      </c>
      <c r="C2595" s="3"/>
      <c r="D2595" s="3">
        <v>58.0</v>
      </c>
      <c r="E2595" s="2"/>
      <c r="F2595" s="2"/>
      <c r="G2595" s="2"/>
      <c r="H2595" s="2"/>
      <c r="I2595" s="2"/>
      <c r="J2595" s="2"/>
    </row>
    <row r="2596" ht="15.75" customHeight="1">
      <c r="A2596" s="4" t="str">
        <f>HYPERLINK("https://stackoverflow.com/q/58933463", "58933463")</f>
        <v>58933463</v>
      </c>
      <c r="B2596" s="2" t="s">
        <v>2639</v>
      </c>
      <c r="C2596" s="3"/>
      <c r="D2596" s="3">
        <v>58.0</v>
      </c>
      <c r="E2596" s="2"/>
      <c r="F2596" s="2"/>
      <c r="G2596" s="2"/>
      <c r="H2596" s="2"/>
      <c r="I2596" s="2"/>
      <c r="J2596" s="2"/>
    </row>
    <row r="2597" ht="15.75" customHeight="1">
      <c r="A2597" s="4" t="str">
        <f>HYPERLINK("https://stackoverflow.com/q/59867397", "59867397")</f>
        <v>59867397</v>
      </c>
      <c r="B2597" s="2" t="s">
        <v>2640</v>
      </c>
      <c r="C2597" s="3"/>
      <c r="D2597" s="3">
        <v>58.0</v>
      </c>
      <c r="E2597" s="2"/>
      <c r="F2597" s="2"/>
      <c r="G2597" s="2"/>
      <c r="H2597" s="2"/>
      <c r="I2597" s="2"/>
      <c r="J2597" s="2"/>
    </row>
    <row r="2598" ht="15.75" customHeight="1">
      <c r="A2598" s="4" t="str">
        <f>HYPERLINK("https://stackoverflow.com/q/59979336", "59979336")</f>
        <v>59979336</v>
      </c>
      <c r="B2598" s="2" t="s">
        <v>2641</v>
      </c>
      <c r="C2598" s="3"/>
      <c r="D2598" s="3">
        <v>58.0</v>
      </c>
      <c r="E2598" s="2"/>
      <c r="F2598" s="2"/>
      <c r="G2598" s="2"/>
      <c r="H2598" s="2"/>
      <c r="I2598" s="2"/>
      <c r="J2598" s="2"/>
    </row>
    <row r="2599" ht="15.75" customHeight="1">
      <c r="A2599" s="4" t="str">
        <f>HYPERLINK("https://stackoverflow.com/q/60827803", "60827803")</f>
        <v>60827803</v>
      </c>
      <c r="B2599" s="2" t="s">
        <v>2642</v>
      </c>
      <c r="C2599" s="3"/>
      <c r="D2599" s="3">
        <v>58.0</v>
      </c>
      <c r="E2599" s="2"/>
      <c r="F2599" s="2"/>
      <c r="G2599" s="2"/>
      <c r="H2599" s="2"/>
      <c r="I2599" s="2"/>
      <c r="J2599" s="2"/>
    </row>
    <row r="2600" ht="15.75" customHeight="1">
      <c r="A2600" s="4" t="str">
        <f>HYPERLINK("https://stackoverflow.com/q/58124237", "58124237")</f>
        <v>58124237</v>
      </c>
      <c r="B2600" s="2" t="s">
        <v>2643</v>
      </c>
      <c r="C2600" s="3">
        <v>1.0</v>
      </c>
      <c r="D2600" s="3">
        <v>57.0</v>
      </c>
      <c r="E2600" s="2"/>
      <c r="F2600" s="2"/>
      <c r="G2600" s="2"/>
      <c r="H2600" s="2"/>
      <c r="I2600" s="2"/>
      <c r="J2600" s="2"/>
    </row>
    <row r="2601" ht="15.75" customHeight="1">
      <c r="A2601" s="4" t="str">
        <f>HYPERLINK("https://stackoverflow.com/q/45827341", "45827341")</f>
        <v>45827341</v>
      </c>
      <c r="B2601" s="2" t="s">
        <v>2644</v>
      </c>
      <c r="C2601" s="3"/>
      <c r="D2601" s="3">
        <v>57.0</v>
      </c>
      <c r="E2601" s="2"/>
      <c r="F2601" s="2"/>
      <c r="G2601" s="2"/>
      <c r="H2601" s="2"/>
      <c r="I2601" s="2"/>
      <c r="J2601" s="2"/>
    </row>
    <row r="2602" ht="15.75" customHeight="1">
      <c r="A2602" s="4" t="str">
        <f>HYPERLINK("https://stackoverflow.com/q/51110466", "51110466")</f>
        <v>51110466</v>
      </c>
      <c r="B2602" s="2" t="s">
        <v>2645</v>
      </c>
      <c r="C2602" s="3"/>
      <c r="D2602" s="3">
        <v>57.0</v>
      </c>
      <c r="E2602" s="2"/>
      <c r="F2602" s="2"/>
      <c r="G2602" s="2"/>
      <c r="H2602" s="2"/>
      <c r="I2602" s="2"/>
      <c r="J2602" s="2"/>
    </row>
    <row r="2603" ht="15.75" customHeight="1">
      <c r="A2603" s="4" t="str">
        <f>HYPERLINK("https://stackoverflow.com/q/56498638", "56498638")</f>
        <v>56498638</v>
      </c>
      <c r="B2603" s="2" t="s">
        <v>2646</v>
      </c>
      <c r="C2603" s="3"/>
      <c r="D2603" s="3">
        <v>57.0</v>
      </c>
      <c r="E2603" s="2"/>
      <c r="F2603" s="2"/>
      <c r="G2603" s="2"/>
      <c r="H2603" s="2"/>
      <c r="I2603" s="2"/>
      <c r="J2603" s="2"/>
    </row>
    <row r="2604" ht="15.75" customHeight="1">
      <c r="A2604" s="4" t="str">
        <f>HYPERLINK("https://stackoverflow.com/q/57072506", "57072506")</f>
        <v>57072506</v>
      </c>
      <c r="B2604" s="2" t="s">
        <v>2647</v>
      </c>
      <c r="C2604" s="3"/>
      <c r="D2604" s="3">
        <v>57.0</v>
      </c>
      <c r="E2604" s="2"/>
      <c r="F2604" s="2"/>
      <c r="G2604" s="2"/>
      <c r="H2604" s="2"/>
      <c r="I2604" s="2"/>
      <c r="J2604" s="2"/>
    </row>
    <row r="2605" ht="15.75" customHeight="1">
      <c r="A2605" s="4" t="str">
        <f>HYPERLINK("https://stackoverflow.com/q/57172673", "57172673")</f>
        <v>57172673</v>
      </c>
      <c r="B2605" s="2" t="s">
        <v>2648</v>
      </c>
      <c r="C2605" s="3"/>
      <c r="D2605" s="3">
        <v>57.0</v>
      </c>
      <c r="E2605" s="2"/>
      <c r="F2605" s="2"/>
      <c r="G2605" s="2"/>
      <c r="H2605" s="2"/>
      <c r="I2605" s="2"/>
      <c r="J2605" s="2"/>
    </row>
    <row r="2606" ht="15.75" customHeight="1">
      <c r="A2606" s="4" t="str">
        <f>HYPERLINK("https://stackoverflow.com/q/57584402", "57584402")</f>
        <v>57584402</v>
      </c>
      <c r="B2606" s="2" t="s">
        <v>2649</v>
      </c>
      <c r="C2606" s="3"/>
      <c r="D2606" s="3">
        <v>57.0</v>
      </c>
      <c r="E2606" s="2"/>
      <c r="F2606" s="2"/>
      <c r="G2606" s="2"/>
      <c r="H2606" s="2"/>
      <c r="I2606" s="2"/>
      <c r="J2606" s="2"/>
    </row>
    <row r="2607" ht="15.75" customHeight="1">
      <c r="A2607" s="4" t="str">
        <f>HYPERLINK("https://stackoverflow.com/q/57624459", "57624459")</f>
        <v>57624459</v>
      </c>
      <c r="B2607" s="2" t="s">
        <v>2650</v>
      </c>
      <c r="C2607" s="3"/>
      <c r="D2607" s="3">
        <v>57.0</v>
      </c>
      <c r="E2607" s="2"/>
      <c r="F2607" s="2"/>
      <c r="G2607" s="2"/>
      <c r="H2607" s="2"/>
      <c r="I2607" s="2"/>
      <c r="J2607" s="2"/>
    </row>
    <row r="2608" ht="15.75" customHeight="1">
      <c r="A2608" s="4" t="str">
        <f>HYPERLINK("https://stackoverflow.com/q/58252971", "58252971")</f>
        <v>58252971</v>
      </c>
      <c r="B2608" s="2" t="s">
        <v>2651</v>
      </c>
      <c r="C2608" s="3"/>
      <c r="D2608" s="3">
        <v>57.0</v>
      </c>
      <c r="E2608" s="2"/>
      <c r="F2608" s="2"/>
      <c r="G2608" s="2"/>
      <c r="H2608" s="2"/>
      <c r="I2608" s="2"/>
      <c r="J2608" s="2"/>
    </row>
    <row r="2609" ht="15.75" customHeight="1">
      <c r="A2609" s="4" t="str">
        <f>HYPERLINK("https://stackoverflow.com/q/60853912", "60853912")</f>
        <v>60853912</v>
      </c>
      <c r="B2609" s="2" t="s">
        <v>2652</v>
      </c>
      <c r="C2609" s="3"/>
      <c r="D2609" s="3">
        <v>57.0</v>
      </c>
      <c r="E2609" s="2"/>
      <c r="F2609" s="2"/>
      <c r="G2609" s="2"/>
      <c r="H2609" s="2"/>
      <c r="I2609" s="2"/>
      <c r="J2609" s="2"/>
    </row>
    <row r="2610" ht="15.75" customHeight="1">
      <c r="A2610" s="4" t="str">
        <f>HYPERLINK("https://stackoverflow.com/q/46614237", "46614237")</f>
        <v>46614237</v>
      </c>
      <c r="B2610" s="2" t="s">
        <v>2653</v>
      </c>
      <c r="C2610" s="3">
        <v>1.0</v>
      </c>
      <c r="D2610" s="3">
        <v>56.0</v>
      </c>
      <c r="E2610" s="2" t="s">
        <v>59</v>
      </c>
      <c r="F2610" s="2" t="s">
        <v>183</v>
      </c>
      <c r="G2610" s="2"/>
      <c r="H2610" s="2"/>
      <c r="I2610" s="2"/>
      <c r="J2610" s="2"/>
    </row>
    <row r="2611" ht="15.75" customHeight="1">
      <c r="A2611" s="4" t="str">
        <f>HYPERLINK("https://stackoverflow.com/q/42484228", "42484228")</f>
        <v>42484228</v>
      </c>
      <c r="B2611" s="2" t="s">
        <v>2654</v>
      </c>
      <c r="C2611" s="3">
        <v>1.0</v>
      </c>
      <c r="D2611" s="3">
        <v>56.0</v>
      </c>
      <c r="E2611" s="2" t="s">
        <v>11</v>
      </c>
      <c r="F2611" s="2" t="s">
        <v>14</v>
      </c>
      <c r="G2611" s="2"/>
      <c r="H2611" s="2"/>
      <c r="I2611" s="2"/>
      <c r="J2611" s="2"/>
    </row>
    <row r="2612" ht="15.75" customHeight="1">
      <c r="A2612" s="4" t="str">
        <f>HYPERLINK("https://stackoverflow.com/q/42642927", "42642927")</f>
        <v>42642927</v>
      </c>
      <c r="B2612" s="2" t="s">
        <v>2655</v>
      </c>
      <c r="C2612" s="3"/>
      <c r="D2612" s="3">
        <v>56.0</v>
      </c>
      <c r="E2612" s="9" t="s">
        <v>11</v>
      </c>
      <c r="F2612" s="2" t="s">
        <v>18</v>
      </c>
      <c r="G2612" s="2"/>
      <c r="H2612" s="2"/>
      <c r="I2612" s="2"/>
      <c r="J2612" s="2"/>
    </row>
    <row r="2613" ht="15.75" customHeight="1">
      <c r="A2613" s="4" t="str">
        <f>HYPERLINK("https://stackoverflow.com/q/54392707", "54392707")</f>
        <v>54392707</v>
      </c>
      <c r="B2613" s="2" t="s">
        <v>2656</v>
      </c>
      <c r="C2613" s="3"/>
      <c r="D2613" s="3">
        <v>56.0</v>
      </c>
      <c r="E2613" s="2" t="s">
        <v>11</v>
      </c>
      <c r="F2613" s="2" t="s">
        <v>28</v>
      </c>
      <c r="G2613" s="2"/>
      <c r="H2613" s="2"/>
      <c r="I2613" s="2"/>
      <c r="J2613" s="2"/>
    </row>
    <row r="2614" ht="15.75" customHeight="1">
      <c r="A2614" s="4" t="str">
        <f>HYPERLINK("https://stackoverflow.com/q/55220739", "55220739")</f>
        <v>55220739</v>
      </c>
      <c r="B2614" s="2" t="s">
        <v>2657</v>
      </c>
      <c r="C2614" s="3"/>
      <c r="D2614" s="3">
        <v>56.0</v>
      </c>
      <c r="E2614" s="9" t="s">
        <v>11</v>
      </c>
      <c r="F2614" s="2" t="s">
        <v>16</v>
      </c>
      <c r="G2614" s="2"/>
      <c r="H2614" s="2"/>
      <c r="I2614" s="2"/>
      <c r="J2614" s="2"/>
    </row>
    <row r="2615" ht="15.75" customHeight="1">
      <c r="A2615" s="4" t="str">
        <f>HYPERLINK("https://stackoverflow.com/q/46612872", "46612872")</f>
        <v>46612872</v>
      </c>
      <c r="B2615" s="2" t="s">
        <v>2658</v>
      </c>
      <c r="C2615" s="3"/>
      <c r="D2615" s="3">
        <v>56.0</v>
      </c>
      <c r="E2615" s="2" t="s">
        <v>72</v>
      </c>
      <c r="F2615" s="2" t="s">
        <v>194</v>
      </c>
      <c r="G2615" s="2"/>
      <c r="H2615" s="2"/>
      <c r="I2615" s="2"/>
      <c r="J2615" s="2"/>
    </row>
    <row r="2616" ht="15.75" customHeight="1">
      <c r="A2616" s="4" t="str">
        <f>HYPERLINK("https://stackoverflow.com/q/45921253", "45921253")</f>
        <v>45921253</v>
      </c>
      <c r="B2616" s="2" t="s">
        <v>2659</v>
      </c>
      <c r="C2616" s="3"/>
      <c r="D2616" s="3">
        <v>56.0</v>
      </c>
      <c r="E2616" s="2"/>
      <c r="F2616" s="2"/>
      <c r="G2616" s="2"/>
      <c r="H2616" s="2"/>
      <c r="I2616" s="2"/>
      <c r="J2616" s="2"/>
    </row>
    <row r="2617" ht="15.75" customHeight="1">
      <c r="A2617" s="4" t="str">
        <f>HYPERLINK("https://stackoverflow.com/q/56180340", "56180340")</f>
        <v>56180340</v>
      </c>
      <c r="B2617" s="2" t="s">
        <v>2660</v>
      </c>
      <c r="C2617" s="3"/>
      <c r="D2617" s="3">
        <v>56.0</v>
      </c>
      <c r="E2617" s="2"/>
      <c r="F2617" s="2"/>
      <c r="G2617" s="2"/>
      <c r="H2617" s="2"/>
      <c r="I2617" s="2"/>
      <c r="J2617" s="2"/>
    </row>
    <row r="2618" ht="15.75" customHeight="1">
      <c r="A2618" s="4" t="str">
        <f>HYPERLINK("https://stackoverflow.com/q/58251999", "58251999")</f>
        <v>58251999</v>
      </c>
      <c r="B2618" s="2" t="s">
        <v>2661</v>
      </c>
      <c r="C2618" s="3"/>
      <c r="D2618" s="3">
        <v>56.0</v>
      </c>
      <c r="E2618" s="2"/>
      <c r="F2618" s="2"/>
      <c r="G2618" s="2"/>
      <c r="H2618" s="2"/>
      <c r="I2618" s="2"/>
      <c r="J2618" s="2"/>
    </row>
    <row r="2619" ht="15.75" customHeight="1">
      <c r="A2619" s="4" t="str">
        <f>HYPERLINK("https://stackoverflow.com/q/58428940", "58428940")</f>
        <v>58428940</v>
      </c>
      <c r="B2619" s="2" t="s">
        <v>2662</v>
      </c>
      <c r="C2619" s="3"/>
      <c r="D2619" s="3">
        <v>56.0</v>
      </c>
      <c r="E2619" s="2"/>
      <c r="F2619" s="2"/>
      <c r="G2619" s="2"/>
      <c r="H2619" s="2"/>
      <c r="I2619" s="2"/>
      <c r="J2619" s="2"/>
    </row>
    <row r="2620" ht="15.75" customHeight="1">
      <c r="A2620" s="4" t="str">
        <f>HYPERLINK("https://stackoverflow.com/q/59044506", "59044506")</f>
        <v>59044506</v>
      </c>
      <c r="B2620" s="2" t="s">
        <v>2663</v>
      </c>
      <c r="C2620" s="3"/>
      <c r="D2620" s="3">
        <v>56.0</v>
      </c>
      <c r="E2620" s="2"/>
      <c r="F2620" s="2"/>
      <c r="G2620" s="2"/>
      <c r="H2620" s="2"/>
      <c r="I2620" s="2"/>
      <c r="J2620" s="2"/>
    </row>
    <row r="2621" ht="15.75" customHeight="1">
      <c r="A2621" s="4" t="str">
        <f>HYPERLINK("https://stackoverflow.com/q/59687114", "59687114")</f>
        <v>59687114</v>
      </c>
      <c r="B2621" s="2" t="s">
        <v>2664</v>
      </c>
      <c r="C2621" s="3"/>
      <c r="D2621" s="3">
        <v>56.0</v>
      </c>
      <c r="E2621" s="2"/>
      <c r="F2621" s="2"/>
      <c r="G2621" s="2"/>
      <c r="H2621" s="2"/>
      <c r="I2621" s="2"/>
      <c r="J2621" s="2"/>
    </row>
    <row r="2622" ht="15.75" customHeight="1">
      <c r="A2622" s="4" t="str">
        <f>HYPERLINK("https://stackoverflow.com/q/55619739", "55619739")</f>
        <v>55619739</v>
      </c>
      <c r="B2622" s="2" t="s">
        <v>2665</v>
      </c>
      <c r="C2622" s="3">
        <v>1.0</v>
      </c>
      <c r="D2622" s="3">
        <v>55.0</v>
      </c>
      <c r="E2622" s="2"/>
      <c r="F2622" s="2"/>
      <c r="G2622" s="2"/>
      <c r="H2622" s="2"/>
      <c r="I2622" s="2"/>
      <c r="J2622" s="2"/>
    </row>
    <row r="2623" ht="15.75" customHeight="1">
      <c r="A2623" s="4" t="str">
        <f>HYPERLINK("https://stackoverflow.com/q/58742822", "58742822")</f>
        <v>58742822</v>
      </c>
      <c r="B2623" s="2" t="s">
        <v>2666</v>
      </c>
      <c r="C2623" s="3">
        <v>1.0</v>
      </c>
      <c r="D2623" s="3">
        <v>55.0</v>
      </c>
      <c r="E2623" s="2"/>
      <c r="F2623" s="2"/>
      <c r="G2623" s="2"/>
      <c r="H2623" s="2"/>
      <c r="I2623" s="2"/>
      <c r="J2623" s="2"/>
    </row>
    <row r="2624" ht="15.75" customHeight="1">
      <c r="A2624" s="4" t="str">
        <f>HYPERLINK("https://stackoverflow.com/q/42835744", "42835744")</f>
        <v>42835744</v>
      </c>
      <c r="B2624" s="2" t="s">
        <v>2667</v>
      </c>
      <c r="C2624" s="3"/>
      <c r="D2624" s="3">
        <v>55.0</v>
      </c>
      <c r="E2624" s="2" t="s">
        <v>11</v>
      </c>
      <c r="F2624" s="2" t="s">
        <v>44</v>
      </c>
      <c r="G2624" s="2"/>
      <c r="H2624" s="2"/>
      <c r="I2624" s="2"/>
      <c r="J2624" s="2"/>
    </row>
    <row r="2625" ht="15.75" customHeight="1">
      <c r="A2625" s="4" t="str">
        <f>HYPERLINK("https://stackoverflow.com/q/55484404", "55484404")</f>
        <v>55484404</v>
      </c>
      <c r="B2625" s="2" t="s">
        <v>2668</v>
      </c>
      <c r="C2625" s="3"/>
      <c r="D2625" s="3">
        <v>55.0</v>
      </c>
      <c r="E2625" s="2" t="s">
        <v>11</v>
      </c>
      <c r="F2625" s="2" t="s">
        <v>12</v>
      </c>
      <c r="G2625" s="2"/>
      <c r="H2625" s="2"/>
      <c r="I2625" s="2"/>
      <c r="J2625" s="2"/>
    </row>
    <row r="2626" ht="15.75" customHeight="1">
      <c r="A2626" s="4" t="str">
        <f>HYPERLINK("https://stackoverflow.com/q/49958989", "49958989")</f>
        <v>49958989</v>
      </c>
      <c r="B2626" s="2" t="s">
        <v>2669</v>
      </c>
      <c r="C2626" s="3"/>
      <c r="D2626" s="3">
        <v>55.0</v>
      </c>
      <c r="E2626" s="2"/>
      <c r="F2626" s="2"/>
      <c r="G2626" s="2"/>
      <c r="H2626" s="2"/>
      <c r="I2626" s="2"/>
      <c r="J2626" s="2"/>
    </row>
    <row r="2627" ht="15.75" customHeight="1">
      <c r="A2627" s="4" t="str">
        <f>HYPERLINK("https://stackoverflow.com/q/57235975", "57235975")</f>
        <v>57235975</v>
      </c>
      <c r="B2627" s="2" t="s">
        <v>2670</v>
      </c>
      <c r="C2627" s="3"/>
      <c r="D2627" s="3">
        <v>55.0</v>
      </c>
      <c r="E2627" s="2"/>
      <c r="F2627" s="2"/>
      <c r="G2627" s="2"/>
      <c r="H2627" s="2"/>
      <c r="I2627" s="2"/>
      <c r="J2627" s="2"/>
    </row>
    <row r="2628" ht="15.75" customHeight="1">
      <c r="A2628" s="4" t="str">
        <f>HYPERLINK("https://stackoverflow.com/q/57885314", "57885314")</f>
        <v>57885314</v>
      </c>
      <c r="B2628" s="2" t="s">
        <v>2671</v>
      </c>
      <c r="C2628" s="3"/>
      <c r="D2628" s="3">
        <v>55.0</v>
      </c>
      <c r="E2628" s="2"/>
      <c r="F2628" s="2"/>
      <c r="G2628" s="2"/>
      <c r="H2628" s="2"/>
      <c r="I2628" s="2"/>
      <c r="J2628" s="2"/>
    </row>
    <row r="2629" ht="15.75" customHeight="1">
      <c r="A2629" s="4" t="str">
        <f>HYPERLINK("https://stackoverflow.com/q/42313976", "42313976")</f>
        <v>42313976</v>
      </c>
      <c r="B2629" s="2" t="s">
        <v>2672</v>
      </c>
      <c r="C2629" s="3"/>
      <c r="D2629" s="3">
        <v>54.0</v>
      </c>
      <c r="E2629" s="2" t="s">
        <v>11</v>
      </c>
      <c r="F2629" s="2" t="s">
        <v>14</v>
      </c>
      <c r="G2629" s="2"/>
      <c r="H2629" s="2"/>
      <c r="I2629" s="2"/>
      <c r="J2629" s="2"/>
    </row>
    <row r="2630" ht="15.75" customHeight="1">
      <c r="A2630" s="4" t="str">
        <f>HYPERLINK("https://stackoverflow.com/q/55193693", "55193693")</f>
        <v>55193693</v>
      </c>
      <c r="B2630" s="2" t="s">
        <v>2673</v>
      </c>
      <c r="C2630" s="3"/>
      <c r="D2630" s="3">
        <v>54.0</v>
      </c>
      <c r="E2630" s="2" t="s">
        <v>11</v>
      </c>
      <c r="F2630" s="2" t="s">
        <v>44</v>
      </c>
      <c r="G2630" s="2"/>
      <c r="H2630" s="2"/>
      <c r="I2630" s="2"/>
      <c r="J2630" s="2"/>
    </row>
    <row r="2631" ht="15.75" customHeight="1">
      <c r="A2631" s="4" t="str">
        <f>HYPERLINK("https://stackoverflow.com/q/48454558", "48454558")</f>
        <v>48454558</v>
      </c>
      <c r="B2631" s="2" t="s">
        <v>2674</v>
      </c>
      <c r="C2631" s="3"/>
      <c r="D2631" s="3">
        <v>54.0</v>
      </c>
      <c r="E2631" s="2"/>
      <c r="F2631" s="2"/>
      <c r="G2631" s="2"/>
      <c r="H2631" s="2"/>
      <c r="I2631" s="2"/>
      <c r="J2631" s="2"/>
    </row>
    <row r="2632" ht="15.75" customHeight="1">
      <c r="A2632" s="4" t="str">
        <f>HYPERLINK("https://stackoverflow.com/q/50191802", "50191802")</f>
        <v>50191802</v>
      </c>
      <c r="B2632" s="2" t="s">
        <v>2675</v>
      </c>
      <c r="C2632" s="3"/>
      <c r="D2632" s="3">
        <v>54.0</v>
      </c>
      <c r="E2632" s="2"/>
      <c r="F2632" s="2"/>
      <c r="G2632" s="2"/>
      <c r="H2632" s="2"/>
      <c r="I2632" s="2"/>
      <c r="J2632" s="2"/>
    </row>
    <row r="2633" ht="15.75" customHeight="1">
      <c r="A2633" s="4" t="str">
        <f>HYPERLINK("https://stackoverflow.com/q/51555502", "51555502")</f>
        <v>51555502</v>
      </c>
      <c r="B2633" s="2" t="s">
        <v>2676</v>
      </c>
      <c r="C2633" s="3"/>
      <c r="D2633" s="3">
        <v>54.0</v>
      </c>
      <c r="E2633" s="2"/>
      <c r="F2633" s="2"/>
      <c r="G2633" s="2"/>
      <c r="H2633" s="2"/>
      <c r="I2633" s="2"/>
      <c r="J2633" s="2"/>
    </row>
    <row r="2634" ht="15.75" customHeight="1">
      <c r="A2634" s="4" t="str">
        <f>HYPERLINK("https://stackoverflow.com/q/53821137", "53821137")</f>
        <v>53821137</v>
      </c>
      <c r="B2634" s="2" t="s">
        <v>2677</v>
      </c>
      <c r="C2634" s="3"/>
      <c r="D2634" s="3">
        <v>54.0</v>
      </c>
      <c r="E2634" s="2"/>
      <c r="F2634" s="2"/>
      <c r="G2634" s="2"/>
      <c r="H2634" s="2"/>
      <c r="I2634" s="2"/>
      <c r="J2634" s="2"/>
    </row>
    <row r="2635" ht="15.75" customHeight="1">
      <c r="A2635" s="4" t="str">
        <f>HYPERLINK("https://stackoverflow.com/q/55764425", "55764425")</f>
        <v>55764425</v>
      </c>
      <c r="B2635" s="2" t="s">
        <v>2678</v>
      </c>
      <c r="C2635" s="3"/>
      <c r="D2635" s="3">
        <v>54.0</v>
      </c>
      <c r="E2635" s="2"/>
      <c r="F2635" s="2"/>
      <c r="G2635" s="2"/>
      <c r="H2635" s="2"/>
      <c r="I2635" s="2"/>
      <c r="J2635" s="2"/>
    </row>
    <row r="2636" ht="15.75" customHeight="1">
      <c r="A2636" s="4" t="str">
        <f>HYPERLINK("https://stackoverflow.com/q/55938858", "55938858")</f>
        <v>55938858</v>
      </c>
      <c r="B2636" s="2" t="s">
        <v>2679</v>
      </c>
      <c r="C2636" s="3"/>
      <c r="D2636" s="3">
        <v>54.0</v>
      </c>
      <c r="E2636" s="2"/>
      <c r="F2636" s="2"/>
      <c r="G2636" s="2"/>
      <c r="H2636" s="2"/>
      <c r="I2636" s="2"/>
      <c r="J2636" s="2"/>
    </row>
    <row r="2637" ht="15.75" customHeight="1">
      <c r="A2637" s="4" t="str">
        <f>HYPERLINK("https://stackoverflow.com/q/56280365", "56280365")</f>
        <v>56280365</v>
      </c>
      <c r="B2637" s="2" t="s">
        <v>2680</v>
      </c>
      <c r="C2637" s="3"/>
      <c r="D2637" s="3">
        <v>54.0</v>
      </c>
      <c r="E2637" s="2"/>
      <c r="F2637" s="2"/>
      <c r="G2637" s="2"/>
      <c r="H2637" s="2"/>
      <c r="I2637" s="2"/>
      <c r="J2637" s="2"/>
    </row>
    <row r="2638" ht="15.75" customHeight="1">
      <c r="A2638" s="4" t="str">
        <f>HYPERLINK("https://stackoverflow.com/q/57161753", "57161753")</f>
        <v>57161753</v>
      </c>
      <c r="B2638" s="2" t="s">
        <v>2681</v>
      </c>
      <c r="C2638" s="3"/>
      <c r="D2638" s="3">
        <v>54.0</v>
      </c>
      <c r="E2638" s="2"/>
      <c r="F2638" s="2"/>
      <c r="G2638" s="2"/>
      <c r="H2638" s="2"/>
      <c r="I2638" s="2"/>
      <c r="J2638" s="2"/>
    </row>
    <row r="2639" ht="15.75" customHeight="1">
      <c r="A2639" s="4" t="str">
        <f>HYPERLINK("https://stackoverflow.com/q/59624024", "59624024")</f>
        <v>59624024</v>
      </c>
      <c r="B2639" s="2" t="s">
        <v>2682</v>
      </c>
      <c r="C2639" s="3"/>
      <c r="D2639" s="3">
        <v>54.0</v>
      </c>
      <c r="E2639" s="2"/>
      <c r="F2639" s="2"/>
      <c r="G2639" s="2"/>
      <c r="H2639" s="2"/>
      <c r="I2639" s="2"/>
      <c r="J2639" s="2"/>
    </row>
    <row r="2640" ht="15.75" customHeight="1">
      <c r="A2640" s="4" t="str">
        <f>HYPERLINK("https://stackoverflow.com/q/55178584", "55178584")</f>
        <v>55178584</v>
      </c>
      <c r="B2640" s="2" t="s">
        <v>2683</v>
      </c>
      <c r="C2640" s="3">
        <v>0.0</v>
      </c>
      <c r="D2640" s="3">
        <v>53.0</v>
      </c>
      <c r="E2640" s="2" t="s">
        <v>11</v>
      </c>
      <c r="F2640" s="2" t="s">
        <v>67</v>
      </c>
      <c r="G2640" s="2"/>
      <c r="H2640" s="2"/>
      <c r="I2640" s="2"/>
      <c r="J2640" s="2"/>
    </row>
    <row r="2641" ht="15.75" customHeight="1">
      <c r="A2641" s="4" t="str">
        <f>HYPERLINK("https://stackoverflow.com/q/53990868", "53990868")</f>
        <v>53990868</v>
      </c>
      <c r="B2641" s="2" t="s">
        <v>2684</v>
      </c>
      <c r="C2641" s="3"/>
      <c r="D2641" s="3">
        <v>53.0</v>
      </c>
      <c r="E2641" s="2" t="s">
        <v>11</v>
      </c>
      <c r="F2641" s="2" t="s">
        <v>25</v>
      </c>
      <c r="G2641" s="2"/>
      <c r="H2641" s="2"/>
      <c r="I2641" s="2"/>
      <c r="J2641" s="2"/>
    </row>
    <row r="2642" ht="15.75" customHeight="1">
      <c r="A2642" s="4" t="str">
        <f>HYPERLINK("https://stackoverflow.com/q/54321038", "54321038")</f>
        <v>54321038</v>
      </c>
      <c r="B2642" s="2" t="s">
        <v>2685</v>
      </c>
      <c r="C2642" s="3"/>
      <c r="D2642" s="3">
        <v>53.0</v>
      </c>
      <c r="E2642" s="2" t="s">
        <v>11</v>
      </c>
      <c r="F2642" s="2" t="s">
        <v>56</v>
      </c>
      <c r="G2642" s="2"/>
      <c r="H2642" s="2"/>
      <c r="I2642" s="2"/>
      <c r="J2642" s="2"/>
    </row>
    <row r="2643" ht="15.75" customHeight="1">
      <c r="A2643" s="4" t="str">
        <f>HYPERLINK("https://stackoverflow.com/q/54902614", "54902614")</f>
        <v>54902614</v>
      </c>
      <c r="B2643" s="2" t="s">
        <v>2686</v>
      </c>
      <c r="C2643" s="3"/>
      <c r="D2643" s="3">
        <v>53.0</v>
      </c>
      <c r="E2643" s="2" t="s">
        <v>11</v>
      </c>
      <c r="F2643" s="2" t="s">
        <v>194</v>
      </c>
      <c r="G2643" s="2"/>
      <c r="H2643" s="2"/>
      <c r="I2643" s="2"/>
      <c r="J2643" s="2"/>
    </row>
    <row r="2644" ht="15.75" customHeight="1">
      <c r="A2644" s="4" t="str">
        <f>HYPERLINK("https://stackoverflow.com/q/55010153", "55010153")</f>
        <v>55010153</v>
      </c>
      <c r="B2644" s="2" t="s">
        <v>2687</v>
      </c>
      <c r="C2644" s="3"/>
      <c r="D2644" s="3">
        <v>53.0</v>
      </c>
      <c r="E2644" s="2" t="s">
        <v>11</v>
      </c>
      <c r="F2644" s="2" t="s">
        <v>12</v>
      </c>
      <c r="G2644" s="2"/>
      <c r="H2644" s="2"/>
      <c r="I2644" s="2"/>
      <c r="J2644" s="2"/>
    </row>
    <row r="2645" ht="15.75" customHeight="1">
      <c r="A2645" s="4" t="str">
        <f>HYPERLINK("https://stackoverflow.com/q/61217110", "61217110")</f>
        <v>61217110</v>
      </c>
      <c r="B2645" s="2" t="s">
        <v>2688</v>
      </c>
      <c r="C2645" s="3"/>
      <c r="D2645" s="3">
        <v>53.0</v>
      </c>
      <c r="E2645" s="2" t="s">
        <v>11</v>
      </c>
      <c r="F2645" s="2" t="s">
        <v>12</v>
      </c>
      <c r="G2645" s="2"/>
      <c r="H2645" s="2"/>
      <c r="I2645" s="2"/>
      <c r="J2645" s="2"/>
    </row>
    <row r="2646" ht="15.75" customHeight="1">
      <c r="A2646" s="4" t="str">
        <f>HYPERLINK("https://stackoverflow.com/q/54901001", "54901001")</f>
        <v>54901001</v>
      </c>
      <c r="B2646" s="2" t="s">
        <v>2689</v>
      </c>
      <c r="C2646" s="3"/>
      <c r="D2646" s="3">
        <v>53.0</v>
      </c>
      <c r="E2646" s="2" t="s">
        <v>537</v>
      </c>
      <c r="F2646" s="2" t="s">
        <v>194</v>
      </c>
      <c r="G2646" s="2"/>
      <c r="H2646" s="2"/>
      <c r="I2646" s="2"/>
      <c r="J2646" s="2"/>
    </row>
    <row r="2647" ht="15.75" customHeight="1">
      <c r="A2647" s="4" t="str">
        <f>HYPERLINK("https://stackoverflow.com/q/31794085", "31794085")</f>
        <v>31794085</v>
      </c>
      <c r="B2647" s="2" t="s">
        <v>2690</v>
      </c>
      <c r="C2647" s="3"/>
      <c r="D2647" s="3">
        <v>53.0</v>
      </c>
      <c r="E2647" s="2"/>
      <c r="F2647" s="2"/>
      <c r="G2647" s="2"/>
      <c r="H2647" s="2"/>
      <c r="I2647" s="2"/>
      <c r="J2647" s="2"/>
    </row>
    <row r="2648" ht="15.75" customHeight="1">
      <c r="A2648" s="4" t="str">
        <f>HYPERLINK("https://stackoverflow.com/q/52854298", "52854298")</f>
        <v>52854298</v>
      </c>
      <c r="B2648" s="2" t="s">
        <v>2691</v>
      </c>
      <c r="C2648" s="3"/>
      <c r="D2648" s="3">
        <v>53.0</v>
      </c>
      <c r="E2648" s="2"/>
      <c r="F2648" s="2"/>
      <c r="G2648" s="2"/>
      <c r="H2648" s="2"/>
      <c r="I2648" s="2"/>
      <c r="J2648" s="2"/>
    </row>
    <row r="2649" ht="15.75" customHeight="1">
      <c r="A2649" s="4" t="str">
        <f>HYPERLINK("https://stackoverflow.com/q/53590054", "53590054")</f>
        <v>53590054</v>
      </c>
      <c r="B2649" s="2" t="s">
        <v>2692</v>
      </c>
      <c r="C2649" s="3"/>
      <c r="D2649" s="3">
        <v>53.0</v>
      </c>
      <c r="E2649" s="2"/>
      <c r="F2649" s="2"/>
      <c r="G2649" s="2"/>
      <c r="H2649" s="2"/>
      <c r="I2649" s="2"/>
      <c r="J2649" s="2"/>
    </row>
    <row r="2650" ht="15.75" customHeight="1">
      <c r="A2650" s="4" t="str">
        <f>HYPERLINK("https://stackoverflow.com/q/56860758", "56860758")</f>
        <v>56860758</v>
      </c>
      <c r="B2650" s="2" t="s">
        <v>2693</v>
      </c>
      <c r="C2650" s="3"/>
      <c r="D2650" s="3">
        <v>53.0</v>
      </c>
      <c r="E2650" s="2"/>
      <c r="F2650" s="2"/>
      <c r="G2650" s="2"/>
      <c r="H2650" s="2"/>
      <c r="I2650" s="2"/>
      <c r="J2650" s="2"/>
    </row>
    <row r="2651" ht="15.75" customHeight="1">
      <c r="A2651" s="4" t="str">
        <f>HYPERLINK("https://stackoverflow.com/q/57278489", "57278489")</f>
        <v>57278489</v>
      </c>
      <c r="B2651" s="2" t="s">
        <v>2694</v>
      </c>
      <c r="C2651" s="3"/>
      <c r="D2651" s="3">
        <v>53.0</v>
      </c>
      <c r="E2651" s="2"/>
      <c r="F2651" s="2"/>
      <c r="G2651" s="2"/>
      <c r="H2651" s="2"/>
      <c r="I2651" s="2"/>
      <c r="J2651" s="2"/>
    </row>
    <row r="2652" ht="15.75" customHeight="1">
      <c r="A2652" s="4" t="str">
        <f>HYPERLINK("https://stackoverflow.com/q/57613671", "57613671")</f>
        <v>57613671</v>
      </c>
      <c r="B2652" s="2" t="s">
        <v>2695</v>
      </c>
      <c r="C2652" s="3"/>
      <c r="D2652" s="3">
        <v>53.0</v>
      </c>
      <c r="E2652" s="2"/>
      <c r="F2652" s="2"/>
      <c r="G2652" s="2"/>
      <c r="H2652" s="2"/>
      <c r="I2652" s="2"/>
      <c r="J2652" s="2"/>
    </row>
    <row r="2653" ht="15.75" customHeight="1">
      <c r="A2653" s="4" t="str">
        <f>HYPERLINK("https://stackoverflow.com/q/57654496", "57654496")</f>
        <v>57654496</v>
      </c>
      <c r="B2653" s="2" t="s">
        <v>2696</v>
      </c>
      <c r="C2653" s="3"/>
      <c r="D2653" s="3">
        <v>53.0</v>
      </c>
      <c r="E2653" s="2"/>
      <c r="F2653" s="2"/>
      <c r="G2653" s="2"/>
      <c r="H2653" s="2"/>
      <c r="I2653" s="2"/>
      <c r="J2653" s="2"/>
    </row>
    <row r="2654" ht="15.75" customHeight="1">
      <c r="A2654" s="4" t="str">
        <f>HYPERLINK("https://stackoverflow.com/q/57714229", "57714229")</f>
        <v>57714229</v>
      </c>
      <c r="B2654" s="2" t="s">
        <v>2697</v>
      </c>
      <c r="C2654" s="3"/>
      <c r="D2654" s="3">
        <v>53.0</v>
      </c>
      <c r="E2654" s="2"/>
      <c r="F2654" s="2"/>
      <c r="G2654" s="2"/>
      <c r="H2654" s="2"/>
      <c r="I2654" s="2"/>
      <c r="J2654" s="2"/>
    </row>
    <row r="2655" ht="15.75" customHeight="1">
      <c r="A2655" s="4" t="str">
        <f>HYPERLINK("https://stackoverflow.com/q/58941104", "58941104")</f>
        <v>58941104</v>
      </c>
      <c r="B2655" s="2" t="s">
        <v>2698</v>
      </c>
      <c r="C2655" s="3"/>
      <c r="D2655" s="3">
        <v>53.0</v>
      </c>
      <c r="E2655" s="2"/>
      <c r="F2655" s="2"/>
      <c r="G2655" s="2"/>
      <c r="H2655" s="2"/>
      <c r="I2655" s="2"/>
      <c r="J2655" s="2"/>
    </row>
    <row r="2656" ht="15.75" customHeight="1">
      <c r="A2656" s="4" t="str">
        <f>HYPERLINK("https://stackoverflow.com/q/60285447", "60285447")</f>
        <v>60285447</v>
      </c>
      <c r="B2656" s="2" t="s">
        <v>2699</v>
      </c>
      <c r="C2656" s="3"/>
      <c r="D2656" s="3">
        <v>53.0</v>
      </c>
      <c r="E2656" s="2"/>
      <c r="F2656" s="2"/>
      <c r="G2656" s="2"/>
      <c r="H2656" s="2"/>
      <c r="I2656" s="2"/>
      <c r="J2656" s="2"/>
    </row>
    <row r="2657" ht="15.75" customHeight="1">
      <c r="A2657" s="4" t="str">
        <f>HYPERLINK("https://stackoverflow.com/q/60750126", "60750126")</f>
        <v>60750126</v>
      </c>
      <c r="B2657" s="2" t="s">
        <v>2700</v>
      </c>
      <c r="C2657" s="3"/>
      <c r="D2657" s="3">
        <v>53.0</v>
      </c>
      <c r="E2657" s="2"/>
      <c r="F2657" s="2"/>
      <c r="G2657" s="2"/>
      <c r="H2657" s="2"/>
      <c r="I2657" s="2"/>
      <c r="J2657" s="2"/>
    </row>
    <row r="2658" ht="15.75" customHeight="1">
      <c r="A2658" s="4" t="str">
        <f>HYPERLINK("https://stackoverflow.com/q/54666018", "54666018")</f>
        <v>54666018</v>
      </c>
      <c r="B2658" s="2" t="s">
        <v>2701</v>
      </c>
      <c r="C2658" s="3"/>
      <c r="D2658" s="3">
        <v>52.0</v>
      </c>
      <c r="E2658" s="2" t="s">
        <v>11</v>
      </c>
      <c r="F2658" s="2" t="s">
        <v>25</v>
      </c>
      <c r="G2658" s="2"/>
      <c r="H2658" s="2"/>
      <c r="I2658" s="2"/>
      <c r="J2658" s="2"/>
    </row>
    <row r="2659" ht="15.75" customHeight="1">
      <c r="A2659" s="4" t="str">
        <f>HYPERLINK("https://stackoverflow.com/q/45824743", "45824743")</f>
        <v>45824743</v>
      </c>
      <c r="B2659" s="2" t="s">
        <v>2702</v>
      </c>
      <c r="C2659" s="3"/>
      <c r="D2659" s="3">
        <v>52.0</v>
      </c>
      <c r="E2659" s="2"/>
      <c r="F2659" s="2"/>
      <c r="G2659" s="2"/>
      <c r="H2659" s="2"/>
      <c r="I2659" s="2"/>
      <c r="J2659" s="2"/>
    </row>
    <row r="2660" ht="15.75" customHeight="1">
      <c r="A2660" s="4" t="str">
        <f>HYPERLINK("https://stackoverflow.com/q/52715914", "52715914")</f>
        <v>52715914</v>
      </c>
      <c r="B2660" s="2" t="s">
        <v>2703</v>
      </c>
      <c r="C2660" s="3"/>
      <c r="D2660" s="3">
        <v>52.0</v>
      </c>
      <c r="E2660" s="2"/>
      <c r="F2660" s="2"/>
      <c r="G2660" s="2"/>
      <c r="H2660" s="2"/>
      <c r="I2660" s="2"/>
      <c r="J2660" s="2"/>
    </row>
    <row r="2661" ht="15.75" customHeight="1">
      <c r="A2661" s="4" t="str">
        <f>HYPERLINK("https://stackoverflow.com/q/53173969", "53173969")</f>
        <v>53173969</v>
      </c>
      <c r="B2661" s="2" t="s">
        <v>2704</v>
      </c>
      <c r="C2661" s="3"/>
      <c r="D2661" s="3">
        <v>52.0</v>
      </c>
      <c r="E2661" s="2"/>
      <c r="F2661" s="2"/>
      <c r="G2661" s="2"/>
      <c r="H2661" s="2"/>
      <c r="I2661" s="2"/>
      <c r="J2661" s="2"/>
    </row>
    <row r="2662" ht="15.75" customHeight="1">
      <c r="A2662" s="4" t="str">
        <f>HYPERLINK("https://stackoverflow.com/q/56363028", "56363028")</f>
        <v>56363028</v>
      </c>
      <c r="B2662" s="2" t="s">
        <v>2705</v>
      </c>
      <c r="C2662" s="3"/>
      <c r="D2662" s="3">
        <v>52.0</v>
      </c>
      <c r="E2662" s="2"/>
      <c r="F2662" s="2"/>
      <c r="G2662" s="2"/>
      <c r="H2662" s="2"/>
      <c r="I2662" s="2"/>
      <c r="J2662" s="2"/>
    </row>
    <row r="2663" ht="15.75" customHeight="1">
      <c r="A2663" s="4" t="str">
        <f>HYPERLINK("https://stackoverflow.com/q/57916211", "57916211")</f>
        <v>57916211</v>
      </c>
      <c r="B2663" s="2" t="s">
        <v>2706</v>
      </c>
      <c r="C2663" s="3"/>
      <c r="D2663" s="3">
        <v>52.0</v>
      </c>
      <c r="E2663" s="2"/>
      <c r="F2663" s="2"/>
      <c r="G2663" s="2"/>
      <c r="H2663" s="2"/>
      <c r="I2663" s="2"/>
      <c r="J2663" s="2"/>
    </row>
    <row r="2664" ht="15.75" customHeight="1">
      <c r="A2664" s="4" t="str">
        <f>HYPERLINK("https://stackoverflow.com/q/58394762", "58394762")</f>
        <v>58394762</v>
      </c>
      <c r="B2664" s="2" t="s">
        <v>2707</v>
      </c>
      <c r="C2664" s="3"/>
      <c r="D2664" s="3">
        <v>52.0</v>
      </c>
      <c r="E2664" s="2"/>
      <c r="F2664" s="2"/>
      <c r="G2664" s="2"/>
      <c r="H2664" s="2"/>
      <c r="I2664" s="2"/>
      <c r="J2664" s="2"/>
    </row>
    <row r="2665" ht="15.75" customHeight="1">
      <c r="A2665" s="4" t="str">
        <f>HYPERLINK("https://stackoverflow.com/q/59771214", "59771214")</f>
        <v>59771214</v>
      </c>
      <c r="B2665" s="2" t="s">
        <v>2708</v>
      </c>
      <c r="C2665" s="3"/>
      <c r="D2665" s="3">
        <v>52.0</v>
      </c>
      <c r="E2665" s="2"/>
      <c r="F2665" s="2"/>
      <c r="G2665" s="2"/>
      <c r="H2665" s="2"/>
      <c r="I2665" s="2"/>
      <c r="J2665" s="2"/>
    </row>
    <row r="2666" ht="15.75" customHeight="1">
      <c r="A2666" s="4" t="str">
        <f>HYPERLINK("https://stackoverflow.com/q/59902654", "59902654")</f>
        <v>59902654</v>
      </c>
      <c r="B2666" s="2" t="s">
        <v>2709</v>
      </c>
      <c r="C2666" s="3"/>
      <c r="D2666" s="3">
        <v>52.0</v>
      </c>
      <c r="E2666" s="2"/>
      <c r="F2666" s="2"/>
      <c r="G2666" s="2"/>
      <c r="H2666" s="2"/>
      <c r="I2666" s="2"/>
      <c r="J2666" s="2"/>
    </row>
    <row r="2667" ht="15.75" customHeight="1">
      <c r="A2667" s="4" t="str">
        <f>HYPERLINK("https://stackoverflow.com/q/60017137", "60017137")</f>
        <v>60017137</v>
      </c>
      <c r="B2667" s="2" t="s">
        <v>2710</v>
      </c>
      <c r="C2667" s="3"/>
      <c r="D2667" s="3">
        <v>52.0</v>
      </c>
      <c r="E2667" s="2"/>
      <c r="F2667" s="2"/>
      <c r="G2667" s="2"/>
      <c r="H2667" s="2"/>
      <c r="I2667" s="2"/>
      <c r="J2667" s="2"/>
    </row>
    <row r="2668" ht="15.75" customHeight="1">
      <c r="A2668" s="4" t="str">
        <f>HYPERLINK("https://stackoverflow.com/q/60379101", "60379101")</f>
        <v>60379101</v>
      </c>
      <c r="B2668" s="2" t="s">
        <v>2711</v>
      </c>
      <c r="C2668" s="3"/>
      <c r="D2668" s="3">
        <v>52.0</v>
      </c>
      <c r="E2668" s="2"/>
      <c r="F2668" s="2"/>
      <c r="G2668" s="2"/>
      <c r="H2668" s="2"/>
      <c r="I2668" s="2"/>
      <c r="J2668" s="2"/>
    </row>
    <row r="2669" ht="15.75" customHeight="1">
      <c r="A2669" s="4" t="str">
        <f>HYPERLINK("https://stackoverflow.com/q/60875821", "60875821")</f>
        <v>60875821</v>
      </c>
      <c r="B2669" s="2" t="s">
        <v>2712</v>
      </c>
      <c r="C2669" s="3"/>
      <c r="D2669" s="3">
        <v>52.0</v>
      </c>
      <c r="E2669" s="2"/>
      <c r="F2669" s="2"/>
      <c r="G2669" s="2"/>
      <c r="H2669" s="2"/>
      <c r="I2669" s="2"/>
      <c r="J2669" s="2"/>
    </row>
    <row r="2670" ht="15.75" customHeight="1">
      <c r="A2670" s="4" t="str">
        <f>HYPERLINK("https://stackoverflow.com/q/54531836", "54531836")</f>
        <v>54531836</v>
      </c>
      <c r="B2670" s="2" t="s">
        <v>2713</v>
      </c>
      <c r="C2670" s="3"/>
      <c r="D2670" s="3">
        <v>51.0</v>
      </c>
      <c r="E2670" s="2" t="s">
        <v>11</v>
      </c>
      <c r="F2670" s="2" t="s">
        <v>25</v>
      </c>
      <c r="G2670" s="2"/>
      <c r="H2670" s="2"/>
      <c r="I2670" s="2"/>
      <c r="J2670" s="2"/>
    </row>
    <row r="2671" ht="15.75" customHeight="1">
      <c r="A2671" s="4" t="str">
        <f>HYPERLINK("https://stackoverflow.com/q/28259325", "28259325")</f>
        <v>28259325</v>
      </c>
      <c r="B2671" s="2" t="s">
        <v>2714</v>
      </c>
      <c r="C2671" s="3"/>
      <c r="D2671" s="3">
        <v>51.0</v>
      </c>
      <c r="E2671" s="2"/>
      <c r="F2671" s="2"/>
      <c r="G2671" s="2"/>
      <c r="H2671" s="2"/>
      <c r="I2671" s="2"/>
      <c r="J2671" s="2"/>
    </row>
    <row r="2672" ht="15.75" customHeight="1">
      <c r="A2672" s="4" t="str">
        <f>HYPERLINK("https://stackoverflow.com/q/52133532", "52133532")</f>
        <v>52133532</v>
      </c>
      <c r="B2672" s="2" t="s">
        <v>2715</v>
      </c>
      <c r="C2672" s="3"/>
      <c r="D2672" s="3">
        <v>51.0</v>
      </c>
      <c r="E2672" s="2"/>
      <c r="F2672" s="2"/>
      <c r="G2672" s="2"/>
      <c r="H2672" s="2"/>
      <c r="I2672" s="2"/>
      <c r="J2672" s="2"/>
    </row>
    <row r="2673" ht="15.75" customHeight="1">
      <c r="A2673" s="4" t="str">
        <f>HYPERLINK("https://stackoverflow.com/q/55244842", "55244842")</f>
        <v>55244842</v>
      </c>
      <c r="B2673" s="2" t="s">
        <v>2716</v>
      </c>
      <c r="C2673" s="3"/>
      <c r="D2673" s="3">
        <v>51.0</v>
      </c>
      <c r="E2673" s="2"/>
      <c r="F2673" s="2" t="s">
        <v>23</v>
      </c>
      <c r="G2673" s="2"/>
      <c r="H2673" s="2"/>
      <c r="I2673" s="2"/>
      <c r="J2673" s="2"/>
    </row>
    <row r="2674" ht="15.75" customHeight="1">
      <c r="A2674" s="4" t="str">
        <f>HYPERLINK("https://stackoverflow.com/q/57355228", "57355228")</f>
        <v>57355228</v>
      </c>
      <c r="B2674" s="2" t="s">
        <v>2717</v>
      </c>
      <c r="C2674" s="3"/>
      <c r="D2674" s="3">
        <v>51.0</v>
      </c>
      <c r="E2674" s="2"/>
      <c r="F2674" s="2"/>
      <c r="G2674" s="2"/>
      <c r="H2674" s="2"/>
      <c r="I2674" s="2"/>
      <c r="J2674" s="2"/>
    </row>
    <row r="2675" ht="15.75" customHeight="1">
      <c r="A2675" s="4" t="str">
        <f>HYPERLINK("https://stackoverflow.com/q/57436043", "57436043")</f>
        <v>57436043</v>
      </c>
      <c r="B2675" s="2" t="s">
        <v>2718</v>
      </c>
      <c r="C2675" s="3"/>
      <c r="D2675" s="3">
        <v>51.0</v>
      </c>
      <c r="E2675" s="2"/>
      <c r="F2675" s="2"/>
      <c r="G2675" s="2"/>
      <c r="H2675" s="2"/>
      <c r="I2675" s="2"/>
      <c r="J2675" s="2"/>
    </row>
    <row r="2676" ht="15.75" customHeight="1">
      <c r="A2676" s="4" t="str">
        <f>HYPERLINK("https://stackoverflow.com/q/57496839", "57496839")</f>
        <v>57496839</v>
      </c>
      <c r="B2676" s="2" t="s">
        <v>2719</v>
      </c>
      <c r="C2676" s="3"/>
      <c r="D2676" s="3">
        <v>51.0</v>
      </c>
      <c r="E2676" s="2"/>
      <c r="F2676" s="2"/>
      <c r="G2676" s="2"/>
      <c r="H2676" s="2"/>
      <c r="I2676" s="2"/>
      <c r="J2676" s="2"/>
    </row>
    <row r="2677" ht="15.75" customHeight="1">
      <c r="A2677" s="4" t="str">
        <f>HYPERLINK("https://stackoverflow.com/q/58303923", "58303923")</f>
        <v>58303923</v>
      </c>
      <c r="B2677" s="2" t="s">
        <v>2720</v>
      </c>
      <c r="C2677" s="3"/>
      <c r="D2677" s="3">
        <v>51.0</v>
      </c>
      <c r="E2677" s="2"/>
      <c r="F2677" s="2"/>
      <c r="G2677" s="2"/>
      <c r="H2677" s="2"/>
      <c r="I2677" s="2"/>
      <c r="J2677" s="2"/>
    </row>
    <row r="2678" ht="15.75" customHeight="1">
      <c r="A2678" s="4" t="str">
        <f>HYPERLINK("https://stackoverflow.com/q/59293403", "59293403")</f>
        <v>59293403</v>
      </c>
      <c r="B2678" s="2" t="s">
        <v>2721</v>
      </c>
      <c r="C2678" s="3"/>
      <c r="D2678" s="3">
        <v>51.0</v>
      </c>
      <c r="E2678" s="2"/>
      <c r="F2678" s="2"/>
      <c r="G2678" s="2"/>
      <c r="H2678" s="2"/>
      <c r="I2678" s="2"/>
      <c r="J2678" s="2"/>
    </row>
    <row r="2679" ht="15.75" customHeight="1">
      <c r="A2679" s="4" t="str">
        <f>HYPERLINK("https://stackoverflow.com/q/59790652", "59790652")</f>
        <v>59790652</v>
      </c>
      <c r="B2679" s="2" t="s">
        <v>2722</v>
      </c>
      <c r="C2679" s="3"/>
      <c r="D2679" s="3">
        <v>51.0</v>
      </c>
      <c r="E2679" s="2"/>
      <c r="F2679" s="2"/>
      <c r="G2679" s="2"/>
      <c r="H2679" s="2"/>
      <c r="I2679" s="2"/>
      <c r="J2679" s="2"/>
    </row>
    <row r="2680" ht="15.75" customHeight="1">
      <c r="A2680" s="4" t="str">
        <f>HYPERLINK("https://stackoverflow.com/q/60376741", "60376741")</f>
        <v>60376741</v>
      </c>
      <c r="B2680" s="2" t="s">
        <v>2723</v>
      </c>
      <c r="C2680" s="3"/>
      <c r="D2680" s="3">
        <v>51.0</v>
      </c>
      <c r="E2680" s="2"/>
      <c r="F2680" s="2"/>
      <c r="G2680" s="2"/>
      <c r="H2680" s="2"/>
      <c r="I2680" s="2"/>
      <c r="J2680" s="2"/>
    </row>
    <row r="2681" ht="15.75" customHeight="1">
      <c r="A2681" s="4" t="str">
        <f>HYPERLINK("https://stackoverflow.com/q/60693819", "60693819")</f>
        <v>60693819</v>
      </c>
      <c r="B2681" s="2" t="s">
        <v>2724</v>
      </c>
      <c r="C2681" s="3"/>
      <c r="D2681" s="3">
        <v>51.0</v>
      </c>
      <c r="E2681" s="2"/>
      <c r="F2681" s="2"/>
      <c r="G2681" s="2"/>
      <c r="H2681" s="2"/>
      <c r="I2681" s="2"/>
      <c r="J2681" s="2"/>
    </row>
    <row r="2682" ht="15.75" customHeight="1">
      <c r="A2682" s="4" t="str">
        <f>HYPERLINK("https://stackoverflow.com/q/60831699", "60831699")</f>
        <v>60831699</v>
      </c>
      <c r="B2682" s="2" t="s">
        <v>2725</v>
      </c>
      <c r="C2682" s="3"/>
      <c r="D2682" s="3">
        <v>51.0</v>
      </c>
      <c r="E2682" s="2"/>
      <c r="F2682" s="2"/>
      <c r="G2682" s="2"/>
      <c r="H2682" s="2"/>
      <c r="I2682" s="2"/>
      <c r="J2682" s="2"/>
    </row>
    <row r="2683" ht="15.75" customHeight="1">
      <c r="A2683" s="4" t="str">
        <f>HYPERLINK("https://stackoverflow.com/q/44708936", "44708936")</f>
        <v>44708936</v>
      </c>
      <c r="B2683" s="2" t="s">
        <v>2726</v>
      </c>
      <c r="C2683" s="3">
        <v>1.0</v>
      </c>
      <c r="D2683" s="3">
        <v>50.0</v>
      </c>
      <c r="E2683" s="2"/>
      <c r="F2683" s="2"/>
      <c r="G2683" s="2"/>
      <c r="H2683" s="2"/>
      <c r="I2683" s="2"/>
      <c r="J2683" s="2"/>
    </row>
    <row r="2684" ht="15.75" customHeight="1">
      <c r="A2684" s="4" t="str">
        <f>HYPERLINK("https://stackoverflow.com/q/55645981", "55645981")</f>
        <v>55645981</v>
      </c>
      <c r="B2684" s="2" t="s">
        <v>2727</v>
      </c>
      <c r="C2684" s="3">
        <v>1.0</v>
      </c>
      <c r="D2684" s="3">
        <v>50.0</v>
      </c>
      <c r="E2684" s="2"/>
      <c r="F2684" s="2"/>
      <c r="G2684" s="2"/>
      <c r="H2684" s="2"/>
      <c r="I2684" s="2"/>
      <c r="J2684" s="2"/>
    </row>
    <row r="2685" ht="15.75" customHeight="1">
      <c r="A2685" s="4" t="str">
        <f>HYPERLINK("https://stackoverflow.com/q/42375516", "42375516")</f>
        <v>42375516</v>
      </c>
      <c r="B2685" s="2" t="s">
        <v>2728</v>
      </c>
      <c r="C2685" s="3"/>
      <c r="D2685" s="3">
        <v>50.0</v>
      </c>
      <c r="E2685" s="2" t="s">
        <v>11</v>
      </c>
      <c r="F2685" s="2" t="s">
        <v>30</v>
      </c>
      <c r="G2685" s="2"/>
      <c r="H2685" s="2"/>
      <c r="I2685" s="2"/>
      <c r="J2685" s="2"/>
    </row>
    <row r="2686" ht="15.75" customHeight="1">
      <c r="A2686" s="4" t="str">
        <f>HYPERLINK("https://stackoverflow.com/q/61123415", "61123415")</f>
        <v>61123415</v>
      </c>
      <c r="B2686" s="2" t="s">
        <v>2729</v>
      </c>
      <c r="C2686" s="3"/>
      <c r="D2686" s="3">
        <v>50.0</v>
      </c>
      <c r="E2686" s="9" t="s">
        <v>11</v>
      </c>
      <c r="F2686" s="2" t="s">
        <v>18</v>
      </c>
      <c r="G2686" s="2"/>
      <c r="H2686" s="2"/>
      <c r="I2686" s="2"/>
      <c r="J2686" s="2"/>
    </row>
    <row r="2687" ht="15.75" customHeight="1">
      <c r="A2687" s="4" t="str">
        <f>HYPERLINK("https://stackoverflow.com/q/61127025", "61127025")</f>
        <v>61127025</v>
      </c>
      <c r="B2687" s="2" t="s">
        <v>2730</v>
      </c>
      <c r="C2687" s="3"/>
      <c r="D2687" s="3">
        <v>50.0</v>
      </c>
      <c r="E2687" s="2" t="s">
        <v>11</v>
      </c>
      <c r="F2687" s="2" t="s">
        <v>25</v>
      </c>
      <c r="G2687" s="2"/>
      <c r="H2687" s="2"/>
      <c r="I2687" s="2"/>
      <c r="J2687" s="2"/>
    </row>
    <row r="2688" ht="15.75" customHeight="1">
      <c r="A2688" s="4" t="str">
        <f>HYPERLINK("https://stackoverflow.com/q/57290189", "57290189")</f>
        <v>57290189</v>
      </c>
      <c r="B2688" s="2" t="s">
        <v>2731</v>
      </c>
      <c r="C2688" s="3"/>
      <c r="D2688" s="3">
        <v>50.0</v>
      </c>
      <c r="E2688" s="2"/>
      <c r="F2688" s="2"/>
      <c r="G2688" s="2"/>
      <c r="H2688" s="2"/>
      <c r="I2688" s="2"/>
      <c r="J2688" s="2"/>
    </row>
    <row r="2689" ht="15.75" customHeight="1">
      <c r="A2689" s="4" t="str">
        <f>HYPERLINK("https://stackoverflow.com/q/57369751", "57369751")</f>
        <v>57369751</v>
      </c>
      <c r="B2689" s="2" t="s">
        <v>2732</v>
      </c>
      <c r="C2689" s="3"/>
      <c r="D2689" s="3">
        <v>50.0</v>
      </c>
      <c r="E2689" s="2"/>
      <c r="F2689" s="2"/>
      <c r="G2689" s="2"/>
      <c r="H2689" s="2"/>
      <c r="I2689" s="2"/>
      <c r="J2689" s="2"/>
    </row>
    <row r="2690" ht="15.75" customHeight="1">
      <c r="A2690" s="4" t="str">
        <f>HYPERLINK("https://stackoverflow.com/q/57918783", "57918783")</f>
        <v>57918783</v>
      </c>
      <c r="B2690" s="2" t="s">
        <v>2733</v>
      </c>
      <c r="C2690" s="3"/>
      <c r="D2690" s="3">
        <v>50.0</v>
      </c>
      <c r="E2690" s="2"/>
      <c r="F2690" s="2"/>
      <c r="G2690" s="2"/>
      <c r="H2690" s="2"/>
      <c r="I2690" s="2"/>
      <c r="J2690" s="2"/>
    </row>
    <row r="2691" ht="15.75" customHeight="1">
      <c r="A2691" s="4" t="str">
        <f>HYPERLINK("https://stackoverflow.com/q/59005965", "59005965")</f>
        <v>59005965</v>
      </c>
      <c r="B2691" s="2" t="s">
        <v>2734</v>
      </c>
      <c r="C2691" s="3"/>
      <c r="D2691" s="3">
        <v>50.0</v>
      </c>
      <c r="E2691" s="2"/>
      <c r="F2691" s="2"/>
      <c r="G2691" s="2"/>
      <c r="H2691" s="2"/>
      <c r="I2691" s="2"/>
      <c r="J2691" s="2"/>
    </row>
    <row r="2692" ht="15.75" customHeight="1">
      <c r="A2692" s="4" t="str">
        <f>HYPERLINK("https://stackoverflow.com/q/61494118", "61494118")</f>
        <v>61494118</v>
      </c>
      <c r="B2692" s="2" t="s">
        <v>2735</v>
      </c>
      <c r="C2692" s="3">
        <v>0.0</v>
      </c>
      <c r="D2692" s="3">
        <v>49.0</v>
      </c>
      <c r="E2692" s="2"/>
      <c r="F2692" s="2"/>
      <c r="G2692" s="2"/>
      <c r="H2692" s="2"/>
      <c r="I2692" s="2"/>
      <c r="J2692" s="2"/>
    </row>
    <row r="2693" ht="15.75" customHeight="1">
      <c r="A2693" s="4" t="str">
        <f>HYPERLINK("https://stackoverflow.com/q/43908577", "43908577")</f>
        <v>43908577</v>
      </c>
      <c r="B2693" s="2" t="s">
        <v>2736</v>
      </c>
      <c r="C2693" s="3"/>
      <c r="D2693" s="3">
        <v>49.0</v>
      </c>
      <c r="E2693" s="9" t="s">
        <v>11</v>
      </c>
      <c r="F2693" s="2" t="s">
        <v>18</v>
      </c>
      <c r="G2693" s="2"/>
      <c r="H2693" s="2"/>
      <c r="I2693" s="2"/>
      <c r="J2693" s="2"/>
    </row>
    <row r="2694" ht="15.75" customHeight="1">
      <c r="A2694" s="4" t="str">
        <f>HYPERLINK("https://stackoverflow.com/q/54186801", "54186801")</f>
        <v>54186801</v>
      </c>
      <c r="B2694" s="2" t="s">
        <v>2737</v>
      </c>
      <c r="C2694" s="3"/>
      <c r="D2694" s="3">
        <v>49.0</v>
      </c>
      <c r="E2694" s="2" t="s">
        <v>11</v>
      </c>
      <c r="F2694" s="2" t="s">
        <v>44</v>
      </c>
      <c r="G2694" s="2"/>
      <c r="H2694" s="2"/>
      <c r="I2694" s="2"/>
      <c r="J2694" s="2"/>
    </row>
    <row r="2695" ht="15.75" customHeight="1">
      <c r="A2695" s="4" t="str">
        <f>HYPERLINK("https://stackoverflow.com/q/54521407", "54521407")</f>
        <v>54521407</v>
      </c>
      <c r="B2695" s="2" t="s">
        <v>2738</v>
      </c>
      <c r="C2695" s="3"/>
      <c r="D2695" s="3">
        <v>49.0</v>
      </c>
      <c r="E2695" s="2" t="s">
        <v>11</v>
      </c>
      <c r="F2695" s="2" t="s">
        <v>14</v>
      </c>
      <c r="G2695" s="2"/>
      <c r="H2695" s="2"/>
      <c r="I2695" s="2"/>
      <c r="J2695" s="2"/>
    </row>
    <row r="2696" ht="15.75" customHeight="1">
      <c r="A2696" s="4" t="str">
        <f>HYPERLINK("https://stackoverflow.com/q/46058884", "46058884")</f>
        <v>46058884</v>
      </c>
      <c r="B2696" s="2" t="s">
        <v>2739</v>
      </c>
      <c r="C2696" s="3"/>
      <c r="D2696" s="3">
        <v>49.0</v>
      </c>
      <c r="E2696" s="2"/>
      <c r="F2696" s="2"/>
      <c r="G2696" s="2"/>
      <c r="H2696" s="2"/>
      <c r="I2696" s="2"/>
      <c r="J2696" s="2"/>
    </row>
    <row r="2697" ht="15.75" customHeight="1">
      <c r="A2697" s="4" t="str">
        <f>HYPERLINK("https://stackoverflow.com/q/52816757", "52816757")</f>
        <v>52816757</v>
      </c>
      <c r="B2697" s="2" t="s">
        <v>2740</v>
      </c>
      <c r="C2697" s="3"/>
      <c r="D2697" s="3">
        <v>49.0</v>
      </c>
      <c r="E2697" s="2"/>
      <c r="F2697" s="2"/>
      <c r="G2697" s="2"/>
      <c r="H2697" s="2"/>
      <c r="I2697" s="2"/>
      <c r="J2697" s="2"/>
    </row>
    <row r="2698" ht="15.75" customHeight="1">
      <c r="A2698" s="4" t="str">
        <f>HYPERLINK("https://stackoverflow.com/q/52894062", "52894062")</f>
        <v>52894062</v>
      </c>
      <c r="B2698" s="2" t="s">
        <v>2741</v>
      </c>
      <c r="C2698" s="3"/>
      <c r="D2698" s="3">
        <v>49.0</v>
      </c>
      <c r="E2698" s="2"/>
      <c r="F2698" s="2"/>
      <c r="G2698" s="2"/>
      <c r="H2698" s="2"/>
      <c r="I2698" s="2"/>
      <c r="J2698" s="2"/>
    </row>
    <row r="2699" ht="15.75" customHeight="1">
      <c r="A2699" s="4" t="str">
        <f>HYPERLINK("https://stackoverflow.com/q/53398068", "53398068")</f>
        <v>53398068</v>
      </c>
      <c r="B2699" s="2" t="s">
        <v>2742</v>
      </c>
      <c r="C2699" s="3"/>
      <c r="D2699" s="3">
        <v>49.0</v>
      </c>
      <c r="E2699" s="2"/>
      <c r="F2699" s="2"/>
      <c r="G2699" s="2"/>
      <c r="H2699" s="2"/>
      <c r="I2699" s="2"/>
      <c r="J2699" s="2"/>
    </row>
    <row r="2700" ht="15.75" customHeight="1">
      <c r="A2700" s="4" t="str">
        <f>HYPERLINK("https://stackoverflow.com/q/55718762", "55718762")</f>
        <v>55718762</v>
      </c>
      <c r="B2700" s="2" t="s">
        <v>2743</v>
      </c>
      <c r="C2700" s="3"/>
      <c r="D2700" s="3">
        <v>49.0</v>
      </c>
      <c r="E2700" s="2"/>
      <c r="F2700" s="2"/>
      <c r="G2700" s="2"/>
      <c r="H2700" s="2"/>
      <c r="I2700" s="2"/>
      <c r="J2700" s="2"/>
    </row>
    <row r="2701" ht="15.75" customHeight="1">
      <c r="A2701" s="4" t="str">
        <f>HYPERLINK("https://stackoverflow.com/q/57315003", "57315003")</f>
        <v>57315003</v>
      </c>
      <c r="B2701" s="2" t="s">
        <v>2744</v>
      </c>
      <c r="C2701" s="3"/>
      <c r="D2701" s="3">
        <v>49.0</v>
      </c>
      <c r="E2701" s="2"/>
      <c r="F2701" s="2"/>
      <c r="G2701" s="2"/>
      <c r="H2701" s="2"/>
      <c r="I2701" s="2"/>
      <c r="J2701" s="2"/>
    </row>
    <row r="2702" ht="15.75" customHeight="1">
      <c r="A2702" s="4" t="str">
        <f>HYPERLINK("https://stackoverflow.com/q/57516377", "57516377")</f>
        <v>57516377</v>
      </c>
      <c r="B2702" s="2" t="s">
        <v>2745</v>
      </c>
      <c r="C2702" s="3"/>
      <c r="D2702" s="3">
        <v>49.0</v>
      </c>
      <c r="E2702" s="2"/>
      <c r="F2702" s="2"/>
      <c r="G2702" s="2"/>
      <c r="H2702" s="2"/>
      <c r="I2702" s="2"/>
      <c r="J2702" s="2"/>
    </row>
    <row r="2703" ht="15.75" customHeight="1">
      <c r="A2703" s="4" t="str">
        <f>HYPERLINK("https://stackoverflow.com/q/57931047", "57931047")</f>
        <v>57931047</v>
      </c>
      <c r="B2703" s="2" t="s">
        <v>2746</v>
      </c>
      <c r="C2703" s="3"/>
      <c r="D2703" s="3">
        <v>49.0</v>
      </c>
      <c r="E2703" s="2"/>
      <c r="F2703" s="2"/>
      <c r="G2703" s="2"/>
      <c r="H2703" s="2"/>
      <c r="I2703" s="2"/>
      <c r="J2703" s="2"/>
    </row>
    <row r="2704" ht="15.75" customHeight="1">
      <c r="A2704" s="4" t="str">
        <f>HYPERLINK("https://stackoverflow.com/q/58736620", "58736620")</f>
        <v>58736620</v>
      </c>
      <c r="B2704" s="2" t="s">
        <v>2747</v>
      </c>
      <c r="C2704" s="3"/>
      <c r="D2704" s="3">
        <v>49.0</v>
      </c>
      <c r="E2704" s="2"/>
      <c r="F2704" s="2"/>
      <c r="G2704" s="2"/>
      <c r="H2704" s="2"/>
      <c r="I2704" s="2"/>
      <c r="J2704" s="2"/>
    </row>
    <row r="2705" ht="15.75" customHeight="1">
      <c r="A2705" s="4" t="str">
        <f>HYPERLINK("https://stackoverflow.com/q/58771272", "58771272")</f>
        <v>58771272</v>
      </c>
      <c r="B2705" s="2" t="s">
        <v>2748</v>
      </c>
      <c r="C2705" s="3"/>
      <c r="D2705" s="3">
        <v>49.0</v>
      </c>
      <c r="E2705" s="2"/>
      <c r="F2705" s="2"/>
      <c r="G2705" s="2"/>
      <c r="H2705" s="2"/>
      <c r="I2705" s="2"/>
      <c r="J2705" s="2"/>
    </row>
    <row r="2706" ht="15.75" customHeight="1">
      <c r="A2706" s="4" t="str">
        <f>HYPERLINK("https://stackoverflow.com/q/59074292", "59074292")</f>
        <v>59074292</v>
      </c>
      <c r="B2706" s="2" t="s">
        <v>2749</v>
      </c>
      <c r="C2706" s="3"/>
      <c r="D2706" s="3">
        <v>49.0</v>
      </c>
      <c r="E2706" s="2"/>
      <c r="F2706" s="2"/>
      <c r="G2706" s="2"/>
      <c r="H2706" s="2"/>
      <c r="I2706" s="2"/>
      <c r="J2706" s="2"/>
    </row>
    <row r="2707" ht="15.75" customHeight="1">
      <c r="A2707" s="4" t="str">
        <f>HYPERLINK("https://stackoverflow.com/q/59294324", "59294324")</f>
        <v>59294324</v>
      </c>
      <c r="B2707" s="2" t="s">
        <v>2750</v>
      </c>
      <c r="C2707" s="3"/>
      <c r="D2707" s="3">
        <v>49.0</v>
      </c>
      <c r="E2707" s="2"/>
      <c r="F2707" s="2"/>
      <c r="G2707" s="2"/>
      <c r="H2707" s="2"/>
      <c r="I2707" s="2"/>
      <c r="J2707" s="2"/>
    </row>
    <row r="2708" ht="15.75" customHeight="1">
      <c r="A2708" s="4" t="str">
        <f>HYPERLINK("https://stackoverflow.com/q/59368935", "59368935")</f>
        <v>59368935</v>
      </c>
      <c r="B2708" s="2" t="s">
        <v>2751</v>
      </c>
      <c r="C2708" s="3"/>
      <c r="D2708" s="3">
        <v>49.0</v>
      </c>
      <c r="E2708" s="2"/>
      <c r="F2708" s="2"/>
      <c r="G2708" s="2"/>
      <c r="H2708" s="2"/>
      <c r="I2708" s="2"/>
      <c r="J2708" s="2"/>
    </row>
    <row r="2709" ht="15.75" customHeight="1">
      <c r="A2709" s="4" t="str">
        <f>HYPERLINK("https://stackoverflow.com/q/59688843", "59688843")</f>
        <v>59688843</v>
      </c>
      <c r="B2709" s="2" t="s">
        <v>2752</v>
      </c>
      <c r="C2709" s="3"/>
      <c r="D2709" s="3">
        <v>49.0</v>
      </c>
      <c r="E2709" s="2"/>
      <c r="F2709" s="2"/>
      <c r="G2709" s="2"/>
      <c r="H2709" s="2"/>
      <c r="I2709" s="2"/>
      <c r="J2709" s="2"/>
    </row>
    <row r="2710" ht="15.75" customHeight="1">
      <c r="A2710" s="4" t="str">
        <f>HYPERLINK("https://stackoverflow.com/q/59854316", "59854316")</f>
        <v>59854316</v>
      </c>
      <c r="B2710" s="2" t="s">
        <v>2753</v>
      </c>
      <c r="C2710" s="3"/>
      <c r="D2710" s="3">
        <v>49.0</v>
      </c>
      <c r="E2710" s="2"/>
      <c r="F2710" s="2"/>
      <c r="G2710" s="2"/>
      <c r="H2710" s="2"/>
      <c r="I2710" s="2"/>
      <c r="J2710" s="2"/>
    </row>
    <row r="2711" ht="15.75" customHeight="1">
      <c r="A2711" s="4" t="str">
        <f>HYPERLINK("https://stackoverflow.com/q/59503337", "59503337")</f>
        <v>59503337</v>
      </c>
      <c r="B2711" s="2" t="s">
        <v>2754</v>
      </c>
      <c r="C2711" s="3">
        <v>2.0</v>
      </c>
      <c r="D2711" s="3">
        <v>48.0</v>
      </c>
      <c r="E2711" s="2"/>
      <c r="F2711" s="2"/>
      <c r="G2711" s="2"/>
      <c r="H2711" s="2"/>
      <c r="I2711" s="2"/>
      <c r="J2711" s="2"/>
    </row>
    <row r="2712" ht="15.75" customHeight="1">
      <c r="A2712" s="4" t="str">
        <f>HYPERLINK("https://stackoverflow.com/q/46874301", "46874301")</f>
        <v>46874301</v>
      </c>
      <c r="B2712" s="2" t="s">
        <v>2755</v>
      </c>
      <c r="C2712" s="3">
        <v>0.0</v>
      </c>
      <c r="D2712" s="3">
        <v>48.0</v>
      </c>
      <c r="E2712" s="9" t="s">
        <v>11</v>
      </c>
      <c r="F2712" s="2" t="s">
        <v>18</v>
      </c>
      <c r="G2712" s="2"/>
      <c r="H2712" s="2"/>
      <c r="I2712" s="2"/>
      <c r="J2712" s="2"/>
    </row>
    <row r="2713" ht="15.75" customHeight="1">
      <c r="A2713" s="4" t="str">
        <f>HYPERLINK("https://stackoverflow.com/q/47497901", "47497901")</f>
        <v>47497901</v>
      </c>
      <c r="B2713" s="2" t="s">
        <v>2756</v>
      </c>
      <c r="C2713" s="3"/>
      <c r="D2713" s="3">
        <v>48.0</v>
      </c>
      <c r="E2713" s="2" t="s">
        <v>11</v>
      </c>
      <c r="F2713" s="2" t="s">
        <v>12</v>
      </c>
      <c r="G2713" s="2"/>
      <c r="H2713" s="2"/>
      <c r="I2713" s="2"/>
      <c r="J2713" s="2"/>
    </row>
    <row r="2714" ht="15.75" customHeight="1">
      <c r="A2714" s="4" t="str">
        <f>HYPERLINK("https://stackoverflow.com/q/54235734", "54235734")</f>
        <v>54235734</v>
      </c>
      <c r="B2714" s="2" t="s">
        <v>2757</v>
      </c>
      <c r="C2714" s="3"/>
      <c r="D2714" s="3">
        <v>48.0</v>
      </c>
      <c r="E2714" s="9" t="s">
        <v>11</v>
      </c>
      <c r="F2714" s="2" t="s">
        <v>18</v>
      </c>
      <c r="G2714" s="2"/>
      <c r="H2714" s="2"/>
      <c r="I2714" s="2"/>
      <c r="J2714" s="2"/>
    </row>
    <row r="2715" ht="15.75" customHeight="1">
      <c r="A2715" s="4" t="str">
        <f>HYPERLINK("https://stackoverflow.com/q/55571946", "55571946")</f>
        <v>55571946</v>
      </c>
      <c r="B2715" s="2" t="s">
        <v>2758</v>
      </c>
      <c r="C2715" s="3"/>
      <c r="D2715" s="3">
        <v>48.0</v>
      </c>
      <c r="E2715" s="2" t="s">
        <v>11</v>
      </c>
      <c r="F2715" s="2" t="s">
        <v>12</v>
      </c>
      <c r="G2715" s="2"/>
      <c r="H2715" s="2"/>
      <c r="I2715" s="2"/>
      <c r="J2715" s="2"/>
    </row>
    <row r="2716" ht="15.75" customHeight="1">
      <c r="A2716" s="4" t="str">
        <f>HYPERLINK("https://stackoverflow.com/q/61331112", "61331112")</f>
        <v>61331112</v>
      </c>
      <c r="B2716" s="2" t="s">
        <v>2759</v>
      </c>
      <c r="C2716" s="3"/>
      <c r="D2716" s="3">
        <v>48.0</v>
      </c>
      <c r="E2716" s="2" t="s">
        <v>11</v>
      </c>
      <c r="F2716" s="2" t="s">
        <v>67</v>
      </c>
      <c r="G2716" s="2"/>
      <c r="H2716" s="2"/>
      <c r="I2716" s="2"/>
      <c r="J2716" s="2"/>
    </row>
    <row r="2717" ht="15.75" customHeight="1">
      <c r="A2717" s="4" t="str">
        <f>HYPERLINK("https://stackoverflow.com/q/50851665", "50851665")</f>
        <v>50851665</v>
      </c>
      <c r="B2717" s="2" t="s">
        <v>2760</v>
      </c>
      <c r="C2717" s="3"/>
      <c r="D2717" s="3">
        <v>48.0</v>
      </c>
      <c r="E2717" s="2"/>
      <c r="F2717" s="2"/>
      <c r="G2717" s="2"/>
      <c r="H2717" s="2"/>
      <c r="I2717" s="2"/>
      <c r="J2717" s="2"/>
    </row>
    <row r="2718" ht="15.75" customHeight="1">
      <c r="A2718" s="4" t="str">
        <f>HYPERLINK("https://stackoverflow.com/q/53518146", "53518146")</f>
        <v>53518146</v>
      </c>
      <c r="B2718" s="2" t="s">
        <v>2761</v>
      </c>
      <c r="C2718" s="3"/>
      <c r="D2718" s="3">
        <v>48.0</v>
      </c>
      <c r="E2718" s="2"/>
      <c r="F2718" s="2"/>
      <c r="G2718" s="2"/>
      <c r="H2718" s="2"/>
      <c r="I2718" s="2"/>
      <c r="J2718" s="2"/>
    </row>
    <row r="2719" ht="15.75" customHeight="1">
      <c r="A2719" s="4" t="str">
        <f>HYPERLINK("https://stackoverflow.com/q/56205989", "56205989")</f>
        <v>56205989</v>
      </c>
      <c r="B2719" s="2" t="s">
        <v>2762</v>
      </c>
      <c r="C2719" s="3"/>
      <c r="D2719" s="3">
        <v>48.0</v>
      </c>
      <c r="E2719" s="2"/>
      <c r="F2719" s="2"/>
      <c r="G2719" s="2"/>
      <c r="H2719" s="2"/>
      <c r="I2719" s="2"/>
      <c r="J2719" s="2"/>
    </row>
    <row r="2720" ht="15.75" customHeight="1">
      <c r="A2720" s="4" t="str">
        <f>HYPERLINK("https://stackoverflow.com/q/56797769", "56797769")</f>
        <v>56797769</v>
      </c>
      <c r="B2720" s="2" t="s">
        <v>2763</v>
      </c>
      <c r="C2720" s="3"/>
      <c r="D2720" s="3">
        <v>48.0</v>
      </c>
      <c r="E2720" s="2"/>
      <c r="F2720" s="2"/>
      <c r="G2720" s="2"/>
      <c r="H2720" s="2"/>
      <c r="I2720" s="2"/>
      <c r="J2720" s="2"/>
    </row>
    <row r="2721" ht="15.75" customHeight="1">
      <c r="A2721" s="4" t="str">
        <f>HYPERLINK("https://stackoverflow.com/q/57218185", "57218185")</f>
        <v>57218185</v>
      </c>
      <c r="B2721" s="2" t="s">
        <v>2764</v>
      </c>
      <c r="C2721" s="3"/>
      <c r="D2721" s="3">
        <v>48.0</v>
      </c>
      <c r="E2721" s="2"/>
      <c r="F2721" s="2"/>
      <c r="G2721" s="2"/>
      <c r="H2721" s="2"/>
      <c r="I2721" s="2"/>
      <c r="J2721" s="2"/>
    </row>
    <row r="2722" ht="15.75" customHeight="1">
      <c r="A2722" s="4" t="str">
        <f>HYPERLINK("https://stackoverflow.com/q/57579133", "57579133")</f>
        <v>57579133</v>
      </c>
      <c r="B2722" s="2" t="s">
        <v>2765</v>
      </c>
      <c r="C2722" s="3"/>
      <c r="D2722" s="3">
        <v>48.0</v>
      </c>
      <c r="E2722" s="2"/>
      <c r="F2722" s="2"/>
      <c r="G2722" s="2"/>
      <c r="H2722" s="2"/>
      <c r="I2722" s="2"/>
      <c r="J2722" s="2"/>
    </row>
    <row r="2723" ht="15.75" customHeight="1">
      <c r="A2723" s="4" t="str">
        <f>HYPERLINK("https://stackoverflow.com/q/57599780", "57599780")</f>
        <v>57599780</v>
      </c>
      <c r="B2723" s="2" t="s">
        <v>2766</v>
      </c>
      <c r="C2723" s="3"/>
      <c r="D2723" s="3">
        <v>48.0</v>
      </c>
      <c r="E2723" s="2"/>
      <c r="F2723" s="2"/>
      <c r="G2723" s="2"/>
      <c r="H2723" s="2"/>
      <c r="I2723" s="2"/>
      <c r="J2723" s="2"/>
    </row>
    <row r="2724" ht="15.75" customHeight="1">
      <c r="A2724" s="4" t="str">
        <f>HYPERLINK("https://stackoverflow.com/q/57811097", "57811097")</f>
        <v>57811097</v>
      </c>
      <c r="B2724" s="2" t="s">
        <v>2767</v>
      </c>
      <c r="C2724" s="3"/>
      <c r="D2724" s="3">
        <v>48.0</v>
      </c>
      <c r="E2724" s="2"/>
      <c r="F2724" s="2"/>
      <c r="G2724" s="2"/>
      <c r="H2724" s="2"/>
      <c r="I2724" s="2"/>
      <c r="J2724" s="2"/>
    </row>
    <row r="2725" ht="15.75" customHeight="1">
      <c r="A2725" s="4" t="str">
        <f>HYPERLINK("https://stackoverflow.com/q/58025822", "58025822")</f>
        <v>58025822</v>
      </c>
      <c r="B2725" s="2" t="s">
        <v>2768</v>
      </c>
      <c r="C2725" s="3"/>
      <c r="D2725" s="3">
        <v>48.0</v>
      </c>
      <c r="E2725" s="2"/>
      <c r="F2725" s="2"/>
      <c r="G2725" s="2"/>
      <c r="H2725" s="2"/>
      <c r="I2725" s="2"/>
      <c r="J2725" s="2"/>
    </row>
    <row r="2726" ht="15.75" customHeight="1">
      <c r="A2726" s="4" t="str">
        <f>HYPERLINK("https://stackoverflow.com/q/58294034", "58294034")</f>
        <v>58294034</v>
      </c>
      <c r="B2726" s="2" t="s">
        <v>2769</v>
      </c>
      <c r="C2726" s="3"/>
      <c r="D2726" s="3">
        <v>48.0</v>
      </c>
      <c r="E2726" s="2"/>
      <c r="F2726" s="2"/>
      <c r="G2726" s="2"/>
      <c r="H2726" s="2"/>
      <c r="I2726" s="2"/>
      <c r="J2726" s="2"/>
    </row>
    <row r="2727" ht="15.75" customHeight="1">
      <c r="A2727" s="4" t="str">
        <f>HYPERLINK("https://stackoverflow.com/q/58360160", "58360160")</f>
        <v>58360160</v>
      </c>
      <c r="B2727" s="2" t="s">
        <v>2770</v>
      </c>
      <c r="C2727" s="3"/>
      <c r="D2727" s="3">
        <v>48.0</v>
      </c>
      <c r="E2727" s="2"/>
      <c r="F2727" s="2"/>
      <c r="G2727" s="2"/>
      <c r="H2727" s="2"/>
      <c r="I2727" s="2"/>
      <c r="J2727" s="2"/>
    </row>
    <row r="2728" ht="15.75" customHeight="1">
      <c r="A2728" s="4" t="str">
        <f>HYPERLINK("https://stackoverflow.com/q/59058293", "59058293")</f>
        <v>59058293</v>
      </c>
      <c r="B2728" s="2" t="s">
        <v>2771</v>
      </c>
      <c r="C2728" s="3"/>
      <c r="D2728" s="3">
        <v>48.0</v>
      </c>
      <c r="E2728" s="2"/>
      <c r="F2728" s="2"/>
      <c r="G2728" s="2"/>
      <c r="H2728" s="2"/>
      <c r="I2728" s="2"/>
      <c r="J2728" s="2"/>
    </row>
    <row r="2729" ht="15.75" customHeight="1">
      <c r="A2729" s="4" t="str">
        <f>HYPERLINK("https://stackoverflow.com/q/59212588", "59212588")</f>
        <v>59212588</v>
      </c>
      <c r="B2729" s="2" t="s">
        <v>2772</v>
      </c>
      <c r="C2729" s="3"/>
      <c r="D2729" s="3">
        <v>48.0</v>
      </c>
      <c r="E2729" s="2"/>
      <c r="F2729" s="2"/>
      <c r="G2729" s="2"/>
      <c r="H2729" s="2"/>
      <c r="I2729" s="2"/>
      <c r="J2729" s="2"/>
    </row>
    <row r="2730" ht="15.75" customHeight="1">
      <c r="A2730" s="4" t="str">
        <f>HYPERLINK("https://stackoverflow.com/q/59371835", "59371835")</f>
        <v>59371835</v>
      </c>
      <c r="B2730" s="2" t="s">
        <v>2773</v>
      </c>
      <c r="C2730" s="3"/>
      <c r="D2730" s="3">
        <v>48.0</v>
      </c>
      <c r="E2730" s="2"/>
      <c r="F2730" s="2"/>
      <c r="G2730" s="2"/>
      <c r="H2730" s="2"/>
      <c r="I2730" s="2"/>
      <c r="J2730" s="2"/>
    </row>
    <row r="2731" ht="15.75" customHeight="1">
      <c r="A2731" s="4" t="str">
        <f>HYPERLINK("https://stackoverflow.com/q/60152570", "60152570")</f>
        <v>60152570</v>
      </c>
      <c r="B2731" s="2" t="s">
        <v>2774</v>
      </c>
      <c r="C2731" s="3"/>
      <c r="D2731" s="3">
        <v>48.0</v>
      </c>
      <c r="E2731" s="2"/>
      <c r="F2731" s="2"/>
      <c r="G2731" s="2"/>
      <c r="H2731" s="2"/>
      <c r="I2731" s="2"/>
      <c r="J2731" s="2"/>
    </row>
    <row r="2732" ht="15.75" customHeight="1">
      <c r="A2732" s="4" t="str">
        <f>HYPERLINK("https://stackoverflow.com/q/61021604", "61021604")</f>
        <v>61021604</v>
      </c>
      <c r="B2732" s="2" t="s">
        <v>2775</v>
      </c>
      <c r="C2732" s="3"/>
      <c r="D2732" s="3">
        <v>48.0</v>
      </c>
      <c r="E2732" s="2"/>
      <c r="F2732" s="2"/>
      <c r="G2732" s="2"/>
      <c r="H2732" s="2"/>
      <c r="I2732" s="2"/>
      <c r="J2732" s="2"/>
    </row>
    <row r="2733" ht="15.75" customHeight="1">
      <c r="A2733" s="4" t="str">
        <f>HYPERLINK("https://stackoverflow.com/q/53961151", "53961151")</f>
        <v>53961151</v>
      </c>
      <c r="B2733" s="2" t="s">
        <v>2776</v>
      </c>
      <c r="C2733" s="3"/>
      <c r="D2733" s="3">
        <v>47.0</v>
      </c>
      <c r="E2733" s="2" t="s">
        <v>11</v>
      </c>
      <c r="F2733" s="2" t="s">
        <v>67</v>
      </c>
      <c r="G2733" s="2" t="s">
        <v>56</v>
      </c>
      <c r="H2733" s="2"/>
      <c r="I2733" s="2"/>
      <c r="J2733" s="2"/>
    </row>
    <row r="2734" ht="15.75" customHeight="1">
      <c r="A2734" s="4" t="str">
        <f>HYPERLINK("https://stackoverflow.com/q/54900592", "54900592")</f>
        <v>54900592</v>
      </c>
      <c r="B2734" s="2" t="s">
        <v>2777</v>
      </c>
      <c r="C2734" s="3"/>
      <c r="D2734" s="3">
        <v>47.0</v>
      </c>
      <c r="E2734" s="2" t="s">
        <v>11</v>
      </c>
      <c r="F2734" s="2" t="s">
        <v>21</v>
      </c>
      <c r="G2734" s="2"/>
      <c r="H2734" s="2"/>
      <c r="I2734" s="2"/>
      <c r="J2734" s="2"/>
    </row>
    <row r="2735" ht="15.75" customHeight="1">
      <c r="A2735" s="4" t="str">
        <f>HYPERLINK("https://stackoverflow.com/q/55196502", "55196502")</f>
        <v>55196502</v>
      </c>
      <c r="B2735" s="2" t="s">
        <v>2778</v>
      </c>
      <c r="C2735" s="3"/>
      <c r="D2735" s="3">
        <v>47.0</v>
      </c>
      <c r="E2735" s="9" t="s">
        <v>11</v>
      </c>
      <c r="F2735" s="2" t="s">
        <v>16</v>
      </c>
      <c r="G2735" s="2"/>
      <c r="H2735" s="2"/>
      <c r="I2735" s="2"/>
      <c r="J2735" s="2"/>
    </row>
    <row r="2736" ht="15.75" customHeight="1">
      <c r="A2736" s="4" t="str">
        <f>HYPERLINK("https://stackoverflow.com/q/32726040", "32726040")</f>
        <v>32726040</v>
      </c>
      <c r="B2736" s="2" t="s">
        <v>2779</v>
      </c>
      <c r="C2736" s="3"/>
      <c r="D2736" s="3">
        <v>47.0</v>
      </c>
      <c r="E2736" s="2"/>
      <c r="F2736" s="2"/>
      <c r="G2736" s="2"/>
      <c r="H2736" s="2"/>
      <c r="I2736" s="2"/>
      <c r="J2736" s="2"/>
    </row>
    <row r="2737" ht="15.75" customHeight="1">
      <c r="A2737" s="4" t="str">
        <f>HYPERLINK("https://stackoverflow.com/q/40555797", "40555797")</f>
        <v>40555797</v>
      </c>
      <c r="B2737" s="2" t="s">
        <v>2780</v>
      </c>
      <c r="C2737" s="3"/>
      <c r="D2737" s="3">
        <v>47.0</v>
      </c>
      <c r="E2737" s="2"/>
      <c r="F2737" s="2"/>
      <c r="G2737" s="2"/>
      <c r="H2737" s="2"/>
      <c r="I2737" s="2"/>
      <c r="J2737" s="2"/>
    </row>
    <row r="2738" ht="15.75" customHeight="1">
      <c r="A2738" s="4" t="str">
        <f>HYPERLINK("https://stackoverflow.com/q/52753965", "52753965")</f>
        <v>52753965</v>
      </c>
      <c r="B2738" s="2" t="s">
        <v>2781</v>
      </c>
      <c r="C2738" s="3"/>
      <c r="D2738" s="3">
        <v>47.0</v>
      </c>
      <c r="E2738" s="2"/>
      <c r="F2738" s="2"/>
      <c r="G2738" s="2"/>
      <c r="H2738" s="2"/>
      <c r="I2738" s="2"/>
      <c r="J2738" s="2"/>
    </row>
    <row r="2739" ht="15.75" customHeight="1">
      <c r="A2739" s="4" t="str">
        <f>HYPERLINK("https://stackoverflow.com/q/53015958", "53015958")</f>
        <v>53015958</v>
      </c>
      <c r="B2739" s="2" t="s">
        <v>2782</v>
      </c>
      <c r="C2739" s="3"/>
      <c r="D2739" s="3">
        <v>47.0</v>
      </c>
      <c r="E2739" s="2"/>
      <c r="F2739" s="2"/>
      <c r="G2739" s="2"/>
      <c r="H2739" s="2"/>
      <c r="I2739" s="2"/>
      <c r="J2739" s="2"/>
    </row>
    <row r="2740" ht="15.75" customHeight="1">
      <c r="A2740" s="4" t="str">
        <f>HYPERLINK("https://stackoverflow.com/q/56116677", "56116677")</f>
        <v>56116677</v>
      </c>
      <c r="B2740" s="2" t="s">
        <v>2783</v>
      </c>
      <c r="C2740" s="3"/>
      <c r="D2740" s="3">
        <v>47.0</v>
      </c>
      <c r="E2740" s="2"/>
      <c r="F2740" s="2"/>
      <c r="G2740" s="2"/>
      <c r="H2740" s="2"/>
      <c r="I2740" s="2"/>
      <c r="J2740" s="2"/>
    </row>
    <row r="2741" ht="15.75" customHeight="1">
      <c r="A2741" s="4" t="str">
        <f>HYPERLINK("https://stackoverflow.com/q/56403311", "56403311")</f>
        <v>56403311</v>
      </c>
      <c r="B2741" s="2" t="s">
        <v>2784</v>
      </c>
      <c r="C2741" s="3"/>
      <c r="D2741" s="3">
        <v>47.0</v>
      </c>
      <c r="E2741" s="2"/>
      <c r="F2741" s="2"/>
      <c r="G2741" s="2"/>
      <c r="H2741" s="2"/>
      <c r="I2741" s="2"/>
      <c r="J2741" s="2"/>
    </row>
    <row r="2742" ht="15.75" customHeight="1">
      <c r="A2742" s="4" t="str">
        <f>HYPERLINK("https://stackoverflow.com/q/57012762", "57012762")</f>
        <v>57012762</v>
      </c>
      <c r="B2742" s="2" t="s">
        <v>2785</v>
      </c>
      <c r="C2742" s="3"/>
      <c r="D2742" s="3">
        <v>47.0</v>
      </c>
      <c r="E2742" s="2"/>
      <c r="F2742" s="2"/>
      <c r="G2742" s="2"/>
      <c r="H2742" s="2"/>
      <c r="I2742" s="2"/>
      <c r="J2742" s="2"/>
    </row>
    <row r="2743" ht="15.75" customHeight="1">
      <c r="A2743" s="4" t="str">
        <f>HYPERLINK("https://stackoverflow.com/q/57419147", "57419147")</f>
        <v>57419147</v>
      </c>
      <c r="B2743" s="2" t="s">
        <v>2786</v>
      </c>
      <c r="C2743" s="3"/>
      <c r="D2743" s="3">
        <v>47.0</v>
      </c>
      <c r="E2743" s="2"/>
      <c r="F2743" s="2"/>
      <c r="G2743" s="2"/>
      <c r="H2743" s="2"/>
      <c r="I2743" s="2"/>
      <c r="J2743" s="2"/>
    </row>
    <row r="2744" ht="15.75" customHeight="1">
      <c r="A2744" s="4" t="str">
        <f>HYPERLINK("https://stackoverflow.com/q/57941287", "57941287")</f>
        <v>57941287</v>
      </c>
      <c r="B2744" s="2" t="s">
        <v>2787</v>
      </c>
      <c r="C2744" s="3"/>
      <c r="D2744" s="3">
        <v>47.0</v>
      </c>
      <c r="E2744" s="2"/>
      <c r="F2744" s="2"/>
      <c r="G2744" s="2"/>
      <c r="H2744" s="2"/>
      <c r="I2744" s="2"/>
      <c r="J2744" s="2"/>
    </row>
    <row r="2745" ht="15.75" customHeight="1">
      <c r="A2745" s="4" t="str">
        <f>HYPERLINK("https://stackoverflow.com/q/58333964", "58333964")</f>
        <v>58333964</v>
      </c>
      <c r="B2745" s="2" t="s">
        <v>2788</v>
      </c>
      <c r="C2745" s="3"/>
      <c r="D2745" s="3">
        <v>47.0</v>
      </c>
      <c r="E2745" s="2"/>
      <c r="F2745" s="2"/>
      <c r="G2745" s="2"/>
      <c r="H2745" s="2"/>
      <c r="I2745" s="2"/>
      <c r="J2745" s="2"/>
    </row>
    <row r="2746" ht="15.75" customHeight="1">
      <c r="A2746" s="4" t="str">
        <f>HYPERLINK("https://stackoverflow.com/q/58378119", "58378119")</f>
        <v>58378119</v>
      </c>
      <c r="B2746" s="2" t="s">
        <v>2789</v>
      </c>
      <c r="C2746" s="3"/>
      <c r="D2746" s="3">
        <v>47.0</v>
      </c>
      <c r="E2746" s="2"/>
      <c r="F2746" s="2"/>
      <c r="G2746" s="2"/>
      <c r="H2746" s="2"/>
      <c r="I2746" s="2"/>
      <c r="J2746" s="2"/>
    </row>
    <row r="2747" ht="15.75" customHeight="1">
      <c r="A2747" s="4" t="str">
        <f>HYPERLINK("https://stackoverflow.com/q/58712877", "58712877")</f>
        <v>58712877</v>
      </c>
      <c r="B2747" s="2" t="s">
        <v>2790</v>
      </c>
      <c r="C2747" s="3"/>
      <c r="D2747" s="3">
        <v>47.0</v>
      </c>
      <c r="E2747" s="2"/>
      <c r="F2747" s="2"/>
      <c r="G2747" s="2"/>
      <c r="H2747" s="2"/>
      <c r="I2747" s="2"/>
      <c r="J2747" s="2"/>
    </row>
    <row r="2748" ht="15.75" customHeight="1">
      <c r="A2748" s="4" t="str">
        <f>HYPERLINK("https://stackoverflow.com/q/58840472", "58840472")</f>
        <v>58840472</v>
      </c>
      <c r="B2748" s="2" t="s">
        <v>2791</v>
      </c>
      <c r="C2748" s="3"/>
      <c r="D2748" s="3">
        <v>47.0</v>
      </c>
      <c r="E2748" s="2"/>
      <c r="F2748" s="2"/>
      <c r="G2748" s="2"/>
      <c r="H2748" s="2"/>
      <c r="I2748" s="2"/>
      <c r="J2748" s="2"/>
    </row>
    <row r="2749" ht="15.75" customHeight="1">
      <c r="A2749" s="4" t="str">
        <f>HYPERLINK("https://stackoverflow.com/q/58927398", "58927398")</f>
        <v>58927398</v>
      </c>
      <c r="B2749" s="2" t="s">
        <v>2792</v>
      </c>
      <c r="C2749" s="3"/>
      <c r="D2749" s="3">
        <v>47.0</v>
      </c>
      <c r="E2749" s="2"/>
      <c r="F2749" s="2"/>
      <c r="G2749" s="2"/>
      <c r="H2749" s="2"/>
      <c r="I2749" s="2"/>
      <c r="J2749" s="2"/>
    </row>
    <row r="2750" ht="15.75" customHeight="1">
      <c r="A2750" s="4" t="str">
        <f>HYPERLINK("https://stackoverflow.com/q/59548023", "59548023")</f>
        <v>59548023</v>
      </c>
      <c r="B2750" s="2" t="s">
        <v>2793</v>
      </c>
      <c r="C2750" s="3"/>
      <c r="D2750" s="3">
        <v>47.0</v>
      </c>
      <c r="E2750" s="2"/>
      <c r="F2750" s="2"/>
      <c r="G2750" s="2"/>
      <c r="H2750" s="2"/>
      <c r="I2750" s="2"/>
      <c r="J2750" s="2"/>
    </row>
    <row r="2751" ht="15.75" customHeight="1">
      <c r="A2751" s="4" t="str">
        <f>HYPERLINK("https://stackoverflow.com/q/59865860", "59865860")</f>
        <v>59865860</v>
      </c>
      <c r="B2751" s="2" t="s">
        <v>2794</v>
      </c>
      <c r="C2751" s="3"/>
      <c r="D2751" s="3">
        <v>47.0</v>
      </c>
      <c r="E2751" s="2"/>
      <c r="F2751" s="2"/>
      <c r="G2751" s="2"/>
      <c r="H2751" s="2"/>
      <c r="I2751" s="2"/>
      <c r="J2751" s="2"/>
    </row>
    <row r="2752" ht="15.75" customHeight="1">
      <c r="A2752" s="4" t="str">
        <f>HYPERLINK("https://stackoverflow.com/q/59869618", "59869618")</f>
        <v>59869618</v>
      </c>
      <c r="B2752" s="2" t="s">
        <v>2795</v>
      </c>
      <c r="C2752" s="3"/>
      <c r="D2752" s="3">
        <v>47.0</v>
      </c>
      <c r="E2752" s="2"/>
      <c r="F2752" s="2"/>
      <c r="G2752" s="2"/>
      <c r="H2752" s="2"/>
      <c r="I2752" s="2"/>
      <c r="J2752" s="2"/>
    </row>
    <row r="2753" ht="15.75" customHeight="1">
      <c r="A2753" s="4" t="str">
        <f>HYPERLINK("https://stackoverflow.com/q/60312818", "60312818")</f>
        <v>60312818</v>
      </c>
      <c r="B2753" s="2" t="s">
        <v>2796</v>
      </c>
      <c r="C2753" s="3"/>
      <c r="D2753" s="3">
        <v>47.0</v>
      </c>
      <c r="E2753" s="2"/>
      <c r="F2753" s="2"/>
      <c r="G2753" s="2"/>
      <c r="H2753" s="2"/>
      <c r="I2753" s="2"/>
      <c r="J2753" s="2"/>
    </row>
    <row r="2754" ht="15.75" customHeight="1">
      <c r="A2754" s="4" t="str">
        <f>HYPERLINK("https://stackoverflow.com/q/60862896", "60862896")</f>
        <v>60862896</v>
      </c>
      <c r="B2754" s="2" t="s">
        <v>2797</v>
      </c>
      <c r="C2754" s="3"/>
      <c r="D2754" s="3">
        <v>47.0</v>
      </c>
      <c r="E2754" s="2"/>
      <c r="F2754" s="2"/>
      <c r="G2754" s="2"/>
      <c r="H2754" s="2"/>
      <c r="I2754" s="2"/>
      <c r="J2754" s="2"/>
    </row>
    <row r="2755" ht="15.75" customHeight="1">
      <c r="A2755" s="4" t="str">
        <f>HYPERLINK("https://stackoverflow.com/q/60669625", "60669625")</f>
        <v>60669625</v>
      </c>
      <c r="B2755" s="2" t="s">
        <v>2798</v>
      </c>
      <c r="C2755" s="3">
        <v>1.0</v>
      </c>
      <c r="D2755" s="3">
        <v>46.0</v>
      </c>
      <c r="E2755" s="2"/>
      <c r="F2755" s="2"/>
      <c r="G2755" s="2"/>
      <c r="H2755" s="2"/>
      <c r="I2755" s="2"/>
      <c r="J2755" s="2"/>
    </row>
    <row r="2756" ht="15.75" customHeight="1">
      <c r="A2756" s="4" t="str">
        <f>HYPERLINK("https://stackoverflow.com/q/55308559", "55308559")</f>
        <v>55308559</v>
      </c>
      <c r="B2756" s="2" t="s">
        <v>2799</v>
      </c>
      <c r="C2756" s="3"/>
      <c r="D2756" s="3">
        <v>46.0</v>
      </c>
      <c r="E2756" s="2" t="s">
        <v>11</v>
      </c>
      <c r="F2756" s="2" t="s">
        <v>28</v>
      </c>
      <c r="G2756" s="2"/>
      <c r="H2756" s="2"/>
      <c r="I2756" s="2"/>
      <c r="J2756" s="2"/>
    </row>
    <row r="2757" ht="15.75" customHeight="1">
      <c r="A2757" s="4" t="str">
        <f>HYPERLINK("https://stackoverflow.com/q/61818685", "61818685")</f>
        <v>61818685</v>
      </c>
      <c r="B2757" s="2" t="s">
        <v>2800</v>
      </c>
      <c r="C2757" s="3"/>
      <c r="D2757" s="3">
        <v>46.0</v>
      </c>
      <c r="E2757" s="2" t="s">
        <v>11</v>
      </c>
      <c r="F2757" s="2" t="s">
        <v>21</v>
      </c>
      <c r="G2757" s="2"/>
      <c r="H2757" s="2"/>
      <c r="I2757" s="2"/>
      <c r="J2757" s="2"/>
    </row>
    <row r="2758" ht="15.75" customHeight="1">
      <c r="A2758" s="4" t="str">
        <f>HYPERLINK("https://stackoverflow.com/q/46369742", "46369742")</f>
        <v>46369742</v>
      </c>
      <c r="B2758" s="2" t="s">
        <v>2801</v>
      </c>
      <c r="C2758" s="3"/>
      <c r="D2758" s="3">
        <v>46.0</v>
      </c>
      <c r="E2758" s="2" t="s">
        <v>72</v>
      </c>
      <c r="F2758" s="2" t="s">
        <v>506</v>
      </c>
      <c r="G2758" s="2"/>
      <c r="H2758" s="2"/>
      <c r="I2758" s="2"/>
      <c r="J2758" s="2"/>
    </row>
    <row r="2759" ht="15.75" customHeight="1">
      <c r="A2759" s="4" t="str">
        <f>HYPERLINK("https://stackoverflow.com/q/46493441", "46493441")</f>
        <v>46493441</v>
      </c>
      <c r="B2759" s="2" t="s">
        <v>2802</v>
      </c>
      <c r="C2759" s="3"/>
      <c r="D2759" s="3">
        <v>46.0</v>
      </c>
      <c r="E2759" s="2" t="s">
        <v>72</v>
      </c>
      <c r="F2759" s="2" t="s">
        <v>506</v>
      </c>
      <c r="G2759" s="2"/>
      <c r="H2759" s="2"/>
      <c r="I2759" s="2"/>
      <c r="J2759" s="2"/>
    </row>
    <row r="2760" ht="15.75" customHeight="1">
      <c r="A2760" s="4" t="str">
        <f>HYPERLINK("https://stackoverflow.com/q/52003746", "52003746")</f>
        <v>52003746</v>
      </c>
      <c r="B2760" s="2" t="s">
        <v>2803</v>
      </c>
      <c r="C2760" s="3"/>
      <c r="D2760" s="3">
        <v>46.0</v>
      </c>
      <c r="E2760" s="2"/>
      <c r="F2760" s="2"/>
      <c r="G2760" s="2"/>
      <c r="H2760" s="2"/>
      <c r="I2760" s="2"/>
      <c r="J2760" s="2"/>
    </row>
    <row r="2761" ht="15.75" customHeight="1">
      <c r="A2761" s="4" t="str">
        <f>HYPERLINK("https://stackoverflow.com/q/53264791", "53264791")</f>
        <v>53264791</v>
      </c>
      <c r="B2761" s="2" t="s">
        <v>2804</v>
      </c>
      <c r="C2761" s="3"/>
      <c r="D2761" s="3">
        <v>46.0</v>
      </c>
      <c r="E2761" s="2"/>
      <c r="F2761" s="2"/>
      <c r="G2761" s="2"/>
      <c r="H2761" s="2"/>
      <c r="I2761" s="2"/>
      <c r="J2761" s="2"/>
    </row>
    <row r="2762" ht="15.75" customHeight="1">
      <c r="A2762" s="4" t="str">
        <f>HYPERLINK("https://stackoverflow.com/q/53734879", "53734879")</f>
        <v>53734879</v>
      </c>
      <c r="B2762" s="2" t="s">
        <v>2805</v>
      </c>
      <c r="C2762" s="3"/>
      <c r="D2762" s="3">
        <v>46.0</v>
      </c>
      <c r="E2762" s="2"/>
      <c r="F2762" s="2"/>
      <c r="G2762" s="2"/>
      <c r="H2762" s="2"/>
      <c r="I2762" s="2"/>
      <c r="J2762" s="2"/>
    </row>
    <row r="2763" ht="15.75" customHeight="1">
      <c r="A2763" s="4" t="str">
        <f>HYPERLINK("https://stackoverflow.com/q/56006287", "56006287")</f>
        <v>56006287</v>
      </c>
      <c r="B2763" s="2" t="s">
        <v>2806</v>
      </c>
      <c r="C2763" s="3"/>
      <c r="D2763" s="3">
        <v>46.0</v>
      </c>
      <c r="E2763" s="2"/>
      <c r="F2763" s="2"/>
      <c r="G2763" s="2"/>
      <c r="H2763" s="2"/>
      <c r="I2763" s="2"/>
      <c r="J2763" s="2"/>
    </row>
    <row r="2764" ht="15.75" customHeight="1">
      <c r="A2764" s="4" t="str">
        <f>HYPERLINK("https://stackoverflow.com/q/56363143", "56363143")</f>
        <v>56363143</v>
      </c>
      <c r="B2764" s="2" t="s">
        <v>2807</v>
      </c>
      <c r="C2764" s="3"/>
      <c r="D2764" s="3">
        <v>46.0</v>
      </c>
      <c r="E2764" s="2"/>
      <c r="F2764" s="2"/>
      <c r="G2764" s="2"/>
      <c r="H2764" s="2"/>
      <c r="I2764" s="2"/>
      <c r="J2764" s="2"/>
    </row>
    <row r="2765" ht="15.75" customHeight="1">
      <c r="A2765" s="4" t="str">
        <f>HYPERLINK("https://stackoverflow.com/q/57422643", "57422643")</f>
        <v>57422643</v>
      </c>
      <c r="B2765" s="2" t="s">
        <v>2808</v>
      </c>
      <c r="C2765" s="3"/>
      <c r="D2765" s="3">
        <v>46.0</v>
      </c>
      <c r="E2765" s="2"/>
      <c r="F2765" s="2"/>
      <c r="G2765" s="2"/>
      <c r="H2765" s="2"/>
      <c r="I2765" s="2"/>
      <c r="J2765" s="2"/>
    </row>
    <row r="2766" ht="15.75" customHeight="1">
      <c r="A2766" s="4" t="str">
        <f>HYPERLINK("https://stackoverflow.com/q/57713713", "57713713")</f>
        <v>57713713</v>
      </c>
      <c r="B2766" s="2" t="s">
        <v>2809</v>
      </c>
      <c r="C2766" s="3"/>
      <c r="D2766" s="3">
        <v>46.0</v>
      </c>
      <c r="E2766" s="2"/>
      <c r="F2766" s="2"/>
      <c r="G2766" s="2"/>
      <c r="H2766" s="2"/>
      <c r="I2766" s="2"/>
      <c r="J2766" s="2"/>
    </row>
    <row r="2767" ht="15.75" customHeight="1">
      <c r="A2767" s="4" t="str">
        <f>HYPERLINK("https://stackoverflow.com/q/58004108", "58004108")</f>
        <v>58004108</v>
      </c>
      <c r="B2767" s="2" t="s">
        <v>2810</v>
      </c>
      <c r="C2767" s="3"/>
      <c r="D2767" s="3">
        <v>46.0</v>
      </c>
      <c r="E2767" s="2"/>
      <c r="F2767" s="2"/>
      <c r="G2767" s="2"/>
      <c r="H2767" s="2"/>
      <c r="I2767" s="2"/>
      <c r="J2767" s="2"/>
    </row>
    <row r="2768" ht="15.75" customHeight="1">
      <c r="A2768" s="4" t="str">
        <f>HYPERLINK("https://stackoverflow.com/q/58325530", "58325530")</f>
        <v>58325530</v>
      </c>
      <c r="B2768" s="2" t="s">
        <v>2811</v>
      </c>
      <c r="C2768" s="3"/>
      <c r="D2768" s="3">
        <v>46.0</v>
      </c>
      <c r="E2768" s="2"/>
      <c r="F2768" s="2"/>
      <c r="G2768" s="2"/>
      <c r="H2768" s="2"/>
      <c r="I2768" s="2"/>
      <c r="J2768" s="2"/>
    </row>
    <row r="2769" ht="15.75" customHeight="1">
      <c r="A2769" s="4" t="str">
        <f>HYPERLINK("https://stackoverflow.com/q/58580506", "58580506")</f>
        <v>58580506</v>
      </c>
      <c r="B2769" s="2" t="s">
        <v>2812</v>
      </c>
      <c r="C2769" s="3"/>
      <c r="D2769" s="3">
        <v>46.0</v>
      </c>
      <c r="E2769" s="2"/>
      <c r="F2769" s="2"/>
      <c r="G2769" s="2"/>
      <c r="H2769" s="2"/>
      <c r="I2769" s="2"/>
      <c r="J2769" s="2"/>
    </row>
    <row r="2770" ht="15.75" customHeight="1">
      <c r="A2770" s="4" t="str">
        <f>HYPERLINK("https://stackoverflow.com/q/58956948", "58956948")</f>
        <v>58956948</v>
      </c>
      <c r="B2770" s="2" t="s">
        <v>2813</v>
      </c>
      <c r="C2770" s="3"/>
      <c r="D2770" s="3">
        <v>46.0</v>
      </c>
      <c r="E2770" s="2"/>
      <c r="F2770" s="2"/>
      <c r="G2770" s="2"/>
      <c r="H2770" s="2"/>
      <c r="I2770" s="2"/>
      <c r="J2770" s="2"/>
    </row>
    <row r="2771" ht="15.75" customHeight="1">
      <c r="A2771" s="4" t="str">
        <f>HYPERLINK("https://stackoverflow.com/q/59368495", "59368495")</f>
        <v>59368495</v>
      </c>
      <c r="B2771" s="2" t="s">
        <v>2814</v>
      </c>
      <c r="C2771" s="3"/>
      <c r="D2771" s="3">
        <v>46.0</v>
      </c>
      <c r="E2771" s="2"/>
      <c r="F2771" s="2"/>
      <c r="G2771" s="2"/>
      <c r="H2771" s="2"/>
      <c r="I2771" s="2"/>
      <c r="J2771" s="2"/>
    </row>
    <row r="2772" ht="15.75" customHeight="1">
      <c r="A2772" s="4" t="str">
        <f>HYPERLINK("https://stackoverflow.com/q/59845710", "59845710")</f>
        <v>59845710</v>
      </c>
      <c r="B2772" s="2" t="s">
        <v>2815</v>
      </c>
      <c r="C2772" s="3"/>
      <c r="D2772" s="3">
        <v>46.0</v>
      </c>
      <c r="E2772" s="2"/>
      <c r="F2772" s="2"/>
      <c r="G2772" s="2"/>
      <c r="H2772" s="2"/>
      <c r="I2772" s="2"/>
      <c r="J2772" s="2"/>
    </row>
    <row r="2773" ht="15.75" customHeight="1">
      <c r="A2773" s="4" t="str">
        <f>HYPERLINK("https://stackoverflow.com/q/59199858", "59199858")</f>
        <v>59199858</v>
      </c>
      <c r="B2773" s="2" t="s">
        <v>2816</v>
      </c>
      <c r="C2773" s="3">
        <v>1.0</v>
      </c>
      <c r="D2773" s="3">
        <v>45.0</v>
      </c>
      <c r="E2773" s="2"/>
      <c r="F2773" s="2"/>
      <c r="G2773" s="2"/>
      <c r="H2773" s="2"/>
      <c r="I2773" s="2"/>
      <c r="J2773" s="2"/>
    </row>
    <row r="2774" ht="15.75" customHeight="1">
      <c r="A2774" s="4" t="str">
        <f>HYPERLINK("https://stackoverflow.com/q/44178802", "44178802")</f>
        <v>44178802</v>
      </c>
      <c r="B2774" s="2" t="s">
        <v>2817</v>
      </c>
      <c r="C2774" s="3"/>
      <c r="D2774" s="3">
        <v>45.0</v>
      </c>
      <c r="E2774" s="2" t="s">
        <v>11</v>
      </c>
      <c r="F2774" s="2" t="s">
        <v>25</v>
      </c>
      <c r="G2774" s="2" t="s">
        <v>12</v>
      </c>
      <c r="H2774" s="2"/>
      <c r="I2774" s="2"/>
      <c r="J2774" s="2"/>
    </row>
    <row r="2775" ht="15.75" customHeight="1">
      <c r="A2775" s="4" t="str">
        <f>HYPERLINK("https://stackoverflow.com/q/54951696", "54951696")</f>
        <v>54951696</v>
      </c>
      <c r="B2775" s="2" t="s">
        <v>2818</v>
      </c>
      <c r="C2775" s="3"/>
      <c r="D2775" s="3">
        <v>45.0</v>
      </c>
      <c r="E2775" s="2" t="s">
        <v>11</v>
      </c>
      <c r="F2775" s="2" t="s">
        <v>25</v>
      </c>
      <c r="G2775" s="2"/>
      <c r="H2775" s="2"/>
      <c r="I2775" s="2"/>
      <c r="J2775" s="2"/>
    </row>
    <row r="2776" ht="15.75" customHeight="1">
      <c r="A2776" s="4" t="str">
        <f>HYPERLINK("https://stackoverflow.com/q/48981236", "48981236")</f>
        <v>48981236</v>
      </c>
      <c r="B2776" s="2" t="s">
        <v>2819</v>
      </c>
      <c r="C2776" s="3"/>
      <c r="D2776" s="3">
        <v>45.0</v>
      </c>
      <c r="E2776" s="2"/>
      <c r="F2776" s="2"/>
      <c r="G2776" s="2"/>
      <c r="H2776" s="2"/>
      <c r="I2776" s="2"/>
      <c r="J2776" s="2"/>
    </row>
    <row r="2777" ht="15.75" customHeight="1">
      <c r="A2777" s="4" t="str">
        <f>HYPERLINK("https://stackoverflow.com/q/52287773", "52287773")</f>
        <v>52287773</v>
      </c>
      <c r="B2777" s="2" t="s">
        <v>2820</v>
      </c>
      <c r="C2777" s="3"/>
      <c r="D2777" s="3">
        <v>45.0</v>
      </c>
      <c r="E2777" s="2"/>
      <c r="F2777" s="2"/>
      <c r="G2777" s="2"/>
      <c r="H2777" s="2"/>
      <c r="I2777" s="2"/>
      <c r="J2777" s="2"/>
    </row>
    <row r="2778" ht="15.75" customHeight="1">
      <c r="A2778" s="4" t="str">
        <f>HYPERLINK("https://stackoverflow.com/q/52427085", "52427085")</f>
        <v>52427085</v>
      </c>
      <c r="B2778" s="2" t="s">
        <v>2821</v>
      </c>
      <c r="C2778" s="3"/>
      <c r="D2778" s="3">
        <v>45.0</v>
      </c>
      <c r="E2778" s="2"/>
      <c r="F2778" s="2"/>
      <c r="G2778" s="2"/>
      <c r="H2778" s="2"/>
      <c r="I2778" s="2"/>
      <c r="J2778" s="2"/>
    </row>
    <row r="2779" ht="15.75" customHeight="1">
      <c r="A2779" s="4" t="str">
        <f>HYPERLINK("https://stackoverflow.com/q/52737691", "52737691")</f>
        <v>52737691</v>
      </c>
      <c r="B2779" s="2" t="s">
        <v>2822</v>
      </c>
      <c r="C2779" s="3"/>
      <c r="D2779" s="3">
        <v>45.0</v>
      </c>
      <c r="E2779" s="2"/>
      <c r="F2779" s="2"/>
      <c r="G2779" s="2"/>
      <c r="H2779" s="2"/>
      <c r="I2779" s="2"/>
      <c r="J2779" s="2"/>
    </row>
    <row r="2780" ht="15.75" customHeight="1">
      <c r="A2780" s="4" t="str">
        <f>HYPERLINK("https://stackoverflow.com/q/54744615", "54744615")</f>
        <v>54744615</v>
      </c>
      <c r="B2780" s="2" t="s">
        <v>2823</v>
      </c>
      <c r="C2780" s="3"/>
      <c r="D2780" s="3">
        <v>45.0</v>
      </c>
      <c r="E2780" s="2"/>
      <c r="F2780" s="2"/>
      <c r="G2780" s="2"/>
      <c r="H2780" s="2"/>
      <c r="I2780" s="2"/>
      <c r="J2780" s="2"/>
    </row>
    <row r="2781" ht="15.75" customHeight="1">
      <c r="A2781" s="4" t="str">
        <f>HYPERLINK("https://stackoverflow.com/q/56587997", "56587997")</f>
        <v>56587997</v>
      </c>
      <c r="B2781" s="2" t="s">
        <v>2824</v>
      </c>
      <c r="C2781" s="3"/>
      <c r="D2781" s="3">
        <v>45.0</v>
      </c>
      <c r="E2781" s="2"/>
      <c r="F2781" s="2"/>
      <c r="G2781" s="2"/>
      <c r="H2781" s="2"/>
      <c r="I2781" s="2"/>
      <c r="J2781" s="2"/>
    </row>
    <row r="2782" ht="15.75" customHeight="1">
      <c r="A2782" s="4" t="str">
        <f>HYPERLINK("https://stackoverflow.com/q/56649946", "56649946")</f>
        <v>56649946</v>
      </c>
      <c r="B2782" s="2" t="s">
        <v>2825</v>
      </c>
      <c r="C2782" s="3"/>
      <c r="D2782" s="3">
        <v>45.0</v>
      </c>
      <c r="E2782" s="2"/>
      <c r="F2782" s="2"/>
      <c r="G2782" s="2"/>
      <c r="H2782" s="2"/>
      <c r="I2782" s="2"/>
      <c r="J2782" s="2"/>
    </row>
    <row r="2783" ht="15.75" customHeight="1">
      <c r="A2783" s="4" t="str">
        <f>HYPERLINK("https://stackoverflow.com/q/56675025", "56675025")</f>
        <v>56675025</v>
      </c>
      <c r="B2783" s="2" t="s">
        <v>2826</v>
      </c>
      <c r="C2783" s="3"/>
      <c r="D2783" s="3">
        <v>45.0</v>
      </c>
      <c r="E2783" s="2"/>
      <c r="F2783" s="2"/>
      <c r="G2783" s="2"/>
      <c r="H2783" s="2"/>
      <c r="I2783" s="2"/>
      <c r="J2783" s="2"/>
    </row>
    <row r="2784" ht="15.75" customHeight="1">
      <c r="A2784" s="4" t="str">
        <f>HYPERLINK("https://stackoverflow.com/q/57652832", "57652832")</f>
        <v>57652832</v>
      </c>
      <c r="B2784" s="2" t="s">
        <v>2827</v>
      </c>
      <c r="C2784" s="3"/>
      <c r="D2784" s="3">
        <v>45.0</v>
      </c>
      <c r="E2784" s="2"/>
      <c r="F2784" s="2"/>
      <c r="G2784" s="2"/>
      <c r="H2784" s="2"/>
      <c r="I2784" s="2"/>
      <c r="J2784" s="2"/>
    </row>
    <row r="2785" ht="15.75" customHeight="1">
      <c r="A2785" s="4" t="str">
        <f>HYPERLINK("https://stackoverflow.com/q/57806521", "57806521")</f>
        <v>57806521</v>
      </c>
      <c r="B2785" s="2" t="s">
        <v>2828</v>
      </c>
      <c r="C2785" s="3"/>
      <c r="D2785" s="3">
        <v>45.0</v>
      </c>
      <c r="E2785" s="2"/>
      <c r="F2785" s="2"/>
      <c r="G2785" s="2"/>
      <c r="H2785" s="2"/>
      <c r="I2785" s="2"/>
      <c r="J2785" s="2"/>
    </row>
    <row r="2786" ht="15.75" customHeight="1">
      <c r="A2786" s="4" t="str">
        <f>HYPERLINK("https://stackoverflow.com/q/58538753", "58538753")</f>
        <v>58538753</v>
      </c>
      <c r="B2786" s="2" t="s">
        <v>2829</v>
      </c>
      <c r="C2786" s="3"/>
      <c r="D2786" s="3">
        <v>45.0</v>
      </c>
      <c r="E2786" s="2"/>
      <c r="F2786" s="2"/>
      <c r="G2786" s="2"/>
      <c r="H2786" s="2"/>
      <c r="I2786" s="2"/>
      <c r="J2786" s="2"/>
    </row>
    <row r="2787" ht="15.75" customHeight="1">
      <c r="A2787" s="4" t="str">
        <f>HYPERLINK("https://stackoverflow.com/q/59098983", "59098983")</f>
        <v>59098983</v>
      </c>
      <c r="B2787" s="2" t="s">
        <v>2830</v>
      </c>
      <c r="C2787" s="3"/>
      <c r="D2787" s="3">
        <v>45.0</v>
      </c>
      <c r="E2787" s="2"/>
      <c r="F2787" s="2"/>
      <c r="G2787" s="2"/>
      <c r="H2787" s="2"/>
      <c r="I2787" s="2"/>
      <c r="J2787" s="2"/>
    </row>
    <row r="2788" ht="15.75" customHeight="1">
      <c r="A2788" s="4" t="str">
        <f>HYPERLINK("https://stackoverflow.com/q/59283400", "59283400")</f>
        <v>59283400</v>
      </c>
      <c r="B2788" s="2" t="s">
        <v>2831</v>
      </c>
      <c r="C2788" s="3"/>
      <c r="D2788" s="3">
        <v>45.0</v>
      </c>
      <c r="E2788" s="2"/>
      <c r="F2788" s="2"/>
      <c r="G2788" s="2"/>
      <c r="H2788" s="2"/>
      <c r="I2788" s="2"/>
      <c r="J2788" s="2"/>
    </row>
    <row r="2789" ht="15.75" customHeight="1">
      <c r="A2789" s="4" t="str">
        <f>HYPERLINK("https://stackoverflow.com/q/60229963", "60229963")</f>
        <v>60229963</v>
      </c>
      <c r="B2789" s="2" t="s">
        <v>2832</v>
      </c>
      <c r="C2789" s="3"/>
      <c r="D2789" s="3">
        <v>45.0</v>
      </c>
      <c r="E2789" s="2"/>
      <c r="F2789" s="2"/>
      <c r="G2789" s="2"/>
      <c r="H2789" s="2"/>
      <c r="I2789" s="2"/>
      <c r="J2789" s="2"/>
    </row>
    <row r="2790" ht="15.75" customHeight="1">
      <c r="A2790" s="4" t="str">
        <f>HYPERLINK("https://stackoverflow.com/q/60325363", "60325363")</f>
        <v>60325363</v>
      </c>
      <c r="B2790" s="2" t="s">
        <v>2833</v>
      </c>
      <c r="C2790" s="3"/>
      <c r="D2790" s="3">
        <v>45.0</v>
      </c>
      <c r="E2790" s="2"/>
      <c r="F2790" s="2"/>
      <c r="G2790" s="2"/>
      <c r="H2790" s="2"/>
      <c r="I2790" s="2"/>
      <c r="J2790" s="2"/>
    </row>
    <row r="2791" ht="15.75" customHeight="1">
      <c r="A2791" s="4" t="str">
        <f>HYPERLINK("https://stackoverflow.com/q/60648240", "60648240")</f>
        <v>60648240</v>
      </c>
      <c r="B2791" s="2" t="s">
        <v>2834</v>
      </c>
      <c r="C2791" s="3"/>
      <c r="D2791" s="3">
        <v>45.0</v>
      </c>
      <c r="E2791" s="2"/>
      <c r="F2791" s="2"/>
      <c r="G2791" s="2"/>
      <c r="H2791" s="2"/>
      <c r="I2791" s="2"/>
      <c r="J2791" s="2"/>
    </row>
    <row r="2792" ht="15.75" customHeight="1">
      <c r="A2792" s="4" t="str">
        <f>HYPERLINK("https://stackoverflow.com/q/60706826", "60706826")</f>
        <v>60706826</v>
      </c>
      <c r="B2792" s="2" t="s">
        <v>2835</v>
      </c>
      <c r="C2792" s="3"/>
      <c r="D2792" s="3">
        <v>45.0</v>
      </c>
      <c r="E2792" s="2"/>
      <c r="F2792" s="2"/>
      <c r="G2792" s="2"/>
      <c r="H2792" s="2"/>
      <c r="I2792" s="2"/>
      <c r="J2792" s="2"/>
    </row>
    <row r="2793" ht="15.75" customHeight="1">
      <c r="A2793" s="4" t="str">
        <f>HYPERLINK("https://stackoverflow.com/q/61060770", "61060770")</f>
        <v>61060770</v>
      </c>
      <c r="B2793" s="2" t="s">
        <v>2836</v>
      </c>
      <c r="C2793" s="3"/>
      <c r="D2793" s="3">
        <v>45.0</v>
      </c>
      <c r="E2793" s="2"/>
      <c r="F2793" s="2"/>
      <c r="G2793" s="2"/>
      <c r="H2793" s="2"/>
      <c r="I2793" s="2"/>
      <c r="J2793" s="2"/>
    </row>
    <row r="2794" ht="15.75" customHeight="1">
      <c r="A2794" s="4" t="str">
        <f>HYPERLINK("https://stackoverflow.com/q/52213181", "52213181")</f>
        <v>52213181</v>
      </c>
      <c r="B2794" s="2" t="s">
        <v>2837</v>
      </c>
      <c r="C2794" s="3">
        <v>1.0</v>
      </c>
      <c r="D2794" s="3">
        <v>44.0</v>
      </c>
      <c r="E2794" s="2"/>
      <c r="F2794" s="2"/>
      <c r="G2794" s="2"/>
      <c r="H2794" s="2"/>
      <c r="I2794" s="2"/>
      <c r="J2794" s="2"/>
    </row>
    <row r="2795" ht="15.75" customHeight="1">
      <c r="A2795" s="4" t="str">
        <f>HYPERLINK("https://stackoverflow.com/q/58528431", "58528431")</f>
        <v>58528431</v>
      </c>
      <c r="B2795" s="2" t="s">
        <v>2838</v>
      </c>
      <c r="C2795" s="3">
        <v>1.0</v>
      </c>
      <c r="D2795" s="3">
        <v>44.0</v>
      </c>
      <c r="E2795" s="2"/>
      <c r="F2795" s="2"/>
      <c r="G2795" s="2"/>
      <c r="H2795" s="2"/>
      <c r="I2795" s="2"/>
      <c r="J2795" s="2"/>
    </row>
    <row r="2796" ht="15.75" customHeight="1">
      <c r="A2796" s="4" t="str">
        <f>HYPERLINK("https://stackoverflow.com/q/58251535", "58251535")</f>
        <v>58251535</v>
      </c>
      <c r="B2796" s="2" t="s">
        <v>2839</v>
      </c>
      <c r="C2796" s="3">
        <v>0.0</v>
      </c>
      <c r="D2796" s="3">
        <v>44.0</v>
      </c>
      <c r="E2796" s="2"/>
      <c r="F2796" s="2"/>
      <c r="G2796" s="2"/>
      <c r="H2796" s="2"/>
      <c r="I2796" s="2"/>
      <c r="J2796" s="2"/>
    </row>
    <row r="2797" ht="15.75" customHeight="1">
      <c r="A2797" s="4" t="str">
        <f>HYPERLINK("https://stackoverflow.com/q/54800171", "54800171")</f>
        <v>54800171</v>
      </c>
      <c r="B2797" s="2" t="s">
        <v>2840</v>
      </c>
      <c r="C2797" s="3"/>
      <c r="D2797" s="3">
        <v>44.0</v>
      </c>
      <c r="E2797" s="2" t="s">
        <v>11</v>
      </c>
      <c r="F2797" s="2" t="s">
        <v>67</v>
      </c>
      <c r="G2797" s="2"/>
      <c r="H2797" s="2"/>
      <c r="I2797" s="2"/>
      <c r="J2797" s="2"/>
    </row>
    <row r="2798" ht="15.75" customHeight="1">
      <c r="A2798" s="4" t="str">
        <f>HYPERLINK("https://stackoverflow.com/q/55050411", "55050411")</f>
        <v>55050411</v>
      </c>
      <c r="B2798" s="2" t="s">
        <v>2841</v>
      </c>
      <c r="C2798" s="3"/>
      <c r="D2798" s="3">
        <v>44.0</v>
      </c>
      <c r="E2798" s="9" t="s">
        <v>11</v>
      </c>
      <c r="F2798" s="2" t="s">
        <v>16</v>
      </c>
      <c r="G2798" s="2"/>
      <c r="H2798" s="2"/>
      <c r="I2798" s="2"/>
      <c r="J2798" s="2"/>
    </row>
    <row r="2799" ht="15.75" customHeight="1">
      <c r="A2799" s="4" t="str">
        <f>HYPERLINK("https://stackoverflow.com/q/55240373", "55240373")</f>
        <v>55240373</v>
      </c>
      <c r="B2799" s="2" t="s">
        <v>2842</v>
      </c>
      <c r="C2799" s="3"/>
      <c r="D2799" s="3">
        <v>44.0</v>
      </c>
      <c r="E2799" s="9" t="s">
        <v>11</v>
      </c>
      <c r="F2799" s="2" t="s">
        <v>18</v>
      </c>
      <c r="G2799" s="2"/>
      <c r="H2799" s="2"/>
      <c r="I2799" s="2"/>
      <c r="J2799" s="2"/>
    </row>
    <row r="2800" ht="15.75" customHeight="1">
      <c r="A2800" s="4" t="str">
        <f>HYPERLINK("https://stackoverflow.com/q/51306743", "51306743")</f>
        <v>51306743</v>
      </c>
      <c r="B2800" s="2" t="s">
        <v>2843</v>
      </c>
      <c r="C2800" s="3"/>
      <c r="D2800" s="3">
        <v>44.0</v>
      </c>
      <c r="E2800" s="2"/>
      <c r="F2800" s="2"/>
      <c r="G2800" s="2"/>
      <c r="H2800" s="2"/>
      <c r="I2800" s="2"/>
      <c r="J2800" s="2"/>
    </row>
    <row r="2801" ht="15.75" customHeight="1">
      <c r="A2801" s="4" t="str">
        <f>HYPERLINK("https://stackoverflow.com/q/51996744", "51996744")</f>
        <v>51996744</v>
      </c>
      <c r="B2801" s="2" t="s">
        <v>2844</v>
      </c>
      <c r="C2801" s="3"/>
      <c r="D2801" s="3">
        <v>44.0</v>
      </c>
      <c r="E2801" s="2"/>
      <c r="F2801" s="2"/>
      <c r="G2801" s="2"/>
      <c r="H2801" s="2"/>
      <c r="I2801" s="2"/>
      <c r="J2801" s="2"/>
    </row>
    <row r="2802" ht="15.75" customHeight="1">
      <c r="A2802" s="4" t="str">
        <f>HYPERLINK("https://stackoverflow.com/q/52294548", "52294548")</f>
        <v>52294548</v>
      </c>
      <c r="B2802" s="2" t="s">
        <v>2845</v>
      </c>
      <c r="C2802" s="3"/>
      <c r="D2802" s="3">
        <v>44.0</v>
      </c>
      <c r="E2802" s="2"/>
      <c r="F2802" s="2"/>
      <c r="G2802" s="2"/>
      <c r="H2802" s="2"/>
      <c r="I2802" s="2"/>
      <c r="J2802" s="2"/>
    </row>
    <row r="2803" ht="15.75" customHeight="1">
      <c r="A2803" s="4" t="str">
        <f>HYPERLINK("https://stackoverflow.com/q/52656748", "52656748")</f>
        <v>52656748</v>
      </c>
      <c r="B2803" s="2" t="s">
        <v>2846</v>
      </c>
      <c r="C2803" s="3"/>
      <c r="D2803" s="3">
        <v>44.0</v>
      </c>
      <c r="E2803" s="2"/>
      <c r="F2803" s="2"/>
      <c r="G2803" s="2"/>
      <c r="H2803" s="2"/>
      <c r="I2803" s="2"/>
      <c r="J2803" s="2"/>
    </row>
    <row r="2804" ht="15.75" customHeight="1">
      <c r="A2804" s="4" t="str">
        <f>HYPERLINK("https://stackoverflow.com/q/56069823", "56069823")</f>
        <v>56069823</v>
      </c>
      <c r="B2804" s="2" t="s">
        <v>2847</v>
      </c>
      <c r="C2804" s="3"/>
      <c r="D2804" s="3">
        <v>44.0</v>
      </c>
      <c r="E2804" s="2"/>
      <c r="F2804" s="2"/>
      <c r="G2804" s="2"/>
      <c r="H2804" s="2"/>
      <c r="I2804" s="2"/>
      <c r="J2804" s="2"/>
    </row>
    <row r="2805" ht="15.75" customHeight="1">
      <c r="A2805" s="4" t="str">
        <f>HYPERLINK("https://stackoverflow.com/q/56074106", "56074106")</f>
        <v>56074106</v>
      </c>
      <c r="B2805" s="2" t="s">
        <v>2848</v>
      </c>
      <c r="C2805" s="3"/>
      <c r="D2805" s="3">
        <v>44.0</v>
      </c>
      <c r="E2805" s="2"/>
      <c r="F2805" s="2"/>
      <c r="G2805" s="2"/>
      <c r="H2805" s="2"/>
      <c r="I2805" s="2"/>
      <c r="J2805" s="2"/>
    </row>
    <row r="2806" ht="15.75" customHeight="1">
      <c r="A2806" s="4" t="str">
        <f>HYPERLINK("https://stackoverflow.com/q/56111559", "56111559")</f>
        <v>56111559</v>
      </c>
      <c r="B2806" s="2" t="s">
        <v>2849</v>
      </c>
      <c r="C2806" s="3"/>
      <c r="D2806" s="3">
        <v>44.0</v>
      </c>
      <c r="E2806" s="2"/>
      <c r="F2806" s="2"/>
      <c r="G2806" s="2"/>
      <c r="H2806" s="2"/>
      <c r="I2806" s="2"/>
      <c r="J2806" s="2"/>
    </row>
    <row r="2807" ht="15.75" customHeight="1">
      <c r="A2807" s="4" t="str">
        <f>HYPERLINK("https://stackoverflow.com/q/56430977", "56430977")</f>
        <v>56430977</v>
      </c>
      <c r="B2807" s="2" t="s">
        <v>2850</v>
      </c>
      <c r="C2807" s="3"/>
      <c r="D2807" s="3">
        <v>44.0</v>
      </c>
      <c r="E2807" s="2"/>
      <c r="F2807" s="2"/>
      <c r="G2807" s="2"/>
      <c r="H2807" s="2"/>
      <c r="I2807" s="2"/>
      <c r="J2807" s="2"/>
    </row>
    <row r="2808" ht="15.75" customHeight="1">
      <c r="A2808" s="4" t="str">
        <f>HYPERLINK("https://stackoverflow.com/q/57016370", "57016370")</f>
        <v>57016370</v>
      </c>
      <c r="B2808" s="2" t="s">
        <v>2851</v>
      </c>
      <c r="C2808" s="3"/>
      <c r="D2808" s="3">
        <v>44.0</v>
      </c>
      <c r="E2808" s="2"/>
      <c r="F2808" s="2"/>
      <c r="G2808" s="2"/>
      <c r="H2808" s="2"/>
      <c r="I2808" s="2"/>
      <c r="J2808" s="2"/>
    </row>
    <row r="2809" ht="15.75" customHeight="1">
      <c r="A2809" s="4" t="str">
        <f>HYPERLINK("https://stackoverflow.com/q/57129117", "57129117")</f>
        <v>57129117</v>
      </c>
      <c r="B2809" s="2" t="s">
        <v>2852</v>
      </c>
      <c r="C2809" s="3"/>
      <c r="D2809" s="3">
        <v>44.0</v>
      </c>
      <c r="E2809" s="2"/>
      <c r="F2809" s="2"/>
      <c r="G2809" s="2"/>
      <c r="H2809" s="2"/>
      <c r="I2809" s="2"/>
      <c r="J2809" s="2"/>
    </row>
    <row r="2810" ht="15.75" customHeight="1">
      <c r="A2810" s="4" t="str">
        <f>HYPERLINK("https://stackoverflow.com/q/58812003", "58812003")</f>
        <v>58812003</v>
      </c>
      <c r="B2810" s="2" t="s">
        <v>2853</v>
      </c>
      <c r="C2810" s="3"/>
      <c r="D2810" s="3">
        <v>44.0</v>
      </c>
      <c r="E2810" s="2"/>
      <c r="F2810" s="2"/>
      <c r="G2810" s="2"/>
      <c r="H2810" s="2"/>
      <c r="I2810" s="2"/>
      <c r="J2810" s="2"/>
    </row>
    <row r="2811" ht="15.75" customHeight="1">
      <c r="A2811" s="4" t="str">
        <f>HYPERLINK("https://stackoverflow.com/q/59322480", "59322480")</f>
        <v>59322480</v>
      </c>
      <c r="B2811" s="2" t="s">
        <v>2854</v>
      </c>
      <c r="C2811" s="3"/>
      <c r="D2811" s="3">
        <v>44.0</v>
      </c>
      <c r="E2811" s="2"/>
      <c r="F2811" s="2"/>
      <c r="G2811" s="2"/>
      <c r="H2811" s="2"/>
      <c r="I2811" s="2"/>
      <c r="J2811" s="2"/>
    </row>
    <row r="2812" ht="15.75" customHeight="1">
      <c r="A2812" s="4" t="str">
        <f>HYPERLINK("https://stackoverflow.com/q/59322618", "59322618")</f>
        <v>59322618</v>
      </c>
      <c r="B2812" s="2" t="s">
        <v>2855</v>
      </c>
      <c r="C2812" s="3"/>
      <c r="D2812" s="3">
        <v>44.0</v>
      </c>
      <c r="E2812" s="2"/>
      <c r="F2812" s="2"/>
      <c r="G2812" s="2"/>
      <c r="H2812" s="2"/>
      <c r="I2812" s="2"/>
      <c r="J2812" s="2"/>
    </row>
    <row r="2813" ht="15.75" customHeight="1">
      <c r="A2813" s="4" t="str">
        <f>HYPERLINK("https://stackoverflow.com/q/61611950", "61611950")</f>
        <v>61611950</v>
      </c>
      <c r="B2813" s="2" t="s">
        <v>2856</v>
      </c>
      <c r="C2813" s="3"/>
      <c r="D2813" s="3">
        <v>44.0</v>
      </c>
      <c r="E2813" s="2"/>
      <c r="F2813" s="2"/>
      <c r="G2813" s="2"/>
      <c r="H2813" s="2"/>
      <c r="I2813" s="2"/>
      <c r="J2813" s="2"/>
    </row>
    <row r="2814" ht="15.75" customHeight="1">
      <c r="A2814" s="4" t="str">
        <f>HYPERLINK("https://stackoverflow.com/q/54462153", "54462153")</f>
        <v>54462153</v>
      </c>
      <c r="B2814" s="2" t="s">
        <v>2857</v>
      </c>
      <c r="C2814" s="3"/>
      <c r="D2814" s="3">
        <v>43.0</v>
      </c>
      <c r="E2814" s="2" t="s">
        <v>11</v>
      </c>
      <c r="F2814" s="2" t="s">
        <v>67</v>
      </c>
      <c r="G2814" s="2"/>
      <c r="H2814" s="2"/>
      <c r="I2814" s="2"/>
      <c r="J2814" s="2"/>
    </row>
    <row r="2815" ht="15.75" customHeight="1">
      <c r="A2815" s="4" t="str">
        <f>HYPERLINK("https://stackoverflow.com/q/55549922", "55549922")</f>
        <v>55549922</v>
      </c>
      <c r="B2815" s="2" t="s">
        <v>2858</v>
      </c>
      <c r="C2815" s="3"/>
      <c r="D2815" s="3">
        <v>43.0</v>
      </c>
      <c r="E2815" s="2" t="s">
        <v>11</v>
      </c>
      <c r="F2815" s="2" t="s">
        <v>56</v>
      </c>
      <c r="G2815" s="2"/>
      <c r="H2815" s="2"/>
      <c r="I2815" s="2"/>
      <c r="J2815" s="2"/>
    </row>
    <row r="2816" ht="15.75" customHeight="1">
      <c r="A2816" s="4" t="str">
        <f>HYPERLINK("https://stackoverflow.com/q/52425738", "52425738")</f>
        <v>52425738</v>
      </c>
      <c r="B2816" s="2" t="s">
        <v>2859</v>
      </c>
      <c r="C2816" s="3"/>
      <c r="D2816" s="3">
        <v>43.0</v>
      </c>
      <c r="E2816" s="2"/>
      <c r="F2816" s="2"/>
      <c r="G2816" s="2"/>
      <c r="H2816" s="2"/>
      <c r="I2816" s="2"/>
      <c r="J2816" s="2"/>
    </row>
    <row r="2817" ht="15.75" customHeight="1">
      <c r="A2817" s="4" t="str">
        <f>HYPERLINK("https://stackoverflow.com/q/53739089", "53739089")</f>
        <v>53739089</v>
      </c>
      <c r="B2817" s="2" t="s">
        <v>2860</v>
      </c>
      <c r="C2817" s="3"/>
      <c r="D2817" s="3">
        <v>43.0</v>
      </c>
      <c r="E2817" s="2"/>
      <c r="F2817" s="2"/>
      <c r="G2817" s="2"/>
      <c r="H2817" s="2"/>
      <c r="I2817" s="2"/>
      <c r="J2817" s="2"/>
    </row>
    <row r="2818" ht="15.75" customHeight="1">
      <c r="A2818" s="4" t="str">
        <f>HYPERLINK("https://stackoverflow.com/q/55596420", "55596420")</f>
        <v>55596420</v>
      </c>
      <c r="B2818" s="2" t="s">
        <v>2861</v>
      </c>
      <c r="C2818" s="3"/>
      <c r="D2818" s="3">
        <v>43.0</v>
      </c>
      <c r="E2818" s="2"/>
      <c r="F2818" s="2"/>
      <c r="G2818" s="2"/>
      <c r="H2818" s="2"/>
      <c r="I2818" s="2"/>
      <c r="J2818" s="2"/>
    </row>
    <row r="2819" ht="15.75" customHeight="1">
      <c r="A2819" s="4" t="str">
        <f>HYPERLINK("https://stackoverflow.com/q/56001929", "56001929")</f>
        <v>56001929</v>
      </c>
      <c r="B2819" s="2" t="s">
        <v>2862</v>
      </c>
      <c r="C2819" s="3"/>
      <c r="D2819" s="3">
        <v>43.0</v>
      </c>
      <c r="E2819" s="2"/>
      <c r="F2819" s="2"/>
      <c r="G2819" s="2"/>
      <c r="H2819" s="2"/>
      <c r="I2819" s="2"/>
      <c r="J2819" s="2"/>
    </row>
    <row r="2820" ht="15.75" customHeight="1">
      <c r="A2820" s="4" t="str">
        <f>HYPERLINK("https://stackoverflow.com/q/56298441", "56298441")</f>
        <v>56298441</v>
      </c>
      <c r="B2820" s="2" t="s">
        <v>2863</v>
      </c>
      <c r="C2820" s="3"/>
      <c r="D2820" s="3">
        <v>43.0</v>
      </c>
      <c r="E2820" s="2"/>
      <c r="F2820" s="2"/>
      <c r="G2820" s="2"/>
      <c r="H2820" s="2"/>
      <c r="I2820" s="2"/>
      <c r="J2820" s="2"/>
    </row>
    <row r="2821" ht="15.75" customHeight="1">
      <c r="A2821" s="4" t="str">
        <f>HYPERLINK("https://stackoverflow.com/q/56943460", "56943460")</f>
        <v>56943460</v>
      </c>
      <c r="B2821" s="2" t="s">
        <v>2864</v>
      </c>
      <c r="C2821" s="3"/>
      <c r="D2821" s="3">
        <v>43.0</v>
      </c>
      <c r="E2821" s="2"/>
      <c r="F2821" s="2"/>
      <c r="G2821" s="2"/>
      <c r="H2821" s="2"/>
      <c r="I2821" s="2"/>
      <c r="J2821" s="2"/>
    </row>
    <row r="2822" ht="15.75" customHeight="1">
      <c r="A2822" s="4" t="str">
        <f>HYPERLINK("https://stackoverflow.com/q/57043373", "57043373")</f>
        <v>57043373</v>
      </c>
      <c r="B2822" s="2" t="s">
        <v>2865</v>
      </c>
      <c r="C2822" s="3"/>
      <c r="D2822" s="3">
        <v>43.0</v>
      </c>
      <c r="E2822" s="2"/>
      <c r="F2822" s="2"/>
      <c r="G2822" s="2"/>
      <c r="H2822" s="2"/>
      <c r="I2822" s="2"/>
      <c r="J2822" s="2"/>
    </row>
    <row r="2823" ht="15.75" customHeight="1">
      <c r="A2823" s="4" t="str">
        <f>HYPERLINK("https://stackoverflow.com/q/57211188", "57211188")</f>
        <v>57211188</v>
      </c>
      <c r="B2823" s="2" t="s">
        <v>2866</v>
      </c>
      <c r="C2823" s="3"/>
      <c r="D2823" s="3">
        <v>43.0</v>
      </c>
      <c r="E2823" s="2"/>
      <c r="F2823" s="2"/>
      <c r="G2823" s="2"/>
      <c r="H2823" s="2"/>
      <c r="I2823" s="2"/>
      <c r="J2823" s="2"/>
    </row>
    <row r="2824" ht="15.75" customHeight="1">
      <c r="A2824" s="4" t="str">
        <f>HYPERLINK("https://stackoverflow.com/q/58200678", "58200678")</f>
        <v>58200678</v>
      </c>
      <c r="B2824" s="2" t="s">
        <v>2867</v>
      </c>
      <c r="C2824" s="3"/>
      <c r="D2824" s="3">
        <v>43.0</v>
      </c>
      <c r="E2824" s="2"/>
      <c r="F2824" s="2"/>
      <c r="G2824" s="2"/>
      <c r="H2824" s="2"/>
      <c r="I2824" s="2"/>
      <c r="J2824" s="2"/>
    </row>
    <row r="2825" ht="15.75" customHeight="1">
      <c r="A2825" s="4" t="str">
        <f>HYPERLINK("https://stackoverflow.com/q/58232113", "58232113")</f>
        <v>58232113</v>
      </c>
      <c r="B2825" s="2" t="s">
        <v>2868</v>
      </c>
      <c r="C2825" s="3"/>
      <c r="D2825" s="3">
        <v>43.0</v>
      </c>
      <c r="E2825" s="2"/>
      <c r="F2825" s="2"/>
      <c r="G2825" s="2"/>
      <c r="H2825" s="2"/>
      <c r="I2825" s="2"/>
      <c r="J2825" s="2"/>
    </row>
    <row r="2826" ht="15.75" customHeight="1">
      <c r="A2826" s="4" t="str">
        <f>HYPERLINK("https://stackoverflow.com/q/58632765", "58632765")</f>
        <v>58632765</v>
      </c>
      <c r="B2826" s="2" t="s">
        <v>2869</v>
      </c>
      <c r="C2826" s="3"/>
      <c r="D2826" s="3">
        <v>43.0</v>
      </c>
      <c r="E2826" s="2"/>
      <c r="F2826" s="2"/>
      <c r="G2826" s="2"/>
      <c r="H2826" s="2"/>
      <c r="I2826" s="2"/>
      <c r="J2826" s="2"/>
    </row>
    <row r="2827" ht="15.75" customHeight="1">
      <c r="A2827" s="4" t="str">
        <f>HYPERLINK("https://stackoverflow.com/q/58904486", "58904486")</f>
        <v>58904486</v>
      </c>
      <c r="B2827" s="2" t="s">
        <v>2870</v>
      </c>
      <c r="C2827" s="3"/>
      <c r="D2827" s="3">
        <v>43.0</v>
      </c>
      <c r="E2827" s="2"/>
      <c r="F2827" s="2"/>
      <c r="G2827" s="2"/>
      <c r="H2827" s="2"/>
      <c r="I2827" s="2"/>
      <c r="J2827" s="2"/>
    </row>
    <row r="2828" ht="15.75" customHeight="1">
      <c r="A2828" s="4" t="str">
        <f>HYPERLINK("https://stackoverflow.com/q/59053286", "59053286")</f>
        <v>59053286</v>
      </c>
      <c r="B2828" s="2" t="s">
        <v>2871</v>
      </c>
      <c r="C2828" s="3"/>
      <c r="D2828" s="3">
        <v>43.0</v>
      </c>
      <c r="E2828" s="2"/>
      <c r="F2828" s="2"/>
      <c r="G2828" s="2"/>
      <c r="H2828" s="2"/>
      <c r="I2828" s="2"/>
      <c r="J2828" s="2"/>
    </row>
    <row r="2829" ht="15.75" customHeight="1">
      <c r="A2829" s="4" t="str">
        <f>HYPERLINK("https://stackoverflow.com/q/59392920", "59392920")</f>
        <v>59392920</v>
      </c>
      <c r="B2829" s="2" t="s">
        <v>2872</v>
      </c>
      <c r="C2829" s="3"/>
      <c r="D2829" s="3">
        <v>43.0</v>
      </c>
      <c r="E2829" s="2"/>
      <c r="F2829" s="2"/>
      <c r="G2829" s="2"/>
      <c r="H2829" s="2"/>
      <c r="I2829" s="2"/>
      <c r="J2829" s="2"/>
    </row>
    <row r="2830" ht="15.75" customHeight="1">
      <c r="A2830" s="4" t="str">
        <f>HYPERLINK("https://stackoverflow.com/q/59776920", "59776920")</f>
        <v>59776920</v>
      </c>
      <c r="B2830" s="2" t="s">
        <v>2873</v>
      </c>
      <c r="C2830" s="3"/>
      <c r="D2830" s="3">
        <v>43.0</v>
      </c>
      <c r="E2830" s="2"/>
      <c r="F2830" s="2"/>
      <c r="G2830" s="2"/>
      <c r="H2830" s="2"/>
      <c r="I2830" s="2"/>
      <c r="J2830" s="2"/>
    </row>
    <row r="2831" ht="15.75" customHeight="1">
      <c r="A2831" s="4" t="str">
        <f>HYPERLINK("https://stackoverflow.com/q/60272262", "60272262")</f>
        <v>60272262</v>
      </c>
      <c r="B2831" s="2" t="s">
        <v>2874</v>
      </c>
      <c r="C2831" s="3"/>
      <c r="D2831" s="3">
        <v>43.0</v>
      </c>
      <c r="E2831" s="2"/>
      <c r="F2831" s="2"/>
      <c r="G2831" s="2"/>
      <c r="H2831" s="2"/>
      <c r="I2831" s="2"/>
      <c r="J2831" s="2"/>
    </row>
    <row r="2832" ht="15.75" customHeight="1">
      <c r="A2832" s="4" t="str">
        <f>HYPERLINK("https://stackoverflow.com/q/60644070", "60644070")</f>
        <v>60644070</v>
      </c>
      <c r="B2832" s="2" t="s">
        <v>2875</v>
      </c>
      <c r="C2832" s="3">
        <v>1.0</v>
      </c>
      <c r="D2832" s="3">
        <v>42.0</v>
      </c>
      <c r="E2832" s="2"/>
      <c r="F2832" s="2"/>
      <c r="G2832" s="2"/>
      <c r="H2832" s="2"/>
      <c r="I2832" s="2"/>
      <c r="J2832" s="2"/>
    </row>
    <row r="2833" ht="15.75" customHeight="1">
      <c r="A2833" s="4" t="str">
        <f>HYPERLINK("https://stackoverflow.com/q/61462588", "61462588")</f>
        <v>61462588</v>
      </c>
      <c r="B2833" s="2" t="s">
        <v>2876</v>
      </c>
      <c r="C2833" s="3"/>
      <c r="D2833" s="3">
        <v>42.0</v>
      </c>
      <c r="E2833" s="2" t="s">
        <v>11</v>
      </c>
      <c r="F2833" s="2" t="s">
        <v>35</v>
      </c>
      <c r="G2833" s="2"/>
      <c r="H2833" s="2"/>
      <c r="I2833" s="2"/>
      <c r="J2833" s="2"/>
    </row>
    <row r="2834" ht="15.75" customHeight="1">
      <c r="A2834" s="4" t="str">
        <f>HYPERLINK("https://stackoverflow.com/q/61642560", "61642560")</f>
        <v>61642560</v>
      </c>
      <c r="B2834" s="2" t="s">
        <v>2877</v>
      </c>
      <c r="C2834" s="3"/>
      <c r="D2834" s="3">
        <v>42.0</v>
      </c>
      <c r="E2834" s="2" t="s">
        <v>11</v>
      </c>
      <c r="F2834" s="2" t="s">
        <v>56</v>
      </c>
      <c r="G2834" s="2"/>
      <c r="H2834" s="2"/>
      <c r="I2834" s="2"/>
      <c r="J2834" s="2"/>
    </row>
    <row r="2835" ht="15.75" customHeight="1">
      <c r="A2835" s="4" t="str">
        <f>HYPERLINK("https://stackoverflow.com/q/50102219", "50102219")</f>
        <v>50102219</v>
      </c>
      <c r="B2835" s="2" t="s">
        <v>2878</v>
      </c>
      <c r="C2835" s="3"/>
      <c r="D2835" s="3">
        <v>42.0</v>
      </c>
      <c r="E2835" s="2"/>
      <c r="F2835" s="2"/>
      <c r="G2835" s="2"/>
      <c r="H2835" s="2"/>
      <c r="I2835" s="2"/>
      <c r="J2835" s="2"/>
    </row>
    <row r="2836" ht="15.75" customHeight="1">
      <c r="A2836" s="4" t="str">
        <f>HYPERLINK("https://stackoverflow.com/q/51043227", "51043227")</f>
        <v>51043227</v>
      </c>
      <c r="B2836" s="2" t="s">
        <v>2879</v>
      </c>
      <c r="C2836" s="3"/>
      <c r="D2836" s="3">
        <v>42.0</v>
      </c>
      <c r="E2836" s="2"/>
      <c r="F2836" s="2"/>
      <c r="G2836" s="2"/>
      <c r="H2836" s="2"/>
      <c r="I2836" s="2"/>
      <c r="J2836" s="2"/>
    </row>
    <row r="2837" ht="15.75" customHeight="1">
      <c r="A2837" s="4" t="str">
        <f>HYPERLINK("https://stackoverflow.com/q/52088852", "52088852")</f>
        <v>52088852</v>
      </c>
      <c r="B2837" s="2" t="s">
        <v>2880</v>
      </c>
      <c r="C2837" s="3"/>
      <c r="D2837" s="3">
        <v>42.0</v>
      </c>
      <c r="E2837" s="2"/>
      <c r="F2837" s="2"/>
      <c r="G2837" s="2"/>
      <c r="H2837" s="2"/>
      <c r="I2837" s="2"/>
      <c r="J2837" s="2"/>
    </row>
    <row r="2838" ht="15.75" customHeight="1">
      <c r="A2838" s="4" t="str">
        <f>HYPERLINK("https://stackoverflow.com/q/56349526", "56349526")</f>
        <v>56349526</v>
      </c>
      <c r="B2838" s="2" t="s">
        <v>2881</v>
      </c>
      <c r="C2838" s="3"/>
      <c r="D2838" s="3">
        <v>42.0</v>
      </c>
      <c r="E2838" s="2"/>
      <c r="F2838" s="2"/>
      <c r="G2838" s="2"/>
      <c r="H2838" s="2"/>
      <c r="I2838" s="2"/>
      <c r="J2838" s="2"/>
    </row>
    <row r="2839" ht="15.75" customHeight="1">
      <c r="A2839" s="4" t="str">
        <f>HYPERLINK("https://stackoverflow.com/q/58339319", "58339319")</f>
        <v>58339319</v>
      </c>
      <c r="B2839" s="2" t="s">
        <v>2882</v>
      </c>
      <c r="C2839" s="3"/>
      <c r="D2839" s="3">
        <v>42.0</v>
      </c>
      <c r="E2839" s="2"/>
      <c r="F2839" s="2"/>
      <c r="G2839" s="2"/>
      <c r="H2839" s="2"/>
      <c r="I2839" s="2"/>
      <c r="J2839" s="2"/>
    </row>
    <row r="2840" ht="15.75" customHeight="1">
      <c r="A2840" s="4" t="str">
        <f>HYPERLINK("https://stackoverflow.com/q/58546520", "58546520")</f>
        <v>58546520</v>
      </c>
      <c r="B2840" s="2" t="s">
        <v>2883</v>
      </c>
      <c r="C2840" s="3"/>
      <c r="D2840" s="3">
        <v>42.0</v>
      </c>
      <c r="E2840" s="2"/>
      <c r="F2840" s="2"/>
      <c r="G2840" s="2"/>
      <c r="H2840" s="2"/>
      <c r="I2840" s="2"/>
      <c r="J2840" s="2"/>
    </row>
    <row r="2841" ht="15.75" customHeight="1">
      <c r="A2841" s="4" t="str">
        <f>HYPERLINK("https://stackoverflow.com/q/59029108", "59029108")</f>
        <v>59029108</v>
      </c>
      <c r="B2841" s="2" t="s">
        <v>2884</v>
      </c>
      <c r="C2841" s="3"/>
      <c r="D2841" s="3">
        <v>42.0</v>
      </c>
      <c r="E2841" s="2"/>
      <c r="F2841" s="2"/>
      <c r="G2841" s="2"/>
      <c r="H2841" s="2"/>
      <c r="I2841" s="2"/>
      <c r="J2841" s="2"/>
    </row>
    <row r="2842" ht="15.75" customHeight="1">
      <c r="A2842" s="4" t="str">
        <f>HYPERLINK("https://stackoverflow.com/q/59056956", "59056956")</f>
        <v>59056956</v>
      </c>
      <c r="B2842" s="2" t="s">
        <v>2885</v>
      </c>
      <c r="C2842" s="3"/>
      <c r="D2842" s="3">
        <v>42.0</v>
      </c>
      <c r="E2842" s="2"/>
      <c r="F2842" s="2"/>
      <c r="G2842" s="2"/>
      <c r="H2842" s="2"/>
      <c r="I2842" s="2"/>
      <c r="J2842" s="2"/>
    </row>
    <row r="2843" ht="15.75" customHeight="1">
      <c r="A2843" s="4" t="str">
        <f>HYPERLINK("https://stackoverflow.com/q/59061893", "59061893")</f>
        <v>59061893</v>
      </c>
      <c r="B2843" s="2" t="s">
        <v>2886</v>
      </c>
      <c r="C2843" s="3"/>
      <c r="D2843" s="3">
        <v>42.0</v>
      </c>
      <c r="E2843" s="2"/>
      <c r="F2843" s="2"/>
      <c r="G2843" s="2"/>
      <c r="H2843" s="2"/>
      <c r="I2843" s="2"/>
      <c r="J2843" s="2"/>
    </row>
    <row r="2844" ht="15.75" customHeight="1">
      <c r="A2844" s="4" t="str">
        <f>HYPERLINK("https://stackoverflow.com/q/59196780", "59196780")</f>
        <v>59196780</v>
      </c>
      <c r="B2844" s="2" t="s">
        <v>2887</v>
      </c>
      <c r="C2844" s="3"/>
      <c r="D2844" s="3">
        <v>42.0</v>
      </c>
      <c r="E2844" s="2"/>
      <c r="F2844" s="2"/>
      <c r="G2844" s="2"/>
      <c r="H2844" s="2"/>
      <c r="I2844" s="2"/>
      <c r="J2844" s="2"/>
    </row>
    <row r="2845" ht="15.75" customHeight="1">
      <c r="A2845" s="4" t="str">
        <f>HYPERLINK("https://stackoverflow.com/q/59231120", "59231120")</f>
        <v>59231120</v>
      </c>
      <c r="B2845" s="2" t="s">
        <v>2888</v>
      </c>
      <c r="C2845" s="3"/>
      <c r="D2845" s="3">
        <v>42.0</v>
      </c>
      <c r="E2845" s="2"/>
      <c r="F2845" s="2"/>
      <c r="G2845" s="2"/>
      <c r="H2845" s="2"/>
      <c r="I2845" s="2"/>
      <c r="J2845" s="2"/>
    </row>
    <row r="2846" ht="15.75" customHeight="1">
      <c r="A2846" s="4" t="str">
        <f>HYPERLINK("https://stackoverflow.com/q/59329995", "59329995")</f>
        <v>59329995</v>
      </c>
      <c r="B2846" s="2" t="s">
        <v>2889</v>
      </c>
      <c r="C2846" s="3"/>
      <c r="D2846" s="3">
        <v>42.0</v>
      </c>
      <c r="E2846" s="2"/>
      <c r="F2846" s="2"/>
      <c r="G2846" s="2"/>
      <c r="H2846" s="2"/>
      <c r="I2846" s="2"/>
      <c r="J2846" s="2"/>
    </row>
    <row r="2847" ht="15.75" customHeight="1">
      <c r="A2847" s="4" t="str">
        <f>HYPERLINK("https://stackoverflow.com/q/60177666", "60177666")</f>
        <v>60177666</v>
      </c>
      <c r="B2847" s="2" t="s">
        <v>2890</v>
      </c>
      <c r="C2847" s="3"/>
      <c r="D2847" s="3">
        <v>42.0</v>
      </c>
      <c r="E2847" s="2"/>
      <c r="F2847" s="2"/>
      <c r="G2847" s="2"/>
      <c r="H2847" s="2"/>
      <c r="I2847" s="2"/>
      <c r="J2847" s="2"/>
    </row>
    <row r="2848" ht="15.75" customHeight="1">
      <c r="A2848" s="4" t="str">
        <f>HYPERLINK("https://stackoverflow.com/q/61588758", "61588758")</f>
        <v>61588758</v>
      </c>
      <c r="B2848" s="2" t="s">
        <v>2891</v>
      </c>
      <c r="C2848" s="3"/>
      <c r="D2848" s="3">
        <v>42.0</v>
      </c>
      <c r="E2848" s="2"/>
      <c r="F2848" s="2"/>
      <c r="G2848" s="2"/>
      <c r="H2848" s="2"/>
      <c r="I2848" s="2"/>
      <c r="J2848" s="2"/>
    </row>
    <row r="2849" ht="15.75" customHeight="1">
      <c r="A2849" s="4" t="str">
        <f>HYPERLINK("https://stackoverflow.com/q/57944759", "57944759")</f>
        <v>57944759</v>
      </c>
      <c r="B2849" s="2" t="s">
        <v>2892</v>
      </c>
      <c r="C2849" s="3">
        <v>1.0</v>
      </c>
      <c r="D2849" s="3">
        <v>41.0</v>
      </c>
      <c r="E2849" s="2"/>
      <c r="F2849" s="2"/>
      <c r="G2849" s="2"/>
      <c r="H2849" s="2"/>
      <c r="I2849" s="2"/>
      <c r="J2849" s="2"/>
    </row>
    <row r="2850" ht="15.75" customHeight="1">
      <c r="A2850" s="4" t="str">
        <f>HYPERLINK("https://stackoverflow.com/q/61519093", "61519093")</f>
        <v>61519093</v>
      </c>
      <c r="B2850" s="2" t="s">
        <v>2893</v>
      </c>
      <c r="C2850" s="3">
        <v>1.0</v>
      </c>
      <c r="D2850" s="3">
        <v>41.0</v>
      </c>
      <c r="E2850" s="2"/>
      <c r="F2850" s="2"/>
      <c r="G2850" s="2"/>
      <c r="H2850" s="2"/>
      <c r="I2850" s="2"/>
      <c r="J2850" s="2"/>
    </row>
    <row r="2851" ht="15.75" customHeight="1">
      <c r="A2851" s="4" t="str">
        <f>HYPERLINK("https://stackoverflow.com/q/54757002", "54757002")</f>
        <v>54757002</v>
      </c>
      <c r="B2851" s="2" t="s">
        <v>2894</v>
      </c>
      <c r="C2851" s="3"/>
      <c r="D2851" s="3">
        <v>41.0</v>
      </c>
      <c r="E2851" s="2" t="s">
        <v>11</v>
      </c>
      <c r="F2851" s="2" t="s">
        <v>30</v>
      </c>
      <c r="G2851" s="2"/>
      <c r="H2851" s="2"/>
      <c r="I2851" s="2"/>
      <c r="J2851" s="2"/>
    </row>
    <row r="2852" ht="15.75" customHeight="1">
      <c r="A2852" s="4" t="str">
        <f>HYPERLINK("https://stackoverflow.com/q/51847630", "51847630")</f>
        <v>51847630</v>
      </c>
      <c r="B2852" s="2" t="s">
        <v>2895</v>
      </c>
      <c r="C2852" s="3"/>
      <c r="D2852" s="3">
        <v>41.0</v>
      </c>
      <c r="E2852" s="2"/>
      <c r="F2852" s="2"/>
      <c r="G2852" s="2"/>
      <c r="H2852" s="2"/>
      <c r="I2852" s="2"/>
      <c r="J2852" s="2"/>
    </row>
    <row r="2853" ht="15.75" customHeight="1">
      <c r="A2853" s="4" t="str">
        <f>HYPERLINK("https://stackoverflow.com/q/52544025", "52544025")</f>
        <v>52544025</v>
      </c>
      <c r="B2853" s="2" t="s">
        <v>2896</v>
      </c>
      <c r="C2853" s="3"/>
      <c r="D2853" s="3">
        <v>41.0</v>
      </c>
      <c r="E2853" s="2"/>
      <c r="F2853" s="2"/>
      <c r="G2853" s="2"/>
      <c r="H2853" s="2"/>
      <c r="I2853" s="2"/>
      <c r="J2853" s="2"/>
    </row>
    <row r="2854" ht="15.75" customHeight="1">
      <c r="A2854" s="4" t="str">
        <f>HYPERLINK("https://stackoverflow.com/q/53708352", "53708352")</f>
        <v>53708352</v>
      </c>
      <c r="B2854" s="2" t="s">
        <v>2897</v>
      </c>
      <c r="C2854" s="3"/>
      <c r="D2854" s="3">
        <v>41.0</v>
      </c>
      <c r="E2854" s="2"/>
      <c r="F2854" s="2"/>
      <c r="G2854" s="2"/>
      <c r="H2854" s="2"/>
      <c r="I2854" s="2"/>
      <c r="J2854" s="2"/>
    </row>
    <row r="2855" ht="15.75" customHeight="1">
      <c r="A2855" s="4" t="str">
        <f>HYPERLINK("https://stackoverflow.com/q/56213578", "56213578")</f>
        <v>56213578</v>
      </c>
      <c r="B2855" s="2" t="s">
        <v>2898</v>
      </c>
      <c r="C2855" s="3"/>
      <c r="D2855" s="3">
        <v>41.0</v>
      </c>
      <c r="E2855" s="2"/>
      <c r="F2855" s="2"/>
      <c r="G2855" s="2"/>
      <c r="H2855" s="2"/>
      <c r="I2855" s="2"/>
      <c r="J2855" s="2"/>
    </row>
    <row r="2856" ht="15.75" customHeight="1">
      <c r="A2856" s="4" t="str">
        <f>HYPERLINK("https://stackoverflow.com/q/56669375", "56669375")</f>
        <v>56669375</v>
      </c>
      <c r="B2856" s="2" t="s">
        <v>2899</v>
      </c>
      <c r="C2856" s="3"/>
      <c r="D2856" s="3">
        <v>41.0</v>
      </c>
      <c r="E2856" s="2"/>
      <c r="F2856" s="2"/>
      <c r="G2856" s="2"/>
      <c r="H2856" s="2"/>
      <c r="I2856" s="2"/>
      <c r="J2856" s="2"/>
    </row>
    <row r="2857" ht="15.75" customHeight="1">
      <c r="A2857" s="4" t="str">
        <f>HYPERLINK("https://stackoverflow.com/q/56938161", "56938161")</f>
        <v>56938161</v>
      </c>
      <c r="B2857" s="2" t="s">
        <v>2900</v>
      </c>
      <c r="C2857" s="3"/>
      <c r="D2857" s="3">
        <v>41.0</v>
      </c>
      <c r="E2857" s="2"/>
      <c r="F2857" s="2"/>
      <c r="G2857" s="2"/>
      <c r="H2857" s="2"/>
      <c r="I2857" s="2"/>
      <c r="J2857" s="2"/>
    </row>
    <row r="2858" ht="15.75" customHeight="1">
      <c r="A2858" s="4" t="str">
        <f>HYPERLINK("https://stackoverflow.com/q/57212629", "57212629")</f>
        <v>57212629</v>
      </c>
      <c r="B2858" s="2" t="s">
        <v>2901</v>
      </c>
      <c r="C2858" s="3"/>
      <c r="D2858" s="3">
        <v>41.0</v>
      </c>
      <c r="E2858" s="2"/>
      <c r="F2858" s="2"/>
      <c r="G2858" s="2"/>
      <c r="H2858" s="2"/>
      <c r="I2858" s="2"/>
      <c r="J2858" s="2"/>
    </row>
    <row r="2859" ht="15.75" customHeight="1">
      <c r="A2859" s="4" t="str">
        <f>HYPERLINK("https://stackoverflow.com/q/57794437", "57794437")</f>
        <v>57794437</v>
      </c>
      <c r="B2859" s="2" t="s">
        <v>2902</v>
      </c>
      <c r="C2859" s="3"/>
      <c r="D2859" s="3">
        <v>41.0</v>
      </c>
      <c r="E2859" s="2"/>
      <c r="F2859" s="2"/>
      <c r="G2859" s="2"/>
      <c r="H2859" s="2"/>
      <c r="I2859" s="2"/>
      <c r="J2859" s="2"/>
    </row>
    <row r="2860" ht="15.75" customHeight="1">
      <c r="A2860" s="4" t="str">
        <f>HYPERLINK("https://stackoverflow.com/q/57885877", "57885877")</f>
        <v>57885877</v>
      </c>
      <c r="B2860" s="2" t="s">
        <v>2903</v>
      </c>
      <c r="C2860" s="3"/>
      <c r="D2860" s="3">
        <v>41.0</v>
      </c>
      <c r="E2860" s="2"/>
      <c r="F2860" s="2"/>
      <c r="G2860" s="2"/>
      <c r="H2860" s="2"/>
      <c r="I2860" s="2"/>
      <c r="J2860" s="2"/>
    </row>
    <row r="2861" ht="15.75" customHeight="1">
      <c r="A2861" s="4" t="str">
        <f>HYPERLINK("https://stackoverflow.com/q/58249552", "58249552")</f>
        <v>58249552</v>
      </c>
      <c r="B2861" s="2" t="s">
        <v>2904</v>
      </c>
      <c r="C2861" s="3"/>
      <c r="D2861" s="3">
        <v>41.0</v>
      </c>
      <c r="E2861" s="2"/>
      <c r="F2861" s="2"/>
      <c r="G2861" s="2"/>
      <c r="H2861" s="2"/>
      <c r="I2861" s="2"/>
      <c r="J2861" s="2"/>
    </row>
    <row r="2862" ht="15.75" customHeight="1">
      <c r="A2862" s="4" t="str">
        <f>HYPERLINK("https://stackoverflow.com/q/58463784", "58463784")</f>
        <v>58463784</v>
      </c>
      <c r="B2862" s="2" t="s">
        <v>2905</v>
      </c>
      <c r="C2862" s="3"/>
      <c r="D2862" s="3">
        <v>41.0</v>
      </c>
      <c r="E2862" s="2"/>
      <c r="F2862" s="2"/>
      <c r="G2862" s="2"/>
      <c r="H2862" s="2"/>
      <c r="I2862" s="2"/>
      <c r="J2862" s="2"/>
    </row>
    <row r="2863" ht="15.75" customHeight="1">
      <c r="A2863" s="4" t="str">
        <f>HYPERLINK("https://stackoverflow.com/q/58492310", "58492310")</f>
        <v>58492310</v>
      </c>
      <c r="B2863" s="2" t="s">
        <v>2906</v>
      </c>
      <c r="C2863" s="3"/>
      <c r="D2863" s="3">
        <v>41.0</v>
      </c>
      <c r="E2863" s="2"/>
      <c r="F2863" s="2"/>
      <c r="G2863" s="2"/>
      <c r="H2863" s="2"/>
      <c r="I2863" s="2"/>
      <c r="J2863" s="2"/>
    </row>
    <row r="2864" ht="15.75" customHeight="1">
      <c r="A2864" s="4" t="str">
        <f>HYPERLINK("https://stackoverflow.com/q/58511291", "58511291")</f>
        <v>58511291</v>
      </c>
      <c r="B2864" s="2" t="s">
        <v>2907</v>
      </c>
      <c r="C2864" s="3"/>
      <c r="D2864" s="3">
        <v>41.0</v>
      </c>
      <c r="E2864" s="2"/>
      <c r="F2864" s="2"/>
      <c r="G2864" s="2"/>
      <c r="H2864" s="2"/>
      <c r="I2864" s="2"/>
      <c r="J2864" s="2"/>
    </row>
    <row r="2865" ht="15.75" customHeight="1">
      <c r="A2865" s="4" t="str">
        <f>HYPERLINK("https://stackoverflow.com/q/58660181", "58660181")</f>
        <v>58660181</v>
      </c>
      <c r="B2865" s="2" t="s">
        <v>2908</v>
      </c>
      <c r="C2865" s="3"/>
      <c r="D2865" s="3">
        <v>41.0</v>
      </c>
      <c r="E2865" s="2"/>
      <c r="F2865" s="2"/>
      <c r="G2865" s="2"/>
      <c r="H2865" s="2"/>
      <c r="I2865" s="2"/>
      <c r="J2865" s="2"/>
    </row>
    <row r="2866" ht="15.75" customHeight="1">
      <c r="A2866" s="4" t="str">
        <f>HYPERLINK("https://stackoverflow.com/q/60532175", "60532175")</f>
        <v>60532175</v>
      </c>
      <c r="B2866" s="2" t="s">
        <v>2909</v>
      </c>
      <c r="C2866" s="3">
        <v>0.0</v>
      </c>
      <c r="D2866" s="3">
        <v>40.0</v>
      </c>
      <c r="E2866" s="2"/>
      <c r="F2866" s="2"/>
      <c r="G2866" s="2"/>
      <c r="H2866" s="2"/>
      <c r="I2866" s="2"/>
      <c r="J2866" s="2"/>
    </row>
    <row r="2867" ht="15.75" customHeight="1">
      <c r="A2867" s="4" t="str">
        <f>HYPERLINK("https://stackoverflow.com/q/53826899", "53826899")</f>
        <v>53826899</v>
      </c>
      <c r="B2867" s="2" t="s">
        <v>2910</v>
      </c>
      <c r="C2867" s="3"/>
      <c r="D2867" s="3">
        <v>40.0</v>
      </c>
      <c r="E2867" s="2" t="s">
        <v>59</v>
      </c>
      <c r="F2867" s="2" t="s">
        <v>28</v>
      </c>
      <c r="G2867" s="2"/>
      <c r="H2867" s="2"/>
      <c r="I2867" s="2"/>
      <c r="J2867" s="2"/>
    </row>
    <row r="2868" ht="15.75" customHeight="1">
      <c r="A2868" s="4" t="str">
        <f>HYPERLINK("https://stackoverflow.com/q/43618424", "43618424")</f>
        <v>43618424</v>
      </c>
      <c r="B2868" s="2" t="s">
        <v>2911</v>
      </c>
      <c r="C2868" s="3"/>
      <c r="D2868" s="3">
        <v>40.0</v>
      </c>
      <c r="E2868" s="9" t="s">
        <v>11</v>
      </c>
      <c r="F2868" s="2" t="s">
        <v>16</v>
      </c>
      <c r="G2868" s="2"/>
      <c r="H2868" s="2"/>
      <c r="I2868" s="2"/>
      <c r="J2868" s="2"/>
    </row>
    <row r="2869" ht="15.75" customHeight="1">
      <c r="A2869" s="4" t="str">
        <f>HYPERLINK("https://stackoverflow.com/q/54285728", "54285728")</f>
        <v>54285728</v>
      </c>
      <c r="B2869" s="2" t="s">
        <v>2912</v>
      </c>
      <c r="C2869" s="3"/>
      <c r="D2869" s="3">
        <v>40.0</v>
      </c>
      <c r="E2869" s="2" t="s">
        <v>11</v>
      </c>
      <c r="F2869" s="2" t="s">
        <v>67</v>
      </c>
      <c r="G2869" s="2"/>
      <c r="H2869" s="2"/>
      <c r="I2869" s="2"/>
      <c r="J2869" s="2"/>
    </row>
    <row r="2870" ht="15.75" customHeight="1">
      <c r="A2870" s="4" t="str">
        <f>HYPERLINK("https://stackoverflow.com/q/54960110", "54960110")</f>
        <v>54960110</v>
      </c>
      <c r="B2870" s="2" t="s">
        <v>2913</v>
      </c>
      <c r="C2870" s="3"/>
      <c r="D2870" s="3">
        <v>40.0</v>
      </c>
      <c r="E2870" s="2" t="s">
        <v>11</v>
      </c>
      <c r="F2870" s="2" t="s">
        <v>14</v>
      </c>
      <c r="G2870" s="2"/>
      <c r="H2870" s="2"/>
      <c r="I2870" s="2"/>
      <c r="J2870" s="2"/>
    </row>
    <row r="2871" ht="15.75" customHeight="1">
      <c r="A2871" s="4" t="str">
        <f>HYPERLINK("https://stackoverflow.com/q/50705737", "50705737")</f>
        <v>50705737</v>
      </c>
      <c r="B2871" s="2" t="s">
        <v>2914</v>
      </c>
      <c r="C2871" s="3"/>
      <c r="D2871" s="3">
        <v>40.0</v>
      </c>
      <c r="E2871" s="2"/>
      <c r="F2871" s="2"/>
      <c r="G2871" s="2"/>
      <c r="H2871" s="2"/>
      <c r="I2871" s="2"/>
      <c r="J2871" s="2"/>
    </row>
    <row r="2872" ht="15.75" customHeight="1">
      <c r="A2872" s="4" t="str">
        <f>HYPERLINK("https://stackoverflow.com/q/56937207", "56937207")</f>
        <v>56937207</v>
      </c>
      <c r="B2872" s="2" t="s">
        <v>2915</v>
      </c>
      <c r="C2872" s="3"/>
      <c r="D2872" s="3">
        <v>40.0</v>
      </c>
      <c r="E2872" s="2"/>
      <c r="F2872" s="2"/>
      <c r="G2872" s="2"/>
      <c r="H2872" s="2"/>
      <c r="I2872" s="2"/>
      <c r="J2872" s="2"/>
    </row>
    <row r="2873" ht="15.75" customHeight="1">
      <c r="A2873" s="4" t="str">
        <f>HYPERLINK("https://stackoverflow.com/q/58177425", "58177425")</f>
        <v>58177425</v>
      </c>
      <c r="B2873" s="2" t="s">
        <v>2916</v>
      </c>
      <c r="C2873" s="3"/>
      <c r="D2873" s="3">
        <v>40.0</v>
      </c>
      <c r="E2873" s="2"/>
      <c r="F2873" s="2"/>
      <c r="G2873" s="2"/>
      <c r="H2873" s="2"/>
      <c r="I2873" s="2"/>
      <c r="J2873" s="2"/>
    </row>
    <row r="2874" ht="15.75" customHeight="1">
      <c r="A2874" s="4" t="str">
        <f>HYPERLINK("https://stackoverflow.com/q/58649436", "58649436")</f>
        <v>58649436</v>
      </c>
      <c r="B2874" s="2" t="s">
        <v>2917</v>
      </c>
      <c r="C2874" s="3"/>
      <c r="D2874" s="3">
        <v>40.0</v>
      </c>
      <c r="E2874" s="2"/>
      <c r="F2874" s="2"/>
      <c r="G2874" s="2"/>
      <c r="H2874" s="2"/>
      <c r="I2874" s="2"/>
      <c r="J2874" s="2"/>
    </row>
    <row r="2875" ht="15.75" customHeight="1">
      <c r="A2875" s="4" t="str">
        <f>HYPERLINK("https://stackoverflow.com/q/58746868", "58746868")</f>
        <v>58746868</v>
      </c>
      <c r="B2875" s="2" t="s">
        <v>2918</v>
      </c>
      <c r="C2875" s="3"/>
      <c r="D2875" s="3">
        <v>40.0</v>
      </c>
      <c r="E2875" s="2"/>
      <c r="F2875" s="2"/>
      <c r="G2875" s="2"/>
      <c r="H2875" s="2"/>
      <c r="I2875" s="2"/>
      <c r="J2875" s="2"/>
    </row>
    <row r="2876" ht="15.75" customHeight="1">
      <c r="A2876" s="4" t="str">
        <f>HYPERLINK("https://stackoverflow.com/q/59261369", "59261369")</f>
        <v>59261369</v>
      </c>
      <c r="B2876" s="2" t="s">
        <v>2919</v>
      </c>
      <c r="C2876" s="3"/>
      <c r="D2876" s="3">
        <v>40.0</v>
      </c>
      <c r="E2876" s="2"/>
      <c r="F2876" s="2"/>
      <c r="G2876" s="2"/>
      <c r="H2876" s="2"/>
      <c r="I2876" s="2"/>
      <c r="J2876" s="2"/>
    </row>
    <row r="2877" ht="15.75" customHeight="1">
      <c r="A2877" s="4" t="str">
        <f>HYPERLINK("https://stackoverflow.com/q/59327305", "59327305")</f>
        <v>59327305</v>
      </c>
      <c r="B2877" s="2" t="s">
        <v>2920</v>
      </c>
      <c r="C2877" s="3"/>
      <c r="D2877" s="3">
        <v>40.0</v>
      </c>
      <c r="E2877" s="2"/>
      <c r="F2877" s="2"/>
      <c r="G2877" s="2"/>
      <c r="H2877" s="2"/>
      <c r="I2877" s="2"/>
      <c r="J2877" s="2"/>
    </row>
    <row r="2878" ht="15.75" customHeight="1">
      <c r="A2878" s="4" t="str">
        <f>HYPERLINK("https://stackoverflow.com/q/60665681", "60665681")</f>
        <v>60665681</v>
      </c>
      <c r="B2878" s="2" t="s">
        <v>2921</v>
      </c>
      <c r="C2878" s="3"/>
      <c r="D2878" s="3">
        <v>40.0</v>
      </c>
      <c r="E2878" s="2"/>
      <c r="F2878" s="2"/>
      <c r="G2878" s="2"/>
      <c r="H2878" s="2"/>
      <c r="I2878" s="2"/>
      <c r="J2878" s="2"/>
    </row>
    <row r="2879" ht="15.75" customHeight="1">
      <c r="A2879" s="4" t="str">
        <f>HYPERLINK("https://stackoverflow.com/q/60779964", "60779964")</f>
        <v>60779964</v>
      </c>
      <c r="B2879" s="2" t="s">
        <v>2922</v>
      </c>
      <c r="C2879" s="3"/>
      <c r="D2879" s="3">
        <v>40.0</v>
      </c>
      <c r="E2879" s="2"/>
      <c r="F2879" s="2"/>
      <c r="G2879" s="2"/>
      <c r="H2879" s="2"/>
      <c r="I2879" s="2"/>
      <c r="J2879" s="2"/>
    </row>
    <row r="2880" ht="15.75" customHeight="1">
      <c r="A2880" s="4" t="str">
        <f>HYPERLINK("https://stackoverflow.com/q/60881303", "60881303")</f>
        <v>60881303</v>
      </c>
      <c r="B2880" s="2" t="s">
        <v>2923</v>
      </c>
      <c r="C2880" s="3"/>
      <c r="D2880" s="3">
        <v>40.0</v>
      </c>
      <c r="E2880" s="2"/>
      <c r="F2880" s="2"/>
      <c r="G2880" s="2"/>
      <c r="H2880" s="2"/>
      <c r="I2880" s="2"/>
      <c r="J2880" s="2"/>
    </row>
    <row r="2881" ht="15.75" customHeight="1">
      <c r="A2881" s="4" t="str">
        <f>HYPERLINK("https://stackoverflow.com/q/59756844", "59756844")</f>
        <v>59756844</v>
      </c>
      <c r="B2881" s="2" t="s">
        <v>2924</v>
      </c>
      <c r="C2881" s="3">
        <v>1.0</v>
      </c>
      <c r="D2881" s="3">
        <v>39.0</v>
      </c>
      <c r="E2881" s="2"/>
      <c r="F2881" s="2"/>
      <c r="G2881" s="2"/>
      <c r="H2881" s="2"/>
      <c r="I2881" s="2"/>
      <c r="J2881" s="2"/>
    </row>
    <row r="2882" ht="15.75" customHeight="1">
      <c r="A2882" s="4" t="str">
        <f>HYPERLINK("https://stackoverflow.com/q/59880781", "59880781")</f>
        <v>59880781</v>
      </c>
      <c r="B2882" s="2" t="s">
        <v>2925</v>
      </c>
      <c r="C2882" s="3">
        <v>1.0</v>
      </c>
      <c r="D2882" s="3">
        <v>39.0</v>
      </c>
      <c r="E2882" s="2"/>
      <c r="F2882" s="2"/>
      <c r="G2882" s="2"/>
      <c r="H2882" s="2"/>
      <c r="I2882" s="2"/>
      <c r="J2882" s="2"/>
    </row>
    <row r="2883" ht="15.75" customHeight="1">
      <c r="A2883" s="4" t="str">
        <f>HYPERLINK("https://stackoverflow.com/q/60594954", "60594954")</f>
        <v>60594954</v>
      </c>
      <c r="B2883" s="2" t="s">
        <v>2926</v>
      </c>
      <c r="C2883" s="3">
        <v>1.0</v>
      </c>
      <c r="D2883" s="3">
        <v>39.0</v>
      </c>
      <c r="E2883" s="2"/>
      <c r="F2883" s="2"/>
      <c r="G2883" s="2"/>
      <c r="H2883" s="2"/>
      <c r="I2883" s="2"/>
      <c r="J2883" s="2"/>
    </row>
    <row r="2884" ht="15.75" customHeight="1">
      <c r="A2884" s="4" t="str">
        <f>HYPERLINK("https://stackoverflow.com/q/55935097", "55935097")</f>
        <v>55935097</v>
      </c>
      <c r="B2884" s="2" t="s">
        <v>2927</v>
      </c>
      <c r="C2884" s="3"/>
      <c r="D2884" s="3">
        <v>39.0</v>
      </c>
      <c r="E2884" s="2" t="s">
        <v>11</v>
      </c>
      <c r="F2884" s="2" t="s">
        <v>25</v>
      </c>
      <c r="G2884" s="2"/>
      <c r="H2884" s="2"/>
      <c r="I2884" s="2"/>
      <c r="J2884" s="2"/>
    </row>
    <row r="2885" ht="15.75" customHeight="1">
      <c r="A2885" s="4" t="str">
        <f>HYPERLINK("https://stackoverflow.com/q/59527840", "59527840")</f>
        <v>59527840</v>
      </c>
      <c r="B2885" s="2" t="s">
        <v>2928</v>
      </c>
      <c r="C2885" s="3"/>
      <c r="D2885" s="3">
        <v>39.0</v>
      </c>
      <c r="E2885" s="2" t="s">
        <v>11</v>
      </c>
      <c r="F2885" s="2" t="s">
        <v>67</v>
      </c>
      <c r="G2885" s="2"/>
      <c r="H2885" s="2"/>
      <c r="I2885" s="2"/>
      <c r="J2885" s="2"/>
    </row>
    <row r="2886" ht="15.75" customHeight="1">
      <c r="A2886" s="4" t="str">
        <f>HYPERLINK("https://stackoverflow.com/q/61332655", "61332655")</f>
        <v>61332655</v>
      </c>
      <c r="B2886" s="2" t="s">
        <v>2929</v>
      </c>
      <c r="C2886" s="3"/>
      <c r="D2886" s="3">
        <v>39.0</v>
      </c>
      <c r="E2886" s="2" t="s">
        <v>11</v>
      </c>
      <c r="F2886" s="2" t="s">
        <v>49</v>
      </c>
      <c r="G2886" s="2"/>
      <c r="H2886" s="2"/>
      <c r="I2886" s="2"/>
      <c r="J2886" s="2"/>
    </row>
    <row r="2887" ht="15.75" customHeight="1">
      <c r="A2887" s="4" t="str">
        <f>HYPERLINK("https://stackoverflow.com/q/61685518", "61685518")</f>
        <v>61685518</v>
      </c>
      <c r="B2887" s="2" t="s">
        <v>2930</v>
      </c>
      <c r="C2887" s="3"/>
      <c r="D2887" s="3">
        <v>39.0</v>
      </c>
      <c r="E2887" s="2" t="s">
        <v>11</v>
      </c>
      <c r="F2887" s="2" t="s">
        <v>49</v>
      </c>
      <c r="G2887" s="2"/>
      <c r="H2887" s="2"/>
      <c r="I2887" s="2"/>
      <c r="J2887" s="2"/>
    </row>
    <row r="2888" ht="15.75" customHeight="1">
      <c r="A2888" s="4" t="str">
        <f>HYPERLINK("https://stackoverflow.com/q/52421026", "52421026")</f>
        <v>52421026</v>
      </c>
      <c r="B2888" s="2" t="s">
        <v>2931</v>
      </c>
      <c r="C2888" s="3"/>
      <c r="D2888" s="3">
        <v>39.0</v>
      </c>
      <c r="E2888" s="2"/>
      <c r="F2888" s="2"/>
      <c r="G2888" s="2"/>
      <c r="H2888" s="2"/>
      <c r="I2888" s="2"/>
      <c r="J2888" s="2"/>
    </row>
    <row r="2889" ht="15.75" customHeight="1">
      <c r="A2889" s="4" t="str">
        <f>HYPERLINK("https://stackoverflow.com/q/53820097", "53820097")</f>
        <v>53820097</v>
      </c>
      <c r="B2889" s="2" t="s">
        <v>2932</v>
      </c>
      <c r="C2889" s="3"/>
      <c r="D2889" s="3">
        <v>39.0</v>
      </c>
      <c r="E2889" s="2"/>
      <c r="F2889" s="2"/>
      <c r="G2889" s="2"/>
      <c r="H2889" s="2"/>
      <c r="I2889" s="2"/>
      <c r="J2889" s="2"/>
    </row>
    <row r="2890" ht="15.75" customHeight="1">
      <c r="A2890" s="4" t="str">
        <f>HYPERLINK("https://stackoverflow.com/q/56043124", "56043124")</f>
        <v>56043124</v>
      </c>
      <c r="B2890" s="2" t="s">
        <v>2933</v>
      </c>
      <c r="C2890" s="3"/>
      <c r="D2890" s="3">
        <v>39.0</v>
      </c>
      <c r="E2890" s="2"/>
      <c r="F2890" s="2"/>
      <c r="G2890" s="2"/>
      <c r="H2890" s="2"/>
      <c r="I2890" s="2"/>
      <c r="J2890" s="2"/>
    </row>
    <row r="2891" ht="15.75" customHeight="1">
      <c r="A2891" s="4" t="str">
        <f>HYPERLINK("https://stackoverflow.com/q/56790149", "56790149")</f>
        <v>56790149</v>
      </c>
      <c r="B2891" s="2" t="s">
        <v>2934</v>
      </c>
      <c r="C2891" s="3"/>
      <c r="D2891" s="3">
        <v>39.0</v>
      </c>
      <c r="E2891" s="2"/>
      <c r="F2891" s="2"/>
      <c r="G2891" s="2"/>
      <c r="H2891" s="2"/>
      <c r="I2891" s="2"/>
      <c r="J2891" s="2"/>
    </row>
    <row r="2892" ht="15.75" customHeight="1">
      <c r="A2892" s="4" t="str">
        <f>HYPERLINK("https://stackoverflow.com/q/56809303", "56809303")</f>
        <v>56809303</v>
      </c>
      <c r="B2892" s="2" t="s">
        <v>2935</v>
      </c>
      <c r="C2892" s="3"/>
      <c r="D2892" s="3">
        <v>39.0</v>
      </c>
      <c r="E2892" s="2"/>
      <c r="F2892" s="2"/>
      <c r="G2892" s="2"/>
      <c r="H2892" s="2"/>
      <c r="I2892" s="2"/>
      <c r="J2892" s="2"/>
    </row>
    <row r="2893" ht="15.75" customHeight="1">
      <c r="A2893" s="4" t="str">
        <f>HYPERLINK("https://stackoverflow.com/q/57873246", "57873246")</f>
        <v>57873246</v>
      </c>
      <c r="B2893" s="2" t="s">
        <v>2936</v>
      </c>
      <c r="C2893" s="3"/>
      <c r="D2893" s="3">
        <v>39.0</v>
      </c>
      <c r="E2893" s="2"/>
      <c r="F2893" s="2"/>
      <c r="G2893" s="2"/>
      <c r="H2893" s="2"/>
      <c r="I2893" s="2"/>
      <c r="J2893" s="2"/>
    </row>
    <row r="2894" ht="15.75" customHeight="1">
      <c r="A2894" s="4" t="str">
        <f>HYPERLINK("https://stackoverflow.com/q/58924846", "58924846")</f>
        <v>58924846</v>
      </c>
      <c r="B2894" s="2" t="s">
        <v>2937</v>
      </c>
      <c r="C2894" s="3"/>
      <c r="D2894" s="3">
        <v>39.0</v>
      </c>
      <c r="E2894" s="2"/>
      <c r="F2894" s="2"/>
      <c r="G2894" s="2"/>
      <c r="H2894" s="2"/>
      <c r="I2894" s="2"/>
      <c r="J2894" s="2"/>
    </row>
    <row r="2895" ht="15.75" customHeight="1">
      <c r="A2895" s="4" t="str">
        <f>HYPERLINK("https://stackoverflow.com/q/59565239", "59565239")</f>
        <v>59565239</v>
      </c>
      <c r="B2895" s="2" t="s">
        <v>2938</v>
      </c>
      <c r="C2895" s="3"/>
      <c r="D2895" s="3">
        <v>39.0</v>
      </c>
      <c r="E2895" s="2"/>
      <c r="F2895" s="2"/>
      <c r="G2895" s="2"/>
      <c r="H2895" s="2"/>
      <c r="I2895" s="2"/>
      <c r="J2895" s="2"/>
    </row>
    <row r="2896" ht="15.75" customHeight="1">
      <c r="A2896" s="4" t="str">
        <f>HYPERLINK("https://stackoverflow.com/q/59738152", "59738152")</f>
        <v>59738152</v>
      </c>
      <c r="B2896" s="2" t="s">
        <v>2939</v>
      </c>
      <c r="C2896" s="3"/>
      <c r="D2896" s="3">
        <v>39.0</v>
      </c>
      <c r="E2896" s="2"/>
      <c r="F2896" s="2"/>
      <c r="G2896" s="2"/>
      <c r="H2896" s="2"/>
      <c r="I2896" s="2"/>
      <c r="J2896" s="2"/>
    </row>
    <row r="2897" ht="15.75" customHeight="1">
      <c r="A2897" s="4" t="str">
        <f>HYPERLINK("https://stackoverflow.com/q/60318597", "60318597")</f>
        <v>60318597</v>
      </c>
      <c r="B2897" s="2" t="s">
        <v>2940</v>
      </c>
      <c r="C2897" s="3"/>
      <c r="D2897" s="3">
        <v>39.0</v>
      </c>
      <c r="E2897" s="2"/>
      <c r="F2897" s="2"/>
      <c r="G2897" s="2"/>
      <c r="H2897" s="2"/>
      <c r="I2897" s="2"/>
      <c r="J2897" s="2"/>
    </row>
    <row r="2898" ht="15.75" customHeight="1">
      <c r="A2898" s="4" t="str">
        <f>HYPERLINK("https://stackoverflow.com/q/61515127", "61515127")</f>
        <v>61515127</v>
      </c>
      <c r="B2898" s="2" t="s">
        <v>2941</v>
      </c>
      <c r="C2898" s="3"/>
      <c r="D2898" s="3">
        <v>39.0</v>
      </c>
      <c r="E2898" s="2"/>
      <c r="F2898" s="2"/>
      <c r="G2898" s="2"/>
      <c r="H2898" s="2"/>
      <c r="I2898" s="2"/>
      <c r="J2898" s="2"/>
    </row>
    <row r="2899" ht="15.75" customHeight="1">
      <c r="A2899" s="4" t="str">
        <f>HYPERLINK("https://stackoverflow.com/q/61552568", "61552568")</f>
        <v>61552568</v>
      </c>
      <c r="B2899" s="2" t="s">
        <v>2942</v>
      </c>
      <c r="C2899" s="3"/>
      <c r="D2899" s="3">
        <v>39.0</v>
      </c>
      <c r="E2899" s="2"/>
      <c r="F2899" s="2"/>
      <c r="G2899" s="2"/>
      <c r="H2899" s="2"/>
      <c r="I2899" s="2"/>
      <c r="J2899" s="2"/>
    </row>
    <row r="2900" ht="15.75" customHeight="1">
      <c r="A2900" s="4" t="str">
        <f>HYPERLINK("https://stackoverflow.com/q/61226697", "61226697")</f>
        <v>61226697</v>
      </c>
      <c r="B2900" s="2" t="s">
        <v>2943</v>
      </c>
      <c r="C2900" s="3">
        <v>2.0</v>
      </c>
      <c r="D2900" s="3">
        <v>38.0</v>
      </c>
      <c r="E2900" s="2" t="s">
        <v>72</v>
      </c>
      <c r="F2900" s="2" t="s">
        <v>506</v>
      </c>
      <c r="G2900" s="2" t="s">
        <v>87</v>
      </c>
      <c r="H2900" s="2"/>
      <c r="I2900" s="2"/>
      <c r="J2900" s="2"/>
    </row>
    <row r="2901" ht="15.75" customHeight="1">
      <c r="A2901" s="4" t="str">
        <f>HYPERLINK("https://stackoverflow.com/q/54678756", "54678756")</f>
        <v>54678756</v>
      </c>
      <c r="B2901" s="2" t="s">
        <v>2944</v>
      </c>
      <c r="C2901" s="3"/>
      <c r="D2901" s="3">
        <v>38.0</v>
      </c>
      <c r="E2901" s="2" t="s">
        <v>11</v>
      </c>
      <c r="F2901" s="2" t="s">
        <v>14</v>
      </c>
      <c r="G2901" s="2"/>
      <c r="H2901" s="2"/>
      <c r="I2901" s="2"/>
      <c r="J2901" s="2"/>
    </row>
    <row r="2902" ht="15.75" customHeight="1">
      <c r="A2902" s="4" t="str">
        <f>HYPERLINK("https://stackoverflow.com/q/61778472", "61778472")</f>
        <v>61778472</v>
      </c>
      <c r="B2902" s="2" t="s">
        <v>2945</v>
      </c>
      <c r="C2902" s="3"/>
      <c r="D2902" s="3">
        <v>38.0</v>
      </c>
      <c r="E2902" s="2" t="s">
        <v>11</v>
      </c>
      <c r="F2902" s="2" t="s">
        <v>28</v>
      </c>
      <c r="G2902" s="2" t="s">
        <v>506</v>
      </c>
      <c r="H2902" s="2"/>
      <c r="I2902" s="2"/>
      <c r="J2902" s="2"/>
    </row>
    <row r="2903" ht="15.75" customHeight="1">
      <c r="A2903" s="4" t="str">
        <f>HYPERLINK("https://stackoverflow.com/q/55116523", "55116523")</f>
        <v>55116523</v>
      </c>
      <c r="B2903" s="2" t="s">
        <v>2946</v>
      </c>
      <c r="C2903" s="3"/>
      <c r="D2903" s="3">
        <v>38.0</v>
      </c>
      <c r="E2903" s="2" t="s">
        <v>537</v>
      </c>
      <c r="F2903" s="2" t="s">
        <v>73</v>
      </c>
      <c r="G2903" s="2"/>
      <c r="H2903" s="2"/>
      <c r="I2903" s="2"/>
      <c r="J2903" s="2"/>
    </row>
    <row r="2904" ht="15.75" customHeight="1">
      <c r="A2904" s="4" t="str">
        <f>HYPERLINK("https://stackoverflow.com/q/51535030", "51535030")</f>
        <v>51535030</v>
      </c>
      <c r="B2904" s="2" t="s">
        <v>2947</v>
      </c>
      <c r="C2904" s="3"/>
      <c r="D2904" s="3">
        <v>38.0</v>
      </c>
      <c r="E2904" s="2"/>
      <c r="F2904" s="2"/>
      <c r="G2904" s="2"/>
      <c r="H2904" s="2"/>
      <c r="I2904" s="2"/>
      <c r="J2904" s="2"/>
    </row>
    <row r="2905" ht="15.75" customHeight="1">
      <c r="A2905" s="4" t="str">
        <f>HYPERLINK("https://stackoverflow.com/q/56033799", "56033799")</f>
        <v>56033799</v>
      </c>
      <c r="B2905" s="2" t="s">
        <v>2948</v>
      </c>
      <c r="C2905" s="3"/>
      <c r="D2905" s="3">
        <v>38.0</v>
      </c>
      <c r="E2905" s="2"/>
      <c r="F2905" s="2"/>
      <c r="G2905" s="2"/>
      <c r="H2905" s="2"/>
      <c r="I2905" s="2"/>
      <c r="J2905" s="2"/>
    </row>
    <row r="2906" ht="15.75" customHeight="1">
      <c r="A2906" s="4" t="str">
        <f>HYPERLINK("https://stackoverflow.com/q/57363284", "57363284")</f>
        <v>57363284</v>
      </c>
      <c r="B2906" s="2" t="s">
        <v>2949</v>
      </c>
      <c r="C2906" s="3"/>
      <c r="D2906" s="3">
        <v>38.0</v>
      </c>
      <c r="E2906" s="2"/>
      <c r="F2906" s="2"/>
      <c r="G2906" s="2"/>
      <c r="H2906" s="2"/>
      <c r="I2906" s="2"/>
      <c r="J2906" s="2"/>
    </row>
    <row r="2907" ht="15.75" customHeight="1">
      <c r="A2907" s="4" t="str">
        <f>HYPERLINK("https://stackoverflow.com/q/57602539", "57602539")</f>
        <v>57602539</v>
      </c>
      <c r="B2907" s="2" t="s">
        <v>2950</v>
      </c>
      <c r="C2907" s="3"/>
      <c r="D2907" s="3">
        <v>38.0</v>
      </c>
      <c r="E2907" s="2"/>
      <c r="F2907" s="2"/>
      <c r="G2907" s="2"/>
      <c r="H2907" s="2"/>
      <c r="I2907" s="2"/>
      <c r="J2907" s="2"/>
    </row>
    <row r="2908" ht="15.75" customHeight="1">
      <c r="A2908" s="4" t="str">
        <f>HYPERLINK("https://stackoverflow.com/q/57827537", "57827537")</f>
        <v>57827537</v>
      </c>
      <c r="B2908" s="2" t="s">
        <v>2951</v>
      </c>
      <c r="C2908" s="3"/>
      <c r="D2908" s="3">
        <v>38.0</v>
      </c>
      <c r="E2908" s="2"/>
      <c r="F2908" s="2"/>
      <c r="G2908" s="2"/>
      <c r="H2908" s="2"/>
      <c r="I2908" s="2"/>
      <c r="J2908" s="2"/>
    </row>
    <row r="2909" ht="15.75" customHeight="1">
      <c r="A2909" s="4" t="str">
        <f>HYPERLINK("https://stackoverflow.com/q/57897359", "57897359")</f>
        <v>57897359</v>
      </c>
      <c r="B2909" s="2" t="s">
        <v>2952</v>
      </c>
      <c r="C2909" s="3"/>
      <c r="D2909" s="3">
        <v>38.0</v>
      </c>
      <c r="E2909" s="2"/>
      <c r="F2909" s="2"/>
      <c r="G2909" s="2"/>
      <c r="H2909" s="2"/>
      <c r="I2909" s="2"/>
      <c r="J2909" s="2"/>
    </row>
    <row r="2910" ht="15.75" customHeight="1">
      <c r="A2910" s="4" t="str">
        <f>HYPERLINK("https://stackoverflow.com/q/58031932", "58031932")</f>
        <v>58031932</v>
      </c>
      <c r="B2910" s="2" t="s">
        <v>2953</v>
      </c>
      <c r="C2910" s="3"/>
      <c r="D2910" s="3">
        <v>38.0</v>
      </c>
      <c r="E2910" s="2"/>
      <c r="F2910" s="2"/>
      <c r="G2910" s="2"/>
      <c r="H2910" s="2"/>
      <c r="I2910" s="2"/>
      <c r="J2910" s="2"/>
    </row>
    <row r="2911" ht="15.75" customHeight="1">
      <c r="A2911" s="4" t="str">
        <f>HYPERLINK("https://stackoverflow.com/q/58384037", "58384037")</f>
        <v>58384037</v>
      </c>
      <c r="B2911" s="2" t="s">
        <v>2954</v>
      </c>
      <c r="C2911" s="3"/>
      <c r="D2911" s="3">
        <v>38.0</v>
      </c>
      <c r="E2911" s="2"/>
      <c r="F2911" s="2"/>
      <c r="G2911" s="2"/>
      <c r="H2911" s="2"/>
      <c r="I2911" s="2"/>
      <c r="J2911" s="2"/>
    </row>
    <row r="2912" ht="15.75" customHeight="1">
      <c r="A2912" s="4" t="str">
        <f>HYPERLINK("https://stackoverflow.com/q/58439034", "58439034")</f>
        <v>58439034</v>
      </c>
      <c r="B2912" s="2" t="s">
        <v>2955</v>
      </c>
      <c r="C2912" s="3"/>
      <c r="D2912" s="3">
        <v>38.0</v>
      </c>
      <c r="E2912" s="2"/>
      <c r="F2912" s="2"/>
      <c r="G2912" s="2"/>
      <c r="H2912" s="2"/>
      <c r="I2912" s="2"/>
      <c r="J2912" s="2"/>
    </row>
    <row r="2913" ht="15.75" customHeight="1">
      <c r="A2913" s="4" t="str">
        <f>HYPERLINK("https://stackoverflow.com/q/58449923", "58449923")</f>
        <v>58449923</v>
      </c>
      <c r="B2913" s="2" t="s">
        <v>2956</v>
      </c>
      <c r="C2913" s="3"/>
      <c r="D2913" s="3">
        <v>38.0</v>
      </c>
      <c r="E2913" s="2"/>
      <c r="F2913" s="2"/>
      <c r="G2913" s="2"/>
      <c r="H2913" s="2"/>
      <c r="I2913" s="2"/>
      <c r="J2913" s="2"/>
    </row>
    <row r="2914" ht="15.75" customHeight="1">
      <c r="A2914" s="4" t="str">
        <f>HYPERLINK("https://stackoverflow.com/q/58821575", "58821575")</f>
        <v>58821575</v>
      </c>
      <c r="B2914" s="2" t="s">
        <v>2957</v>
      </c>
      <c r="C2914" s="3"/>
      <c r="D2914" s="3">
        <v>38.0</v>
      </c>
      <c r="E2914" s="2"/>
      <c r="F2914" s="2"/>
      <c r="G2914" s="2"/>
      <c r="H2914" s="2"/>
      <c r="I2914" s="2"/>
      <c r="J2914" s="2"/>
    </row>
    <row r="2915" ht="15.75" customHeight="1">
      <c r="A2915" s="4" t="str">
        <f>HYPERLINK("https://stackoverflow.com/q/60115832", "60115832")</f>
        <v>60115832</v>
      </c>
      <c r="B2915" s="2" t="s">
        <v>2958</v>
      </c>
      <c r="C2915" s="3"/>
      <c r="D2915" s="3">
        <v>38.0</v>
      </c>
      <c r="E2915" s="2"/>
      <c r="F2915" s="2"/>
      <c r="G2915" s="2"/>
      <c r="H2915" s="2"/>
      <c r="I2915" s="2"/>
      <c r="J2915" s="2"/>
    </row>
    <row r="2916" ht="15.75" customHeight="1">
      <c r="A2916" s="4" t="str">
        <f>HYPERLINK("https://stackoverflow.com/q/60168463", "60168463")</f>
        <v>60168463</v>
      </c>
      <c r="B2916" s="2" t="s">
        <v>2959</v>
      </c>
      <c r="C2916" s="3"/>
      <c r="D2916" s="3">
        <v>38.0</v>
      </c>
      <c r="E2916" s="2"/>
      <c r="F2916" s="2"/>
      <c r="G2916" s="2"/>
      <c r="H2916" s="2"/>
      <c r="I2916" s="2"/>
      <c r="J2916" s="2"/>
    </row>
    <row r="2917" ht="15.75" customHeight="1">
      <c r="A2917" s="4" t="str">
        <f>HYPERLINK("https://stackoverflow.com/q/59186116", "59186116")</f>
        <v>59186116</v>
      </c>
      <c r="B2917" s="2" t="s">
        <v>2960</v>
      </c>
      <c r="C2917" s="3">
        <v>1.0</v>
      </c>
      <c r="D2917" s="3">
        <v>37.0</v>
      </c>
      <c r="E2917" s="2"/>
      <c r="F2917" s="2"/>
      <c r="G2917" s="2"/>
      <c r="H2917" s="2"/>
      <c r="I2917" s="2"/>
      <c r="J2917" s="2"/>
    </row>
    <row r="2918" ht="15.75" customHeight="1">
      <c r="A2918" s="4" t="str">
        <f>HYPERLINK("https://stackoverflow.com/q/59861969", "59861969")</f>
        <v>59861969</v>
      </c>
      <c r="B2918" s="2" t="s">
        <v>2961</v>
      </c>
      <c r="C2918" s="3">
        <v>1.0</v>
      </c>
      <c r="D2918" s="3">
        <v>37.0</v>
      </c>
      <c r="E2918" s="2"/>
      <c r="F2918" s="2"/>
      <c r="G2918" s="2"/>
      <c r="H2918" s="2"/>
      <c r="I2918" s="2"/>
      <c r="J2918" s="2"/>
    </row>
    <row r="2919" ht="15.75" customHeight="1">
      <c r="A2919" s="4" t="str">
        <f>HYPERLINK("https://stackoverflow.com/q/61143493", "61143493")</f>
        <v>61143493</v>
      </c>
      <c r="B2919" s="2" t="s">
        <v>2962</v>
      </c>
      <c r="C2919" s="3"/>
      <c r="D2919" s="3">
        <v>37.0</v>
      </c>
      <c r="E2919" s="2" t="s">
        <v>11</v>
      </c>
      <c r="F2919" s="2" t="s">
        <v>35</v>
      </c>
      <c r="G2919" s="2"/>
      <c r="H2919" s="2"/>
      <c r="I2919" s="2"/>
      <c r="J2919" s="2"/>
    </row>
    <row r="2920" ht="15.75" customHeight="1">
      <c r="A2920" s="4" t="str">
        <f>HYPERLINK("https://stackoverflow.com/q/50031163", "50031163")</f>
        <v>50031163</v>
      </c>
      <c r="B2920" s="2" t="s">
        <v>2963</v>
      </c>
      <c r="C2920" s="3"/>
      <c r="D2920" s="3">
        <v>37.0</v>
      </c>
      <c r="E2920" s="2"/>
      <c r="F2920" s="2"/>
      <c r="G2920" s="2"/>
      <c r="H2920" s="2"/>
      <c r="I2920" s="2"/>
      <c r="J2920" s="2"/>
    </row>
    <row r="2921" ht="15.75" customHeight="1">
      <c r="A2921" s="4" t="str">
        <f>HYPERLINK("https://stackoverflow.com/q/52282777", "52282777")</f>
        <v>52282777</v>
      </c>
      <c r="B2921" s="2" t="s">
        <v>2964</v>
      </c>
      <c r="C2921" s="3"/>
      <c r="D2921" s="3">
        <v>37.0</v>
      </c>
      <c r="E2921" s="2"/>
      <c r="F2921" s="2"/>
      <c r="G2921" s="2"/>
      <c r="H2921" s="2"/>
      <c r="I2921" s="2"/>
      <c r="J2921" s="2"/>
    </row>
    <row r="2922" ht="15.75" customHeight="1">
      <c r="A2922" s="4" t="str">
        <f>HYPERLINK("https://stackoverflow.com/q/52332025", "52332025")</f>
        <v>52332025</v>
      </c>
      <c r="B2922" s="2" t="s">
        <v>2965</v>
      </c>
      <c r="C2922" s="3"/>
      <c r="D2922" s="3">
        <v>37.0</v>
      </c>
      <c r="E2922" s="2"/>
      <c r="F2922" s="2"/>
      <c r="G2922" s="2"/>
      <c r="H2922" s="2"/>
      <c r="I2922" s="2"/>
      <c r="J2922" s="2"/>
    </row>
    <row r="2923" ht="15.75" customHeight="1">
      <c r="A2923" s="4" t="str">
        <f>HYPERLINK("https://stackoverflow.com/q/56298980", "56298980")</f>
        <v>56298980</v>
      </c>
      <c r="B2923" s="2" t="s">
        <v>2966</v>
      </c>
      <c r="C2923" s="3"/>
      <c r="D2923" s="3">
        <v>37.0</v>
      </c>
      <c r="E2923" s="2"/>
      <c r="F2923" s="2"/>
      <c r="G2923" s="2"/>
      <c r="H2923" s="2"/>
      <c r="I2923" s="2"/>
      <c r="J2923" s="2"/>
    </row>
    <row r="2924" ht="15.75" customHeight="1">
      <c r="A2924" s="4" t="str">
        <f>HYPERLINK("https://stackoverflow.com/q/56469964", "56469964")</f>
        <v>56469964</v>
      </c>
      <c r="B2924" s="2" t="s">
        <v>2967</v>
      </c>
      <c r="C2924" s="3"/>
      <c r="D2924" s="3">
        <v>37.0</v>
      </c>
      <c r="E2924" s="2"/>
      <c r="F2924" s="2"/>
      <c r="G2924" s="2"/>
      <c r="H2924" s="2"/>
      <c r="I2924" s="2"/>
      <c r="J2924" s="2"/>
    </row>
    <row r="2925" ht="15.75" customHeight="1">
      <c r="A2925" s="4" t="str">
        <f>HYPERLINK("https://stackoverflow.com/q/56661461", "56661461")</f>
        <v>56661461</v>
      </c>
      <c r="B2925" s="2" t="s">
        <v>2968</v>
      </c>
      <c r="C2925" s="3"/>
      <c r="D2925" s="3">
        <v>37.0</v>
      </c>
      <c r="E2925" s="2"/>
      <c r="F2925" s="2"/>
      <c r="G2925" s="2"/>
      <c r="H2925" s="2"/>
      <c r="I2925" s="2"/>
      <c r="J2925" s="2"/>
    </row>
    <row r="2926" ht="15.75" customHeight="1">
      <c r="A2926" s="4" t="str">
        <f>HYPERLINK("https://stackoverflow.com/q/57316318", "57316318")</f>
        <v>57316318</v>
      </c>
      <c r="B2926" s="2" t="s">
        <v>2969</v>
      </c>
      <c r="C2926" s="3"/>
      <c r="D2926" s="3">
        <v>37.0</v>
      </c>
      <c r="E2926" s="2"/>
      <c r="F2926" s="2"/>
      <c r="G2926" s="2"/>
      <c r="H2926" s="2"/>
      <c r="I2926" s="2"/>
      <c r="J2926" s="2"/>
    </row>
    <row r="2927" ht="15.75" customHeight="1">
      <c r="A2927" s="4" t="str">
        <f>HYPERLINK("https://stackoverflow.com/q/57810829", "57810829")</f>
        <v>57810829</v>
      </c>
      <c r="B2927" s="2" t="s">
        <v>2970</v>
      </c>
      <c r="C2927" s="3"/>
      <c r="D2927" s="3">
        <v>37.0</v>
      </c>
      <c r="E2927" s="2"/>
      <c r="F2927" s="2"/>
      <c r="G2927" s="2"/>
      <c r="H2927" s="2"/>
      <c r="I2927" s="2"/>
      <c r="J2927" s="2"/>
    </row>
    <row r="2928" ht="15.75" customHeight="1">
      <c r="A2928" s="4" t="str">
        <f>HYPERLINK("https://stackoverflow.com/q/57867919", "57867919")</f>
        <v>57867919</v>
      </c>
      <c r="B2928" s="2" t="s">
        <v>2971</v>
      </c>
      <c r="C2928" s="3"/>
      <c r="D2928" s="3">
        <v>37.0</v>
      </c>
      <c r="E2928" s="2"/>
      <c r="F2928" s="2"/>
      <c r="G2928" s="2"/>
      <c r="H2928" s="2"/>
      <c r="I2928" s="2"/>
      <c r="J2928" s="2"/>
    </row>
    <row r="2929" ht="15.75" customHeight="1">
      <c r="A2929" s="4" t="str">
        <f>HYPERLINK("https://stackoverflow.com/q/57891475", "57891475")</f>
        <v>57891475</v>
      </c>
      <c r="B2929" s="2" t="s">
        <v>2972</v>
      </c>
      <c r="C2929" s="3"/>
      <c r="D2929" s="3">
        <v>37.0</v>
      </c>
      <c r="E2929" s="2"/>
      <c r="F2929" s="2"/>
      <c r="G2929" s="2"/>
      <c r="H2929" s="2"/>
      <c r="I2929" s="2"/>
      <c r="J2929" s="2"/>
    </row>
    <row r="2930" ht="15.75" customHeight="1">
      <c r="A2930" s="4" t="str">
        <f>HYPERLINK("https://stackoverflow.com/q/57901336", "57901336")</f>
        <v>57901336</v>
      </c>
      <c r="B2930" s="2" t="s">
        <v>2973</v>
      </c>
      <c r="C2930" s="3"/>
      <c r="D2930" s="3">
        <v>37.0</v>
      </c>
      <c r="E2930" s="2"/>
      <c r="F2930" s="2"/>
      <c r="G2930" s="2"/>
      <c r="H2930" s="2"/>
      <c r="I2930" s="2"/>
      <c r="J2930" s="2"/>
    </row>
    <row r="2931" ht="15.75" customHeight="1">
      <c r="A2931" s="4" t="str">
        <f>HYPERLINK("https://stackoverflow.com/q/57971560", "57971560")</f>
        <v>57971560</v>
      </c>
      <c r="B2931" s="2" t="s">
        <v>2974</v>
      </c>
      <c r="C2931" s="3"/>
      <c r="D2931" s="3">
        <v>37.0</v>
      </c>
      <c r="E2931" s="2"/>
      <c r="F2931" s="2"/>
      <c r="G2931" s="2"/>
      <c r="H2931" s="2"/>
      <c r="I2931" s="2"/>
      <c r="J2931" s="2"/>
    </row>
    <row r="2932" ht="15.75" customHeight="1">
      <c r="A2932" s="4" t="str">
        <f>HYPERLINK("https://stackoverflow.com/q/58512106", "58512106")</f>
        <v>58512106</v>
      </c>
      <c r="B2932" s="2" t="s">
        <v>2975</v>
      </c>
      <c r="C2932" s="3"/>
      <c r="D2932" s="3">
        <v>37.0</v>
      </c>
      <c r="E2932" s="2"/>
      <c r="F2932" s="2"/>
      <c r="G2932" s="2"/>
      <c r="H2932" s="2"/>
      <c r="I2932" s="2"/>
      <c r="J2932" s="2"/>
    </row>
    <row r="2933" ht="15.75" customHeight="1">
      <c r="A2933" s="4" t="str">
        <f>HYPERLINK("https://stackoverflow.com/q/58769667", "58769667")</f>
        <v>58769667</v>
      </c>
      <c r="B2933" s="2" t="s">
        <v>2976</v>
      </c>
      <c r="C2933" s="3"/>
      <c r="D2933" s="3">
        <v>37.0</v>
      </c>
      <c r="E2933" s="2"/>
      <c r="F2933" s="2"/>
      <c r="G2933" s="2"/>
      <c r="H2933" s="2"/>
      <c r="I2933" s="2"/>
      <c r="J2933" s="2"/>
    </row>
    <row r="2934" ht="15.75" customHeight="1">
      <c r="A2934" s="4" t="str">
        <f>HYPERLINK("https://stackoverflow.com/q/59150977", "59150977")</f>
        <v>59150977</v>
      </c>
      <c r="B2934" s="2" t="s">
        <v>2977</v>
      </c>
      <c r="C2934" s="3"/>
      <c r="D2934" s="3">
        <v>37.0</v>
      </c>
      <c r="E2934" s="2"/>
      <c r="F2934" s="2"/>
      <c r="G2934" s="2"/>
      <c r="H2934" s="2"/>
      <c r="I2934" s="2"/>
      <c r="J2934" s="2"/>
    </row>
    <row r="2935" ht="15.75" customHeight="1">
      <c r="A2935" s="4" t="str">
        <f>HYPERLINK("https://stackoverflow.com/q/60939663", "60939663")</f>
        <v>60939663</v>
      </c>
      <c r="B2935" s="2" t="s">
        <v>2978</v>
      </c>
      <c r="C2935" s="3"/>
      <c r="D2935" s="3">
        <v>37.0</v>
      </c>
      <c r="E2935" s="2"/>
      <c r="F2935" s="2"/>
      <c r="G2935" s="2"/>
      <c r="H2935" s="2"/>
      <c r="I2935" s="2"/>
      <c r="J2935" s="2"/>
    </row>
    <row r="2936" ht="15.75" customHeight="1">
      <c r="A2936" s="4" t="str">
        <f>HYPERLINK("https://stackoverflow.com/q/55866962", "55866962")</f>
        <v>55866962</v>
      </c>
      <c r="B2936" s="2" t="s">
        <v>2979</v>
      </c>
      <c r="C2936" s="3">
        <v>1.0</v>
      </c>
      <c r="D2936" s="3">
        <v>36.0</v>
      </c>
      <c r="E2936" s="2"/>
      <c r="F2936" s="2"/>
      <c r="G2936" s="2"/>
      <c r="H2936" s="2"/>
      <c r="I2936" s="2"/>
      <c r="J2936" s="2"/>
    </row>
    <row r="2937" ht="15.75" customHeight="1">
      <c r="A2937" s="4" t="str">
        <f>HYPERLINK("https://stackoverflow.com/q/54841101", "54841101")</f>
        <v>54841101</v>
      </c>
      <c r="B2937" s="2" t="s">
        <v>2980</v>
      </c>
      <c r="C2937" s="3"/>
      <c r="D2937" s="3">
        <v>36.0</v>
      </c>
      <c r="E2937" s="2" t="s">
        <v>20</v>
      </c>
      <c r="F2937" s="2" t="s">
        <v>21</v>
      </c>
      <c r="G2937" s="2"/>
      <c r="H2937" s="2"/>
      <c r="I2937" s="2"/>
      <c r="J2937" s="2"/>
    </row>
    <row r="2938" ht="15.75" customHeight="1">
      <c r="A2938" s="4" t="str">
        <f>HYPERLINK("https://stackoverflow.com/q/61838119", "61838119")</f>
        <v>61838119</v>
      </c>
      <c r="B2938" s="2" t="s">
        <v>2981</v>
      </c>
      <c r="C2938" s="3"/>
      <c r="D2938" s="3">
        <v>36.0</v>
      </c>
      <c r="E2938" s="2" t="s">
        <v>59</v>
      </c>
      <c r="F2938" s="2" t="s">
        <v>183</v>
      </c>
      <c r="G2938" s="2"/>
      <c r="H2938" s="2"/>
      <c r="I2938" s="2"/>
      <c r="J2938" s="2"/>
    </row>
    <row r="2939" ht="15.75" customHeight="1">
      <c r="A2939" s="4" t="str">
        <f>HYPERLINK("https://stackoverflow.com/q/54980076", "54980076")</f>
        <v>54980076</v>
      </c>
      <c r="B2939" s="2" t="s">
        <v>2982</v>
      </c>
      <c r="C2939" s="3"/>
      <c r="D2939" s="3">
        <v>36.0</v>
      </c>
      <c r="E2939" s="2" t="s">
        <v>11</v>
      </c>
      <c r="F2939" s="2" t="s">
        <v>35</v>
      </c>
      <c r="G2939" s="2"/>
      <c r="H2939" s="2"/>
      <c r="I2939" s="2"/>
      <c r="J2939" s="2"/>
    </row>
    <row r="2940" ht="15.75" customHeight="1">
      <c r="A2940" s="4" t="str">
        <f>HYPERLINK("https://stackoverflow.com/q/55511505", "55511505")</f>
        <v>55511505</v>
      </c>
      <c r="B2940" s="2" t="s">
        <v>2983</v>
      </c>
      <c r="C2940" s="3"/>
      <c r="D2940" s="3">
        <v>36.0</v>
      </c>
      <c r="E2940" s="2" t="s">
        <v>11</v>
      </c>
      <c r="F2940" s="2" t="s">
        <v>12</v>
      </c>
      <c r="G2940" s="2"/>
      <c r="H2940" s="2"/>
      <c r="I2940" s="2"/>
      <c r="J2940" s="2"/>
    </row>
    <row r="2941" ht="15.75" customHeight="1">
      <c r="A2941" s="4" t="str">
        <f>HYPERLINK("https://stackoverflow.com/q/61443240", "61443240")</f>
        <v>61443240</v>
      </c>
      <c r="B2941" s="2" t="s">
        <v>2984</v>
      </c>
      <c r="C2941" s="3"/>
      <c r="D2941" s="3">
        <v>36.0</v>
      </c>
      <c r="E2941" s="2" t="s">
        <v>11</v>
      </c>
      <c r="F2941" s="2" t="s">
        <v>14</v>
      </c>
      <c r="G2941" s="2"/>
      <c r="H2941" s="2"/>
      <c r="I2941" s="2"/>
      <c r="J2941" s="2"/>
    </row>
    <row r="2942" ht="15.75" customHeight="1">
      <c r="A2942" s="4" t="str">
        <f>HYPERLINK("https://stackoverflow.com/q/61840842", "61840842")</f>
        <v>61840842</v>
      </c>
      <c r="B2942" s="2" t="s">
        <v>2985</v>
      </c>
      <c r="C2942" s="3"/>
      <c r="D2942" s="3">
        <v>36.0</v>
      </c>
      <c r="E2942" s="2" t="s">
        <v>11</v>
      </c>
      <c r="F2942" s="2" t="s">
        <v>44</v>
      </c>
      <c r="G2942" s="2" t="s">
        <v>18</v>
      </c>
      <c r="H2942" s="2"/>
      <c r="I2942" s="2"/>
      <c r="J2942" s="2"/>
    </row>
    <row r="2943" ht="15.75" customHeight="1">
      <c r="A2943" s="4" t="str">
        <f>HYPERLINK("https://stackoverflow.com/q/43066045", "43066045")</f>
        <v>43066045</v>
      </c>
      <c r="B2943" s="2" t="s">
        <v>2986</v>
      </c>
      <c r="C2943" s="3"/>
      <c r="D2943" s="3">
        <v>36.0</v>
      </c>
      <c r="E2943" s="2"/>
      <c r="F2943" s="2" t="s">
        <v>23</v>
      </c>
      <c r="G2943" s="2"/>
      <c r="H2943" s="2"/>
      <c r="I2943" s="2"/>
      <c r="J2943" s="2"/>
    </row>
    <row r="2944" ht="15.75" customHeight="1">
      <c r="A2944" s="4" t="str">
        <f>HYPERLINK("https://stackoverflow.com/q/50945866", "50945866")</f>
        <v>50945866</v>
      </c>
      <c r="B2944" s="2" t="s">
        <v>2987</v>
      </c>
      <c r="C2944" s="3"/>
      <c r="D2944" s="3">
        <v>36.0</v>
      </c>
      <c r="E2944" s="2"/>
      <c r="F2944" s="2"/>
      <c r="G2944" s="2"/>
      <c r="H2944" s="2"/>
      <c r="I2944" s="2"/>
      <c r="J2944" s="2"/>
    </row>
    <row r="2945" ht="15.75" customHeight="1">
      <c r="A2945" s="4" t="str">
        <f>HYPERLINK("https://stackoverflow.com/q/51874604", "51874604")</f>
        <v>51874604</v>
      </c>
      <c r="B2945" s="2" t="s">
        <v>2988</v>
      </c>
      <c r="C2945" s="3"/>
      <c r="D2945" s="3">
        <v>36.0</v>
      </c>
      <c r="E2945" s="2"/>
      <c r="F2945" s="2"/>
      <c r="G2945" s="2"/>
      <c r="H2945" s="2"/>
      <c r="I2945" s="2"/>
      <c r="J2945" s="2"/>
    </row>
    <row r="2946" ht="15.75" customHeight="1">
      <c r="A2946" s="4" t="str">
        <f>HYPERLINK("https://stackoverflow.com/q/53412187", "53412187")</f>
        <v>53412187</v>
      </c>
      <c r="B2946" s="2" t="s">
        <v>2989</v>
      </c>
      <c r="C2946" s="3"/>
      <c r="D2946" s="3">
        <v>36.0</v>
      </c>
      <c r="E2946" s="2"/>
      <c r="F2946" s="2"/>
      <c r="G2946" s="2"/>
      <c r="H2946" s="2"/>
      <c r="I2946" s="2"/>
      <c r="J2946" s="2"/>
    </row>
    <row r="2947" ht="15.75" customHeight="1">
      <c r="A2947" s="4" t="str">
        <f>HYPERLINK("https://stackoverflow.com/q/56257533", "56257533")</f>
        <v>56257533</v>
      </c>
      <c r="B2947" s="2" t="s">
        <v>2990</v>
      </c>
      <c r="C2947" s="3"/>
      <c r="D2947" s="3">
        <v>36.0</v>
      </c>
      <c r="E2947" s="2"/>
      <c r="F2947" s="2"/>
      <c r="G2947" s="2"/>
      <c r="H2947" s="2"/>
      <c r="I2947" s="2"/>
      <c r="J2947" s="2"/>
    </row>
    <row r="2948" ht="15.75" customHeight="1">
      <c r="A2948" s="4" t="str">
        <f>HYPERLINK("https://stackoverflow.com/q/56854441", "56854441")</f>
        <v>56854441</v>
      </c>
      <c r="B2948" s="2" t="s">
        <v>2991</v>
      </c>
      <c r="C2948" s="3"/>
      <c r="D2948" s="3">
        <v>36.0</v>
      </c>
      <c r="E2948" s="2"/>
      <c r="F2948" s="2"/>
      <c r="G2948" s="2"/>
      <c r="H2948" s="2"/>
      <c r="I2948" s="2"/>
      <c r="J2948" s="2"/>
    </row>
    <row r="2949" ht="15.75" customHeight="1">
      <c r="A2949" s="4" t="str">
        <f>HYPERLINK("https://stackoverflow.com/q/57264711", "57264711")</f>
        <v>57264711</v>
      </c>
      <c r="B2949" s="2" t="s">
        <v>2992</v>
      </c>
      <c r="C2949" s="3"/>
      <c r="D2949" s="3">
        <v>36.0</v>
      </c>
      <c r="E2949" s="2"/>
      <c r="F2949" s="2"/>
      <c r="G2949" s="2"/>
      <c r="H2949" s="2"/>
      <c r="I2949" s="2"/>
      <c r="J2949" s="2"/>
    </row>
    <row r="2950" ht="15.75" customHeight="1">
      <c r="A2950" s="4" t="str">
        <f>HYPERLINK("https://stackoverflow.com/q/57580329", "57580329")</f>
        <v>57580329</v>
      </c>
      <c r="B2950" s="2" t="s">
        <v>2993</v>
      </c>
      <c r="C2950" s="3"/>
      <c r="D2950" s="3">
        <v>36.0</v>
      </c>
      <c r="E2950" s="2"/>
      <c r="F2950" s="2"/>
      <c r="G2950" s="2"/>
      <c r="H2950" s="2"/>
      <c r="I2950" s="2"/>
      <c r="J2950" s="2"/>
    </row>
    <row r="2951" ht="15.75" customHeight="1">
      <c r="A2951" s="4" t="str">
        <f>HYPERLINK("https://stackoverflow.com/q/57864148", "57864148")</f>
        <v>57864148</v>
      </c>
      <c r="B2951" s="2" t="s">
        <v>2994</v>
      </c>
      <c r="C2951" s="3"/>
      <c r="D2951" s="3">
        <v>36.0</v>
      </c>
      <c r="E2951" s="2"/>
      <c r="F2951" s="2"/>
      <c r="G2951" s="2"/>
      <c r="H2951" s="2"/>
      <c r="I2951" s="2"/>
      <c r="J2951" s="2"/>
    </row>
    <row r="2952" ht="15.75" customHeight="1">
      <c r="A2952" s="4" t="str">
        <f>HYPERLINK("https://stackoverflow.com/q/58101949", "58101949")</f>
        <v>58101949</v>
      </c>
      <c r="B2952" s="2" t="s">
        <v>2995</v>
      </c>
      <c r="C2952" s="3"/>
      <c r="D2952" s="3">
        <v>36.0</v>
      </c>
      <c r="E2952" s="2"/>
      <c r="F2952" s="2"/>
      <c r="G2952" s="2"/>
      <c r="H2952" s="2"/>
      <c r="I2952" s="2"/>
      <c r="J2952" s="2"/>
    </row>
    <row r="2953" ht="15.75" customHeight="1">
      <c r="A2953" s="4" t="str">
        <f>HYPERLINK("https://stackoverflow.com/q/58181033", "58181033")</f>
        <v>58181033</v>
      </c>
      <c r="B2953" s="2" t="s">
        <v>2996</v>
      </c>
      <c r="C2953" s="3"/>
      <c r="D2953" s="3">
        <v>36.0</v>
      </c>
      <c r="E2953" s="2"/>
      <c r="F2953" s="2"/>
      <c r="G2953" s="2"/>
      <c r="H2953" s="2"/>
      <c r="I2953" s="2"/>
      <c r="J2953" s="2"/>
    </row>
    <row r="2954" ht="15.75" customHeight="1">
      <c r="A2954" s="4" t="str">
        <f>HYPERLINK("https://stackoverflow.com/q/58372921", "58372921")</f>
        <v>58372921</v>
      </c>
      <c r="B2954" s="2" t="s">
        <v>2997</v>
      </c>
      <c r="C2954" s="3"/>
      <c r="D2954" s="3">
        <v>36.0</v>
      </c>
      <c r="E2954" s="2"/>
      <c r="F2954" s="2"/>
      <c r="G2954" s="2"/>
      <c r="H2954" s="2"/>
      <c r="I2954" s="2"/>
      <c r="J2954" s="2"/>
    </row>
    <row r="2955" ht="15.75" customHeight="1">
      <c r="A2955" s="4" t="str">
        <f>HYPERLINK("https://stackoverflow.com/q/58626811", "58626811")</f>
        <v>58626811</v>
      </c>
      <c r="B2955" s="2" t="s">
        <v>2998</v>
      </c>
      <c r="C2955" s="3"/>
      <c r="D2955" s="3">
        <v>36.0</v>
      </c>
      <c r="E2955" s="2"/>
      <c r="F2955" s="2"/>
      <c r="G2955" s="2"/>
      <c r="H2955" s="2"/>
      <c r="I2955" s="2"/>
      <c r="J2955" s="2"/>
    </row>
    <row r="2956" ht="15.75" customHeight="1">
      <c r="A2956" s="4" t="str">
        <f>HYPERLINK("https://stackoverflow.com/q/58657618", "58657618")</f>
        <v>58657618</v>
      </c>
      <c r="B2956" s="2" t="s">
        <v>2999</v>
      </c>
      <c r="C2956" s="3"/>
      <c r="D2956" s="3">
        <v>36.0</v>
      </c>
      <c r="E2956" s="2"/>
      <c r="F2956" s="2"/>
      <c r="G2956" s="2"/>
      <c r="H2956" s="2"/>
      <c r="I2956" s="2"/>
      <c r="J2956" s="2"/>
    </row>
    <row r="2957" ht="15.75" customHeight="1">
      <c r="A2957" s="4" t="str">
        <f>HYPERLINK("https://stackoverflow.com/q/58703762", "58703762")</f>
        <v>58703762</v>
      </c>
      <c r="B2957" s="2" t="s">
        <v>3000</v>
      </c>
      <c r="C2957" s="3"/>
      <c r="D2957" s="3">
        <v>36.0</v>
      </c>
      <c r="E2957" s="2"/>
      <c r="F2957" s="2"/>
      <c r="G2957" s="2"/>
      <c r="H2957" s="2"/>
      <c r="I2957" s="2"/>
      <c r="J2957" s="2"/>
    </row>
    <row r="2958" ht="15.75" customHeight="1">
      <c r="A2958" s="4" t="str">
        <f>HYPERLINK("https://stackoverflow.com/q/58858248", "58858248")</f>
        <v>58858248</v>
      </c>
      <c r="B2958" s="2" t="s">
        <v>3001</v>
      </c>
      <c r="C2958" s="3"/>
      <c r="D2958" s="3">
        <v>36.0</v>
      </c>
      <c r="E2958" s="2"/>
      <c r="F2958" s="2"/>
      <c r="G2958" s="2"/>
      <c r="H2958" s="2"/>
      <c r="I2958" s="2"/>
      <c r="J2958" s="2"/>
    </row>
    <row r="2959" ht="15.75" customHeight="1">
      <c r="A2959" s="4" t="str">
        <f>HYPERLINK("https://stackoverflow.com/q/59063029", "59063029")</f>
        <v>59063029</v>
      </c>
      <c r="B2959" s="2" t="s">
        <v>3002</v>
      </c>
      <c r="C2959" s="3"/>
      <c r="D2959" s="3">
        <v>36.0</v>
      </c>
      <c r="E2959" s="2"/>
      <c r="F2959" s="2"/>
      <c r="G2959" s="2"/>
      <c r="H2959" s="2"/>
      <c r="I2959" s="2"/>
      <c r="J2959" s="2"/>
    </row>
    <row r="2960" ht="15.75" customHeight="1">
      <c r="A2960" s="4" t="str">
        <f>HYPERLINK("https://stackoverflow.com/q/59211352", "59211352")</f>
        <v>59211352</v>
      </c>
      <c r="B2960" s="2" t="s">
        <v>3003</v>
      </c>
      <c r="C2960" s="3"/>
      <c r="D2960" s="3">
        <v>36.0</v>
      </c>
      <c r="E2960" s="2"/>
      <c r="F2960" s="2"/>
      <c r="G2960" s="2"/>
      <c r="H2960" s="2"/>
      <c r="I2960" s="2"/>
      <c r="J2960" s="2"/>
    </row>
    <row r="2961" ht="15.75" customHeight="1">
      <c r="A2961" s="4" t="str">
        <f>HYPERLINK("https://stackoverflow.com/q/59462274", "59462274")</f>
        <v>59462274</v>
      </c>
      <c r="B2961" s="2" t="s">
        <v>3004</v>
      </c>
      <c r="C2961" s="3"/>
      <c r="D2961" s="3">
        <v>36.0</v>
      </c>
      <c r="E2961" s="2"/>
      <c r="F2961" s="2"/>
      <c r="G2961" s="2"/>
      <c r="H2961" s="2"/>
      <c r="I2961" s="2"/>
      <c r="J2961" s="2"/>
    </row>
    <row r="2962" ht="15.75" customHeight="1">
      <c r="A2962" s="4" t="str">
        <f>HYPERLINK("https://stackoverflow.com/q/61131140", "61131140")</f>
        <v>61131140</v>
      </c>
      <c r="B2962" s="2" t="s">
        <v>3005</v>
      </c>
      <c r="C2962" s="3">
        <v>1.0</v>
      </c>
      <c r="D2962" s="3">
        <v>35.0</v>
      </c>
      <c r="E2962" s="2" t="s">
        <v>11</v>
      </c>
      <c r="F2962" s="2" t="s">
        <v>194</v>
      </c>
      <c r="G2962" s="2"/>
      <c r="H2962" s="2"/>
      <c r="I2962" s="2"/>
      <c r="J2962" s="2"/>
    </row>
    <row r="2963" ht="15.75" customHeight="1">
      <c r="A2963" s="4" t="str">
        <f>HYPERLINK("https://stackoverflow.com/q/60333431", "60333431")</f>
        <v>60333431</v>
      </c>
      <c r="B2963" s="2" t="s">
        <v>3006</v>
      </c>
      <c r="C2963" s="3">
        <v>1.0</v>
      </c>
      <c r="D2963" s="3">
        <v>35.0</v>
      </c>
      <c r="E2963" s="2"/>
      <c r="F2963" s="2"/>
      <c r="G2963" s="2"/>
      <c r="H2963" s="2"/>
      <c r="I2963" s="2"/>
      <c r="J2963" s="2"/>
    </row>
    <row r="2964" ht="15.75" customHeight="1">
      <c r="A2964" s="4" t="str">
        <f>HYPERLINK("https://stackoverflow.com/q/61919301", "61919301")</f>
        <v>61919301</v>
      </c>
      <c r="B2964" s="2" t="s">
        <v>3007</v>
      </c>
      <c r="C2964" s="3"/>
      <c r="D2964" s="3">
        <v>35.0</v>
      </c>
      <c r="E2964" s="9" t="s">
        <v>11</v>
      </c>
      <c r="F2964" s="2" t="s">
        <v>18</v>
      </c>
      <c r="G2964" s="2" t="s">
        <v>34</v>
      </c>
      <c r="H2964" s="2"/>
      <c r="I2964" s="2"/>
      <c r="J2964" s="2"/>
    </row>
    <row r="2965" ht="15.75" customHeight="1">
      <c r="A2965" s="4" t="str">
        <f>HYPERLINK("https://stackoverflow.com/q/36760509", "36760509")</f>
        <v>36760509</v>
      </c>
      <c r="B2965" s="2" t="s">
        <v>3008</v>
      </c>
      <c r="C2965" s="3"/>
      <c r="D2965" s="3">
        <v>35.0</v>
      </c>
      <c r="E2965" s="2"/>
      <c r="F2965" s="2"/>
      <c r="G2965" s="2"/>
      <c r="H2965" s="2"/>
      <c r="I2965" s="2"/>
      <c r="J2965" s="2"/>
    </row>
    <row r="2966" ht="15.75" customHeight="1">
      <c r="A2966" s="4" t="str">
        <f>HYPERLINK("https://stackoverflow.com/q/50699695", "50699695")</f>
        <v>50699695</v>
      </c>
      <c r="B2966" s="2" t="s">
        <v>3009</v>
      </c>
      <c r="C2966" s="3"/>
      <c r="D2966" s="3">
        <v>35.0</v>
      </c>
      <c r="E2966" s="2"/>
      <c r="F2966" s="2"/>
      <c r="G2966" s="2"/>
      <c r="H2966" s="2"/>
      <c r="I2966" s="2"/>
      <c r="J2966" s="2"/>
    </row>
    <row r="2967" ht="15.75" customHeight="1">
      <c r="A2967" s="4" t="str">
        <f>HYPERLINK("https://stackoverflow.com/q/56119353", "56119353")</f>
        <v>56119353</v>
      </c>
      <c r="B2967" s="2" t="s">
        <v>3010</v>
      </c>
      <c r="C2967" s="3"/>
      <c r="D2967" s="3">
        <v>35.0</v>
      </c>
      <c r="E2967" s="2"/>
      <c r="F2967" s="2"/>
      <c r="G2967" s="2"/>
      <c r="H2967" s="2"/>
      <c r="I2967" s="2"/>
      <c r="J2967" s="2"/>
    </row>
    <row r="2968" ht="15.75" customHeight="1">
      <c r="A2968" s="4" t="str">
        <f>HYPERLINK("https://stackoverflow.com/q/56625748", "56625748")</f>
        <v>56625748</v>
      </c>
      <c r="B2968" s="2" t="s">
        <v>3011</v>
      </c>
      <c r="C2968" s="3"/>
      <c r="D2968" s="3">
        <v>35.0</v>
      </c>
      <c r="E2968" s="2"/>
      <c r="F2968" s="2"/>
      <c r="G2968" s="2"/>
      <c r="H2968" s="2"/>
      <c r="I2968" s="2"/>
      <c r="J2968" s="2"/>
    </row>
    <row r="2969" ht="15.75" customHeight="1">
      <c r="A2969" s="4" t="str">
        <f>HYPERLINK("https://stackoverflow.com/q/56962875", "56962875")</f>
        <v>56962875</v>
      </c>
      <c r="B2969" s="2" t="s">
        <v>3012</v>
      </c>
      <c r="C2969" s="3"/>
      <c r="D2969" s="3">
        <v>35.0</v>
      </c>
      <c r="E2969" s="2"/>
      <c r="F2969" s="2"/>
      <c r="G2969" s="2"/>
      <c r="H2969" s="2"/>
      <c r="I2969" s="2"/>
      <c r="J2969" s="2"/>
    </row>
    <row r="2970" ht="15.75" customHeight="1">
      <c r="A2970" s="4" t="str">
        <f>HYPERLINK("https://stackoverflow.com/q/57097533", "57097533")</f>
        <v>57097533</v>
      </c>
      <c r="B2970" s="2" t="s">
        <v>3013</v>
      </c>
      <c r="C2970" s="3"/>
      <c r="D2970" s="3">
        <v>35.0</v>
      </c>
      <c r="E2970" s="2"/>
      <c r="F2970" s="2"/>
      <c r="G2970" s="2"/>
      <c r="H2970" s="2"/>
      <c r="I2970" s="2"/>
      <c r="J2970" s="2"/>
    </row>
    <row r="2971" ht="15.75" customHeight="1">
      <c r="A2971" s="4" t="str">
        <f>HYPERLINK("https://stackoverflow.com/q/57256084", "57256084")</f>
        <v>57256084</v>
      </c>
      <c r="B2971" s="2" t="s">
        <v>3014</v>
      </c>
      <c r="C2971" s="3"/>
      <c r="D2971" s="3">
        <v>35.0</v>
      </c>
      <c r="E2971" s="2"/>
      <c r="F2971" s="2"/>
      <c r="G2971" s="2"/>
      <c r="H2971" s="2"/>
      <c r="I2971" s="2"/>
      <c r="J2971" s="2"/>
    </row>
    <row r="2972" ht="15.75" customHeight="1">
      <c r="A2972" s="4" t="str">
        <f>HYPERLINK("https://stackoverflow.com/q/57958985", "57958985")</f>
        <v>57958985</v>
      </c>
      <c r="B2972" s="2" t="s">
        <v>3015</v>
      </c>
      <c r="C2972" s="3"/>
      <c r="D2972" s="3">
        <v>35.0</v>
      </c>
      <c r="E2972" s="2"/>
      <c r="F2972" s="2"/>
      <c r="G2972" s="2"/>
      <c r="H2972" s="2"/>
      <c r="I2972" s="2"/>
      <c r="J2972" s="2"/>
    </row>
    <row r="2973" ht="15.75" customHeight="1">
      <c r="A2973" s="4" t="str">
        <f>HYPERLINK("https://stackoverflow.com/q/58384749", "58384749")</f>
        <v>58384749</v>
      </c>
      <c r="B2973" s="2" t="s">
        <v>3016</v>
      </c>
      <c r="C2973" s="3"/>
      <c r="D2973" s="3">
        <v>35.0</v>
      </c>
      <c r="E2973" s="2"/>
      <c r="F2973" s="2"/>
      <c r="G2973" s="2"/>
      <c r="H2973" s="2"/>
      <c r="I2973" s="2"/>
      <c r="J2973" s="2"/>
    </row>
    <row r="2974" ht="15.75" customHeight="1">
      <c r="A2974" s="4" t="str">
        <f>HYPERLINK("https://stackoverflow.com/q/58496141", "58496141")</f>
        <v>58496141</v>
      </c>
      <c r="B2974" s="2" t="s">
        <v>3017</v>
      </c>
      <c r="C2974" s="3"/>
      <c r="D2974" s="3">
        <v>35.0</v>
      </c>
      <c r="E2974" s="2"/>
      <c r="F2974" s="2"/>
      <c r="G2974" s="2"/>
      <c r="H2974" s="2"/>
      <c r="I2974" s="2"/>
      <c r="J2974" s="2"/>
    </row>
    <row r="2975" ht="15.75" customHeight="1">
      <c r="A2975" s="4" t="str">
        <f>HYPERLINK("https://stackoverflow.com/q/58730516", "58730516")</f>
        <v>58730516</v>
      </c>
      <c r="B2975" s="2" t="s">
        <v>3018</v>
      </c>
      <c r="C2975" s="3"/>
      <c r="D2975" s="3">
        <v>35.0</v>
      </c>
      <c r="E2975" s="2"/>
      <c r="F2975" s="2"/>
      <c r="G2975" s="2"/>
      <c r="H2975" s="2"/>
      <c r="I2975" s="2"/>
      <c r="J2975" s="2"/>
    </row>
    <row r="2976" ht="15.75" customHeight="1">
      <c r="A2976" s="4" t="str">
        <f>HYPERLINK("https://stackoverflow.com/q/58965067", "58965067")</f>
        <v>58965067</v>
      </c>
      <c r="B2976" s="2" t="s">
        <v>3019</v>
      </c>
      <c r="C2976" s="3"/>
      <c r="D2976" s="3">
        <v>35.0</v>
      </c>
      <c r="E2976" s="2"/>
      <c r="F2976" s="2"/>
      <c r="G2976" s="2"/>
      <c r="H2976" s="2"/>
      <c r="I2976" s="2"/>
      <c r="J2976" s="2"/>
    </row>
    <row r="2977" ht="15.75" customHeight="1">
      <c r="A2977" s="4" t="str">
        <f>HYPERLINK("https://stackoverflow.com/q/59018968", "59018968")</f>
        <v>59018968</v>
      </c>
      <c r="B2977" s="2" t="s">
        <v>3020</v>
      </c>
      <c r="C2977" s="3"/>
      <c r="D2977" s="3">
        <v>35.0</v>
      </c>
      <c r="E2977" s="2"/>
      <c r="F2977" s="2"/>
      <c r="G2977" s="2"/>
      <c r="H2977" s="2"/>
      <c r="I2977" s="2"/>
      <c r="J2977" s="2"/>
    </row>
    <row r="2978" ht="15.75" customHeight="1">
      <c r="A2978" s="4" t="str">
        <f>HYPERLINK("https://stackoverflow.com/q/59165271", "59165271")</f>
        <v>59165271</v>
      </c>
      <c r="B2978" s="2" t="s">
        <v>3021</v>
      </c>
      <c r="C2978" s="3"/>
      <c r="D2978" s="3">
        <v>35.0</v>
      </c>
      <c r="E2978" s="2"/>
      <c r="F2978" s="2"/>
      <c r="G2978" s="2"/>
      <c r="H2978" s="2"/>
      <c r="I2978" s="2"/>
      <c r="J2978" s="2"/>
    </row>
    <row r="2979" ht="15.75" customHeight="1">
      <c r="A2979" s="4" t="str">
        <f>HYPERLINK("https://stackoverflow.com/q/59262742", "59262742")</f>
        <v>59262742</v>
      </c>
      <c r="B2979" s="2" t="s">
        <v>3022</v>
      </c>
      <c r="C2979" s="3"/>
      <c r="D2979" s="3">
        <v>35.0</v>
      </c>
      <c r="E2979" s="2"/>
      <c r="F2979" s="2"/>
      <c r="G2979" s="2"/>
      <c r="H2979" s="2"/>
      <c r="I2979" s="2"/>
      <c r="J2979" s="2"/>
    </row>
    <row r="2980" ht="15.75" customHeight="1">
      <c r="A2980" s="4" t="str">
        <f>HYPERLINK("https://stackoverflow.com/q/59263581", "59263581")</f>
        <v>59263581</v>
      </c>
      <c r="B2980" s="2" t="s">
        <v>3023</v>
      </c>
      <c r="C2980" s="3"/>
      <c r="D2980" s="3">
        <v>35.0</v>
      </c>
      <c r="E2980" s="2"/>
      <c r="F2980" s="2"/>
      <c r="G2980" s="2"/>
      <c r="H2980" s="2"/>
      <c r="I2980" s="2"/>
      <c r="J2980" s="2"/>
    </row>
    <row r="2981" ht="15.75" customHeight="1">
      <c r="A2981" s="4" t="str">
        <f>HYPERLINK("https://stackoverflow.com/q/59510871", "59510871")</f>
        <v>59510871</v>
      </c>
      <c r="B2981" s="2" t="s">
        <v>3024</v>
      </c>
      <c r="C2981" s="3"/>
      <c r="D2981" s="3">
        <v>35.0</v>
      </c>
      <c r="E2981" s="2"/>
      <c r="F2981" s="2"/>
      <c r="G2981" s="2"/>
      <c r="H2981" s="2"/>
      <c r="I2981" s="2"/>
      <c r="J2981" s="2"/>
    </row>
    <row r="2982" ht="15.75" customHeight="1">
      <c r="A2982" s="4" t="str">
        <f>HYPERLINK("https://stackoverflow.com/q/59655025", "59655025")</f>
        <v>59655025</v>
      </c>
      <c r="B2982" s="2" t="s">
        <v>3025</v>
      </c>
      <c r="C2982" s="3"/>
      <c r="D2982" s="3">
        <v>35.0</v>
      </c>
      <c r="E2982" s="2"/>
      <c r="F2982" s="2"/>
      <c r="G2982" s="2"/>
      <c r="H2982" s="2"/>
      <c r="I2982" s="2"/>
      <c r="J2982" s="2"/>
    </row>
    <row r="2983" ht="15.75" customHeight="1">
      <c r="A2983" s="4" t="str">
        <f>HYPERLINK("https://stackoverflow.com/q/59722652", "59722652")</f>
        <v>59722652</v>
      </c>
      <c r="B2983" s="2" t="s">
        <v>3026</v>
      </c>
      <c r="C2983" s="3"/>
      <c r="D2983" s="3">
        <v>35.0</v>
      </c>
      <c r="E2983" s="2"/>
      <c r="F2983" s="2"/>
      <c r="G2983" s="2"/>
      <c r="H2983" s="2"/>
      <c r="I2983" s="2"/>
      <c r="J2983" s="2"/>
    </row>
    <row r="2984" ht="15.75" customHeight="1">
      <c r="A2984" s="4" t="str">
        <f>HYPERLINK("https://stackoverflow.com/q/59793253", "59793253")</f>
        <v>59793253</v>
      </c>
      <c r="B2984" s="2" t="s">
        <v>3027</v>
      </c>
      <c r="C2984" s="3"/>
      <c r="D2984" s="3">
        <v>35.0</v>
      </c>
      <c r="E2984" s="2"/>
      <c r="F2984" s="2"/>
      <c r="G2984" s="2"/>
      <c r="H2984" s="2"/>
      <c r="I2984" s="2"/>
      <c r="J2984" s="2"/>
    </row>
    <row r="2985" ht="15.75" customHeight="1">
      <c r="A2985" s="4" t="str">
        <f>HYPERLINK("https://stackoverflow.com/q/59873880", "59873880")</f>
        <v>59873880</v>
      </c>
      <c r="B2985" s="2" t="s">
        <v>3028</v>
      </c>
      <c r="C2985" s="3"/>
      <c r="D2985" s="3">
        <v>35.0</v>
      </c>
      <c r="E2985" s="2"/>
      <c r="F2985" s="2"/>
      <c r="G2985" s="2"/>
      <c r="H2985" s="2"/>
      <c r="I2985" s="2"/>
      <c r="J2985" s="2"/>
    </row>
    <row r="2986" ht="15.75" customHeight="1">
      <c r="A2986" s="4" t="str">
        <f>HYPERLINK("https://stackoverflow.com/q/60010596", "60010596")</f>
        <v>60010596</v>
      </c>
      <c r="B2986" s="2" t="s">
        <v>3029</v>
      </c>
      <c r="C2986" s="3"/>
      <c r="D2986" s="3">
        <v>35.0</v>
      </c>
      <c r="E2986" s="2"/>
      <c r="F2986" s="2"/>
      <c r="G2986" s="2"/>
      <c r="H2986" s="2"/>
      <c r="I2986" s="2"/>
      <c r="J2986" s="2"/>
    </row>
    <row r="2987" ht="15.75" customHeight="1">
      <c r="A2987" s="4" t="str">
        <f>HYPERLINK("https://stackoverflow.com/q/60811345", "60811345")</f>
        <v>60811345</v>
      </c>
      <c r="B2987" s="2" t="s">
        <v>3030</v>
      </c>
      <c r="C2987" s="3"/>
      <c r="D2987" s="3">
        <v>35.0</v>
      </c>
      <c r="E2987" s="2"/>
      <c r="F2987" s="2"/>
      <c r="G2987" s="2"/>
      <c r="H2987" s="2"/>
      <c r="I2987" s="2"/>
      <c r="J2987" s="2"/>
    </row>
    <row r="2988" ht="15.75" customHeight="1">
      <c r="A2988" s="4" t="str">
        <f>HYPERLINK("https://stackoverflow.com/q/60973579", "60973579")</f>
        <v>60973579</v>
      </c>
      <c r="B2988" s="2" t="s">
        <v>3031</v>
      </c>
      <c r="C2988" s="3"/>
      <c r="D2988" s="3">
        <v>35.0</v>
      </c>
      <c r="E2988" s="2"/>
      <c r="F2988" s="2"/>
      <c r="G2988" s="2"/>
      <c r="H2988" s="2"/>
      <c r="I2988" s="2"/>
      <c r="J2988" s="2"/>
    </row>
    <row r="2989" ht="15.75" customHeight="1">
      <c r="A2989" s="4" t="str">
        <f>HYPERLINK("https://stackoverflow.com/q/56794171", "56794171")</f>
        <v>56794171</v>
      </c>
      <c r="B2989" s="2" t="s">
        <v>3032</v>
      </c>
      <c r="C2989" s="3">
        <v>1.0</v>
      </c>
      <c r="D2989" s="3">
        <v>34.0</v>
      </c>
      <c r="E2989" s="2"/>
      <c r="F2989" s="2"/>
      <c r="G2989" s="2"/>
      <c r="H2989" s="2"/>
      <c r="I2989" s="2"/>
      <c r="J2989" s="2"/>
    </row>
    <row r="2990" ht="15.75" customHeight="1">
      <c r="A2990" s="4" t="str">
        <f>HYPERLINK("https://stackoverflow.com/q/57810467", "57810467")</f>
        <v>57810467</v>
      </c>
      <c r="B2990" s="2" t="s">
        <v>3033</v>
      </c>
      <c r="C2990" s="3">
        <v>1.0</v>
      </c>
      <c r="D2990" s="3">
        <v>34.0</v>
      </c>
      <c r="E2990" s="2"/>
      <c r="F2990" s="2"/>
      <c r="G2990" s="2"/>
      <c r="H2990" s="2"/>
      <c r="I2990" s="2"/>
      <c r="J2990" s="2"/>
    </row>
    <row r="2991" ht="15.75" customHeight="1">
      <c r="A2991" s="4" t="str">
        <f>HYPERLINK("https://stackoverflow.com/q/58513040", "58513040")</f>
        <v>58513040</v>
      </c>
      <c r="B2991" s="2" t="s">
        <v>3034</v>
      </c>
      <c r="C2991" s="3">
        <v>1.0</v>
      </c>
      <c r="D2991" s="3">
        <v>34.0</v>
      </c>
      <c r="E2991" s="2"/>
      <c r="F2991" s="2"/>
      <c r="G2991" s="2"/>
      <c r="H2991" s="2"/>
      <c r="I2991" s="2"/>
      <c r="J2991" s="2"/>
    </row>
    <row r="2992" ht="15.75" customHeight="1">
      <c r="A2992" s="4" t="str">
        <f>HYPERLINK("https://stackoverflow.com/q/60779826", "60779826")</f>
        <v>60779826</v>
      </c>
      <c r="B2992" s="2" t="s">
        <v>3035</v>
      </c>
      <c r="C2992" s="3">
        <v>1.0</v>
      </c>
      <c r="D2992" s="3">
        <v>34.0</v>
      </c>
      <c r="E2992" s="2"/>
      <c r="F2992" s="2"/>
      <c r="G2992" s="2"/>
      <c r="H2992" s="2"/>
      <c r="I2992" s="2"/>
      <c r="J2992" s="2"/>
    </row>
    <row r="2993" ht="15.75" customHeight="1">
      <c r="A2993" s="4" t="str">
        <f>HYPERLINK("https://stackoverflow.com/q/38194847", "38194847")</f>
        <v>38194847</v>
      </c>
      <c r="B2993" s="2" t="s">
        <v>3036</v>
      </c>
      <c r="C2993" s="3"/>
      <c r="D2993" s="3">
        <v>34.0</v>
      </c>
      <c r="E2993" s="2"/>
      <c r="F2993" s="2"/>
      <c r="G2993" s="2"/>
      <c r="H2993" s="2"/>
      <c r="I2993" s="2"/>
      <c r="J2993" s="2"/>
    </row>
    <row r="2994" ht="15.75" customHeight="1">
      <c r="A2994" s="4" t="str">
        <f>HYPERLINK("https://stackoverflow.com/q/49660802", "49660802")</f>
        <v>49660802</v>
      </c>
      <c r="B2994" s="2" t="s">
        <v>3037</v>
      </c>
      <c r="C2994" s="3"/>
      <c r="D2994" s="3">
        <v>34.0</v>
      </c>
      <c r="E2994" s="2"/>
      <c r="F2994" s="2"/>
      <c r="G2994" s="2"/>
      <c r="H2994" s="2"/>
      <c r="I2994" s="2"/>
      <c r="J2994" s="2"/>
    </row>
    <row r="2995" ht="15.75" customHeight="1">
      <c r="A2995" s="4" t="str">
        <f>HYPERLINK("https://stackoverflow.com/q/51525766", "51525766")</f>
        <v>51525766</v>
      </c>
      <c r="B2995" s="2" t="s">
        <v>3038</v>
      </c>
      <c r="C2995" s="3"/>
      <c r="D2995" s="3">
        <v>34.0</v>
      </c>
      <c r="E2995" s="2"/>
      <c r="F2995" s="2"/>
      <c r="G2995" s="2"/>
      <c r="H2995" s="2"/>
      <c r="I2995" s="2"/>
      <c r="J2995" s="2"/>
    </row>
    <row r="2996" ht="15.75" customHeight="1">
      <c r="A2996" s="4" t="str">
        <f>HYPERLINK("https://stackoverflow.com/q/52892670", "52892670")</f>
        <v>52892670</v>
      </c>
      <c r="B2996" s="2" t="s">
        <v>3039</v>
      </c>
      <c r="C2996" s="3"/>
      <c r="D2996" s="3">
        <v>34.0</v>
      </c>
      <c r="E2996" s="2"/>
      <c r="F2996" s="2"/>
      <c r="G2996" s="2"/>
      <c r="H2996" s="2"/>
      <c r="I2996" s="2"/>
      <c r="J2996" s="2"/>
    </row>
    <row r="2997" ht="15.75" customHeight="1">
      <c r="A2997" s="4" t="str">
        <f>HYPERLINK("https://stackoverflow.com/q/55896200", "55896200")</f>
        <v>55896200</v>
      </c>
      <c r="B2997" s="2" t="s">
        <v>3040</v>
      </c>
      <c r="C2997" s="3"/>
      <c r="D2997" s="3">
        <v>34.0</v>
      </c>
      <c r="E2997" s="2"/>
      <c r="F2997" s="2"/>
      <c r="G2997" s="2"/>
      <c r="H2997" s="2"/>
      <c r="I2997" s="2"/>
      <c r="J2997" s="2"/>
    </row>
    <row r="2998" ht="15.75" customHeight="1">
      <c r="A2998" s="4" t="str">
        <f>HYPERLINK("https://stackoverflow.com/q/56450083", "56450083")</f>
        <v>56450083</v>
      </c>
      <c r="B2998" s="2" t="s">
        <v>3041</v>
      </c>
      <c r="C2998" s="3"/>
      <c r="D2998" s="3">
        <v>34.0</v>
      </c>
      <c r="E2998" s="2"/>
      <c r="F2998" s="2"/>
      <c r="G2998" s="2"/>
      <c r="H2998" s="2"/>
      <c r="I2998" s="2"/>
      <c r="J2998" s="2"/>
    </row>
    <row r="2999" ht="15.75" customHeight="1">
      <c r="A2999" s="4" t="str">
        <f>HYPERLINK("https://stackoverflow.com/q/56595252", "56595252")</f>
        <v>56595252</v>
      </c>
      <c r="B2999" s="2" t="s">
        <v>3042</v>
      </c>
      <c r="C2999" s="3"/>
      <c r="D2999" s="3">
        <v>34.0</v>
      </c>
      <c r="E2999" s="2"/>
      <c r="F2999" s="2"/>
      <c r="G2999" s="2"/>
      <c r="H2999" s="2"/>
      <c r="I2999" s="2"/>
      <c r="J2999" s="2"/>
    </row>
    <row r="3000" ht="15.75" customHeight="1">
      <c r="A3000" s="4" t="str">
        <f>HYPERLINK("https://stackoverflow.com/q/58289560", "58289560")</f>
        <v>58289560</v>
      </c>
      <c r="B3000" s="2" t="s">
        <v>3043</v>
      </c>
      <c r="C3000" s="3"/>
      <c r="D3000" s="3">
        <v>34.0</v>
      </c>
      <c r="E3000" s="2"/>
      <c r="F3000" s="2"/>
      <c r="G3000" s="2"/>
      <c r="H3000" s="2"/>
      <c r="I3000" s="2"/>
      <c r="J3000" s="2"/>
    </row>
    <row r="3001" ht="15.75" customHeight="1">
      <c r="A3001" s="4" t="str">
        <f>HYPERLINK("https://stackoverflow.com/q/58300168", "58300168")</f>
        <v>58300168</v>
      </c>
      <c r="B3001" s="2" t="s">
        <v>3044</v>
      </c>
      <c r="C3001" s="3"/>
      <c r="D3001" s="3">
        <v>34.0</v>
      </c>
      <c r="E3001" s="2"/>
      <c r="F3001" s="2"/>
      <c r="G3001" s="2"/>
      <c r="H3001" s="2"/>
      <c r="I3001" s="2"/>
      <c r="J3001" s="2"/>
    </row>
    <row r="3002" ht="15.75" customHeight="1">
      <c r="A3002" s="4" t="str">
        <f>HYPERLINK("https://stackoverflow.com/q/58317425", "58317425")</f>
        <v>58317425</v>
      </c>
      <c r="B3002" s="2" t="s">
        <v>3045</v>
      </c>
      <c r="C3002" s="3"/>
      <c r="D3002" s="3">
        <v>34.0</v>
      </c>
      <c r="E3002" s="2"/>
      <c r="F3002" s="2"/>
      <c r="G3002" s="2"/>
      <c r="H3002" s="2"/>
      <c r="I3002" s="2"/>
      <c r="J3002" s="2"/>
    </row>
    <row r="3003" ht="15.75" customHeight="1">
      <c r="A3003" s="4" t="str">
        <f>HYPERLINK("https://stackoverflow.com/q/58609888", "58609888")</f>
        <v>58609888</v>
      </c>
      <c r="B3003" s="2" t="s">
        <v>3046</v>
      </c>
      <c r="C3003" s="3"/>
      <c r="D3003" s="3">
        <v>34.0</v>
      </c>
      <c r="E3003" s="2"/>
      <c r="F3003" s="2"/>
      <c r="G3003" s="2"/>
      <c r="H3003" s="2"/>
      <c r="I3003" s="2"/>
      <c r="J3003" s="2"/>
    </row>
    <row r="3004" ht="15.75" customHeight="1">
      <c r="A3004" s="4" t="str">
        <f>HYPERLINK("https://stackoverflow.com/q/59249634", "59249634")</f>
        <v>59249634</v>
      </c>
      <c r="B3004" s="2" t="s">
        <v>3047</v>
      </c>
      <c r="C3004" s="3"/>
      <c r="D3004" s="3">
        <v>34.0</v>
      </c>
      <c r="E3004" s="2"/>
      <c r="F3004" s="2"/>
      <c r="G3004" s="2"/>
      <c r="H3004" s="2"/>
      <c r="I3004" s="2"/>
      <c r="J3004" s="2"/>
    </row>
    <row r="3005" ht="15.75" customHeight="1">
      <c r="A3005" s="4" t="str">
        <f>HYPERLINK("https://stackoverflow.com/q/59271914", "59271914")</f>
        <v>59271914</v>
      </c>
      <c r="B3005" s="2" t="s">
        <v>3048</v>
      </c>
      <c r="C3005" s="3"/>
      <c r="D3005" s="3">
        <v>34.0</v>
      </c>
      <c r="E3005" s="2"/>
      <c r="F3005" s="2"/>
      <c r="G3005" s="2"/>
      <c r="H3005" s="2"/>
      <c r="I3005" s="2"/>
      <c r="J3005" s="2"/>
    </row>
    <row r="3006" ht="15.75" customHeight="1">
      <c r="A3006" s="4" t="str">
        <f>HYPERLINK("https://stackoverflow.com/q/59305155", "59305155")</f>
        <v>59305155</v>
      </c>
      <c r="B3006" s="2" t="s">
        <v>3049</v>
      </c>
      <c r="C3006" s="3"/>
      <c r="D3006" s="3">
        <v>34.0</v>
      </c>
      <c r="E3006" s="2"/>
      <c r="F3006" s="2"/>
      <c r="G3006" s="2"/>
      <c r="H3006" s="2"/>
      <c r="I3006" s="2"/>
      <c r="J3006" s="2"/>
    </row>
    <row r="3007" ht="15.75" customHeight="1">
      <c r="A3007" s="4" t="str">
        <f>HYPERLINK("https://stackoverflow.com/q/59720097", "59720097")</f>
        <v>59720097</v>
      </c>
      <c r="B3007" s="2" t="s">
        <v>3050</v>
      </c>
      <c r="C3007" s="3"/>
      <c r="D3007" s="3">
        <v>34.0</v>
      </c>
      <c r="E3007" s="2"/>
      <c r="F3007" s="2"/>
      <c r="G3007" s="2"/>
      <c r="H3007" s="2"/>
      <c r="I3007" s="2"/>
      <c r="J3007" s="2"/>
    </row>
    <row r="3008" ht="15.75" customHeight="1">
      <c r="A3008" s="4" t="str">
        <f>HYPERLINK("https://stackoverflow.com/q/59783806", "59783806")</f>
        <v>59783806</v>
      </c>
      <c r="B3008" s="2" t="s">
        <v>3051</v>
      </c>
      <c r="C3008" s="3"/>
      <c r="D3008" s="3">
        <v>34.0</v>
      </c>
      <c r="E3008" s="2"/>
      <c r="F3008" s="2"/>
      <c r="G3008" s="2"/>
      <c r="H3008" s="2"/>
      <c r="I3008" s="2"/>
      <c r="J3008" s="2"/>
    </row>
    <row r="3009" ht="15.75" customHeight="1">
      <c r="A3009" s="4" t="str">
        <f>HYPERLINK("https://stackoverflow.com/q/59899279", "59899279")</f>
        <v>59899279</v>
      </c>
      <c r="B3009" s="2" t="s">
        <v>3052</v>
      </c>
      <c r="C3009" s="3"/>
      <c r="D3009" s="3">
        <v>34.0</v>
      </c>
      <c r="E3009" s="2"/>
      <c r="F3009" s="2"/>
      <c r="G3009" s="2"/>
      <c r="H3009" s="2"/>
      <c r="I3009" s="2"/>
      <c r="J3009" s="2"/>
    </row>
    <row r="3010" ht="15.75" customHeight="1">
      <c r="A3010" s="4" t="str">
        <f>HYPERLINK("https://stackoverflow.com/q/60210752", "60210752")</f>
        <v>60210752</v>
      </c>
      <c r="B3010" s="2" t="s">
        <v>3053</v>
      </c>
      <c r="C3010" s="3"/>
      <c r="D3010" s="3">
        <v>34.0</v>
      </c>
      <c r="E3010" s="2"/>
      <c r="F3010" s="2"/>
      <c r="G3010" s="2"/>
      <c r="H3010" s="2"/>
      <c r="I3010" s="2"/>
      <c r="J3010" s="2"/>
    </row>
    <row r="3011" ht="15.75" customHeight="1">
      <c r="A3011" s="4" t="str">
        <f>HYPERLINK("https://stackoverflow.com/q/60223835", "60223835")</f>
        <v>60223835</v>
      </c>
      <c r="B3011" s="2" t="s">
        <v>3054</v>
      </c>
      <c r="C3011" s="3"/>
      <c r="D3011" s="3">
        <v>34.0</v>
      </c>
      <c r="E3011" s="2"/>
      <c r="F3011" s="2"/>
      <c r="G3011" s="2"/>
      <c r="H3011" s="2"/>
      <c r="I3011" s="2"/>
      <c r="J3011" s="2"/>
    </row>
    <row r="3012" ht="15.75" customHeight="1">
      <c r="A3012" s="4" t="str">
        <f>HYPERLINK("https://stackoverflow.com/q/60624406", "60624406")</f>
        <v>60624406</v>
      </c>
      <c r="B3012" s="2" t="s">
        <v>3055</v>
      </c>
      <c r="C3012" s="3"/>
      <c r="D3012" s="3">
        <v>34.0</v>
      </c>
      <c r="E3012" s="2"/>
      <c r="F3012" s="2"/>
      <c r="G3012" s="2"/>
      <c r="H3012" s="2"/>
      <c r="I3012" s="2"/>
      <c r="J3012" s="2"/>
    </row>
    <row r="3013" ht="15.75" customHeight="1">
      <c r="A3013" s="4" t="str">
        <f>HYPERLINK("https://stackoverflow.com/q/60832887", "60832887")</f>
        <v>60832887</v>
      </c>
      <c r="B3013" s="2" t="s">
        <v>3056</v>
      </c>
      <c r="C3013" s="3"/>
      <c r="D3013" s="3">
        <v>34.0</v>
      </c>
      <c r="E3013" s="2"/>
      <c r="F3013" s="2"/>
      <c r="G3013" s="2"/>
      <c r="H3013" s="2"/>
      <c r="I3013" s="2"/>
      <c r="J3013" s="2"/>
    </row>
    <row r="3014" ht="15.75" customHeight="1">
      <c r="A3014" s="4" t="str">
        <f>HYPERLINK("https://stackoverflow.com/q/61207759", "61207759")</f>
        <v>61207759</v>
      </c>
      <c r="B3014" s="2" t="s">
        <v>3057</v>
      </c>
      <c r="C3014" s="3">
        <v>0.0</v>
      </c>
      <c r="D3014" s="3">
        <v>33.0</v>
      </c>
      <c r="E3014" s="2" t="s">
        <v>86</v>
      </c>
      <c r="F3014" s="2" t="s">
        <v>87</v>
      </c>
      <c r="G3014" s="2"/>
      <c r="H3014" s="2"/>
      <c r="I3014" s="2"/>
      <c r="J3014" s="2"/>
    </row>
    <row r="3015" ht="15.75" customHeight="1">
      <c r="A3015" s="4" t="str">
        <f>HYPERLINK("https://stackoverflow.com/q/52836878", "52836878")</f>
        <v>52836878</v>
      </c>
      <c r="B3015" s="2" t="s">
        <v>3058</v>
      </c>
      <c r="C3015" s="3"/>
      <c r="D3015" s="3">
        <v>33.0</v>
      </c>
      <c r="E3015" s="2" t="s">
        <v>11</v>
      </c>
      <c r="F3015" s="2" t="s">
        <v>67</v>
      </c>
      <c r="G3015" s="2"/>
      <c r="H3015" s="2"/>
      <c r="I3015" s="2"/>
      <c r="J3015" s="2"/>
    </row>
    <row r="3016" ht="15.75" customHeight="1">
      <c r="A3016" s="4" t="str">
        <f>HYPERLINK("https://stackoverflow.com/q/54118895", "54118895")</f>
        <v>54118895</v>
      </c>
      <c r="B3016" s="2" t="s">
        <v>3059</v>
      </c>
      <c r="C3016" s="3"/>
      <c r="D3016" s="3">
        <v>33.0</v>
      </c>
      <c r="E3016" s="2" t="s">
        <v>11</v>
      </c>
      <c r="F3016" s="2" t="s">
        <v>12</v>
      </c>
      <c r="G3016" s="2"/>
      <c r="H3016" s="2"/>
      <c r="I3016" s="2"/>
      <c r="J3016" s="2"/>
    </row>
    <row r="3017" ht="15.75" customHeight="1">
      <c r="A3017" s="4" t="str">
        <f>HYPERLINK("https://stackoverflow.com/q/55300016", "55300016")</f>
        <v>55300016</v>
      </c>
      <c r="B3017" s="2" t="s">
        <v>3060</v>
      </c>
      <c r="C3017" s="3"/>
      <c r="D3017" s="3">
        <v>33.0</v>
      </c>
      <c r="E3017" s="2" t="s">
        <v>11</v>
      </c>
      <c r="F3017" s="2" t="s">
        <v>12</v>
      </c>
      <c r="G3017" s="2"/>
      <c r="H3017" s="2"/>
      <c r="I3017" s="2"/>
      <c r="J3017" s="2"/>
    </row>
    <row r="3018" ht="15.75" customHeight="1">
      <c r="A3018" s="4" t="str">
        <f>HYPERLINK("https://stackoverflow.com/q/61742910", "61742910")</f>
        <v>61742910</v>
      </c>
      <c r="B3018" s="2" t="s">
        <v>3061</v>
      </c>
      <c r="C3018" s="3"/>
      <c r="D3018" s="3">
        <v>33.0</v>
      </c>
      <c r="E3018" s="2" t="s">
        <v>11</v>
      </c>
      <c r="F3018" s="2" t="s">
        <v>44</v>
      </c>
      <c r="G3018" s="2"/>
      <c r="H3018" s="2"/>
      <c r="I3018" s="2"/>
      <c r="J3018" s="2"/>
    </row>
    <row r="3019" ht="15.75" customHeight="1">
      <c r="A3019" s="4" t="str">
        <f>HYPERLINK("https://stackoverflow.com/q/25262060", "25262060")</f>
        <v>25262060</v>
      </c>
      <c r="B3019" s="2" t="s">
        <v>3062</v>
      </c>
      <c r="C3019" s="3"/>
      <c r="D3019" s="3">
        <v>33.0</v>
      </c>
      <c r="E3019" s="2"/>
      <c r="F3019" s="2"/>
      <c r="G3019" s="2"/>
      <c r="H3019" s="2"/>
      <c r="I3019" s="2"/>
      <c r="J3019" s="2"/>
    </row>
    <row r="3020" ht="15.75" customHeight="1">
      <c r="A3020" s="4" t="str">
        <f>HYPERLINK("https://stackoverflow.com/q/25279217", "25279217")</f>
        <v>25279217</v>
      </c>
      <c r="B3020" s="2" t="s">
        <v>3063</v>
      </c>
      <c r="C3020" s="3"/>
      <c r="D3020" s="3">
        <v>33.0</v>
      </c>
      <c r="E3020" s="2"/>
      <c r="F3020" s="2"/>
      <c r="G3020" s="2"/>
      <c r="H3020" s="2"/>
      <c r="I3020" s="2"/>
      <c r="J3020" s="2"/>
    </row>
    <row r="3021" ht="15.75" customHeight="1">
      <c r="A3021" s="4" t="str">
        <f>HYPERLINK("https://stackoverflow.com/q/44535351", "44535351")</f>
        <v>44535351</v>
      </c>
      <c r="B3021" s="2" t="s">
        <v>3064</v>
      </c>
      <c r="C3021" s="3"/>
      <c r="D3021" s="3">
        <v>33.0</v>
      </c>
      <c r="E3021" s="2"/>
      <c r="F3021" s="2"/>
      <c r="G3021" s="2"/>
      <c r="H3021" s="2"/>
      <c r="I3021" s="2"/>
      <c r="J3021" s="2"/>
    </row>
    <row r="3022" ht="15.75" customHeight="1">
      <c r="A3022" s="4" t="str">
        <f>HYPERLINK("https://stackoverflow.com/q/53244788", "53244788")</f>
        <v>53244788</v>
      </c>
      <c r="B3022" s="2" t="s">
        <v>3065</v>
      </c>
      <c r="C3022" s="3"/>
      <c r="D3022" s="3">
        <v>33.0</v>
      </c>
      <c r="E3022" s="2"/>
      <c r="F3022" s="2"/>
      <c r="G3022" s="2"/>
      <c r="H3022" s="2"/>
      <c r="I3022" s="2"/>
      <c r="J3022" s="2"/>
    </row>
    <row r="3023" ht="15.75" customHeight="1">
      <c r="A3023" s="4" t="str">
        <f>HYPERLINK("https://stackoverflow.com/q/56002190", "56002190")</f>
        <v>56002190</v>
      </c>
      <c r="B3023" s="2" t="s">
        <v>3066</v>
      </c>
      <c r="C3023" s="3"/>
      <c r="D3023" s="3">
        <v>33.0</v>
      </c>
      <c r="E3023" s="2"/>
      <c r="F3023" s="2"/>
      <c r="G3023" s="2"/>
      <c r="H3023" s="2"/>
      <c r="I3023" s="2"/>
      <c r="J3023" s="2"/>
    </row>
    <row r="3024" ht="15.75" customHeight="1">
      <c r="A3024" s="4" t="str">
        <f>HYPERLINK("https://stackoverflow.com/q/56366496", "56366496")</f>
        <v>56366496</v>
      </c>
      <c r="B3024" s="2" t="s">
        <v>3067</v>
      </c>
      <c r="C3024" s="3"/>
      <c r="D3024" s="3">
        <v>33.0</v>
      </c>
      <c r="E3024" s="2"/>
      <c r="F3024" s="2"/>
      <c r="G3024" s="2"/>
      <c r="H3024" s="2"/>
      <c r="I3024" s="2"/>
      <c r="J3024" s="2"/>
    </row>
    <row r="3025" ht="15.75" customHeight="1">
      <c r="A3025" s="4" t="str">
        <f>HYPERLINK("https://stackoverflow.com/q/56377658", "56377658")</f>
        <v>56377658</v>
      </c>
      <c r="B3025" s="2" t="s">
        <v>3068</v>
      </c>
      <c r="C3025" s="3"/>
      <c r="D3025" s="3">
        <v>33.0</v>
      </c>
      <c r="E3025" s="2"/>
      <c r="F3025" s="2"/>
      <c r="G3025" s="2"/>
      <c r="H3025" s="2"/>
      <c r="I3025" s="2"/>
      <c r="J3025" s="2"/>
    </row>
    <row r="3026" ht="15.75" customHeight="1">
      <c r="A3026" s="4" t="str">
        <f>HYPERLINK("https://stackoverflow.com/q/56861761", "56861761")</f>
        <v>56861761</v>
      </c>
      <c r="B3026" s="2" t="s">
        <v>3069</v>
      </c>
      <c r="C3026" s="3"/>
      <c r="D3026" s="3">
        <v>33.0</v>
      </c>
      <c r="E3026" s="2"/>
      <c r="F3026" s="2"/>
      <c r="G3026" s="2"/>
      <c r="H3026" s="2"/>
      <c r="I3026" s="2"/>
      <c r="J3026" s="2"/>
    </row>
    <row r="3027" ht="15.75" customHeight="1">
      <c r="A3027" s="4" t="str">
        <f>HYPERLINK("https://stackoverflow.com/q/57167951", "57167951")</f>
        <v>57167951</v>
      </c>
      <c r="B3027" s="2" t="s">
        <v>3070</v>
      </c>
      <c r="C3027" s="3"/>
      <c r="D3027" s="3">
        <v>33.0</v>
      </c>
      <c r="E3027" s="2"/>
      <c r="F3027" s="2"/>
      <c r="G3027" s="2"/>
      <c r="H3027" s="2"/>
      <c r="I3027" s="2"/>
      <c r="J3027" s="2"/>
    </row>
    <row r="3028" ht="15.75" customHeight="1">
      <c r="A3028" s="4" t="str">
        <f>HYPERLINK("https://stackoverflow.com/q/57193594", "57193594")</f>
        <v>57193594</v>
      </c>
      <c r="B3028" s="2" t="s">
        <v>3071</v>
      </c>
      <c r="C3028" s="3"/>
      <c r="D3028" s="3">
        <v>33.0</v>
      </c>
      <c r="E3028" s="2"/>
      <c r="F3028" s="2"/>
      <c r="G3028" s="2"/>
      <c r="H3028" s="2"/>
      <c r="I3028" s="2"/>
      <c r="J3028" s="2"/>
    </row>
    <row r="3029" ht="15.75" customHeight="1">
      <c r="A3029" s="4" t="str">
        <f>HYPERLINK("https://stackoverflow.com/q/57410420", "57410420")</f>
        <v>57410420</v>
      </c>
      <c r="B3029" s="2" t="s">
        <v>3072</v>
      </c>
      <c r="C3029" s="3"/>
      <c r="D3029" s="3">
        <v>33.0</v>
      </c>
      <c r="E3029" s="2"/>
      <c r="F3029" s="2"/>
      <c r="G3029" s="2"/>
      <c r="H3029" s="2"/>
      <c r="I3029" s="2"/>
      <c r="J3029" s="2"/>
    </row>
    <row r="3030" ht="15.75" customHeight="1">
      <c r="A3030" s="4" t="str">
        <f>HYPERLINK("https://stackoverflow.com/q/57861623", "57861623")</f>
        <v>57861623</v>
      </c>
      <c r="B3030" s="2" t="s">
        <v>3073</v>
      </c>
      <c r="C3030" s="3"/>
      <c r="D3030" s="3">
        <v>33.0</v>
      </c>
      <c r="E3030" s="2"/>
      <c r="F3030" s="2"/>
      <c r="G3030" s="2"/>
      <c r="H3030" s="2"/>
      <c r="I3030" s="2"/>
      <c r="J3030" s="2"/>
    </row>
    <row r="3031" ht="15.75" customHeight="1">
      <c r="A3031" s="4" t="str">
        <f>HYPERLINK("https://stackoverflow.com/q/58270907", "58270907")</f>
        <v>58270907</v>
      </c>
      <c r="B3031" s="2" t="s">
        <v>3074</v>
      </c>
      <c r="C3031" s="3"/>
      <c r="D3031" s="3">
        <v>33.0</v>
      </c>
      <c r="E3031" s="2"/>
      <c r="F3031" s="2"/>
      <c r="G3031" s="2"/>
      <c r="H3031" s="2"/>
      <c r="I3031" s="2"/>
      <c r="J3031" s="2"/>
    </row>
    <row r="3032" ht="15.75" customHeight="1">
      <c r="A3032" s="4" t="str">
        <f>HYPERLINK("https://stackoverflow.com/q/58593985", "58593985")</f>
        <v>58593985</v>
      </c>
      <c r="B3032" s="2" t="s">
        <v>3075</v>
      </c>
      <c r="C3032" s="3"/>
      <c r="D3032" s="3">
        <v>33.0</v>
      </c>
      <c r="E3032" s="2"/>
      <c r="F3032" s="2"/>
      <c r="G3032" s="2"/>
      <c r="H3032" s="2"/>
      <c r="I3032" s="2"/>
      <c r="J3032" s="2"/>
    </row>
    <row r="3033" ht="15.75" customHeight="1">
      <c r="A3033" s="4" t="str">
        <f>HYPERLINK("https://stackoverflow.com/q/58602509", "58602509")</f>
        <v>58602509</v>
      </c>
      <c r="B3033" s="2" t="s">
        <v>3076</v>
      </c>
      <c r="C3033" s="3"/>
      <c r="D3033" s="3">
        <v>33.0</v>
      </c>
      <c r="E3033" s="2"/>
      <c r="F3033" s="2"/>
      <c r="G3033" s="2"/>
      <c r="H3033" s="2"/>
      <c r="I3033" s="2"/>
      <c r="J3033" s="2"/>
    </row>
    <row r="3034" ht="15.75" customHeight="1">
      <c r="A3034" s="4" t="str">
        <f>HYPERLINK("https://stackoverflow.com/q/58846662", "58846662")</f>
        <v>58846662</v>
      </c>
      <c r="B3034" s="2" t="s">
        <v>3077</v>
      </c>
      <c r="C3034" s="3"/>
      <c r="D3034" s="3">
        <v>33.0</v>
      </c>
      <c r="E3034" s="2"/>
      <c r="F3034" s="2"/>
      <c r="G3034" s="2"/>
      <c r="H3034" s="2"/>
      <c r="I3034" s="2"/>
      <c r="J3034" s="2"/>
    </row>
    <row r="3035" ht="15.75" customHeight="1">
      <c r="A3035" s="4" t="str">
        <f>HYPERLINK("https://stackoverflow.com/q/59194640", "59194640")</f>
        <v>59194640</v>
      </c>
      <c r="B3035" s="2" t="s">
        <v>3078</v>
      </c>
      <c r="C3035" s="3"/>
      <c r="D3035" s="3">
        <v>33.0</v>
      </c>
      <c r="E3035" s="2"/>
      <c r="F3035" s="2"/>
      <c r="G3035" s="2"/>
      <c r="H3035" s="2"/>
      <c r="I3035" s="2"/>
      <c r="J3035" s="2"/>
    </row>
    <row r="3036" ht="15.75" customHeight="1">
      <c r="A3036" s="4" t="str">
        <f>HYPERLINK("https://stackoverflow.com/q/59236705", "59236705")</f>
        <v>59236705</v>
      </c>
      <c r="B3036" s="2" t="s">
        <v>3079</v>
      </c>
      <c r="C3036" s="3"/>
      <c r="D3036" s="3">
        <v>33.0</v>
      </c>
      <c r="E3036" s="2"/>
      <c r="F3036" s="2"/>
      <c r="G3036" s="2"/>
      <c r="H3036" s="2"/>
      <c r="I3036" s="2"/>
      <c r="J3036" s="2"/>
    </row>
    <row r="3037" ht="15.75" customHeight="1">
      <c r="A3037" s="4" t="str">
        <f>HYPERLINK("https://stackoverflow.com/q/59320260", "59320260")</f>
        <v>59320260</v>
      </c>
      <c r="B3037" s="2" t="s">
        <v>3080</v>
      </c>
      <c r="C3037" s="3"/>
      <c r="D3037" s="3">
        <v>33.0</v>
      </c>
      <c r="E3037" s="2"/>
      <c r="F3037" s="2"/>
      <c r="G3037" s="2"/>
      <c r="H3037" s="2"/>
      <c r="I3037" s="2"/>
      <c r="J3037" s="2"/>
    </row>
    <row r="3038" ht="15.75" customHeight="1">
      <c r="A3038" s="4" t="str">
        <f>HYPERLINK("https://stackoverflow.com/q/59399933", "59399933")</f>
        <v>59399933</v>
      </c>
      <c r="B3038" s="2" t="s">
        <v>3081</v>
      </c>
      <c r="C3038" s="3"/>
      <c r="D3038" s="3">
        <v>33.0</v>
      </c>
      <c r="E3038" s="2"/>
      <c r="F3038" s="2"/>
      <c r="G3038" s="2"/>
      <c r="H3038" s="2"/>
      <c r="I3038" s="2"/>
      <c r="J3038" s="2"/>
    </row>
    <row r="3039" ht="15.75" customHeight="1">
      <c r="A3039" s="4" t="str">
        <f>HYPERLINK("https://stackoverflow.com/q/59965143", "59965143")</f>
        <v>59965143</v>
      </c>
      <c r="B3039" s="2" t="s">
        <v>3082</v>
      </c>
      <c r="C3039" s="3"/>
      <c r="D3039" s="3">
        <v>33.0</v>
      </c>
      <c r="E3039" s="2"/>
      <c r="F3039" s="2"/>
      <c r="G3039" s="2"/>
      <c r="H3039" s="2"/>
      <c r="I3039" s="2"/>
      <c r="J3039" s="2"/>
    </row>
    <row r="3040" ht="15.75" customHeight="1">
      <c r="A3040" s="4" t="str">
        <f>HYPERLINK("https://stackoverflow.com/q/60153052", "60153052")</f>
        <v>60153052</v>
      </c>
      <c r="B3040" s="2" t="s">
        <v>3083</v>
      </c>
      <c r="C3040" s="3"/>
      <c r="D3040" s="3">
        <v>33.0</v>
      </c>
      <c r="E3040" s="2"/>
      <c r="F3040" s="2"/>
      <c r="G3040" s="2"/>
      <c r="H3040" s="2"/>
      <c r="I3040" s="2"/>
      <c r="J3040" s="2"/>
    </row>
    <row r="3041" ht="15.75" customHeight="1">
      <c r="A3041" s="4" t="str">
        <f>HYPERLINK("https://stackoverflow.com/q/60177700", "60177700")</f>
        <v>60177700</v>
      </c>
      <c r="B3041" s="2" t="s">
        <v>3084</v>
      </c>
      <c r="C3041" s="3"/>
      <c r="D3041" s="3">
        <v>33.0</v>
      </c>
      <c r="E3041" s="2"/>
      <c r="F3041" s="2"/>
      <c r="G3041" s="2"/>
      <c r="H3041" s="2"/>
      <c r="I3041" s="2"/>
      <c r="J3041" s="2"/>
    </row>
    <row r="3042" ht="15.75" customHeight="1">
      <c r="A3042" s="4" t="str">
        <f>HYPERLINK("https://stackoverflow.com/q/60396107", "60396107")</f>
        <v>60396107</v>
      </c>
      <c r="B3042" s="2" t="s">
        <v>3085</v>
      </c>
      <c r="C3042" s="3"/>
      <c r="D3042" s="3">
        <v>33.0</v>
      </c>
      <c r="E3042" s="2"/>
      <c r="F3042" s="2"/>
      <c r="G3042" s="2"/>
      <c r="H3042" s="2"/>
      <c r="I3042" s="2"/>
      <c r="J3042" s="2"/>
    </row>
    <row r="3043" ht="15.75" customHeight="1">
      <c r="A3043" s="4" t="str">
        <f>HYPERLINK("https://stackoverflow.com/q/60649506", "60649506")</f>
        <v>60649506</v>
      </c>
      <c r="B3043" s="2" t="s">
        <v>3086</v>
      </c>
      <c r="C3043" s="3"/>
      <c r="D3043" s="3">
        <v>33.0</v>
      </c>
      <c r="E3043" s="2"/>
      <c r="F3043" s="2"/>
      <c r="G3043" s="2"/>
      <c r="H3043" s="2"/>
      <c r="I3043" s="2"/>
      <c r="J3043" s="2"/>
    </row>
    <row r="3044" ht="15.75" customHeight="1">
      <c r="A3044" s="4" t="str">
        <f>HYPERLINK("https://stackoverflow.com/q/60780585", "60780585")</f>
        <v>60780585</v>
      </c>
      <c r="B3044" s="2" t="s">
        <v>3087</v>
      </c>
      <c r="C3044" s="3"/>
      <c r="D3044" s="3">
        <v>33.0</v>
      </c>
      <c r="E3044" s="2"/>
      <c r="F3044" s="2"/>
      <c r="G3044" s="2"/>
      <c r="H3044" s="2"/>
      <c r="I3044" s="2"/>
      <c r="J3044" s="2"/>
    </row>
    <row r="3045" ht="15.75" customHeight="1">
      <c r="A3045" s="4" t="str">
        <f>HYPERLINK("https://stackoverflow.com/q/56382577", "56382577")</f>
        <v>56382577</v>
      </c>
      <c r="B3045" s="2" t="s">
        <v>3088</v>
      </c>
      <c r="C3045" s="3">
        <v>1.0</v>
      </c>
      <c r="D3045" s="3">
        <v>32.0</v>
      </c>
      <c r="E3045" s="2"/>
      <c r="F3045" s="2"/>
      <c r="G3045" s="2"/>
      <c r="H3045" s="2"/>
      <c r="I3045" s="2"/>
      <c r="J3045" s="2"/>
    </row>
    <row r="3046" ht="15.75" customHeight="1">
      <c r="A3046" s="4" t="str">
        <f>HYPERLINK("https://stackoverflow.com/q/58273933", "58273933")</f>
        <v>58273933</v>
      </c>
      <c r="B3046" s="2" t="s">
        <v>3089</v>
      </c>
      <c r="C3046" s="3">
        <v>1.0</v>
      </c>
      <c r="D3046" s="3">
        <v>32.0</v>
      </c>
      <c r="E3046" s="2"/>
      <c r="F3046" s="2"/>
      <c r="G3046" s="2"/>
      <c r="H3046" s="2"/>
      <c r="I3046" s="2"/>
      <c r="J3046" s="2"/>
    </row>
    <row r="3047" ht="15.75" customHeight="1">
      <c r="A3047" s="4" t="str">
        <f>HYPERLINK("https://stackoverflow.com/q/59375580", "59375580")</f>
        <v>59375580</v>
      </c>
      <c r="B3047" s="2" t="s">
        <v>3090</v>
      </c>
      <c r="C3047" s="3">
        <v>1.0</v>
      </c>
      <c r="D3047" s="3">
        <v>32.0</v>
      </c>
      <c r="E3047" s="2"/>
      <c r="F3047" s="2"/>
      <c r="G3047" s="2"/>
      <c r="H3047" s="2"/>
      <c r="I3047" s="2"/>
      <c r="J3047" s="2"/>
    </row>
    <row r="3048" ht="15.75" customHeight="1">
      <c r="A3048" s="4" t="str">
        <f>HYPERLINK("https://stackoverflow.com/q/54068351", "54068351")</f>
        <v>54068351</v>
      </c>
      <c r="B3048" s="2" t="s">
        <v>3091</v>
      </c>
      <c r="C3048" s="3"/>
      <c r="D3048" s="3">
        <v>32.0</v>
      </c>
      <c r="E3048" s="2" t="s">
        <v>11</v>
      </c>
      <c r="F3048" s="2" t="s">
        <v>25</v>
      </c>
      <c r="G3048" s="2"/>
      <c r="H3048" s="2"/>
      <c r="I3048" s="2"/>
      <c r="J3048" s="2"/>
    </row>
    <row r="3049" ht="15.75" customHeight="1">
      <c r="A3049" s="4" t="str">
        <f>HYPERLINK("https://stackoverflow.com/q/57225559", "57225559")</f>
        <v>57225559</v>
      </c>
      <c r="B3049" s="2" t="s">
        <v>3092</v>
      </c>
      <c r="C3049" s="3"/>
      <c r="D3049" s="3">
        <v>32.0</v>
      </c>
      <c r="E3049" s="2" t="s">
        <v>11</v>
      </c>
      <c r="F3049" s="2" t="s">
        <v>2269</v>
      </c>
      <c r="G3049" s="2" t="s">
        <v>28</v>
      </c>
      <c r="H3049" s="2"/>
      <c r="I3049" s="2"/>
      <c r="J3049" s="2"/>
    </row>
    <row r="3050" ht="15.75" customHeight="1">
      <c r="A3050" s="4" t="str">
        <f>HYPERLINK("https://stackoverflow.com/q/61206586", "61206586")</f>
        <v>61206586</v>
      </c>
      <c r="B3050" s="2" t="s">
        <v>3093</v>
      </c>
      <c r="C3050" s="3"/>
      <c r="D3050" s="3">
        <v>32.0</v>
      </c>
      <c r="E3050" s="9" t="s">
        <v>11</v>
      </c>
      <c r="F3050" s="2" t="s">
        <v>18</v>
      </c>
      <c r="G3050" s="2"/>
      <c r="H3050" s="2"/>
      <c r="I3050" s="2"/>
      <c r="J3050" s="2"/>
    </row>
    <row r="3051" ht="15.75" customHeight="1">
      <c r="A3051" s="4" t="str">
        <f>HYPERLINK("https://stackoverflow.com/q/61769866", "61769866")</f>
        <v>61769866</v>
      </c>
      <c r="B3051" s="2" t="s">
        <v>3094</v>
      </c>
      <c r="C3051" s="3"/>
      <c r="D3051" s="3">
        <v>32.0</v>
      </c>
      <c r="E3051" s="2" t="s">
        <v>11</v>
      </c>
      <c r="F3051" s="2" t="s">
        <v>56</v>
      </c>
      <c r="G3051" s="2"/>
      <c r="H3051" s="2"/>
      <c r="I3051" s="2"/>
      <c r="J3051" s="2"/>
    </row>
    <row r="3052" ht="15.75" customHeight="1">
      <c r="A3052" s="4" t="str">
        <f>HYPERLINK("https://stackoverflow.com/q/61782652", "61782652")</f>
        <v>61782652</v>
      </c>
      <c r="B3052" s="2" t="s">
        <v>3095</v>
      </c>
      <c r="C3052" s="3"/>
      <c r="D3052" s="3">
        <v>32.0</v>
      </c>
      <c r="E3052" s="2" t="s">
        <v>11</v>
      </c>
      <c r="F3052" s="2" t="s">
        <v>30</v>
      </c>
      <c r="G3052" s="2"/>
      <c r="H3052" s="2"/>
      <c r="I3052" s="2"/>
      <c r="J3052" s="2"/>
    </row>
    <row r="3053" ht="15.75" customHeight="1">
      <c r="A3053" s="4" t="str">
        <f>HYPERLINK("https://stackoverflow.com/q/49002928", "49002928")</f>
        <v>49002928</v>
      </c>
      <c r="B3053" s="2" t="s">
        <v>3096</v>
      </c>
      <c r="C3053" s="3"/>
      <c r="D3053" s="3">
        <v>32.0</v>
      </c>
      <c r="E3053" s="2"/>
      <c r="F3053" s="2"/>
      <c r="G3053" s="2"/>
      <c r="H3053" s="2"/>
      <c r="I3053" s="2"/>
      <c r="J3053" s="2"/>
    </row>
    <row r="3054" ht="15.75" customHeight="1">
      <c r="A3054" s="4" t="str">
        <f>HYPERLINK("https://stackoverflow.com/q/50152309", "50152309")</f>
        <v>50152309</v>
      </c>
      <c r="B3054" s="2" t="s">
        <v>3097</v>
      </c>
      <c r="C3054" s="3"/>
      <c r="D3054" s="3">
        <v>32.0</v>
      </c>
      <c r="E3054" s="2"/>
      <c r="F3054" s="2"/>
      <c r="G3054" s="2"/>
      <c r="H3054" s="2"/>
      <c r="I3054" s="2"/>
      <c r="J3054" s="2"/>
    </row>
    <row r="3055" ht="15.75" customHeight="1">
      <c r="A3055" s="4" t="str">
        <f>HYPERLINK("https://stackoverflow.com/q/53051838", "53051838")</f>
        <v>53051838</v>
      </c>
      <c r="B3055" s="2" t="s">
        <v>3098</v>
      </c>
      <c r="C3055" s="3"/>
      <c r="D3055" s="3">
        <v>32.0</v>
      </c>
      <c r="E3055" s="2"/>
      <c r="F3055" s="2"/>
      <c r="G3055" s="2"/>
      <c r="H3055" s="2"/>
      <c r="I3055" s="2"/>
      <c r="J3055" s="2"/>
    </row>
    <row r="3056" ht="15.75" customHeight="1">
      <c r="A3056" s="4" t="str">
        <f>HYPERLINK("https://stackoverflow.com/q/56612308", "56612308")</f>
        <v>56612308</v>
      </c>
      <c r="B3056" s="2" t="s">
        <v>3099</v>
      </c>
      <c r="C3056" s="3"/>
      <c r="D3056" s="3">
        <v>32.0</v>
      </c>
      <c r="E3056" s="2"/>
      <c r="F3056" s="2"/>
      <c r="G3056" s="2"/>
      <c r="H3056" s="2"/>
      <c r="I3056" s="2"/>
      <c r="J3056" s="2"/>
    </row>
    <row r="3057" ht="15.75" customHeight="1">
      <c r="A3057" s="4" t="str">
        <f>HYPERLINK("https://stackoverflow.com/q/57007183", "57007183")</f>
        <v>57007183</v>
      </c>
      <c r="B3057" s="2" t="s">
        <v>3100</v>
      </c>
      <c r="C3057" s="3"/>
      <c r="D3057" s="3">
        <v>32.0</v>
      </c>
      <c r="E3057" s="2"/>
      <c r="F3057" s="2"/>
      <c r="G3057" s="2"/>
      <c r="H3057" s="2"/>
      <c r="I3057" s="2"/>
      <c r="J3057" s="2"/>
    </row>
    <row r="3058" ht="15.75" customHeight="1">
      <c r="A3058" s="4" t="str">
        <f>HYPERLINK("https://stackoverflow.com/q/57133610", "57133610")</f>
        <v>57133610</v>
      </c>
      <c r="B3058" s="2" t="s">
        <v>3101</v>
      </c>
      <c r="C3058" s="3"/>
      <c r="D3058" s="3">
        <v>32.0</v>
      </c>
      <c r="E3058" s="2"/>
      <c r="F3058" s="2"/>
      <c r="G3058" s="2"/>
      <c r="H3058" s="2"/>
      <c r="I3058" s="2"/>
      <c r="J3058" s="2"/>
    </row>
    <row r="3059" ht="15.75" customHeight="1">
      <c r="A3059" s="4" t="str">
        <f>HYPERLINK("https://stackoverflow.com/q/57205632", "57205632")</f>
        <v>57205632</v>
      </c>
      <c r="B3059" s="2" t="s">
        <v>3102</v>
      </c>
      <c r="C3059" s="3"/>
      <c r="D3059" s="3">
        <v>32.0</v>
      </c>
      <c r="E3059" s="2"/>
      <c r="F3059" s="2"/>
      <c r="G3059" s="2"/>
      <c r="H3059" s="2"/>
      <c r="I3059" s="2"/>
      <c r="J3059" s="2"/>
    </row>
    <row r="3060" ht="15.75" customHeight="1">
      <c r="A3060" s="4" t="str">
        <f>HYPERLINK("https://stackoverflow.com/q/57895348", "57895348")</f>
        <v>57895348</v>
      </c>
      <c r="B3060" s="2" t="s">
        <v>3103</v>
      </c>
      <c r="C3060" s="3"/>
      <c r="D3060" s="3">
        <v>32.0</v>
      </c>
      <c r="E3060" s="2"/>
      <c r="F3060" s="2"/>
      <c r="G3060" s="2"/>
      <c r="H3060" s="2"/>
      <c r="I3060" s="2"/>
      <c r="J3060" s="2"/>
    </row>
    <row r="3061" ht="15.75" customHeight="1">
      <c r="A3061" s="4" t="str">
        <f>HYPERLINK("https://stackoverflow.com/q/57978754", "57978754")</f>
        <v>57978754</v>
      </c>
      <c r="B3061" s="2" t="s">
        <v>3104</v>
      </c>
      <c r="C3061" s="3"/>
      <c r="D3061" s="3">
        <v>32.0</v>
      </c>
      <c r="E3061" s="2"/>
      <c r="F3061" s="2"/>
      <c r="G3061" s="2"/>
      <c r="H3061" s="2"/>
      <c r="I3061" s="2"/>
      <c r="J3061" s="2"/>
    </row>
    <row r="3062" ht="15.75" customHeight="1">
      <c r="A3062" s="4" t="str">
        <f>HYPERLINK("https://stackoverflow.com/q/58059973", "58059973")</f>
        <v>58059973</v>
      </c>
      <c r="B3062" s="2" t="s">
        <v>3105</v>
      </c>
      <c r="C3062" s="3"/>
      <c r="D3062" s="3">
        <v>32.0</v>
      </c>
      <c r="E3062" s="2"/>
      <c r="F3062" s="2"/>
      <c r="G3062" s="2"/>
      <c r="H3062" s="2"/>
      <c r="I3062" s="2"/>
      <c r="J3062" s="2"/>
    </row>
    <row r="3063" ht="15.75" customHeight="1">
      <c r="A3063" s="4" t="str">
        <f>HYPERLINK("https://stackoverflow.com/q/58628659", "58628659")</f>
        <v>58628659</v>
      </c>
      <c r="B3063" s="2" t="s">
        <v>3106</v>
      </c>
      <c r="C3063" s="3"/>
      <c r="D3063" s="3">
        <v>32.0</v>
      </c>
      <c r="E3063" s="2"/>
      <c r="F3063" s="2"/>
      <c r="G3063" s="2"/>
      <c r="H3063" s="2"/>
      <c r="I3063" s="2"/>
      <c r="J3063" s="2"/>
    </row>
    <row r="3064" ht="15.75" customHeight="1">
      <c r="A3064" s="4" t="str">
        <f>HYPERLINK("https://stackoverflow.com/q/58804457", "58804457")</f>
        <v>58804457</v>
      </c>
      <c r="B3064" s="2" t="s">
        <v>3107</v>
      </c>
      <c r="C3064" s="3"/>
      <c r="D3064" s="3">
        <v>32.0</v>
      </c>
      <c r="E3064" s="2"/>
      <c r="F3064" s="2"/>
      <c r="G3064" s="2"/>
      <c r="H3064" s="2"/>
      <c r="I3064" s="2"/>
      <c r="J3064" s="2"/>
    </row>
    <row r="3065" ht="15.75" customHeight="1">
      <c r="A3065" s="4" t="str">
        <f>HYPERLINK("https://stackoverflow.com/q/58949589", "58949589")</f>
        <v>58949589</v>
      </c>
      <c r="B3065" s="2" t="s">
        <v>3108</v>
      </c>
      <c r="C3065" s="3"/>
      <c r="D3065" s="3">
        <v>32.0</v>
      </c>
      <c r="E3065" s="2"/>
      <c r="F3065" s="2"/>
      <c r="G3065" s="2"/>
      <c r="H3065" s="2"/>
      <c r="I3065" s="2"/>
      <c r="J3065" s="2"/>
    </row>
    <row r="3066" ht="15.75" customHeight="1">
      <c r="A3066" s="4" t="str">
        <f>HYPERLINK("https://stackoverflow.com/q/59730158", "59730158")</f>
        <v>59730158</v>
      </c>
      <c r="B3066" s="2" t="s">
        <v>3109</v>
      </c>
      <c r="C3066" s="3"/>
      <c r="D3066" s="3">
        <v>32.0</v>
      </c>
      <c r="E3066" s="2"/>
      <c r="F3066" s="2"/>
      <c r="G3066" s="2"/>
      <c r="H3066" s="2"/>
      <c r="I3066" s="2"/>
      <c r="J3066" s="2"/>
    </row>
    <row r="3067" ht="15.75" customHeight="1">
      <c r="A3067" s="4" t="str">
        <f>HYPERLINK("https://stackoverflow.com/q/59856067", "59856067")</f>
        <v>59856067</v>
      </c>
      <c r="B3067" s="2" t="s">
        <v>3110</v>
      </c>
      <c r="C3067" s="3"/>
      <c r="D3067" s="3">
        <v>32.0</v>
      </c>
      <c r="E3067" s="2"/>
      <c r="F3067" s="2"/>
      <c r="G3067" s="2"/>
      <c r="H3067" s="2"/>
      <c r="I3067" s="2"/>
      <c r="J3067" s="2"/>
    </row>
    <row r="3068" ht="15.75" customHeight="1">
      <c r="A3068" s="4" t="str">
        <f>HYPERLINK("https://stackoverflow.com/q/59904208", "59904208")</f>
        <v>59904208</v>
      </c>
      <c r="B3068" s="2" t="s">
        <v>3111</v>
      </c>
      <c r="C3068" s="3"/>
      <c r="D3068" s="3">
        <v>32.0</v>
      </c>
      <c r="E3068" s="2"/>
      <c r="F3068" s="2"/>
      <c r="G3068" s="2"/>
      <c r="H3068" s="2"/>
      <c r="I3068" s="2"/>
      <c r="J3068" s="2"/>
    </row>
    <row r="3069" ht="15.75" customHeight="1">
      <c r="A3069" s="4" t="str">
        <f>HYPERLINK("https://stackoverflow.com/q/60264611", "60264611")</f>
        <v>60264611</v>
      </c>
      <c r="B3069" s="2" t="s">
        <v>3112</v>
      </c>
      <c r="C3069" s="3"/>
      <c r="D3069" s="3">
        <v>32.0</v>
      </c>
      <c r="E3069" s="2"/>
      <c r="F3069" s="2"/>
      <c r="G3069" s="2"/>
      <c r="H3069" s="2"/>
      <c r="I3069" s="2"/>
      <c r="J3069" s="2"/>
    </row>
    <row r="3070" ht="15.75" customHeight="1">
      <c r="A3070" s="4" t="str">
        <f>HYPERLINK("https://stackoverflow.com/q/60370378", "60370378")</f>
        <v>60370378</v>
      </c>
      <c r="B3070" s="2" t="s">
        <v>3113</v>
      </c>
      <c r="C3070" s="3"/>
      <c r="D3070" s="3">
        <v>32.0</v>
      </c>
      <c r="E3070" s="2"/>
      <c r="F3070" s="2"/>
      <c r="G3070" s="2"/>
      <c r="H3070" s="2"/>
      <c r="I3070" s="2"/>
      <c r="J3070" s="2"/>
    </row>
    <row r="3071" ht="15.75" customHeight="1">
      <c r="A3071" s="4" t="str">
        <f>HYPERLINK("https://stackoverflow.com/q/55090674", "55090674")</f>
        <v>55090674</v>
      </c>
      <c r="B3071" s="2" t="s">
        <v>3114</v>
      </c>
      <c r="C3071" s="3">
        <v>1.0</v>
      </c>
      <c r="D3071" s="3">
        <v>31.0</v>
      </c>
      <c r="E3071" s="9" t="s">
        <v>11</v>
      </c>
      <c r="F3071" s="2" t="s">
        <v>16</v>
      </c>
      <c r="G3071" s="2"/>
      <c r="H3071" s="2"/>
      <c r="I3071" s="2"/>
      <c r="J3071" s="2"/>
    </row>
    <row r="3072" ht="15.75" customHeight="1">
      <c r="A3072" s="4" t="str">
        <f>HYPERLINK("https://stackoverflow.com/q/55219295", "55219295")</f>
        <v>55219295</v>
      </c>
      <c r="B3072" s="2" t="s">
        <v>3115</v>
      </c>
      <c r="C3072" s="3">
        <v>1.0</v>
      </c>
      <c r="D3072" s="3">
        <v>31.0</v>
      </c>
      <c r="E3072" s="2" t="s">
        <v>11</v>
      </c>
      <c r="F3072" s="2" t="s">
        <v>25</v>
      </c>
      <c r="G3072" s="2"/>
      <c r="H3072" s="2"/>
      <c r="I3072" s="2"/>
      <c r="J3072" s="2"/>
    </row>
    <row r="3073" ht="15.75" customHeight="1">
      <c r="A3073" s="4" t="str">
        <f>HYPERLINK("https://stackoverflow.com/q/56599145", "56599145")</f>
        <v>56599145</v>
      </c>
      <c r="B3073" s="2" t="s">
        <v>3116</v>
      </c>
      <c r="C3073" s="3">
        <v>1.0</v>
      </c>
      <c r="D3073" s="3">
        <v>31.0</v>
      </c>
      <c r="E3073" s="2"/>
      <c r="F3073" s="2"/>
      <c r="G3073" s="2"/>
      <c r="H3073" s="2"/>
      <c r="I3073" s="2"/>
      <c r="J3073" s="2"/>
    </row>
    <row r="3074" ht="15.75" customHeight="1">
      <c r="A3074" s="4" t="str">
        <f>HYPERLINK("https://stackoverflow.com/q/59395726", "59395726")</f>
        <v>59395726</v>
      </c>
      <c r="B3074" s="2" t="s">
        <v>3117</v>
      </c>
      <c r="C3074" s="3">
        <v>1.0</v>
      </c>
      <c r="D3074" s="3">
        <v>31.0</v>
      </c>
      <c r="E3074" s="2"/>
      <c r="F3074" s="2"/>
      <c r="G3074" s="2"/>
      <c r="H3074" s="2"/>
      <c r="I3074" s="2"/>
      <c r="J3074" s="2"/>
    </row>
    <row r="3075" ht="15.75" customHeight="1">
      <c r="A3075" s="4" t="str">
        <f>HYPERLINK("https://stackoverflow.com/q/60881924", "60881924")</f>
        <v>60881924</v>
      </c>
      <c r="B3075" s="2" t="s">
        <v>3118</v>
      </c>
      <c r="C3075" s="3">
        <v>1.0</v>
      </c>
      <c r="D3075" s="3">
        <v>31.0</v>
      </c>
      <c r="E3075" s="2"/>
      <c r="F3075" s="2"/>
      <c r="G3075" s="2"/>
      <c r="H3075" s="2"/>
      <c r="I3075" s="2"/>
      <c r="J3075" s="2"/>
    </row>
    <row r="3076" ht="15.75" customHeight="1">
      <c r="A3076" s="4" t="str">
        <f>HYPERLINK("https://stackoverflow.com/q/58018611", "58018611")</f>
        <v>58018611</v>
      </c>
      <c r="B3076" s="2" t="s">
        <v>3119</v>
      </c>
      <c r="C3076" s="3">
        <v>0.0</v>
      </c>
      <c r="D3076" s="3">
        <v>31.0</v>
      </c>
      <c r="E3076" s="2"/>
      <c r="F3076" s="2"/>
      <c r="G3076" s="2"/>
      <c r="H3076" s="2"/>
      <c r="I3076" s="2"/>
      <c r="J3076" s="2"/>
    </row>
    <row r="3077" ht="15.75" customHeight="1">
      <c r="A3077" s="4" t="str">
        <f>HYPERLINK("https://stackoverflow.com/q/61120900", "61120900")</f>
        <v>61120900</v>
      </c>
      <c r="B3077" s="2" t="s">
        <v>3120</v>
      </c>
      <c r="C3077" s="3"/>
      <c r="D3077" s="3">
        <v>31.0</v>
      </c>
      <c r="E3077" s="2" t="s">
        <v>11</v>
      </c>
      <c r="F3077" s="2" t="s">
        <v>12</v>
      </c>
      <c r="G3077" s="2"/>
      <c r="H3077" s="2"/>
      <c r="I3077" s="2"/>
      <c r="J3077" s="2"/>
    </row>
    <row r="3078" ht="15.75" customHeight="1">
      <c r="A3078" s="4" t="str">
        <f>HYPERLINK("https://stackoverflow.com/q/55068186", "55068186")</f>
        <v>55068186</v>
      </c>
      <c r="B3078" s="2" t="s">
        <v>3121</v>
      </c>
      <c r="C3078" s="3"/>
      <c r="D3078" s="3">
        <v>31.0</v>
      </c>
      <c r="E3078" s="2" t="s">
        <v>72</v>
      </c>
      <c r="F3078" s="2" t="s">
        <v>506</v>
      </c>
      <c r="G3078" s="2"/>
      <c r="H3078" s="2"/>
      <c r="I3078" s="2"/>
      <c r="J3078" s="2"/>
    </row>
    <row r="3079" ht="15.75" customHeight="1">
      <c r="A3079" s="4" t="str">
        <f>HYPERLINK("https://stackoverflow.com/q/56336917", "56336917")</f>
        <v>56336917</v>
      </c>
      <c r="B3079" s="2" t="s">
        <v>3122</v>
      </c>
      <c r="C3079" s="3"/>
      <c r="D3079" s="3">
        <v>31.0</v>
      </c>
      <c r="E3079" s="2"/>
      <c r="F3079" s="2"/>
      <c r="G3079" s="2"/>
      <c r="H3079" s="2"/>
      <c r="I3079" s="2"/>
      <c r="J3079" s="2"/>
    </row>
    <row r="3080" ht="15.75" customHeight="1">
      <c r="A3080" s="4" t="str">
        <f>HYPERLINK("https://stackoverflow.com/q/56465000", "56465000")</f>
        <v>56465000</v>
      </c>
      <c r="B3080" s="2" t="s">
        <v>3123</v>
      </c>
      <c r="C3080" s="3"/>
      <c r="D3080" s="3">
        <v>31.0</v>
      </c>
      <c r="E3080" s="2"/>
      <c r="F3080" s="2"/>
      <c r="G3080" s="2"/>
      <c r="H3080" s="2"/>
      <c r="I3080" s="2"/>
      <c r="J3080" s="2"/>
    </row>
    <row r="3081" ht="15.75" customHeight="1">
      <c r="A3081" s="4" t="str">
        <f>HYPERLINK("https://stackoverflow.com/q/57368043", "57368043")</f>
        <v>57368043</v>
      </c>
      <c r="B3081" s="2" t="s">
        <v>3124</v>
      </c>
      <c r="C3081" s="3"/>
      <c r="D3081" s="3">
        <v>31.0</v>
      </c>
      <c r="E3081" s="2"/>
      <c r="F3081" s="2"/>
      <c r="G3081" s="2"/>
      <c r="H3081" s="2"/>
      <c r="I3081" s="2"/>
      <c r="J3081" s="2"/>
    </row>
    <row r="3082" ht="15.75" customHeight="1">
      <c r="A3082" s="4" t="str">
        <f>HYPERLINK("https://stackoverflow.com/q/57382016", "57382016")</f>
        <v>57382016</v>
      </c>
      <c r="B3082" s="2" t="s">
        <v>3125</v>
      </c>
      <c r="C3082" s="3"/>
      <c r="D3082" s="3">
        <v>31.0</v>
      </c>
      <c r="E3082" s="2"/>
      <c r="F3082" s="2"/>
      <c r="G3082" s="2"/>
      <c r="H3082" s="2"/>
      <c r="I3082" s="2"/>
      <c r="J3082" s="2"/>
    </row>
    <row r="3083" ht="15.75" customHeight="1">
      <c r="A3083" s="4" t="str">
        <f>HYPERLINK("https://stackoverflow.com/q/57825022", "57825022")</f>
        <v>57825022</v>
      </c>
      <c r="B3083" s="2" t="s">
        <v>3126</v>
      </c>
      <c r="C3083" s="3"/>
      <c r="D3083" s="3">
        <v>31.0</v>
      </c>
      <c r="E3083" s="2"/>
      <c r="F3083" s="2"/>
      <c r="G3083" s="2"/>
      <c r="H3083" s="2"/>
      <c r="I3083" s="2"/>
      <c r="J3083" s="2"/>
    </row>
    <row r="3084" ht="15.75" customHeight="1">
      <c r="A3084" s="4" t="str">
        <f>HYPERLINK("https://stackoverflow.com/q/58323730", "58323730")</f>
        <v>58323730</v>
      </c>
      <c r="B3084" s="2" t="s">
        <v>3127</v>
      </c>
      <c r="C3084" s="3"/>
      <c r="D3084" s="3">
        <v>31.0</v>
      </c>
      <c r="E3084" s="2"/>
      <c r="F3084" s="2"/>
      <c r="G3084" s="2"/>
      <c r="H3084" s="2"/>
      <c r="I3084" s="2"/>
      <c r="J3084" s="2"/>
    </row>
    <row r="3085" ht="15.75" customHeight="1">
      <c r="A3085" s="4" t="str">
        <f>HYPERLINK("https://stackoverflow.com/q/58547437", "58547437")</f>
        <v>58547437</v>
      </c>
      <c r="B3085" s="2" t="s">
        <v>3128</v>
      </c>
      <c r="C3085" s="3"/>
      <c r="D3085" s="3">
        <v>31.0</v>
      </c>
      <c r="E3085" s="2"/>
      <c r="F3085" s="2"/>
      <c r="G3085" s="2"/>
      <c r="H3085" s="2"/>
      <c r="I3085" s="2"/>
      <c r="J3085" s="2"/>
    </row>
    <row r="3086" ht="15.75" customHeight="1">
      <c r="A3086" s="4" t="str">
        <f>HYPERLINK("https://stackoverflow.com/q/58790918", "58790918")</f>
        <v>58790918</v>
      </c>
      <c r="B3086" s="2" t="s">
        <v>3129</v>
      </c>
      <c r="C3086" s="3"/>
      <c r="D3086" s="3">
        <v>31.0</v>
      </c>
      <c r="E3086" s="2"/>
      <c r="F3086" s="2"/>
      <c r="G3086" s="2"/>
      <c r="H3086" s="2"/>
      <c r="I3086" s="2"/>
      <c r="J3086" s="2"/>
    </row>
    <row r="3087" ht="15.75" customHeight="1">
      <c r="A3087" s="4" t="str">
        <f>HYPERLINK("https://stackoverflow.com/q/58869893", "58869893")</f>
        <v>58869893</v>
      </c>
      <c r="B3087" s="2" t="s">
        <v>3130</v>
      </c>
      <c r="C3087" s="3"/>
      <c r="D3087" s="3">
        <v>31.0</v>
      </c>
      <c r="E3087" s="2"/>
      <c r="F3087" s="2"/>
      <c r="G3087" s="2"/>
      <c r="H3087" s="2"/>
      <c r="I3087" s="2"/>
      <c r="J3087" s="2"/>
    </row>
    <row r="3088" ht="15.75" customHeight="1">
      <c r="A3088" s="4" t="str">
        <f>HYPERLINK("https://stackoverflow.com/q/59027006", "59027006")</f>
        <v>59027006</v>
      </c>
      <c r="B3088" s="2" t="s">
        <v>3131</v>
      </c>
      <c r="C3088" s="3"/>
      <c r="D3088" s="3">
        <v>31.0</v>
      </c>
      <c r="E3088" s="2"/>
      <c r="F3088" s="2"/>
      <c r="G3088" s="2"/>
      <c r="H3088" s="2"/>
      <c r="I3088" s="2"/>
      <c r="J3088" s="2"/>
    </row>
    <row r="3089" ht="15.75" customHeight="1">
      <c r="A3089" s="4" t="str">
        <f>HYPERLINK("https://stackoverflow.com/q/59406878", "59406878")</f>
        <v>59406878</v>
      </c>
      <c r="B3089" s="2" t="s">
        <v>3132</v>
      </c>
      <c r="C3089" s="3"/>
      <c r="D3089" s="3">
        <v>31.0</v>
      </c>
      <c r="E3089" s="2"/>
      <c r="F3089" s="2"/>
      <c r="G3089" s="2"/>
      <c r="H3089" s="2"/>
      <c r="I3089" s="2"/>
      <c r="J3089" s="2"/>
    </row>
    <row r="3090" ht="15.75" customHeight="1">
      <c r="A3090" s="4" t="str">
        <f>HYPERLINK("https://stackoverflow.com/q/59438778", "59438778")</f>
        <v>59438778</v>
      </c>
      <c r="B3090" s="2" t="s">
        <v>3133</v>
      </c>
      <c r="C3090" s="3"/>
      <c r="D3090" s="3">
        <v>31.0</v>
      </c>
      <c r="E3090" s="2"/>
      <c r="F3090" s="2"/>
      <c r="G3090" s="2"/>
      <c r="H3090" s="2"/>
      <c r="I3090" s="2"/>
      <c r="J3090" s="2"/>
    </row>
    <row r="3091" ht="15.75" customHeight="1">
      <c r="A3091" s="4" t="str">
        <f>HYPERLINK("https://stackoverflow.com/q/59764363", "59764363")</f>
        <v>59764363</v>
      </c>
      <c r="B3091" s="2" t="s">
        <v>3134</v>
      </c>
      <c r="C3091" s="3"/>
      <c r="D3091" s="3">
        <v>31.0</v>
      </c>
      <c r="E3091" s="2"/>
      <c r="F3091" s="2"/>
      <c r="G3091" s="2"/>
      <c r="H3091" s="2"/>
      <c r="I3091" s="2"/>
      <c r="J3091" s="2"/>
    </row>
    <row r="3092" ht="15.75" customHeight="1">
      <c r="A3092" s="4" t="str">
        <f>HYPERLINK("https://stackoverflow.com/q/60361840", "60361840")</f>
        <v>60361840</v>
      </c>
      <c r="B3092" s="2" t="s">
        <v>3135</v>
      </c>
      <c r="C3092" s="3"/>
      <c r="D3092" s="3">
        <v>31.0</v>
      </c>
      <c r="E3092" s="2"/>
      <c r="F3092" s="2"/>
      <c r="G3092" s="2"/>
      <c r="H3092" s="2"/>
      <c r="I3092" s="2"/>
      <c r="J3092" s="2"/>
    </row>
    <row r="3093" ht="15.75" customHeight="1">
      <c r="A3093" s="4" t="str">
        <f>HYPERLINK("https://stackoverflow.com/q/61604943", "61604943")</f>
        <v>61604943</v>
      </c>
      <c r="B3093" s="2" t="s">
        <v>3136</v>
      </c>
      <c r="C3093" s="3"/>
      <c r="D3093" s="3">
        <v>31.0</v>
      </c>
      <c r="E3093" s="2"/>
      <c r="F3093" s="2"/>
      <c r="G3093" s="2"/>
      <c r="H3093" s="2"/>
      <c r="I3093" s="2"/>
      <c r="J3093" s="2"/>
    </row>
    <row r="3094" ht="15.75" customHeight="1">
      <c r="A3094" s="4" t="str">
        <f>HYPERLINK("https://stackoverflow.com/q/59454538", "59454538")</f>
        <v>59454538</v>
      </c>
      <c r="B3094" s="2" t="s">
        <v>3137</v>
      </c>
      <c r="C3094" s="3">
        <v>1.0</v>
      </c>
      <c r="D3094" s="3">
        <v>30.0</v>
      </c>
      <c r="E3094" s="2"/>
      <c r="F3094" s="2"/>
      <c r="G3094" s="2"/>
      <c r="H3094" s="2"/>
      <c r="I3094" s="2"/>
      <c r="J3094" s="2"/>
    </row>
    <row r="3095" ht="15.75" customHeight="1">
      <c r="A3095" s="4" t="str">
        <f>HYPERLINK("https://stackoverflow.com/q/54773028", "54773028")</f>
        <v>54773028</v>
      </c>
      <c r="B3095" s="2" t="s">
        <v>3138</v>
      </c>
      <c r="C3095" s="3"/>
      <c r="D3095" s="3">
        <v>30.0</v>
      </c>
      <c r="E3095" s="2" t="s">
        <v>11</v>
      </c>
      <c r="F3095" s="2" t="s">
        <v>14</v>
      </c>
      <c r="G3095" s="2"/>
      <c r="H3095" s="2"/>
      <c r="I3095" s="2"/>
      <c r="J3095" s="2"/>
    </row>
    <row r="3096" ht="15.75" customHeight="1">
      <c r="A3096" s="4" t="str">
        <f>HYPERLINK("https://stackoverflow.com/q/61362602", "61362602")</f>
        <v>61362602</v>
      </c>
      <c r="B3096" s="2" t="s">
        <v>3139</v>
      </c>
      <c r="C3096" s="3"/>
      <c r="D3096" s="3">
        <v>30.0</v>
      </c>
      <c r="E3096" s="2" t="s">
        <v>11</v>
      </c>
      <c r="F3096" s="2" t="s">
        <v>30</v>
      </c>
      <c r="G3096" s="2"/>
      <c r="H3096" s="2"/>
      <c r="I3096" s="2"/>
      <c r="J3096" s="2"/>
    </row>
    <row r="3097" ht="15.75" customHeight="1">
      <c r="A3097" s="4" t="str">
        <f>HYPERLINK("https://stackoverflow.com/q/61729358", "61729358")</f>
        <v>61729358</v>
      </c>
      <c r="B3097" s="2" t="s">
        <v>3140</v>
      </c>
      <c r="C3097" s="3"/>
      <c r="D3097" s="3">
        <v>30.0</v>
      </c>
      <c r="E3097" s="2" t="s">
        <v>11</v>
      </c>
      <c r="F3097" s="2" t="s">
        <v>14</v>
      </c>
      <c r="G3097" s="2"/>
      <c r="H3097" s="2"/>
      <c r="I3097" s="2"/>
      <c r="J3097" s="2"/>
    </row>
    <row r="3098" ht="15.75" customHeight="1">
      <c r="A3098" s="4" t="str">
        <f>HYPERLINK("https://stackoverflow.com/q/61865302", "61865302")</f>
        <v>61865302</v>
      </c>
      <c r="B3098" s="2" t="s">
        <v>3141</v>
      </c>
      <c r="C3098" s="3"/>
      <c r="D3098" s="3">
        <v>30.0</v>
      </c>
      <c r="E3098" s="2" t="s">
        <v>11</v>
      </c>
      <c r="F3098" s="2" t="s">
        <v>25</v>
      </c>
      <c r="G3098" s="2"/>
      <c r="H3098" s="2"/>
      <c r="I3098" s="2"/>
      <c r="J3098" s="2"/>
    </row>
    <row r="3099" ht="15.75" customHeight="1">
      <c r="A3099" s="4" t="str">
        <f>HYPERLINK("https://stackoverflow.com/q/61961302", "61961302")</f>
        <v>61961302</v>
      </c>
      <c r="B3099" s="2" t="s">
        <v>3142</v>
      </c>
      <c r="C3099" s="3"/>
      <c r="D3099" s="3">
        <v>30.0</v>
      </c>
      <c r="E3099" s="2" t="s">
        <v>11</v>
      </c>
      <c r="F3099" s="2" t="s">
        <v>35</v>
      </c>
      <c r="G3099" s="2"/>
      <c r="H3099" s="2"/>
      <c r="I3099" s="2"/>
      <c r="J3099" s="2"/>
    </row>
    <row r="3100" ht="15.75" customHeight="1">
      <c r="A3100" s="4" t="str">
        <f>HYPERLINK("https://stackoverflow.com/q/45045407", "45045407")</f>
        <v>45045407</v>
      </c>
      <c r="B3100" s="2" t="s">
        <v>3143</v>
      </c>
      <c r="C3100" s="3"/>
      <c r="D3100" s="3">
        <v>30.0</v>
      </c>
      <c r="E3100" s="2"/>
      <c r="F3100" s="2"/>
      <c r="G3100" s="2"/>
      <c r="H3100" s="2"/>
      <c r="I3100" s="2"/>
      <c r="J3100" s="2"/>
    </row>
    <row r="3101" ht="15.75" customHeight="1">
      <c r="A3101" s="4" t="str">
        <f>HYPERLINK("https://stackoverflow.com/q/49921038", "49921038")</f>
        <v>49921038</v>
      </c>
      <c r="B3101" s="2" t="s">
        <v>3144</v>
      </c>
      <c r="C3101" s="3"/>
      <c r="D3101" s="3">
        <v>30.0</v>
      </c>
      <c r="E3101" s="2"/>
      <c r="F3101" s="2"/>
      <c r="G3101" s="2"/>
      <c r="H3101" s="2"/>
      <c r="I3101" s="2"/>
      <c r="J3101" s="2"/>
    </row>
    <row r="3102" ht="15.75" customHeight="1">
      <c r="A3102" s="4" t="str">
        <f>HYPERLINK("https://stackoverflow.com/q/50661246", "50661246")</f>
        <v>50661246</v>
      </c>
      <c r="B3102" s="2" t="s">
        <v>3145</v>
      </c>
      <c r="C3102" s="3"/>
      <c r="D3102" s="3">
        <v>30.0</v>
      </c>
      <c r="E3102" s="2"/>
      <c r="F3102" s="2"/>
      <c r="G3102" s="2"/>
      <c r="H3102" s="2"/>
      <c r="I3102" s="2"/>
      <c r="J3102" s="2"/>
    </row>
    <row r="3103" ht="15.75" customHeight="1">
      <c r="A3103" s="4" t="str">
        <f>HYPERLINK("https://stackoverflow.com/q/51024525", "51024525")</f>
        <v>51024525</v>
      </c>
      <c r="B3103" s="2" t="s">
        <v>3146</v>
      </c>
      <c r="C3103" s="3"/>
      <c r="D3103" s="3">
        <v>30.0</v>
      </c>
      <c r="E3103" s="2"/>
      <c r="F3103" s="2"/>
      <c r="G3103" s="2"/>
      <c r="H3103" s="2"/>
      <c r="I3103" s="2"/>
      <c r="J3103" s="2"/>
    </row>
    <row r="3104" ht="15.75" customHeight="1">
      <c r="A3104" s="4" t="str">
        <f>HYPERLINK("https://stackoverflow.com/q/56367478", "56367478")</f>
        <v>56367478</v>
      </c>
      <c r="B3104" s="2" t="s">
        <v>3147</v>
      </c>
      <c r="C3104" s="3"/>
      <c r="D3104" s="3">
        <v>30.0</v>
      </c>
      <c r="E3104" s="2"/>
      <c r="F3104" s="2"/>
      <c r="G3104" s="2"/>
      <c r="H3104" s="2"/>
      <c r="I3104" s="2"/>
      <c r="J3104" s="2"/>
    </row>
    <row r="3105" ht="15.75" customHeight="1">
      <c r="A3105" s="4" t="str">
        <f>HYPERLINK("https://stackoverflow.com/q/56556456", "56556456")</f>
        <v>56556456</v>
      </c>
      <c r="B3105" s="2" t="s">
        <v>3148</v>
      </c>
      <c r="C3105" s="3"/>
      <c r="D3105" s="3">
        <v>30.0</v>
      </c>
      <c r="E3105" s="2"/>
      <c r="F3105" s="2"/>
      <c r="G3105" s="2"/>
      <c r="H3105" s="2"/>
      <c r="I3105" s="2"/>
      <c r="J3105" s="2"/>
    </row>
    <row r="3106" ht="15.75" customHeight="1">
      <c r="A3106" s="4" t="str">
        <f>HYPERLINK("https://stackoverflow.com/q/56815027", "56815027")</f>
        <v>56815027</v>
      </c>
      <c r="B3106" s="2" t="s">
        <v>3149</v>
      </c>
      <c r="C3106" s="3"/>
      <c r="D3106" s="3">
        <v>30.0</v>
      </c>
      <c r="E3106" s="2"/>
      <c r="F3106" s="2"/>
      <c r="G3106" s="2"/>
      <c r="H3106" s="2"/>
      <c r="I3106" s="2"/>
      <c r="J3106" s="2"/>
    </row>
    <row r="3107" ht="15.75" customHeight="1">
      <c r="A3107" s="4" t="str">
        <f>HYPERLINK("https://stackoverflow.com/q/58205707", "58205707")</f>
        <v>58205707</v>
      </c>
      <c r="B3107" s="2" t="s">
        <v>3150</v>
      </c>
      <c r="C3107" s="3"/>
      <c r="D3107" s="3">
        <v>30.0</v>
      </c>
      <c r="E3107" s="2"/>
      <c r="F3107" s="2"/>
      <c r="G3107" s="2"/>
      <c r="H3107" s="2"/>
      <c r="I3107" s="2"/>
      <c r="J3107" s="2"/>
    </row>
    <row r="3108" ht="15.75" customHeight="1">
      <c r="A3108" s="4" t="str">
        <f>HYPERLINK("https://stackoverflow.com/q/58296033", "58296033")</f>
        <v>58296033</v>
      </c>
      <c r="B3108" s="2" t="s">
        <v>3151</v>
      </c>
      <c r="C3108" s="3"/>
      <c r="D3108" s="3">
        <v>30.0</v>
      </c>
      <c r="E3108" s="2"/>
      <c r="F3108" s="2"/>
      <c r="G3108" s="2"/>
      <c r="H3108" s="2"/>
      <c r="I3108" s="2"/>
      <c r="J3108" s="2"/>
    </row>
    <row r="3109" ht="15.75" customHeight="1">
      <c r="A3109" s="4" t="str">
        <f>HYPERLINK("https://stackoverflow.com/q/58701204", "58701204")</f>
        <v>58701204</v>
      </c>
      <c r="B3109" s="2" t="s">
        <v>3152</v>
      </c>
      <c r="C3109" s="3"/>
      <c r="D3109" s="3">
        <v>30.0</v>
      </c>
      <c r="E3109" s="2"/>
      <c r="F3109" s="2"/>
      <c r="G3109" s="2"/>
      <c r="H3109" s="2"/>
      <c r="I3109" s="2"/>
      <c r="J3109" s="2"/>
    </row>
    <row r="3110" ht="15.75" customHeight="1">
      <c r="A3110" s="4" t="str">
        <f>HYPERLINK("https://stackoverflow.com/q/59199646", "59199646")</f>
        <v>59199646</v>
      </c>
      <c r="B3110" s="2" t="s">
        <v>3153</v>
      </c>
      <c r="C3110" s="3"/>
      <c r="D3110" s="3">
        <v>30.0</v>
      </c>
      <c r="E3110" s="2"/>
      <c r="F3110" s="2"/>
      <c r="G3110" s="2"/>
      <c r="H3110" s="2"/>
      <c r="I3110" s="2"/>
      <c r="J3110" s="2"/>
    </row>
    <row r="3111" ht="15.75" customHeight="1">
      <c r="A3111" s="4" t="str">
        <f>HYPERLINK("https://stackoverflow.com/q/59399174", "59399174")</f>
        <v>59399174</v>
      </c>
      <c r="B3111" s="2" t="s">
        <v>3154</v>
      </c>
      <c r="C3111" s="3"/>
      <c r="D3111" s="3">
        <v>30.0</v>
      </c>
      <c r="E3111" s="2"/>
      <c r="F3111" s="2"/>
      <c r="G3111" s="2"/>
      <c r="H3111" s="2"/>
      <c r="I3111" s="2"/>
      <c r="J3111" s="2"/>
    </row>
    <row r="3112" ht="15.75" customHeight="1">
      <c r="A3112" s="4" t="str">
        <f>HYPERLINK("https://stackoverflow.com/q/59677599", "59677599")</f>
        <v>59677599</v>
      </c>
      <c r="B3112" s="2" t="s">
        <v>3155</v>
      </c>
      <c r="C3112" s="3"/>
      <c r="D3112" s="3">
        <v>30.0</v>
      </c>
      <c r="E3112" s="2"/>
      <c r="F3112" s="2"/>
      <c r="G3112" s="2"/>
      <c r="H3112" s="2"/>
      <c r="I3112" s="2"/>
      <c r="J3112" s="2"/>
    </row>
    <row r="3113" ht="15.75" customHeight="1">
      <c r="A3113" s="4" t="str">
        <f>HYPERLINK("https://stackoverflow.com/q/60033096", "60033096")</f>
        <v>60033096</v>
      </c>
      <c r="B3113" s="2" t="s">
        <v>3156</v>
      </c>
      <c r="C3113" s="3"/>
      <c r="D3113" s="3">
        <v>30.0</v>
      </c>
      <c r="E3113" s="2"/>
      <c r="F3113" s="2"/>
      <c r="G3113" s="2"/>
      <c r="H3113" s="2"/>
      <c r="I3113" s="2"/>
      <c r="J3113" s="2"/>
    </row>
    <row r="3114" ht="15.75" customHeight="1">
      <c r="A3114" s="4" t="str">
        <f>HYPERLINK("https://stackoverflow.com/q/60097780", "60097780")</f>
        <v>60097780</v>
      </c>
      <c r="B3114" s="2" t="s">
        <v>3157</v>
      </c>
      <c r="C3114" s="3"/>
      <c r="D3114" s="3">
        <v>30.0</v>
      </c>
      <c r="E3114" s="2"/>
      <c r="F3114" s="2"/>
      <c r="G3114" s="2"/>
      <c r="H3114" s="2"/>
      <c r="I3114" s="2"/>
      <c r="J3114" s="2"/>
    </row>
    <row r="3115" ht="15.75" customHeight="1">
      <c r="A3115" s="4" t="str">
        <f>HYPERLINK("https://stackoverflow.com/q/60366748", "60366748")</f>
        <v>60366748</v>
      </c>
      <c r="B3115" s="2" t="s">
        <v>3158</v>
      </c>
      <c r="C3115" s="3"/>
      <c r="D3115" s="3">
        <v>30.0</v>
      </c>
      <c r="E3115" s="2"/>
      <c r="F3115" s="2"/>
      <c r="G3115" s="2"/>
      <c r="H3115" s="2"/>
      <c r="I3115" s="2"/>
      <c r="J3115" s="2"/>
    </row>
    <row r="3116" ht="15.75" customHeight="1">
      <c r="A3116" s="4" t="str">
        <f>HYPERLINK("https://stackoverflow.com/q/60601201", "60601201")</f>
        <v>60601201</v>
      </c>
      <c r="B3116" s="2" t="s">
        <v>3159</v>
      </c>
      <c r="C3116" s="3"/>
      <c r="D3116" s="3">
        <v>30.0</v>
      </c>
      <c r="E3116" s="2"/>
      <c r="F3116" s="2"/>
      <c r="G3116" s="2"/>
      <c r="H3116" s="2"/>
      <c r="I3116" s="2"/>
      <c r="J3116" s="2"/>
    </row>
    <row r="3117" ht="15.75" customHeight="1">
      <c r="A3117" s="4" t="str">
        <f>HYPERLINK("https://stackoverflow.com/q/60786550", "60786550")</f>
        <v>60786550</v>
      </c>
      <c r="B3117" s="2" t="s">
        <v>3160</v>
      </c>
      <c r="C3117" s="3"/>
      <c r="D3117" s="3">
        <v>30.0</v>
      </c>
      <c r="E3117" s="2"/>
      <c r="F3117" s="2"/>
      <c r="G3117" s="2"/>
      <c r="H3117" s="2"/>
      <c r="I3117" s="2"/>
      <c r="J3117" s="2"/>
    </row>
    <row r="3118" ht="15.75" customHeight="1">
      <c r="A3118" s="4" t="str">
        <f>HYPERLINK("https://stackoverflow.com/q/60825886", "60825886")</f>
        <v>60825886</v>
      </c>
      <c r="B3118" s="2" t="s">
        <v>3161</v>
      </c>
      <c r="C3118" s="3"/>
      <c r="D3118" s="3">
        <v>30.0</v>
      </c>
      <c r="E3118" s="2"/>
      <c r="F3118" s="2"/>
      <c r="G3118" s="2"/>
      <c r="H3118" s="2"/>
      <c r="I3118" s="2"/>
      <c r="J3118" s="2"/>
    </row>
    <row r="3119" ht="15.75" customHeight="1">
      <c r="A3119" s="4" t="str">
        <f>HYPERLINK("https://stackoverflow.com/q/60838280", "60838280")</f>
        <v>60838280</v>
      </c>
      <c r="B3119" s="2" t="s">
        <v>3162</v>
      </c>
      <c r="C3119" s="3"/>
      <c r="D3119" s="3">
        <v>30.0</v>
      </c>
      <c r="E3119" s="2"/>
      <c r="F3119" s="2"/>
      <c r="G3119" s="2"/>
      <c r="H3119" s="2"/>
      <c r="I3119" s="2"/>
      <c r="J3119" s="2"/>
    </row>
    <row r="3120" ht="15.75" customHeight="1">
      <c r="A3120" s="4" t="str">
        <f>HYPERLINK("https://stackoverflow.com/q/61105890", "61105890")</f>
        <v>61105890</v>
      </c>
      <c r="B3120" s="2" t="s">
        <v>3163</v>
      </c>
      <c r="C3120" s="3"/>
      <c r="D3120" s="3">
        <v>30.0</v>
      </c>
      <c r="E3120" s="2"/>
      <c r="F3120" s="2"/>
      <c r="G3120" s="2"/>
      <c r="H3120" s="2"/>
      <c r="I3120" s="2"/>
      <c r="J3120" s="2"/>
    </row>
    <row r="3121" ht="15.75" customHeight="1">
      <c r="A3121" s="4" t="str">
        <f>HYPERLINK("https://stackoverflow.com/q/61483577", "61483577")</f>
        <v>61483577</v>
      </c>
      <c r="B3121" s="2" t="s">
        <v>3164</v>
      </c>
      <c r="C3121" s="3"/>
      <c r="D3121" s="3">
        <v>30.0</v>
      </c>
      <c r="E3121" s="2"/>
      <c r="F3121" s="2"/>
      <c r="G3121" s="2"/>
      <c r="H3121" s="2"/>
      <c r="I3121" s="2"/>
      <c r="J3121" s="2"/>
    </row>
    <row r="3122" ht="15.75" customHeight="1">
      <c r="A3122" s="4" t="str">
        <f>HYPERLINK("https://stackoverflow.com/q/55367038", "55367038")</f>
        <v>55367038</v>
      </c>
      <c r="B3122" s="2" t="s">
        <v>3165</v>
      </c>
      <c r="C3122" s="3"/>
      <c r="D3122" s="3">
        <v>29.0</v>
      </c>
      <c r="E3122" s="2" t="s">
        <v>59</v>
      </c>
      <c r="F3122" s="2" t="s">
        <v>21</v>
      </c>
      <c r="G3122" s="2" t="s">
        <v>34</v>
      </c>
      <c r="H3122" s="2"/>
      <c r="I3122" s="2"/>
      <c r="J3122" s="2"/>
    </row>
    <row r="3123" ht="15.75" customHeight="1">
      <c r="A3123" s="4" t="str">
        <f>HYPERLINK("https://stackoverflow.com/q/43612228", "43612228")</f>
        <v>43612228</v>
      </c>
      <c r="B3123" s="2" t="s">
        <v>3166</v>
      </c>
      <c r="C3123" s="3"/>
      <c r="D3123" s="3">
        <v>29.0</v>
      </c>
      <c r="E3123" s="2" t="s">
        <v>11</v>
      </c>
      <c r="F3123" s="2" t="s">
        <v>25</v>
      </c>
      <c r="G3123" s="2"/>
      <c r="H3123" s="2"/>
      <c r="I3123" s="2"/>
      <c r="J3123" s="2"/>
    </row>
    <row r="3124" ht="15.75" customHeight="1">
      <c r="A3124" s="4" t="str">
        <f>HYPERLINK("https://stackoverflow.com/q/46803436", "46803436")</f>
        <v>46803436</v>
      </c>
      <c r="B3124" s="2" t="s">
        <v>3167</v>
      </c>
      <c r="C3124" s="3"/>
      <c r="D3124" s="3">
        <v>29.0</v>
      </c>
      <c r="E3124" s="2" t="s">
        <v>11</v>
      </c>
      <c r="F3124" s="2" t="s">
        <v>12</v>
      </c>
      <c r="G3124" s="2"/>
      <c r="H3124" s="2"/>
      <c r="I3124" s="2"/>
      <c r="J3124" s="2"/>
    </row>
    <row r="3125" ht="15.75" customHeight="1">
      <c r="A3125" s="4" t="str">
        <f>HYPERLINK("https://stackoverflow.com/q/61655523", "61655523")</f>
        <v>61655523</v>
      </c>
      <c r="B3125" s="2" t="s">
        <v>3168</v>
      </c>
      <c r="C3125" s="3"/>
      <c r="D3125" s="3">
        <v>29.0</v>
      </c>
      <c r="E3125" s="2" t="s">
        <v>11</v>
      </c>
      <c r="F3125" s="2" t="s">
        <v>538</v>
      </c>
      <c r="G3125" s="2"/>
      <c r="H3125" s="2"/>
      <c r="I3125" s="2"/>
      <c r="J3125" s="2"/>
    </row>
    <row r="3126" ht="15.75" customHeight="1">
      <c r="A3126" s="4" t="str">
        <f>HYPERLINK("https://stackoverflow.com/q/32863735", "32863735")</f>
        <v>32863735</v>
      </c>
      <c r="B3126" s="2" t="s">
        <v>3169</v>
      </c>
      <c r="C3126" s="3"/>
      <c r="D3126" s="3">
        <v>29.0</v>
      </c>
      <c r="E3126" s="2"/>
      <c r="F3126" s="2"/>
      <c r="G3126" s="2"/>
      <c r="H3126" s="2"/>
      <c r="I3126" s="2"/>
      <c r="J3126" s="2"/>
    </row>
    <row r="3127" ht="15.75" customHeight="1">
      <c r="A3127" s="4" t="str">
        <f>HYPERLINK("https://stackoverflow.com/q/51444586", "51444586")</f>
        <v>51444586</v>
      </c>
      <c r="B3127" s="2" t="s">
        <v>3170</v>
      </c>
      <c r="C3127" s="3"/>
      <c r="D3127" s="3">
        <v>29.0</v>
      </c>
      <c r="E3127" s="2"/>
      <c r="F3127" s="2"/>
      <c r="G3127" s="2"/>
      <c r="H3127" s="2"/>
      <c r="I3127" s="2"/>
      <c r="J3127" s="2"/>
    </row>
    <row r="3128" ht="15.75" customHeight="1">
      <c r="A3128" s="4" t="str">
        <f>HYPERLINK("https://stackoverflow.com/q/56816188", "56816188")</f>
        <v>56816188</v>
      </c>
      <c r="B3128" s="2" t="s">
        <v>3171</v>
      </c>
      <c r="C3128" s="3"/>
      <c r="D3128" s="3">
        <v>29.0</v>
      </c>
      <c r="E3128" s="2"/>
      <c r="F3128" s="2"/>
      <c r="G3128" s="2"/>
      <c r="H3128" s="2"/>
      <c r="I3128" s="2"/>
      <c r="J3128" s="2"/>
    </row>
    <row r="3129" ht="15.75" customHeight="1">
      <c r="A3129" s="4" t="str">
        <f>HYPERLINK("https://stackoverflow.com/q/56873258", "56873258")</f>
        <v>56873258</v>
      </c>
      <c r="B3129" s="2" t="s">
        <v>3172</v>
      </c>
      <c r="C3129" s="3"/>
      <c r="D3129" s="3">
        <v>29.0</v>
      </c>
      <c r="E3129" s="2"/>
      <c r="F3129" s="2"/>
      <c r="G3129" s="2"/>
      <c r="H3129" s="2"/>
      <c r="I3129" s="2"/>
      <c r="J3129" s="2"/>
    </row>
    <row r="3130" ht="15.75" customHeight="1">
      <c r="A3130" s="4" t="str">
        <f>HYPERLINK("https://stackoverflow.com/q/57040864", "57040864")</f>
        <v>57040864</v>
      </c>
      <c r="B3130" s="2" t="s">
        <v>3173</v>
      </c>
      <c r="C3130" s="3"/>
      <c r="D3130" s="3">
        <v>29.0</v>
      </c>
      <c r="E3130" s="2"/>
      <c r="F3130" s="2"/>
      <c r="G3130" s="2"/>
      <c r="H3130" s="2"/>
      <c r="I3130" s="2"/>
      <c r="J3130" s="2"/>
    </row>
    <row r="3131" ht="15.75" customHeight="1">
      <c r="A3131" s="4" t="str">
        <f>HYPERLINK("https://stackoverflow.com/q/57076871", "57076871")</f>
        <v>57076871</v>
      </c>
      <c r="B3131" s="2" t="s">
        <v>3174</v>
      </c>
      <c r="C3131" s="3"/>
      <c r="D3131" s="3">
        <v>29.0</v>
      </c>
      <c r="E3131" s="2"/>
      <c r="F3131" s="2"/>
      <c r="G3131" s="2"/>
      <c r="H3131" s="2"/>
      <c r="I3131" s="2"/>
      <c r="J3131" s="2"/>
    </row>
    <row r="3132" ht="15.75" customHeight="1">
      <c r="A3132" s="4" t="str">
        <f>HYPERLINK("https://stackoverflow.com/q/57850922", "57850922")</f>
        <v>57850922</v>
      </c>
      <c r="B3132" s="2" t="s">
        <v>3175</v>
      </c>
      <c r="C3132" s="3"/>
      <c r="D3132" s="3">
        <v>29.0</v>
      </c>
      <c r="E3132" s="2"/>
      <c r="F3132" s="2"/>
      <c r="G3132" s="2"/>
      <c r="H3132" s="2"/>
      <c r="I3132" s="2"/>
      <c r="J3132" s="2"/>
    </row>
    <row r="3133" ht="15.75" customHeight="1">
      <c r="A3133" s="4" t="str">
        <f>HYPERLINK("https://stackoverflow.com/q/57858132", "57858132")</f>
        <v>57858132</v>
      </c>
      <c r="B3133" s="2" t="s">
        <v>3176</v>
      </c>
      <c r="C3133" s="3"/>
      <c r="D3133" s="3">
        <v>29.0</v>
      </c>
      <c r="E3133" s="2"/>
      <c r="F3133" s="2"/>
      <c r="G3133" s="2"/>
      <c r="H3133" s="2"/>
      <c r="I3133" s="2"/>
      <c r="J3133" s="2"/>
    </row>
    <row r="3134" ht="15.75" customHeight="1">
      <c r="A3134" s="4" t="str">
        <f>HYPERLINK("https://stackoverflow.com/q/57996398", "57996398")</f>
        <v>57996398</v>
      </c>
      <c r="B3134" s="2" t="s">
        <v>3177</v>
      </c>
      <c r="C3134" s="3"/>
      <c r="D3134" s="3">
        <v>29.0</v>
      </c>
      <c r="E3134" s="2"/>
      <c r="F3134" s="2"/>
      <c r="G3134" s="2"/>
      <c r="H3134" s="2"/>
      <c r="I3134" s="2"/>
      <c r="J3134" s="2"/>
    </row>
    <row r="3135" ht="15.75" customHeight="1">
      <c r="A3135" s="4" t="str">
        <f>HYPERLINK("https://stackoverflow.com/q/58109112", "58109112")</f>
        <v>58109112</v>
      </c>
      <c r="B3135" s="2" t="s">
        <v>3178</v>
      </c>
      <c r="C3135" s="3"/>
      <c r="D3135" s="3">
        <v>29.0</v>
      </c>
      <c r="E3135" s="2"/>
      <c r="F3135" s="2"/>
      <c r="G3135" s="2"/>
      <c r="H3135" s="2"/>
      <c r="I3135" s="2"/>
      <c r="J3135" s="2"/>
    </row>
    <row r="3136" ht="15.75" customHeight="1">
      <c r="A3136" s="4" t="str">
        <f>HYPERLINK("https://stackoverflow.com/q/58422656", "58422656")</f>
        <v>58422656</v>
      </c>
      <c r="B3136" s="2" t="s">
        <v>3179</v>
      </c>
      <c r="C3136" s="3"/>
      <c r="D3136" s="3">
        <v>29.0</v>
      </c>
      <c r="E3136" s="2"/>
      <c r="F3136" s="2"/>
      <c r="G3136" s="2"/>
      <c r="H3136" s="2"/>
      <c r="I3136" s="2"/>
      <c r="J3136" s="2"/>
    </row>
    <row r="3137" ht="15.75" customHeight="1">
      <c r="A3137" s="4" t="str">
        <f>HYPERLINK("https://stackoverflow.com/q/58575034", "58575034")</f>
        <v>58575034</v>
      </c>
      <c r="B3137" s="2" t="s">
        <v>3180</v>
      </c>
      <c r="C3137" s="3"/>
      <c r="D3137" s="3">
        <v>29.0</v>
      </c>
      <c r="E3137" s="2"/>
      <c r="F3137" s="2"/>
      <c r="G3137" s="2"/>
      <c r="H3137" s="2"/>
      <c r="I3137" s="2"/>
      <c r="J3137" s="2"/>
    </row>
    <row r="3138" ht="15.75" customHeight="1">
      <c r="A3138" s="4" t="str">
        <f>HYPERLINK("https://stackoverflow.com/q/58719818", "58719818")</f>
        <v>58719818</v>
      </c>
      <c r="B3138" s="2" t="s">
        <v>3181</v>
      </c>
      <c r="C3138" s="3"/>
      <c r="D3138" s="3">
        <v>29.0</v>
      </c>
      <c r="E3138" s="2"/>
      <c r="F3138" s="2"/>
      <c r="G3138" s="2"/>
      <c r="H3138" s="2"/>
      <c r="I3138" s="2"/>
      <c r="J3138" s="2"/>
    </row>
    <row r="3139" ht="15.75" customHeight="1">
      <c r="A3139" s="4" t="str">
        <f>HYPERLINK("https://stackoverflow.com/q/58885480", "58885480")</f>
        <v>58885480</v>
      </c>
      <c r="B3139" s="2" t="s">
        <v>3182</v>
      </c>
      <c r="C3139" s="3"/>
      <c r="D3139" s="3">
        <v>29.0</v>
      </c>
      <c r="E3139" s="2"/>
      <c r="F3139" s="2"/>
      <c r="G3139" s="2"/>
      <c r="H3139" s="2"/>
      <c r="I3139" s="2"/>
      <c r="J3139" s="2"/>
    </row>
    <row r="3140" ht="15.75" customHeight="1">
      <c r="A3140" s="4" t="str">
        <f>HYPERLINK("https://stackoverflow.com/q/59834480", "59834480")</f>
        <v>59834480</v>
      </c>
      <c r="B3140" s="2" t="s">
        <v>3183</v>
      </c>
      <c r="C3140" s="3"/>
      <c r="D3140" s="3">
        <v>29.0</v>
      </c>
      <c r="E3140" s="2"/>
      <c r="F3140" s="2"/>
      <c r="G3140" s="2"/>
      <c r="H3140" s="2"/>
      <c r="I3140" s="2"/>
      <c r="J3140" s="2"/>
    </row>
    <row r="3141" ht="15.75" customHeight="1">
      <c r="A3141" s="4" t="str">
        <f>HYPERLINK("https://stackoverflow.com/q/60357457", "60357457")</f>
        <v>60357457</v>
      </c>
      <c r="B3141" s="2" t="s">
        <v>3184</v>
      </c>
      <c r="C3141" s="3"/>
      <c r="D3141" s="3">
        <v>29.0</v>
      </c>
      <c r="E3141" s="2"/>
      <c r="F3141" s="2"/>
      <c r="G3141" s="2"/>
      <c r="H3141" s="2"/>
      <c r="I3141" s="2"/>
      <c r="J3141" s="2"/>
    </row>
    <row r="3142" ht="15.75" customHeight="1">
      <c r="A3142" s="4" t="str">
        <f>HYPERLINK("https://stackoverflow.com/q/60434306", "60434306")</f>
        <v>60434306</v>
      </c>
      <c r="B3142" s="2" t="s">
        <v>3185</v>
      </c>
      <c r="C3142" s="3"/>
      <c r="D3142" s="3">
        <v>29.0</v>
      </c>
      <c r="E3142" s="2"/>
      <c r="F3142" s="2"/>
      <c r="G3142" s="2"/>
      <c r="H3142" s="2"/>
      <c r="I3142" s="2"/>
      <c r="J3142" s="2"/>
    </row>
    <row r="3143" ht="15.75" customHeight="1">
      <c r="A3143" s="4" t="str">
        <f>HYPERLINK("https://stackoverflow.com/q/54622703", "54622703")</f>
        <v>54622703</v>
      </c>
      <c r="B3143" s="2" t="s">
        <v>3186</v>
      </c>
      <c r="C3143" s="3"/>
      <c r="D3143" s="3">
        <v>28.0</v>
      </c>
      <c r="E3143" s="2" t="s">
        <v>11</v>
      </c>
      <c r="F3143" s="2" t="s">
        <v>14</v>
      </c>
      <c r="G3143" s="2"/>
      <c r="H3143" s="2"/>
      <c r="I3143" s="2"/>
      <c r="J3143" s="2"/>
    </row>
    <row r="3144" ht="15.75" customHeight="1">
      <c r="A3144" s="4" t="str">
        <f>HYPERLINK("https://stackoverflow.com/q/54828156", "54828156")</f>
        <v>54828156</v>
      </c>
      <c r="B3144" s="2" t="s">
        <v>3187</v>
      </c>
      <c r="C3144" s="3"/>
      <c r="D3144" s="3">
        <v>28.0</v>
      </c>
      <c r="E3144" s="2" t="s">
        <v>11</v>
      </c>
      <c r="F3144" s="2" t="s">
        <v>14</v>
      </c>
      <c r="G3144" s="2"/>
      <c r="H3144" s="2"/>
      <c r="I3144" s="2"/>
      <c r="J3144" s="2"/>
    </row>
    <row r="3145" ht="15.75" customHeight="1">
      <c r="A3145" s="4" t="str">
        <f>HYPERLINK("https://stackoverflow.com/q/57657610", "57657610")</f>
        <v>57657610</v>
      </c>
      <c r="B3145" s="2" t="s">
        <v>3188</v>
      </c>
      <c r="C3145" s="3"/>
      <c r="D3145" s="3">
        <v>28.0</v>
      </c>
      <c r="E3145" s="2" t="s">
        <v>11</v>
      </c>
      <c r="F3145" s="2" t="s">
        <v>183</v>
      </c>
      <c r="G3145" s="2"/>
      <c r="H3145" s="2"/>
      <c r="I3145" s="2"/>
      <c r="J3145" s="2"/>
    </row>
    <row r="3146" ht="15.75" customHeight="1">
      <c r="A3146" s="4" t="str">
        <f>HYPERLINK("https://stackoverflow.com/q/61309820", "61309820")</f>
        <v>61309820</v>
      </c>
      <c r="B3146" s="2" t="s">
        <v>3189</v>
      </c>
      <c r="C3146" s="3"/>
      <c r="D3146" s="3">
        <v>28.0</v>
      </c>
      <c r="E3146" s="2" t="s">
        <v>11</v>
      </c>
      <c r="F3146" s="2" t="s">
        <v>35</v>
      </c>
      <c r="G3146" s="2"/>
      <c r="H3146" s="2"/>
      <c r="I3146" s="2"/>
      <c r="J3146" s="2"/>
    </row>
    <row r="3147" ht="15.75" customHeight="1">
      <c r="A3147" s="4" t="str">
        <f>HYPERLINK("https://stackoverflow.com/q/61939435", "61939435")</f>
        <v>61939435</v>
      </c>
      <c r="B3147" s="2" t="s">
        <v>3190</v>
      </c>
      <c r="C3147" s="3"/>
      <c r="D3147" s="3">
        <v>28.0</v>
      </c>
      <c r="E3147" s="2" t="s">
        <v>11</v>
      </c>
      <c r="F3147" s="2" t="s">
        <v>263</v>
      </c>
      <c r="G3147" s="2"/>
      <c r="H3147" s="2"/>
      <c r="I3147" s="2"/>
      <c r="J3147" s="2"/>
    </row>
    <row r="3148" ht="15.75" customHeight="1">
      <c r="A3148" s="4" t="str">
        <f>HYPERLINK("https://stackoverflow.com/q/50856027", "50856027")</f>
        <v>50856027</v>
      </c>
      <c r="B3148" s="2" t="s">
        <v>3191</v>
      </c>
      <c r="C3148" s="3"/>
      <c r="D3148" s="3">
        <v>28.0</v>
      </c>
      <c r="E3148" s="2"/>
      <c r="F3148" s="2"/>
      <c r="G3148" s="2"/>
      <c r="H3148" s="2"/>
      <c r="I3148" s="2"/>
      <c r="J3148" s="2"/>
    </row>
    <row r="3149" ht="15.75" customHeight="1">
      <c r="A3149" s="4" t="str">
        <f>HYPERLINK("https://stackoverflow.com/q/53544934", "53544934")</f>
        <v>53544934</v>
      </c>
      <c r="B3149" s="2" t="s">
        <v>3192</v>
      </c>
      <c r="C3149" s="3"/>
      <c r="D3149" s="3">
        <v>28.0</v>
      </c>
      <c r="E3149" s="2"/>
      <c r="F3149" s="2"/>
      <c r="G3149" s="2"/>
      <c r="H3149" s="2"/>
      <c r="I3149" s="2"/>
      <c r="J3149" s="2"/>
    </row>
    <row r="3150" ht="15.75" customHeight="1">
      <c r="A3150" s="4" t="str">
        <f>HYPERLINK("https://stackoverflow.com/q/55614003", "55614003")</f>
        <v>55614003</v>
      </c>
      <c r="B3150" s="2" t="s">
        <v>3193</v>
      </c>
      <c r="C3150" s="3"/>
      <c r="D3150" s="3">
        <v>28.0</v>
      </c>
      <c r="E3150" s="2"/>
      <c r="F3150" s="2"/>
      <c r="G3150" s="2"/>
      <c r="H3150" s="2"/>
      <c r="I3150" s="2"/>
      <c r="J3150" s="2"/>
    </row>
    <row r="3151" ht="15.75" customHeight="1">
      <c r="A3151" s="4" t="str">
        <f>HYPERLINK("https://stackoverflow.com/q/55827343", "55827343")</f>
        <v>55827343</v>
      </c>
      <c r="B3151" s="2" t="s">
        <v>3194</v>
      </c>
      <c r="C3151" s="3"/>
      <c r="D3151" s="3">
        <v>28.0</v>
      </c>
      <c r="E3151" s="2"/>
      <c r="F3151" s="2"/>
      <c r="G3151" s="2"/>
      <c r="H3151" s="2"/>
      <c r="I3151" s="2"/>
      <c r="J3151" s="2"/>
    </row>
    <row r="3152" ht="15.75" customHeight="1">
      <c r="A3152" s="4" t="str">
        <f>HYPERLINK("https://stackoverflow.com/q/56772072", "56772072")</f>
        <v>56772072</v>
      </c>
      <c r="B3152" s="2" t="s">
        <v>3195</v>
      </c>
      <c r="C3152" s="3"/>
      <c r="D3152" s="3">
        <v>28.0</v>
      </c>
      <c r="E3152" s="2"/>
      <c r="F3152" s="2"/>
      <c r="G3152" s="2"/>
      <c r="H3152" s="2"/>
      <c r="I3152" s="2"/>
      <c r="J3152" s="2"/>
    </row>
    <row r="3153" ht="15.75" customHeight="1">
      <c r="A3153" s="4" t="str">
        <f>HYPERLINK("https://stackoverflow.com/q/57124843", "57124843")</f>
        <v>57124843</v>
      </c>
      <c r="B3153" s="2" t="s">
        <v>3196</v>
      </c>
      <c r="C3153" s="3"/>
      <c r="D3153" s="3">
        <v>28.0</v>
      </c>
      <c r="E3153" s="2"/>
      <c r="F3153" s="2"/>
      <c r="G3153" s="2"/>
      <c r="H3153" s="2"/>
      <c r="I3153" s="2"/>
      <c r="J3153" s="2"/>
    </row>
    <row r="3154" ht="15.75" customHeight="1">
      <c r="A3154" s="4" t="str">
        <f>HYPERLINK("https://stackoverflow.com/q/57205404", "57205404")</f>
        <v>57205404</v>
      </c>
      <c r="B3154" s="2" t="s">
        <v>3197</v>
      </c>
      <c r="C3154" s="3"/>
      <c r="D3154" s="3">
        <v>28.0</v>
      </c>
      <c r="E3154" s="2"/>
      <c r="F3154" s="2"/>
      <c r="G3154" s="2"/>
      <c r="H3154" s="2"/>
      <c r="I3154" s="2"/>
      <c r="J3154" s="2"/>
    </row>
    <row r="3155" ht="15.75" customHeight="1">
      <c r="A3155" s="4" t="str">
        <f>HYPERLINK("https://stackoverflow.com/q/58081651", "58081651")</f>
        <v>58081651</v>
      </c>
      <c r="B3155" s="2" t="s">
        <v>3198</v>
      </c>
      <c r="C3155" s="3"/>
      <c r="D3155" s="3">
        <v>28.0</v>
      </c>
      <c r="E3155" s="2"/>
      <c r="F3155" s="2"/>
      <c r="G3155" s="2"/>
      <c r="H3155" s="2"/>
      <c r="I3155" s="2"/>
      <c r="J3155" s="2"/>
    </row>
    <row r="3156" ht="15.75" customHeight="1">
      <c r="A3156" s="4" t="str">
        <f>HYPERLINK("https://stackoverflow.com/q/58227669", "58227669")</f>
        <v>58227669</v>
      </c>
      <c r="B3156" s="2" t="s">
        <v>3199</v>
      </c>
      <c r="C3156" s="3"/>
      <c r="D3156" s="3">
        <v>28.0</v>
      </c>
      <c r="E3156" s="2"/>
      <c r="F3156" s="2"/>
      <c r="G3156" s="2"/>
      <c r="H3156" s="2"/>
      <c r="I3156" s="2"/>
      <c r="J3156" s="2"/>
    </row>
    <row r="3157" ht="15.75" customHeight="1">
      <c r="A3157" s="4" t="str">
        <f>HYPERLINK("https://stackoverflow.com/q/58362057", "58362057")</f>
        <v>58362057</v>
      </c>
      <c r="B3157" s="2" t="s">
        <v>3200</v>
      </c>
      <c r="C3157" s="3"/>
      <c r="D3157" s="3">
        <v>28.0</v>
      </c>
      <c r="E3157" s="2"/>
      <c r="F3157" s="2"/>
      <c r="G3157" s="2"/>
      <c r="H3157" s="2"/>
      <c r="I3157" s="2"/>
      <c r="J3157" s="2"/>
    </row>
    <row r="3158" ht="15.75" customHeight="1">
      <c r="A3158" s="4" t="str">
        <f>HYPERLINK("https://stackoverflow.com/q/58867261", "58867261")</f>
        <v>58867261</v>
      </c>
      <c r="B3158" s="2" t="s">
        <v>3201</v>
      </c>
      <c r="C3158" s="3"/>
      <c r="D3158" s="3">
        <v>28.0</v>
      </c>
      <c r="E3158" s="2"/>
      <c r="F3158" s="2"/>
      <c r="G3158" s="2"/>
      <c r="H3158" s="2"/>
      <c r="I3158" s="2"/>
      <c r="J3158" s="2"/>
    </row>
    <row r="3159" ht="15.75" customHeight="1">
      <c r="A3159" s="4" t="str">
        <f>HYPERLINK("https://stackoverflow.com/q/59220944", "59220944")</f>
        <v>59220944</v>
      </c>
      <c r="B3159" s="2" t="s">
        <v>3202</v>
      </c>
      <c r="C3159" s="3"/>
      <c r="D3159" s="3">
        <v>28.0</v>
      </c>
      <c r="E3159" s="2"/>
      <c r="F3159" s="2"/>
      <c r="G3159" s="2"/>
      <c r="H3159" s="2"/>
      <c r="I3159" s="2"/>
      <c r="J3159" s="2"/>
    </row>
    <row r="3160" ht="15.75" customHeight="1">
      <c r="A3160" s="4" t="str">
        <f>HYPERLINK("https://stackoverflow.com/q/59496809", "59496809")</f>
        <v>59496809</v>
      </c>
      <c r="B3160" s="2" t="s">
        <v>3203</v>
      </c>
      <c r="C3160" s="3"/>
      <c r="D3160" s="3">
        <v>28.0</v>
      </c>
      <c r="E3160" s="2"/>
      <c r="F3160" s="2"/>
      <c r="G3160" s="2"/>
      <c r="H3160" s="2"/>
      <c r="I3160" s="2"/>
      <c r="J3160" s="2"/>
    </row>
    <row r="3161" ht="15.75" customHeight="1">
      <c r="A3161" s="4" t="str">
        <f>HYPERLINK("https://stackoverflow.com/q/59929281", "59929281")</f>
        <v>59929281</v>
      </c>
      <c r="B3161" s="2" t="s">
        <v>3204</v>
      </c>
      <c r="C3161" s="3"/>
      <c r="D3161" s="3">
        <v>28.0</v>
      </c>
      <c r="E3161" s="2"/>
      <c r="F3161" s="2"/>
      <c r="G3161" s="2"/>
      <c r="H3161" s="2"/>
      <c r="I3161" s="2"/>
      <c r="J3161" s="2"/>
    </row>
    <row r="3162" ht="15.75" customHeight="1">
      <c r="A3162" s="4" t="str">
        <f>HYPERLINK("https://stackoverflow.com/q/58887435", "58887435")</f>
        <v>58887435</v>
      </c>
      <c r="B3162" s="2" t="s">
        <v>3205</v>
      </c>
      <c r="C3162" s="3">
        <v>1.0</v>
      </c>
      <c r="D3162" s="3">
        <v>27.0</v>
      </c>
      <c r="E3162" s="2"/>
      <c r="F3162" s="2"/>
      <c r="G3162" s="2"/>
      <c r="H3162" s="2"/>
      <c r="I3162" s="2"/>
      <c r="J3162" s="2"/>
    </row>
    <row r="3163" ht="15.75" customHeight="1">
      <c r="A3163" s="4" t="str">
        <f>HYPERLINK("https://stackoverflow.com/q/59053329", "59053329")</f>
        <v>59053329</v>
      </c>
      <c r="B3163" s="2" t="s">
        <v>3206</v>
      </c>
      <c r="C3163" s="3">
        <v>0.0</v>
      </c>
      <c r="D3163" s="3">
        <v>27.0</v>
      </c>
      <c r="E3163" s="2"/>
      <c r="F3163" s="2"/>
      <c r="G3163" s="2"/>
      <c r="H3163" s="2"/>
      <c r="I3163" s="2"/>
      <c r="J3163" s="2"/>
    </row>
    <row r="3164" ht="15.75" customHeight="1">
      <c r="A3164" s="4" t="str">
        <f>HYPERLINK("https://stackoverflow.com/q/61379667", "61379667")</f>
        <v>61379667</v>
      </c>
      <c r="B3164" s="2" t="s">
        <v>3207</v>
      </c>
      <c r="C3164" s="3"/>
      <c r="D3164" s="3">
        <v>27.0</v>
      </c>
      <c r="E3164" s="2" t="s">
        <v>59</v>
      </c>
      <c r="F3164" s="2" t="s">
        <v>538</v>
      </c>
      <c r="G3164" s="2"/>
      <c r="H3164" s="2"/>
      <c r="I3164" s="2"/>
      <c r="J3164" s="2"/>
    </row>
    <row r="3165" ht="15.75" customHeight="1">
      <c r="A3165" s="4" t="str">
        <f>HYPERLINK("https://stackoverflow.com/q/53966488", "53966488")</f>
        <v>53966488</v>
      </c>
      <c r="B3165" s="2" t="s">
        <v>3208</v>
      </c>
      <c r="C3165" s="3"/>
      <c r="D3165" s="3">
        <v>27.0</v>
      </c>
      <c r="E3165" s="9" t="s">
        <v>11</v>
      </c>
      <c r="F3165" s="2" t="s">
        <v>18</v>
      </c>
      <c r="G3165" s="2"/>
      <c r="H3165" s="2"/>
      <c r="I3165" s="2"/>
      <c r="J3165" s="2"/>
    </row>
    <row r="3166" ht="15.75" customHeight="1">
      <c r="A3166" s="4" t="str">
        <f>HYPERLINK("https://stackoverflow.com/q/61268147", "61268147")</f>
        <v>61268147</v>
      </c>
      <c r="B3166" s="2" t="s">
        <v>3209</v>
      </c>
      <c r="C3166" s="3"/>
      <c r="D3166" s="3">
        <v>27.0</v>
      </c>
      <c r="E3166" s="2" t="s">
        <v>11</v>
      </c>
      <c r="F3166" s="2" t="s">
        <v>12</v>
      </c>
      <c r="G3166" s="2"/>
      <c r="H3166" s="2"/>
      <c r="I3166" s="2"/>
      <c r="J3166" s="2"/>
    </row>
    <row r="3167" ht="15.75" customHeight="1">
      <c r="A3167" s="4" t="str">
        <f>HYPERLINK("https://stackoverflow.com/q/61350573", "61350573")</f>
        <v>61350573</v>
      </c>
      <c r="B3167" s="2" t="s">
        <v>3210</v>
      </c>
      <c r="C3167" s="3"/>
      <c r="D3167" s="3">
        <v>27.0</v>
      </c>
      <c r="E3167" s="2" t="s">
        <v>11</v>
      </c>
      <c r="F3167" s="2" t="s">
        <v>25</v>
      </c>
      <c r="G3167" s="2"/>
      <c r="H3167" s="2"/>
      <c r="I3167" s="2"/>
      <c r="J3167" s="2"/>
    </row>
    <row r="3168" ht="15.75" customHeight="1">
      <c r="A3168" s="4" t="str">
        <f>HYPERLINK("https://stackoverflow.com/q/61454256", "61454256")</f>
        <v>61454256</v>
      </c>
      <c r="B3168" s="2" t="s">
        <v>3211</v>
      </c>
      <c r="C3168" s="3"/>
      <c r="D3168" s="3">
        <v>27.0</v>
      </c>
      <c r="E3168" s="9" t="s">
        <v>11</v>
      </c>
      <c r="F3168" s="2" t="s">
        <v>18</v>
      </c>
      <c r="G3168" s="2"/>
      <c r="H3168" s="2"/>
      <c r="I3168" s="2"/>
      <c r="J3168" s="2"/>
    </row>
    <row r="3169" ht="15.75" customHeight="1">
      <c r="A3169" s="4" t="str">
        <f>HYPERLINK("https://stackoverflow.com/q/61902973", "61902973")</f>
        <v>61902973</v>
      </c>
      <c r="B3169" s="2" t="s">
        <v>3212</v>
      </c>
      <c r="C3169" s="3"/>
      <c r="D3169" s="3">
        <v>27.0</v>
      </c>
      <c r="E3169" s="2" t="s">
        <v>11</v>
      </c>
      <c r="F3169" s="2" t="s">
        <v>28</v>
      </c>
      <c r="G3169" s="2"/>
      <c r="H3169" s="2"/>
      <c r="I3169" s="2"/>
      <c r="J3169" s="2"/>
    </row>
    <row r="3170" ht="15.75" customHeight="1">
      <c r="A3170" s="4" t="str">
        <f>HYPERLINK("https://stackoverflow.com/q/40934677", "40934677")</f>
        <v>40934677</v>
      </c>
      <c r="B3170" s="2" t="s">
        <v>3213</v>
      </c>
      <c r="C3170" s="3"/>
      <c r="D3170" s="3">
        <v>27.0</v>
      </c>
      <c r="E3170" s="2"/>
      <c r="F3170" s="2"/>
      <c r="G3170" s="2"/>
      <c r="H3170" s="2"/>
      <c r="I3170" s="2"/>
      <c r="J3170" s="2"/>
    </row>
    <row r="3171" ht="15.75" customHeight="1">
      <c r="A3171" s="4" t="str">
        <f>HYPERLINK("https://stackoverflow.com/q/44851076", "44851076")</f>
        <v>44851076</v>
      </c>
      <c r="B3171" s="2" t="s">
        <v>3214</v>
      </c>
      <c r="C3171" s="3"/>
      <c r="D3171" s="3">
        <v>27.0</v>
      </c>
      <c r="E3171" s="2"/>
      <c r="F3171" s="2"/>
      <c r="G3171" s="2"/>
      <c r="H3171" s="2"/>
      <c r="I3171" s="2"/>
      <c r="J3171" s="2"/>
    </row>
    <row r="3172" ht="15.75" customHeight="1">
      <c r="A3172" s="4" t="str">
        <f>HYPERLINK("https://stackoverflow.com/q/45874369", "45874369")</f>
        <v>45874369</v>
      </c>
      <c r="B3172" s="2" t="s">
        <v>3215</v>
      </c>
      <c r="C3172" s="3"/>
      <c r="D3172" s="3">
        <v>27.0</v>
      </c>
      <c r="E3172" s="2"/>
      <c r="F3172" s="2"/>
      <c r="G3172" s="2"/>
      <c r="H3172" s="2"/>
      <c r="I3172" s="2"/>
      <c r="J3172" s="2"/>
    </row>
    <row r="3173" ht="15.75" customHeight="1">
      <c r="A3173" s="4" t="str">
        <f>HYPERLINK("https://stackoverflow.com/q/56548526", "56548526")</f>
        <v>56548526</v>
      </c>
      <c r="B3173" s="2" t="s">
        <v>3216</v>
      </c>
      <c r="C3173" s="3"/>
      <c r="D3173" s="3">
        <v>27.0</v>
      </c>
      <c r="E3173" s="2"/>
      <c r="F3173" s="2"/>
      <c r="G3173" s="2"/>
      <c r="H3173" s="2"/>
      <c r="I3173" s="2"/>
      <c r="J3173" s="2"/>
    </row>
    <row r="3174" ht="15.75" customHeight="1">
      <c r="A3174" s="4" t="str">
        <f>HYPERLINK("https://stackoverflow.com/q/56600624", "56600624")</f>
        <v>56600624</v>
      </c>
      <c r="B3174" s="2" t="s">
        <v>3217</v>
      </c>
      <c r="C3174" s="3"/>
      <c r="D3174" s="3">
        <v>27.0</v>
      </c>
      <c r="E3174" s="2"/>
      <c r="F3174" s="2"/>
      <c r="G3174" s="2"/>
      <c r="H3174" s="2"/>
      <c r="I3174" s="2"/>
      <c r="J3174" s="2"/>
    </row>
    <row r="3175" ht="15.75" customHeight="1">
      <c r="A3175" s="4" t="str">
        <f>HYPERLINK("https://stackoverflow.com/q/56657103", "56657103")</f>
        <v>56657103</v>
      </c>
      <c r="B3175" s="2" t="s">
        <v>3218</v>
      </c>
      <c r="C3175" s="3"/>
      <c r="D3175" s="3">
        <v>27.0</v>
      </c>
      <c r="E3175" s="2"/>
      <c r="F3175" s="2"/>
      <c r="G3175" s="2"/>
      <c r="H3175" s="2"/>
      <c r="I3175" s="2"/>
      <c r="J3175" s="2"/>
    </row>
    <row r="3176" ht="15.75" customHeight="1">
      <c r="A3176" s="4" t="str">
        <f>HYPERLINK("https://stackoverflow.com/q/56674480", "56674480")</f>
        <v>56674480</v>
      </c>
      <c r="B3176" s="2" t="s">
        <v>3219</v>
      </c>
      <c r="C3176" s="3"/>
      <c r="D3176" s="3">
        <v>27.0</v>
      </c>
      <c r="E3176" s="2"/>
      <c r="F3176" s="2"/>
      <c r="G3176" s="2"/>
      <c r="H3176" s="2"/>
      <c r="I3176" s="2"/>
      <c r="J3176" s="2"/>
    </row>
    <row r="3177" ht="15.75" customHeight="1">
      <c r="A3177" s="4" t="str">
        <f>HYPERLINK("https://stackoverflow.com/q/56929036", "56929036")</f>
        <v>56929036</v>
      </c>
      <c r="B3177" s="2" t="s">
        <v>3220</v>
      </c>
      <c r="C3177" s="3"/>
      <c r="D3177" s="3">
        <v>27.0</v>
      </c>
      <c r="E3177" s="2"/>
      <c r="F3177" s="2"/>
      <c r="G3177" s="2"/>
      <c r="H3177" s="2"/>
      <c r="I3177" s="2"/>
      <c r="J3177" s="2"/>
    </row>
    <row r="3178" ht="15.75" customHeight="1">
      <c r="A3178" s="4" t="str">
        <f>HYPERLINK("https://stackoverflow.com/q/56958117", "56958117")</f>
        <v>56958117</v>
      </c>
      <c r="B3178" s="2" t="s">
        <v>3221</v>
      </c>
      <c r="C3178" s="3"/>
      <c r="D3178" s="3">
        <v>27.0</v>
      </c>
      <c r="E3178" s="2"/>
      <c r="F3178" s="2"/>
      <c r="G3178" s="2"/>
      <c r="H3178" s="2"/>
      <c r="I3178" s="2"/>
      <c r="J3178" s="2"/>
    </row>
    <row r="3179" ht="15.75" customHeight="1">
      <c r="A3179" s="4" t="str">
        <f>HYPERLINK("https://stackoverflow.com/q/56991934", "56991934")</f>
        <v>56991934</v>
      </c>
      <c r="B3179" s="2" t="s">
        <v>3222</v>
      </c>
      <c r="C3179" s="3"/>
      <c r="D3179" s="3">
        <v>27.0</v>
      </c>
      <c r="E3179" s="2"/>
      <c r="F3179" s="2"/>
      <c r="G3179" s="2"/>
      <c r="H3179" s="2"/>
      <c r="I3179" s="2"/>
      <c r="J3179" s="2"/>
    </row>
    <row r="3180" ht="15.75" customHeight="1">
      <c r="A3180" s="4" t="str">
        <f>HYPERLINK("https://stackoverflow.com/q/57139722", "57139722")</f>
        <v>57139722</v>
      </c>
      <c r="B3180" s="2" t="s">
        <v>3223</v>
      </c>
      <c r="C3180" s="3"/>
      <c r="D3180" s="3">
        <v>27.0</v>
      </c>
      <c r="E3180" s="2"/>
      <c r="F3180" s="2"/>
      <c r="G3180" s="2"/>
      <c r="H3180" s="2"/>
      <c r="I3180" s="2"/>
      <c r="J3180" s="2"/>
    </row>
    <row r="3181" ht="15.75" customHeight="1">
      <c r="A3181" s="4" t="str">
        <f>HYPERLINK("https://stackoverflow.com/q/57248253", "57248253")</f>
        <v>57248253</v>
      </c>
      <c r="B3181" s="2" t="s">
        <v>3224</v>
      </c>
      <c r="C3181" s="3"/>
      <c r="D3181" s="3">
        <v>27.0</v>
      </c>
      <c r="E3181" s="2"/>
      <c r="F3181" s="2"/>
      <c r="G3181" s="2"/>
      <c r="H3181" s="2"/>
      <c r="I3181" s="2"/>
      <c r="J3181" s="2"/>
    </row>
    <row r="3182" ht="15.75" customHeight="1">
      <c r="A3182" s="4" t="str">
        <f>HYPERLINK("https://stackoverflow.com/q/57312847", "57312847")</f>
        <v>57312847</v>
      </c>
      <c r="B3182" s="2" t="s">
        <v>3225</v>
      </c>
      <c r="C3182" s="3"/>
      <c r="D3182" s="3">
        <v>27.0</v>
      </c>
      <c r="E3182" s="2"/>
      <c r="F3182" s="2"/>
      <c r="G3182" s="2"/>
      <c r="H3182" s="2"/>
      <c r="I3182" s="2"/>
      <c r="J3182" s="2"/>
    </row>
    <row r="3183" ht="15.75" customHeight="1">
      <c r="A3183" s="4" t="str">
        <f>HYPERLINK("https://stackoverflow.com/q/57500473", "57500473")</f>
        <v>57500473</v>
      </c>
      <c r="B3183" s="2" t="s">
        <v>3226</v>
      </c>
      <c r="C3183" s="3"/>
      <c r="D3183" s="3">
        <v>27.0</v>
      </c>
      <c r="E3183" s="2"/>
      <c r="F3183" s="2"/>
      <c r="G3183" s="2"/>
      <c r="H3183" s="2"/>
      <c r="I3183" s="2"/>
      <c r="J3183" s="2"/>
    </row>
    <row r="3184" ht="15.75" customHeight="1">
      <c r="A3184" s="4" t="str">
        <f>HYPERLINK("https://stackoverflow.com/q/57833839", "57833839")</f>
        <v>57833839</v>
      </c>
      <c r="B3184" s="2" t="s">
        <v>3227</v>
      </c>
      <c r="C3184" s="3"/>
      <c r="D3184" s="3">
        <v>27.0</v>
      </c>
      <c r="E3184" s="2"/>
      <c r="F3184" s="2"/>
      <c r="G3184" s="2"/>
      <c r="H3184" s="2"/>
      <c r="I3184" s="2"/>
      <c r="J3184" s="2"/>
    </row>
    <row r="3185" ht="15.75" customHeight="1">
      <c r="A3185" s="4" t="str">
        <f>HYPERLINK("https://stackoverflow.com/q/58596586", "58596586")</f>
        <v>58596586</v>
      </c>
      <c r="B3185" s="2" t="s">
        <v>3228</v>
      </c>
      <c r="C3185" s="3"/>
      <c r="D3185" s="3">
        <v>27.0</v>
      </c>
      <c r="E3185" s="2"/>
      <c r="F3185" s="2"/>
      <c r="G3185" s="2"/>
      <c r="H3185" s="2"/>
      <c r="I3185" s="2"/>
      <c r="J3185" s="2"/>
    </row>
    <row r="3186" ht="15.75" customHeight="1">
      <c r="A3186" s="4" t="str">
        <f>HYPERLINK("https://stackoverflow.com/q/58696023", "58696023")</f>
        <v>58696023</v>
      </c>
      <c r="B3186" s="2" t="s">
        <v>3229</v>
      </c>
      <c r="C3186" s="3"/>
      <c r="D3186" s="3">
        <v>27.0</v>
      </c>
      <c r="E3186" s="2"/>
      <c r="F3186" s="2"/>
      <c r="G3186" s="2"/>
      <c r="H3186" s="2"/>
      <c r="I3186" s="2"/>
      <c r="J3186" s="2"/>
    </row>
    <row r="3187" ht="15.75" customHeight="1">
      <c r="A3187" s="4" t="str">
        <f>HYPERLINK("https://stackoverflow.com/q/58748928", "58748928")</f>
        <v>58748928</v>
      </c>
      <c r="B3187" s="2" t="s">
        <v>3230</v>
      </c>
      <c r="C3187" s="3"/>
      <c r="D3187" s="3">
        <v>27.0</v>
      </c>
      <c r="E3187" s="2"/>
      <c r="F3187" s="2"/>
      <c r="G3187" s="2"/>
      <c r="H3187" s="2"/>
      <c r="I3187" s="2"/>
      <c r="J3187" s="2"/>
    </row>
    <row r="3188" ht="15.75" customHeight="1">
      <c r="A3188" s="4" t="str">
        <f>HYPERLINK("https://stackoverflow.com/q/59046675", "59046675")</f>
        <v>59046675</v>
      </c>
      <c r="B3188" s="2" t="s">
        <v>3231</v>
      </c>
      <c r="C3188" s="3"/>
      <c r="D3188" s="3">
        <v>27.0</v>
      </c>
      <c r="E3188" s="2"/>
      <c r="F3188" s="2"/>
      <c r="G3188" s="2"/>
      <c r="H3188" s="2"/>
      <c r="I3188" s="2"/>
      <c r="J3188" s="2"/>
    </row>
    <row r="3189" ht="15.75" customHeight="1">
      <c r="A3189" s="4" t="str">
        <f>HYPERLINK("https://stackoverflow.com/q/59094028", "59094028")</f>
        <v>59094028</v>
      </c>
      <c r="B3189" s="2" t="s">
        <v>3232</v>
      </c>
      <c r="C3189" s="3"/>
      <c r="D3189" s="3">
        <v>27.0</v>
      </c>
      <c r="E3189" s="2"/>
      <c r="F3189" s="2"/>
      <c r="G3189" s="2"/>
      <c r="H3189" s="2"/>
      <c r="I3189" s="2"/>
      <c r="J3189" s="2"/>
    </row>
    <row r="3190" ht="15.75" customHeight="1">
      <c r="A3190" s="4" t="str">
        <f>HYPERLINK("https://stackoverflow.com/q/59192422", "59192422")</f>
        <v>59192422</v>
      </c>
      <c r="B3190" s="2" t="s">
        <v>3233</v>
      </c>
      <c r="C3190" s="3"/>
      <c r="D3190" s="3">
        <v>27.0</v>
      </c>
      <c r="E3190" s="2"/>
      <c r="F3190" s="2"/>
      <c r="G3190" s="2"/>
      <c r="H3190" s="2"/>
      <c r="I3190" s="2"/>
      <c r="J3190" s="2"/>
    </row>
    <row r="3191" ht="15.75" customHeight="1">
      <c r="A3191" s="4" t="str">
        <f>HYPERLINK("https://stackoverflow.com/q/59299127", "59299127")</f>
        <v>59299127</v>
      </c>
      <c r="B3191" s="2" t="s">
        <v>3234</v>
      </c>
      <c r="C3191" s="3"/>
      <c r="D3191" s="3">
        <v>27.0</v>
      </c>
      <c r="E3191" s="2"/>
      <c r="F3191" s="2"/>
      <c r="G3191" s="2"/>
      <c r="H3191" s="2"/>
      <c r="I3191" s="2"/>
      <c r="J3191" s="2"/>
    </row>
    <row r="3192" ht="15.75" customHeight="1">
      <c r="A3192" s="4" t="str">
        <f>HYPERLINK("https://stackoverflow.com/q/59551703", "59551703")</f>
        <v>59551703</v>
      </c>
      <c r="B3192" s="2" t="s">
        <v>3235</v>
      </c>
      <c r="C3192" s="3"/>
      <c r="D3192" s="3">
        <v>27.0</v>
      </c>
      <c r="E3192" s="2"/>
      <c r="F3192" s="2"/>
      <c r="G3192" s="2"/>
      <c r="H3192" s="2"/>
      <c r="I3192" s="2"/>
      <c r="J3192" s="2"/>
    </row>
    <row r="3193" ht="15.75" customHeight="1">
      <c r="A3193" s="4" t="str">
        <f>HYPERLINK("https://stackoverflow.com/q/59966739", "59966739")</f>
        <v>59966739</v>
      </c>
      <c r="B3193" s="2" t="s">
        <v>3236</v>
      </c>
      <c r="C3193" s="3"/>
      <c r="D3193" s="3">
        <v>27.0</v>
      </c>
      <c r="E3193" s="2"/>
      <c r="F3193" s="2"/>
      <c r="G3193" s="2"/>
      <c r="H3193" s="2"/>
      <c r="I3193" s="2"/>
      <c r="J3193" s="2"/>
    </row>
    <row r="3194" ht="15.75" customHeight="1">
      <c r="A3194" s="4" t="str">
        <f>HYPERLINK("https://stackoverflow.com/q/60184002", "60184002")</f>
        <v>60184002</v>
      </c>
      <c r="B3194" s="2" t="s">
        <v>3237</v>
      </c>
      <c r="C3194" s="3"/>
      <c r="D3194" s="3">
        <v>27.0</v>
      </c>
      <c r="E3194" s="2"/>
      <c r="F3194" s="2"/>
      <c r="G3194" s="2"/>
      <c r="H3194" s="2"/>
      <c r="I3194" s="2"/>
      <c r="J3194" s="2"/>
    </row>
    <row r="3195" ht="15.75" customHeight="1">
      <c r="A3195" s="4" t="str">
        <f>HYPERLINK("https://stackoverflow.com/q/60801953", "60801953")</f>
        <v>60801953</v>
      </c>
      <c r="B3195" s="2" t="s">
        <v>3238</v>
      </c>
      <c r="C3195" s="3"/>
      <c r="D3195" s="3">
        <v>27.0</v>
      </c>
      <c r="E3195" s="2"/>
      <c r="F3195" s="2"/>
      <c r="G3195" s="2"/>
      <c r="H3195" s="2"/>
      <c r="I3195" s="2"/>
      <c r="J3195" s="2"/>
    </row>
    <row r="3196" ht="15.75" customHeight="1">
      <c r="A3196" s="4" t="str">
        <f>HYPERLINK("https://stackoverflow.com/q/60990549", "60990549")</f>
        <v>60990549</v>
      </c>
      <c r="B3196" s="2" t="s">
        <v>3239</v>
      </c>
      <c r="C3196" s="3"/>
      <c r="D3196" s="3">
        <v>27.0</v>
      </c>
      <c r="E3196" s="2"/>
      <c r="F3196" s="2"/>
      <c r="G3196" s="2"/>
      <c r="H3196" s="2"/>
      <c r="I3196" s="2"/>
      <c r="J3196" s="2"/>
    </row>
    <row r="3197" ht="15.75" customHeight="1">
      <c r="A3197" s="4" t="str">
        <f>HYPERLINK("https://stackoverflow.com/q/61903819", "61903819")</f>
        <v>61903819</v>
      </c>
      <c r="B3197" s="2" t="s">
        <v>3240</v>
      </c>
      <c r="C3197" s="3"/>
      <c r="D3197" s="3">
        <v>27.0</v>
      </c>
      <c r="E3197" s="2"/>
      <c r="F3197" s="2"/>
      <c r="G3197" s="2"/>
      <c r="H3197" s="2"/>
      <c r="I3197" s="2"/>
      <c r="J3197" s="2"/>
    </row>
    <row r="3198" ht="15.75" customHeight="1">
      <c r="A3198" s="4" t="str">
        <f>HYPERLINK("https://stackoverflow.com/q/57787836", "57787836")</f>
        <v>57787836</v>
      </c>
      <c r="B3198" s="2" t="s">
        <v>3241</v>
      </c>
      <c r="C3198" s="3">
        <v>1.0</v>
      </c>
      <c r="D3198" s="3">
        <v>26.0</v>
      </c>
      <c r="E3198" s="2"/>
      <c r="F3198" s="2"/>
      <c r="G3198" s="2"/>
      <c r="H3198" s="2"/>
      <c r="I3198" s="2"/>
      <c r="J3198" s="2"/>
    </row>
    <row r="3199" ht="15.75" customHeight="1">
      <c r="A3199" s="4" t="str">
        <f>HYPERLINK("https://stackoverflow.com/q/60323334", "60323334")</f>
        <v>60323334</v>
      </c>
      <c r="B3199" s="2" t="s">
        <v>3242</v>
      </c>
      <c r="C3199" s="3">
        <v>1.0</v>
      </c>
      <c r="D3199" s="3">
        <v>26.0</v>
      </c>
      <c r="E3199" s="2"/>
      <c r="F3199" s="2"/>
      <c r="G3199" s="2"/>
      <c r="H3199" s="2"/>
      <c r="I3199" s="2"/>
      <c r="J3199" s="2"/>
    </row>
    <row r="3200" ht="15.75" customHeight="1">
      <c r="A3200" s="4" t="str">
        <f>HYPERLINK("https://stackoverflow.com/q/55275485", "55275485")</f>
        <v>55275485</v>
      </c>
      <c r="B3200" s="2" t="s">
        <v>3243</v>
      </c>
      <c r="C3200" s="3"/>
      <c r="D3200" s="3">
        <v>26.0</v>
      </c>
      <c r="E3200" s="9" t="s">
        <v>11</v>
      </c>
      <c r="F3200" s="2" t="s">
        <v>18</v>
      </c>
      <c r="G3200" s="2"/>
      <c r="H3200" s="2"/>
      <c r="I3200" s="2"/>
      <c r="J3200" s="2"/>
    </row>
    <row r="3201" ht="15.75" customHeight="1">
      <c r="A3201" s="4" t="str">
        <f>HYPERLINK("https://stackoverflow.com/q/61670491", "61670491")</f>
        <v>61670491</v>
      </c>
      <c r="B3201" s="2" t="s">
        <v>3244</v>
      </c>
      <c r="C3201" s="3"/>
      <c r="D3201" s="3">
        <v>26.0</v>
      </c>
      <c r="E3201" s="2" t="s">
        <v>11</v>
      </c>
      <c r="F3201" s="2" t="s">
        <v>67</v>
      </c>
      <c r="G3201" s="2"/>
      <c r="H3201" s="2"/>
      <c r="I3201" s="2"/>
      <c r="J3201" s="2"/>
    </row>
    <row r="3202" ht="15.75" customHeight="1">
      <c r="A3202" s="4" t="str">
        <f>HYPERLINK("https://stackoverflow.com/q/61759228", "61759228")</f>
        <v>61759228</v>
      </c>
      <c r="B3202" s="2" t="s">
        <v>3245</v>
      </c>
      <c r="C3202" s="3"/>
      <c r="D3202" s="3">
        <v>26.0</v>
      </c>
      <c r="E3202" s="2" t="s">
        <v>11</v>
      </c>
      <c r="F3202" s="2" t="s">
        <v>194</v>
      </c>
      <c r="G3202" s="2"/>
      <c r="H3202" s="2"/>
      <c r="I3202" s="2"/>
      <c r="J3202" s="2"/>
    </row>
    <row r="3203" ht="15.75" customHeight="1">
      <c r="A3203" s="4" t="str">
        <f>HYPERLINK("https://stackoverflow.com/q/61936613", "61936613")</f>
        <v>61936613</v>
      </c>
      <c r="B3203" s="2" t="s">
        <v>3246</v>
      </c>
      <c r="C3203" s="3"/>
      <c r="D3203" s="3">
        <v>26.0</v>
      </c>
      <c r="E3203" s="9" t="s">
        <v>11</v>
      </c>
      <c r="F3203" s="2" t="s">
        <v>18</v>
      </c>
      <c r="G3203" s="2"/>
      <c r="H3203" s="2"/>
      <c r="I3203" s="2"/>
      <c r="J3203" s="2"/>
    </row>
    <row r="3204" ht="15.75" customHeight="1">
      <c r="A3204" s="4" t="str">
        <f>HYPERLINK("https://stackoverflow.com/q/50718804", "50718804")</f>
        <v>50718804</v>
      </c>
      <c r="B3204" s="2" t="s">
        <v>3247</v>
      </c>
      <c r="C3204" s="3"/>
      <c r="D3204" s="3">
        <v>26.0</v>
      </c>
      <c r="E3204" s="2"/>
      <c r="F3204" s="2"/>
      <c r="G3204" s="2"/>
      <c r="H3204" s="2"/>
      <c r="I3204" s="2"/>
      <c r="J3204" s="2"/>
    </row>
    <row r="3205" ht="15.75" customHeight="1">
      <c r="A3205" s="4" t="str">
        <f>HYPERLINK("https://stackoverflow.com/q/52290270", "52290270")</f>
        <v>52290270</v>
      </c>
      <c r="B3205" s="2" t="s">
        <v>3248</v>
      </c>
      <c r="C3205" s="3"/>
      <c r="D3205" s="3">
        <v>26.0</v>
      </c>
      <c r="E3205" s="2"/>
      <c r="F3205" s="2"/>
      <c r="G3205" s="2"/>
      <c r="H3205" s="2"/>
      <c r="I3205" s="2"/>
      <c r="J3205" s="2"/>
    </row>
    <row r="3206" ht="15.75" customHeight="1">
      <c r="A3206" s="4" t="str">
        <f>HYPERLINK("https://stackoverflow.com/q/52370474", "52370474")</f>
        <v>52370474</v>
      </c>
      <c r="B3206" s="2" t="s">
        <v>3249</v>
      </c>
      <c r="C3206" s="3"/>
      <c r="D3206" s="3">
        <v>26.0</v>
      </c>
      <c r="E3206" s="2"/>
      <c r="F3206" s="2"/>
      <c r="G3206" s="2"/>
      <c r="H3206" s="2"/>
      <c r="I3206" s="2"/>
      <c r="J3206" s="2"/>
    </row>
    <row r="3207" ht="15.75" customHeight="1">
      <c r="A3207" s="4" t="str">
        <f>HYPERLINK("https://stackoverflow.com/q/53388231", "53388231")</f>
        <v>53388231</v>
      </c>
      <c r="B3207" s="2" t="s">
        <v>3250</v>
      </c>
      <c r="C3207" s="3"/>
      <c r="D3207" s="3">
        <v>26.0</v>
      </c>
      <c r="E3207" s="2"/>
      <c r="F3207" s="2"/>
      <c r="G3207" s="2"/>
      <c r="H3207" s="2"/>
      <c r="I3207" s="2"/>
      <c r="J3207" s="2"/>
    </row>
    <row r="3208" ht="15.75" customHeight="1">
      <c r="A3208" s="4" t="str">
        <f>HYPERLINK("https://stackoverflow.com/q/57262448", "57262448")</f>
        <v>57262448</v>
      </c>
      <c r="B3208" s="2" t="s">
        <v>3251</v>
      </c>
      <c r="C3208" s="3"/>
      <c r="D3208" s="3">
        <v>26.0</v>
      </c>
      <c r="E3208" s="2"/>
      <c r="F3208" s="2"/>
      <c r="G3208" s="2"/>
      <c r="H3208" s="2"/>
      <c r="I3208" s="2"/>
      <c r="J3208" s="2"/>
    </row>
    <row r="3209" ht="15.75" customHeight="1">
      <c r="A3209" s="4" t="str">
        <f>HYPERLINK("https://stackoverflow.com/q/57297387", "57297387")</f>
        <v>57297387</v>
      </c>
      <c r="B3209" s="2" t="s">
        <v>3252</v>
      </c>
      <c r="C3209" s="3"/>
      <c r="D3209" s="3">
        <v>26.0</v>
      </c>
      <c r="E3209" s="2"/>
      <c r="F3209" s="2"/>
      <c r="G3209" s="2"/>
      <c r="H3209" s="2"/>
      <c r="I3209" s="2"/>
      <c r="J3209" s="2"/>
    </row>
    <row r="3210" ht="15.75" customHeight="1">
      <c r="A3210" s="4" t="str">
        <f>HYPERLINK("https://stackoverflow.com/q/57892931", "57892931")</f>
        <v>57892931</v>
      </c>
      <c r="B3210" s="2" t="s">
        <v>3253</v>
      </c>
      <c r="C3210" s="3"/>
      <c r="D3210" s="3">
        <v>26.0</v>
      </c>
      <c r="E3210" s="2"/>
      <c r="F3210" s="2"/>
      <c r="G3210" s="2"/>
      <c r="H3210" s="2"/>
      <c r="I3210" s="2"/>
      <c r="J3210" s="2"/>
    </row>
    <row r="3211" ht="15.75" customHeight="1">
      <c r="A3211" s="4" t="str">
        <f>HYPERLINK("https://stackoverflow.com/q/58631966", "58631966")</f>
        <v>58631966</v>
      </c>
      <c r="B3211" s="2" t="s">
        <v>3254</v>
      </c>
      <c r="C3211" s="3"/>
      <c r="D3211" s="3">
        <v>26.0</v>
      </c>
      <c r="E3211" s="2"/>
      <c r="F3211" s="2"/>
      <c r="G3211" s="2"/>
      <c r="H3211" s="2"/>
      <c r="I3211" s="2"/>
      <c r="J3211" s="2"/>
    </row>
    <row r="3212" ht="15.75" customHeight="1">
      <c r="A3212" s="4" t="str">
        <f>HYPERLINK("https://stackoverflow.com/q/58937485", "58937485")</f>
        <v>58937485</v>
      </c>
      <c r="B3212" s="2" t="s">
        <v>3255</v>
      </c>
      <c r="C3212" s="3"/>
      <c r="D3212" s="3">
        <v>26.0</v>
      </c>
      <c r="E3212" s="2"/>
      <c r="F3212" s="2"/>
      <c r="G3212" s="2"/>
      <c r="H3212" s="2"/>
      <c r="I3212" s="2"/>
      <c r="J3212" s="2"/>
    </row>
    <row r="3213" ht="15.75" customHeight="1">
      <c r="A3213" s="4" t="str">
        <f>HYPERLINK("https://stackoverflow.com/q/59351603", "59351603")</f>
        <v>59351603</v>
      </c>
      <c r="B3213" s="18" t="s">
        <v>3256</v>
      </c>
      <c r="C3213" s="3"/>
      <c r="D3213" s="3">
        <v>26.0</v>
      </c>
      <c r="E3213" s="2"/>
      <c r="F3213" s="2"/>
      <c r="G3213" s="2"/>
      <c r="H3213" s="2"/>
      <c r="I3213" s="2"/>
      <c r="J3213" s="2"/>
    </row>
    <row r="3214" ht="15.75" customHeight="1">
      <c r="A3214" s="4" t="str">
        <f>HYPERLINK("https://stackoverflow.com/q/59427077", "59427077")</f>
        <v>59427077</v>
      </c>
      <c r="B3214" s="2" t="s">
        <v>3257</v>
      </c>
      <c r="C3214" s="3"/>
      <c r="D3214" s="3">
        <v>26.0</v>
      </c>
      <c r="E3214" s="2"/>
      <c r="F3214" s="2"/>
      <c r="G3214" s="2"/>
      <c r="H3214" s="2"/>
      <c r="I3214" s="2"/>
      <c r="J3214" s="2"/>
    </row>
    <row r="3215" ht="15.75" customHeight="1">
      <c r="A3215" s="4" t="str">
        <f>HYPERLINK("https://stackoverflow.com/q/59453712", "59453712")</f>
        <v>59453712</v>
      </c>
      <c r="B3215" s="2" t="s">
        <v>3258</v>
      </c>
      <c r="C3215" s="3"/>
      <c r="D3215" s="3">
        <v>26.0</v>
      </c>
      <c r="E3215" s="2"/>
      <c r="F3215" s="2"/>
      <c r="G3215" s="2"/>
      <c r="H3215" s="2"/>
      <c r="I3215" s="2"/>
      <c r="J3215" s="2"/>
    </row>
    <row r="3216" ht="15.75" customHeight="1">
      <c r="A3216" s="4" t="str">
        <f>HYPERLINK("https://stackoverflow.com/q/60200773", "60200773")</f>
        <v>60200773</v>
      </c>
      <c r="B3216" s="2" t="s">
        <v>3259</v>
      </c>
      <c r="C3216" s="3"/>
      <c r="D3216" s="3">
        <v>26.0</v>
      </c>
      <c r="E3216" s="2"/>
      <c r="F3216" s="2"/>
      <c r="G3216" s="2"/>
      <c r="H3216" s="2"/>
      <c r="I3216" s="2"/>
      <c r="J3216" s="2"/>
    </row>
    <row r="3217" ht="15.75" customHeight="1">
      <c r="A3217" s="4" t="str">
        <f>HYPERLINK("https://stackoverflow.com/q/60633360", "60633360")</f>
        <v>60633360</v>
      </c>
      <c r="B3217" s="2" t="s">
        <v>3260</v>
      </c>
      <c r="C3217" s="3"/>
      <c r="D3217" s="3">
        <v>26.0</v>
      </c>
      <c r="E3217" s="2"/>
      <c r="F3217" s="2"/>
      <c r="G3217" s="2"/>
      <c r="H3217" s="2"/>
      <c r="I3217" s="2"/>
      <c r="J3217" s="2"/>
    </row>
    <row r="3218" ht="15.75" customHeight="1">
      <c r="A3218" s="4" t="str">
        <f>HYPERLINK("https://stackoverflow.com/q/60859441", "60859441")</f>
        <v>60859441</v>
      </c>
      <c r="B3218" s="2" t="s">
        <v>3261</v>
      </c>
      <c r="C3218" s="3"/>
      <c r="D3218" s="3">
        <v>26.0</v>
      </c>
      <c r="E3218" s="2"/>
      <c r="F3218" s="2"/>
      <c r="G3218" s="2"/>
      <c r="H3218" s="2"/>
      <c r="I3218" s="2"/>
      <c r="J3218" s="2"/>
    </row>
    <row r="3219" ht="15.75" customHeight="1">
      <c r="A3219" s="4" t="str">
        <f>HYPERLINK("https://stackoverflow.com/q/60972901", "60972901")</f>
        <v>60972901</v>
      </c>
      <c r="B3219" s="2" t="s">
        <v>3262</v>
      </c>
      <c r="C3219" s="3"/>
      <c r="D3219" s="3">
        <v>26.0</v>
      </c>
      <c r="E3219" s="2"/>
      <c r="F3219" s="2"/>
      <c r="G3219" s="2"/>
      <c r="H3219" s="2"/>
      <c r="I3219" s="2"/>
      <c r="J3219" s="2"/>
    </row>
    <row r="3220" ht="15.75" customHeight="1">
      <c r="A3220" s="4" t="str">
        <f>HYPERLINK("https://stackoverflow.com/q/61470698", "61470698")</f>
        <v>61470698</v>
      </c>
      <c r="B3220" s="2" t="s">
        <v>3263</v>
      </c>
      <c r="C3220" s="3"/>
      <c r="D3220" s="3">
        <v>26.0</v>
      </c>
      <c r="E3220" s="2"/>
      <c r="F3220" s="2"/>
      <c r="G3220" s="2"/>
      <c r="H3220" s="2"/>
      <c r="I3220" s="2"/>
      <c r="J3220" s="2"/>
    </row>
    <row r="3221" ht="15.75" customHeight="1">
      <c r="A3221" s="4" t="str">
        <f>HYPERLINK("https://stackoverflow.com/q/61505590", "61505590")</f>
        <v>61505590</v>
      </c>
      <c r="B3221" s="2" t="s">
        <v>3264</v>
      </c>
      <c r="C3221" s="3"/>
      <c r="D3221" s="3">
        <v>26.0</v>
      </c>
      <c r="E3221" s="2"/>
      <c r="F3221" s="2"/>
      <c r="G3221" s="2"/>
      <c r="H3221" s="2"/>
      <c r="I3221" s="2"/>
      <c r="J3221" s="2"/>
    </row>
    <row r="3222" ht="15.75" customHeight="1">
      <c r="A3222" s="4" t="str">
        <f>HYPERLINK("https://stackoverflow.com/q/61597162", "61597162")</f>
        <v>61597162</v>
      </c>
      <c r="B3222" s="2" t="s">
        <v>3265</v>
      </c>
      <c r="C3222" s="3"/>
      <c r="D3222" s="3">
        <v>26.0</v>
      </c>
      <c r="E3222" s="2"/>
      <c r="F3222" s="2"/>
      <c r="G3222" s="2"/>
      <c r="H3222" s="2"/>
      <c r="I3222" s="2"/>
      <c r="J3222" s="2"/>
    </row>
    <row r="3223" ht="15.75" customHeight="1">
      <c r="A3223" s="4" t="str">
        <f>HYPERLINK("https://stackoverflow.com/q/61623473", "61623473")</f>
        <v>61623473</v>
      </c>
      <c r="B3223" s="2" t="s">
        <v>3266</v>
      </c>
      <c r="C3223" s="3"/>
      <c r="D3223" s="3">
        <v>26.0</v>
      </c>
      <c r="E3223" s="2"/>
      <c r="F3223" s="2"/>
      <c r="G3223" s="2"/>
      <c r="H3223" s="2"/>
      <c r="I3223" s="2"/>
      <c r="J3223" s="2"/>
    </row>
    <row r="3224" ht="15.75" customHeight="1">
      <c r="A3224" s="4" t="str">
        <f>HYPERLINK("https://stackoverflow.com/q/62078096", "62078096")</f>
        <v>62078096</v>
      </c>
      <c r="B3224" s="2" t="s">
        <v>3267</v>
      </c>
      <c r="C3224" s="3"/>
      <c r="D3224" s="3">
        <v>26.0</v>
      </c>
      <c r="E3224" s="2"/>
      <c r="F3224" s="2"/>
      <c r="G3224" s="2"/>
      <c r="H3224" s="2"/>
      <c r="I3224" s="2"/>
      <c r="J3224" s="2"/>
    </row>
    <row r="3225" ht="15.75" customHeight="1">
      <c r="A3225" s="4" t="str">
        <f>HYPERLINK("https://stackoverflow.com/q/55393388", "55393388")</f>
        <v>55393388</v>
      </c>
      <c r="B3225" s="2" t="s">
        <v>3268</v>
      </c>
      <c r="C3225" s="3">
        <v>1.0</v>
      </c>
      <c r="D3225" s="3">
        <v>25.0</v>
      </c>
      <c r="E3225" s="2" t="s">
        <v>537</v>
      </c>
      <c r="F3225" s="2" t="s">
        <v>183</v>
      </c>
      <c r="G3225" s="2" t="s">
        <v>194</v>
      </c>
      <c r="H3225" s="2"/>
      <c r="I3225" s="2"/>
      <c r="J3225" s="2"/>
    </row>
    <row r="3226" ht="15.75" customHeight="1">
      <c r="A3226" s="4" t="str">
        <f>HYPERLINK("https://stackoverflow.com/q/61845738", "61845738")</f>
        <v>61845738</v>
      </c>
      <c r="B3226" s="2" t="s">
        <v>3269</v>
      </c>
      <c r="C3226" s="3"/>
      <c r="D3226" s="3">
        <v>25.0</v>
      </c>
      <c r="E3226" s="2" t="s">
        <v>20</v>
      </c>
      <c r="F3226" s="2" t="s">
        <v>21</v>
      </c>
      <c r="G3226" s="2" t="s">
        <v>34</v>
      </c>
      <c r="H3226" s="2"/>
      <c r="I3226" s="2"/>
      <c r="J3226" s="2"/>
    </row>
    <row r="3227" ht="15.75" customHeight="1">
      <c r="A3227" s="4" t="str">
        <f>HYPERLINK("https://stackoverflow.com/q/48168891", "48168891")</f>
        <v>48168891</v>
      </c>
      <c r="B3227" s="2" t="s">
        <v>3270</v>
      </c>
      <c r="C3227" s="3"/>
      <c r="D3227" s="3">
        <v>25.0</v>
      </c>
      <c r="E3227" s="9" t="s">
        <v>11</v>
      </c>
      <c r="F3227" s="2" t="s">
        <v>18</v>
      </c>
      <c r="G3227" s="2"/>
      <c r="H3227" s="2"/>
      <c r="I3227" s="2"/>
      <c r="J3227" s="2"/>
    </row>
    <row r="3228" ht="15.75" customHeight="1">
      <c r="A3228" s="4" t="str">
        <f>HYPERLINK("https://stackoverflow.com/q/48185677", "48185677")</f>
        <v>48185677</v>
      </c>
      <c r="B3228" s="2" t="s">
        <v>3271</v>
      </c>
      <c r="C3228" s="3"/>
      <c r="D3228" s="3">
        <v>25.0</v>
      </c>
      <c r="E3228" s="2" t="s">
        <v>11</v>
      </c>
      <c r="F3228" s="2" t="s">
        <v>14</v>
      </c>
      <c r="G3228" s="2" t="s">
        <v>25</v>
      </c>
      <c r="H3228" s="2"/>
      <c r="I3228" s="2"/>
      <c r="J3228" s="2"/>
    </row>
    <row r="3229" ht="15.75" customHeight="1">
      <c r="A3229" s="4" t="str">
        <f>HYPERLINK("https://stackoverflow.com/q/61191042", "61191042")</f>
        <v>61191042</v>
      </c>
      <c r="B3229" s="2" t="s">
        <v>3272</v>
      </c>
      <c r="C3229" s="3"/>
      <c r="D3229" s="3">
        <v>25.0</v>
      </c>
      <c r="E3229" s="2" t="s">
        <v>11</v>
      </c>
      <c r="F3229" s="2" t="s">
        <v>25</v>
      </c>
      <c r="G3229" s="2"/>
      <c r="H3229" s="2"/>
      <c r="I3229" s="2"/>
      <c r="J3229" s="2"/>
    </row>
    <row r="3230" ht="15.75" customHeight="1">
      <c r="A3230" s="4" t="str">
        <f>HYPERLINK("https://stackoverflow.com/q/62037429", "62037429")</f>
        <v>62037429</v>
      </c>
      <c r="B3230" s="2" t="s">
        <v>3273</v>
      </c>
      <c r="C3230" s="3"/>
      <c r="D3230" s="3">
        <v>25.0</v>
      </c>
      <c r="E3230" s="2" t="s">
        <v>11</v>
      </c>
      <c r="F3230" s="2" t="s">
        <v>35</v>
      </c>
      <c r="G3230" s="2"/>
      <c r="H3230" s="2"/>
      <c r="I3230" s="2"/>
      <c r="J3230" s="2"/>
    </row>
    <row r="3231" ht="15.75" customHeight="1">
      <c r="A3231" s="4" t="str">
        <f>HYPERLINK("https://stackoverflow.com/q/54200067", "54200067")</f>
        <v>54200067</v>
      </c>
      <c r="B3231" s="2" t="s">
        <v>3274</v>
      </c>
      <c r="C3231" s="3"/>
      <c r="D3231" s="3">
        <v>25.0</v>
      </c>
      <c r="E3231" s="2" t="s">
        <v>72</v>
      </c>
      <c r="F3231" s="2" t="s">
        <v>506</v>
      </c>
      <c r="G3231" s="2"/>
      <c r="H3231" s="2"/>
      <c r="I3231" s="2"/>
      <c r="J3231" s="2"/>
    </row>
    <row r="3232" ht="15.75" customHeight="1">
      <c r="A3232" s="4" t="str">
        <f>HYPERLINK("https://stackoverflow.com/q/50674560", "50674560")</f>
        <v>50674560</v>
      </c>
      <c r="B3232" s="2" t="s">
        <v>3275</v>
      </c>
      <c r="C3232" s="3"/>
      <c r="D3232" s="3">
        <v>25.0</v>
      </c>
      <c r="E3232" s="2"/>
      <c r="F3232" s="2"/>
      <c r="G3232" s="2"/>
      <c r="H3232" s="2"/>
      <c r="I3232" s="2"/>
      <c r="J3232" s="2"/>
    </row>
    <row r="3233" ht="15.75" customHeight="1">
      <c r="A3233" s="4" t="str">
        <f>HYPERLINK("https://stackoverflow.com/q/56777119", "56777119")</f>
        <v>56777119</v>
      </c>
      <c r="B3233" s="2" t="s">
        <v>3276</v>
      </c>
      <c r="C3233" s="3"/>
      <c r="D3233" s="3">
        <v>25.0</v>
      </c>
      <c r="E3233" s="2"/>
      <c r="F3233" s="2"/>
      <c r="G3233" s="2"/>
      <c r="H3233" s="2"/>
      <c r="I3233" s="2"/>
      <c r="J3233" s="2"/>
    </row>
    <row r="3234" ht="15.75" customHeight="1">
      <c r="A3234" s="4" t="str">
        <f>HYPERLINK("https://stackoverflow.com/q/57193780", "57193780")</f>
        <v>57193780</v>
      </c>
      <c r="B3234" s="2" t="s">
        <v>3277</v>
      </c>
      <c r="C3234" s="3"/>
      <c r="D3234" s="3">
        <v>25.0</v>
      </c>
      <c r="E3234" s="2"/>
      <c r="F3234" s="2"/>
      <c r="G3234" s="2"/>
      <c r="H3234" s="2"/>
      <c r="I3234" s="2"/>
      <c r="J3234" s="2"/>
    </row>
    <row r="3235" ht="15.75" customHeight="1">
      <c r="A3235" s="4" t="str">
        <f>HYPERLINK("https://stackoverflow.com/q/57417867", "57417867")</f>
        <v>57417867</v>
      </c>
      <c r="B3235" s="2" t="s">
        <v>3278</v>
      </c>
      <c r="C3235" s="3"/>
      <c r="D3235" s="3">
        <v>25.0</v>
      </c>
      <c r="E3235" s="2"/>
      <c r="F3235" s="2"/>
      <c r="G3235" s="2"/>
      <c r="H3235" s="2"/>
      <c r="I3235" s="2"/>
      <c r="J3235" s="2"/>
    </row>
    <row r="3236" ht="15.75" customHeight="1">
      <c r="A3236" s="4" t="str">
        <f>HYPERLINK("https://stackoverflow.com/q/58248640", "58248640")</f>
        <v>58248640</v>
      </c>
      <c r="B3236" s="2" t="s">
        <v>3279</v>
      </c>
      <c r="C3236" s="3"/>
      <c r="D3236" s="3">
        <v>25.0</v>
      </c>
      <c r="E3236" s="2"/>
      <c r="F3236" s="2"/>
      <c r="G3236" s="2"/>
      <c r="H3236" s="2"/>
      <c r="I3236" s="2"/>
      <c r="J3236" s="2"/>
    </row>
    <row r="3237" ht="15.75" customHeight="1">
      <c r="A3237" s="4" t="str">
        <f>HYPERLINK("https://stackoverflow.com/q/58773119", "58773119")</f>
        <v>58773119</v>
      </c>
      <c r="B3237" s="2" t="s">
        <v>3280</v>
      </c>
      <c r="C3237" s="3"/>
      <c r="D3237" s="3">
        <v>25.0</v>
      </c>
      <c r="E3237" s="2"/>
      <c r="F3237" s="2"/>
      <c r="G3237" s="2"/>
      <c r="H3237" s="2"/>
      <c r="I3237" s="2"/>
      <c r="J3237" s="2"/>
    </row>
    <row r="3238" ht="15.75" customHeight="1">
      <c r="A3238" s="4" t="str">
        <f>HYPERLINK("https://stackoverflow.com/q/59268990", "59268990")</f>
        <v>59268990</v>
      </c>
      <c r="B3238" s="2" t="s">
        <v>3281</v>
      </c>
      <c r="C3238" s="3"/>
      <c r="D3238" s="3">
        <v>25.0</v>
      </c>
      <c r="E3238" s="2"/>
      <c r="F3238" s="2"/>
      <c r="G3238" s="2"/>
      <c r="H3238" s="2"/>
      <c r="I3238" s="2"/>
      <c r="J3238" s="2"/>
    </row>
    <row r="3239" ht="15.75" customHeight="1">
      <c r="A3239" s="4" t="str">
        <f>HYPERLINK("https://stackoverflow.com/q/59419349", "59419349")</f>
        <v>59419349</v>
      </c>
      <c r="B3239" s="2" t="s">
        <v>3282</v>
      </c>
      <c r="C3239" s="3"/>
      <c r="D3239" s="3">
        <v>25.0</v>
      </c>
      <c r="E3239" s="2"/>
      <c r="F3239" s="2"/>
      <c r="G3239" s="2"/>
      <c r="H3239" s="2"/>
      <c r="I3239" s="2"/>
      <c r="J3239" s="2"/>
    </row>
    <row r="3240" ht="15.75" customHeight="1">
      <c r="A3240" s="4" t="str">
        <f>HYPERLINK("https://stackoverflow.com/q/59420530", "59420530")</f>
        <v>59420530</v>
      </c>
      <c r="B3240" s="2" t="s">
        <v>3283</v>
      </c>
      <c r="C3240" s="3"/>
      <c r="D3240" s="3">
        <v>25.0</v>
      </c>
      <c r="E3240" s="2"/>
      <c r="F3240" s="2"/>
      <c r="G3240" s="2"/>
      <c r="H3240" s="2"/>
      <c r="I3240" s="2"/>
      <c r="J3240" s="2"/>
    </row>
    <row r="3241" ht="15.75" customHeight="1">
      <c r="A3241" s="4" t="str">
        <f>HYPERLINK("https://stackoverflow.com/q/59544770", "59544770")</f>
        <v>59544770</v>
      </c>
      <c r="B3241" s="2" t="s">
        <v>3284</v>
      </c>
      <c r="C3241" s="3"/>
      <c r="D3241" s="3">
        <v>25.0</v>
      </c>
      <c r="E3241" s="2"/>
      <c r="F3241" s="2"/>
      <c r="G3241" s="2"/>
      <c r="H3241" s="2"/>
      <c r="I3241" s="2"/>
      <c r="J3241" s="2"/>
    </row>
    <row r="3242" ht="15.75" customHeight="1">
      <c r="A3242" s="4" t="str">
        <f>HYPERLINK("https://stackoverflow.com/q/60221840", "60221840")</f>
        <v>60221840</v>
      </c>
      <c r="B3242" s="2" t="s">
        <v>3285</v>
      </c>
      <c r="C3242" s="3"/>
      <c r="D3242" s="3">
        <v>25.0</v>
      </c>
      <c r="E3242" s="2"/>
      <c r="F3242" s="2"/>
      <c r="G3242" s="2"/>
      <c r="H3242" s="2"/>
      <c r="I3242" s="2"/>
      <c r="J3242" s="2"/>
    </row>
    <row r="3243" ht="15.75" customHeight="1">
      <c r="A3243" s="4" t="str">
        <f>HYPERLINK("https://stackoverflow.com/q/60333516", "60333516")</f>
        <v>60333516</v>
      </c>
      <c r="B3243" s="2" t="s">
        <v>3286</v>
      </c>
      <c r="C3243" s="3"/>
      <c r="D3243" s="3">
        <v>25.0</v>
      </c>
      <c r="E3243" s="2"/>
      <c r="F3243" s="2"/>
      <c r="G3243" s="2"/>
      <c r="H3243" s="2"/>
      <c r="I3243" s="2"/>
      <c r="J3243" s="2"/>
    </row>
    <row r="3244" ht="15.75" customHeight="1">
      <c r="A3244" s="4" t="str">
        <f>HYPERLINK("https://stackoverflow.com/q/60556908", "60556908")</f>
        <v>60556908</v>
      </c>
      <c r="B3244" s="2" t="s">
        <v>3287</v>
      </c>
      <c r="C3244" s="3"/>
      <c r="D3244" s="3">
        <v>25.0</v>
      </c>
      <c r="E3244" s="2"/>
      <c r="F3244" s="2"/>
      <c r="G3244" s="2"/>
      <c r="H3244" s="2"/>
      <c r="I3244" s="2"/>
      <c r="J3244" s="2"/>
    </row>
    <row r="3245" ht="15.75" customHeight="1">
      <c r="A3245" s="4" t="str">
        <f>HYPERLINK("https://stackoverflow.com/q/60689697", "60689697")</f>
        <v>60689697</v>
      </c>
      <c r="B3245" s="2" t="s">
        <v>3288</v>
      </c>
      <c r="C3245" s="3"/>
      <c r="D3245" s="3">
        <v>25.0</v>
      </c>
      <c r="E3245" s="2"/>
      <c r="F3245" s="2"/>
      <c r="G3245" s="2"/>
      <c r="H3245" s="2"/>
      <c r="I3245" s="2"/>
      <c r="J3245" s="2"/>
    </row>
    <row r="3246" ht="15.75" customHeight="1">
      <c r="A3246" s="4" t="str">
        <f>HYPERLINK("https://stackoverflow.com/q/60776604", "60776604")</f>
        <v>60776604</v>
      </c>
      <c r="B3246" s="2" t="s">
        <v>3289</v>
      </c>
      <c r="C3246" s="3"/>
      <c r="D3246" s="3">
        <v>25.0</v>
      </c>
      <c r="E3246" s="2"/>
      <c r="F3246" s="2"/>
      <c r="G3246" s="2"/>
      <c r="H3246" s="2"/>
      <c r="I3246" s="2"/>
      <c r="J3246" s="2"/>
    </row>
    <row r="3247" ht="15.75" customHeight="1">
      <c r="A3247" s="4" t="str">
        <f>HYPERLINK("https://stackoverflow.com/q/61618284", "61618284")</f>
        <v>61618284</v>
      </c>
      <c r="B3247" s="2" t="s">
        <v>3290</v>
      </c>
      <c r="C3247" s="3"/>
      <c r="D3247" s="3">
        <v>25.0</v>
      </c>
      <c r="E3247" s="2"/>
      <c r="F3247" s="2"/>
      <c r="G3247" s="2"/>
      <c r="H3247" s="2"/>
      <c r="I3247" s="2"/>
      <c r="J3247" s="2"/>
    </row>
    <row r="3248" ht="15.75" customHeight="1">
      <c r="A3248" s="4" t="str">
        <f>HYPERLINK("https://stackoverflow.com/q/61706612", "61706612")</f>
        <v>61706612</v>
      </c>
      <c r="B3248" s="2" t="s">
        <v>3291</v>
      </c>
      <c r="C3248" s="3">
        <v>1.0</v>
      </c>
      <c r="D3248" s="3">
        <v>24.0</v>
      </c>
      <c r="E3248" s="2" t="s">
        <v>11</v>
      </c>
      <c r="F3248" s="2" t="s">
        <v>12</v>
      </c>
      <c r="G3248" s="2"/>
      <c r="H3248" s="2"/>
      <c r="I3248" s="2"/>
      <c r="J3248" s="2"/>
    </row>
    <row r="3249" ht="15.75" customHeight="1">
      <c r="A3249" s="4" t="str">
        <f>HYPERLINK("https://stackoverflow.com/q/57928329", "57928329")</f>
        <v>57928329</v>
      </c>
      <c r="B3249" s="2" t="s">
        <v>3292</v>
      </c>
      <c r="C3249" s="3">
        <v>1.0</v>
      </c>
      <c r="D3249" s="3">
        <v>24.0</v>
      </c>
      <c r="E3249" s="2"/>
      <c r="F3249" s="2"/>
      <c r="G3249" s="2"/>
      <c r="H3249" s="2"/>
      <c r="I3249" s="2"/>
      <c r="J3249" s="2"/>
    </row>
    <row r="3250" ht="15.75" customHeight="1">
      <c r="A3250" s="4" t="str">
        <f>HYPERLINK("https://stackoverflow.com/q/54114480", "54114480")</f>
        <v>54114480</v>
      </c>
      <c r="B3250" s="2" t="s">
        <v>3293</v>
      </c>
      <c r="C3250" s="3"/>
      <c r="D3250" s="3">
        <v>24.0</v>
      </c>
      <c r="E3250" s="2" t="s">
        <v>11</v>
      </c>
      <c r="F3250" s="2" t="s">
        <v>67</v>
      </c>
      <c r="G3250" s="2"/>
      <c r="H3250" s="2"/>
      <c r="I3250" s="2"/>
      <c r="J3250" s="2"/>
    </row>
    <row r="3251" ht="15.75" customHeight="1">
      <c r="A3251" s="4" t="str">
        <f>HYPERLINK("https://stackoverflow.com/q/54646038", "54646038")</f>
        <v>54646038</v>
      </c>
      <c r="B3251" s="2" t="s">
        <v>3294</v>
      </c>
      <c r="C3251" s="3"/>
      <c r="D3251" s="3">
        <v>24.0</v>
      </c>
      <c r="E3251" s="2" t="s">
        <v>11</v>
      </c>
      <c r="F3251" s="2" t="s">
        <v>25</v>
      </c>
      <c r="G3251" s="2"/>
      <c r="H3251" s="2"/>
      <c r="I3251" s="2"/>
      <c r="J3251" s="2"/>
    </row>
    <row r="3252" ht="15.75" customHeight="1">
      <c r="A3252" s="4" t="str">
        <f>HYPERLINK("https://stackoverflow.com/q/61282976", "61282976")</f>
        <v>61282976</v>
      </c>
      <c r="B3252" s="2" t="s">
        <v>3295</v>
      </c>
      <c r="C3252" s="3"/>
      <c r="D3252" s="3">
        <v>24.0</v>
      </c>
      <c r="E3252" s="2" t="s">
        <v>11</v>
      </c>
      <c r="F3252" s="2" t="s">
        <v>25</v>
      </c>
      <c r="G3252" s="2"/>
      <c r="H3252" s="2"/>
      <c r="I3252" s="2"/>
      <c r="J3252" s="2"/>
    </row>
    <row r="3253" ht="15.75" customHeight="1">
      <c r="A3253" s="4" t="str">
        <f>HYPERLINK("https://stackoverflow.com/q/61377118", "61377118")</f>
        <v>61377118</v>
      </c>
      <c r="B3253" s="2" t="s">
        <v>3296</v>
      </c>
      <c r="C3253" s="3"/>
      <c r="D3253" s="3">
        <v>24.0</v>
      </c>
      <c r="E3253" s="2" t="s">
        <v>11</v>
      </c>
      <c r="F3253" s="2" t="s">
        <v>67</v>
      </c>
      <c r="G3253" s="2"/>
      <c r="H3253" s="2"/>
      <c r="I3253" s="2"/>
      <c r="J3253" s="2"/>
    </row>
    <row r="3254" ht="15.75" customHeight="1">
      <c r="A3254" s="4" t="str">
        <f>HYPERLINK("https://stackoverflow.com/q/61405883", "61405883")</f>
        <v>61405883</v>
      </c>
      <c r="B3254" s="2" t="s">
        <v>3297</v>
      </c>
      <c r="C3254" s="3"/>
      <c r="D3254" s="3">
        <v>24.0</v>
      </c>
      <c r="E3254" s="2" t="s">
        <v>11</v>
      </c>
      <c r="F3254" s="2" t="s">
        <v>21</v>
      </c>
      <c r="G3254" s="2"/>
      <c r="H3254" s="2"/>
      <c r="I3254" s="2"/>
      <c r="J3254" s="2"/>
    </row>
    <row r="3255" ht="15.75" customHeight="1">
      <c r="A3255" s="4" t="str">
        <f>HYPERLINK("https://stackoverflow.com/q/50018204", "50018204")</f>
        <v>50018204</v>
      </c>
      <c r="B3255" s="2" t="s">
        <v>3298</v>
      </c>
      <c r="C3255" s="3"/>
      <c r="D3255" s="3">
        <v>24.0</v>
      </c>
      <c r="E3255" s="2"/>
      <c r="F3255" s="2"/>
      <c r="G3255" s="2"/>
      <c r="H3255" s="2"/>
      <c r="I3255" s="2"/>
      <c r="J3255" s="2"/>
    </row>
    <row r="3256" ht="15.75" customHeight="1">
      <c r="A3256" s="4" t="str">
        <f>HYPERLINK("https://stackoverflow.com/q/53499572", "53499572")</f>
        <v>53499572</v>
      </c>
      <c r="B3256" s="2" t="s">
        <v>3299</v>
      </c>
      <c r="C3256" s="3"/>
      <c r="D3256" s="3">
        <v>24.0</v>
      </c>
      <c r="E3256" s="2"/>
      <c r="F3256" s="2"/>
      <c r="G3256" s="2"/>
      <c r="H3256" s="2"/>
      <c r="I3256" s="2"/>
      <c r="J3256" s="2"/>
    </row>
    <row r="3257" ht="15.75" customHeight="1">
      <c r="A3257" s="4" t="str">
        <f>HYPERLINK("https://stackoverflow.com/q/56637616", "56637616")</f>
        <v>56637616</v>
      </c>
      <c r="B3257" s="2" t="s">
        <v>3300</v>
      </c>
      <c r="C3257" s="3"/>
      <c r="D3257" s="3">
        <v>24.0</v>
      </c>
      <c r="E3257" s="2"/>
      <c r="F3257" s="2"/>
      <c r="G3257" s="2"/>
      <c r="H3257" s="2"/>
      <c r="I3257" s="2"/>
      <c r="J3257" s="2"/>
    </row>
    <row r="3258" ht="15.75" customHeight="1">
      <c r="A3258" s="4" t="str">
        <f>HYPERLINK("https://stackoverflow.com/q/57185134", "57185134")</f>
        <v>57185134</v>
      </c>
      <c r="B3258" s="2" t="s">
        <v>3301</v>
      </c>
      <c r="C3258" s="3"/>
      <c r="D3258" s="3">
        <v>24.0</v>
      </c>
      <c r="E3258" s="2"/>
      <c r="F3258" s="2"/>
      <c r="G3258" s="2"/>
      <c r="H3258" s="2"/>
      <c r="I3258" s="2"/>
      <c r="J3258" s="2"/>
    </row>
    <row r="3259" ht="15.75" customHeight="1">
      <c r="A3259" s="4" t="str">
        <f>HYPERLINK("https://stackoverflow.com/q/57191507", "57191507")</f>
        <v>57191507</v>
      </c>
      <c r="B3259" s="2" t="s">
        <v>3302</v>
      </c>
      <c r="C3259" s="3"/>
      <c r="D3259" s="3">
        <v>24.0</v>
      </c>
      <c r="E3259" s="2"/>
      <c r="F3259" s="2"/>
      <c r="G3259" s="2"/>
      <c r="H3259" s="2"/>
      <c r="I3259" s="2"/>
      <c r="J3259" s="2"/>
    </row>
    <row r="3260" ht="15.75" customHeight="1">
      <c r="A3260" s="4" t="str">
        <f>HYPERLINK("https://stackoverflow.com/q/57502125", "57502125")</f>
        <v>57502125</v>
      </c>
      <c r="B3260" s="2" t="s">
        <v>3303</v>
      </c>
      <c r="C3260" s="3"/>
      <c r="D3260" s="3">
        <v>24.0</v>
      </c>
      <c r="E3260" s="2"/>
      <c r="F3260" s="2"/>
      <c r="G3260" s="2"/>
      <c r="H3260" s="2"/>
      <c r="I3260" s="2"/>
      <c r="J3260" s="2"/>
    </row>
    <row r="3261" ht="15.75" customHeight="1">
      <c r="A3261" s="4" t="str">
        <f>HYPERLINK("https://stackoverflow.com/q/58511704", "58511704")</f>
        <v>58511704</v>
      </c>
      <c r="B3261" s="2" t="s">
        <v>3304</v>
      </c>
      <c r="C3261" s="3"/>
      <c r="D3261" s="3">
        <v>24.0</v>
      </c>
      <c r="E3261" s="2"/>
      <c r="F3261" s="2"/>
      <c r="G3261" s="2"/>
      <c r="H3261" s="2"/>
      <c r="I3261" s="2"/>
      <c r="J3261" s="2"/>
    </row>
    <row r="3262" ht="15.75" customHeight="1">
      <c r="A3262" s="4" t="str">
        <f>HYPERLINK("https://stackoverflow.com/q/58629272", "58629272")</f>
        <v>58629272</v>
      </c>
      <c r="B3262" s="2" t="s">
        <v>3305</v>
      </c>
      <c r="C3262" s="3"/>
      <c r="D3262" s="3">
        <v>24.0</v>
      </c>
      <c r="E3262" s="2"/>
      <c r="F3262" s="2"/>
      <c r="G3262" s="2"/>
      <c r="H3262" s="2"/>
      <c r="I3262" s="2"/>
      <c r="J3262" s="2"/>
    </row>
    <row r="3263" ht="15.75" customHeight="1">
      <c r="A3263" s="4" t="str">
        <f>HYPERLINK("https://stackoverflow.com/q/58885774", "58885774")</f>
        <v>58885774</v>
      </c>
      <c r="B3263" s="2" t="s">
        <v>3306</v>
      </c>
      <c r="C3263" s="3"/>
      <c r="D3263" s="3">
        <v>24.0</v>
      </c>
      <c r="E3263" s="2"/>
      <c r="F3263" s="2"/>
      <c r="G3263" s="2"/>
      <c r="H3263" s="2"/>
      <c r="I3263" s="2"/>
      <c r="J3263" s="2"/>
    </row>
    <row r="3264" ht="15.75" customHeight="1">
      <c r="A3264" s="4" t="str">
        <f>HYPERLINK("https://stackoverflow.com/q/58940439", "58940439")</f>
        <v>58940439</v>
      </c>
      <c r="B3264" s="2" t="s">
        <v>3307</v>
      </c>
      <c r="C3264" s="3"/>
      <c r="D3264" s="3">
        <v>24.0</v>
      </c>
      <c r="E3264" s="2"/>
      <c r="F3264" s="2"/>
      <c r="G3264" s="2"/>
      <c r="H3264" s="2"/>
      <c r="I3264" s="2"/>
      <c r="J3264" s="2"/>
    </row>
    <row r="3265" ht="15.75" customHeight="1">
      <c r="A3265" s="4" t="str">
        <f>HYPERLINK("https://stackoverflow.com/q/60181728", "60181728")</f>
        <v>60181728</v>
      </c>
      <c r="B3265" s="2" t="s">
        <v>3308</v>
      </c>
      <c r="C3265" s="3"/>
      <c r="D3265" s="3">
        <v>24.0</v>
      </c>
      <c r="E3265" s="2"/>
      <c r="F3265" s="2"/>
      <c r="G3265" s="2"/>
      <c r="H3265" s="2"/>
      <c r="I3265" s="2"/>
      <c r="J3265" s="2"/>
    </row>
    <row r="3266" ht="15.75" customHeight="1">
      <c r="A3266" s="4" t="str">
        <f>HYPERLINK("https://stackoverflow.com/q/60815382", "60815382")</f>
        <v>60815382</v>
      </c>
      <c r="B3266" s="2" t="s">
        <v>3309</v>
      </c>
      <c r="C3266" s="3"/>
      <c r="D3266" s="3">
        <v>24.0</v>
      </c>
      <c r="E3266" s="2"/>
      <c r="F3266" s="2"/>
      <c r="G3266" s="2"/>
      <c r="H3266" s="2"/>
      <c r="I3266" s="2"/>
      <c r="J3266" s="2"/>
    </row>
    <row r="3267" ht="15.75" customHeight="1">
      <c r="A3267" s="4" t="str">
        <f>HYPERLINK("https://stackoverflow.com/q/60849573", "60849573")</f>
        <v>60849573</v>
      </c>
      <c r="B3267" s="2" t="s">
        <v>3310</v>
      </c>
      <c r="C3267" s="3"/>
      <c r="D3267" s="3">
        <v>24.0</v>
      </c>
      <c r="E3267" s="2"/>
      <c r="F3267" s="2"/>
      <c r="G3267" s="2"/>
      <c r="H3267" s="2"/>
      <c r="I3267" s="2"/>
      <c r="J3267" s="2"/>
    </row>
    <row r="3268" ht="15.75" customHeight="1">
      <c r="A3268" s="4" t="str">
        <f>HYPERLINK("https://stackoverflow.com/q/61526756", "61526756")</f>
        <v>61526756</v>
      </c>
      <c r="B3268" s="2" t="s">
        <v>3311</v>
      </c>
      <c r="C3268" s="3"/>
      <c r="D3268" s="3">
        <v>24.0</v>
      </c>
      <c r="E3268" s="2"/>
      <c r="F3268" s="2"/>
      <c r="G3268" s="2"/>
      <c r="H3268" s="2"/>
      <c r="I3268" s="2"/>
      <c r="J3268" s="2"/>
    </row>
    <row r="3269" ht="15.75" customHeight="1">
      <c r="A3269" s="4" t="str">
        <f>HYPERLINK("https://stackoverflow.com/q/61531008", "61531008")</f>
        <v>61531008</v>
      </c>
      <c r="B3269" s="2" t="s">
        <v>3312</v>
      </c>
      <c r="C3269" s="3"/>
      <c r="D3269" s="3">
        <v>24.0</v>
      </c>
      <c r="E3269" s="2"/>
      <c r="F3269" s="2"/>
      <c r="G3269" s="2"/>
      <c r="H3269" s="2"/>
      <c r="I3269" s="2"/>
      <c r="J3269" s="2"/>
    </row>
    <row r="3270" ht="15.75" customHeight="1">
      <c r="A3270" s="4" t="str">
        <f>HYPERLINK("https://stackoverflow.com/q/61632938", "61632938")</f>
        <v>61632938</v>
      </c>
      <c r="B3270" s="2" t="s">
        <v>3313</v>
      </c>
      <c r="C3270" s="3"/>
      <c r="D3270" s="3">
        <v>24.0</v>
      </c>
      <c r="E3270" s="2"/>
      <c r="F3270" s="2"/>
      <c r="G3270" s="2"/>
      <c r="H3270" s="2"/>
      <c r="I3270" s="2"/>
      <c r="J3270" s="2"/>
    </row>
    <row r="3271" ht="15.75" customHeight="1">
      <c r="A3271" s="4" t="str">
        <f>HYPERLINK("https://stackoverflow.com/q/56988325", "56988325")</f>
        <v>56988325</v>
      </c>
      <c r="B3271" s="2" t="s">
        <v>3314</v>
      </c>
      <c r="C3271" s="3">
        <v>1.0</v>
      </c>
      <c r="D3271" s="3">
        <v>23.0</v>
      </c>
      <c r="E3271" s="2"/>
      <c r="F3271" s="2"/>
      <c r="G3271" s="2"/>
      <c r="H3271" s="2"/>
      <c r="I3271" s="2"/>
      <c r="J3271" s="2"/>
    </row>
    <row r="3272" ht="15.75" customHeight="1">
      <c r="A3272" s="4" t="str">
        <f>HYPERLINK("https://stackoverflow.com/q/47628734", "47628734")</f>
        <v>47628734</v>
      </c>
      <c r="B3272" s="2" t="s">
        <v>3315</v>
      </c>
      <c r="C3272" s="3"/>
      <c r="D3272" s="3">
        <v>23.0</v>
      </c>
      <c r="E3272" s="2" t="s">
        <v>11</v>
      </c>
      <c r="F3272" s="2" t="s">
        <v>49</v>
      </c>
      <c r="G3272" s="2"/>
      <c r="H3272" s="2"/>
      <c r="I3272" s="2"/>
      <c r="J3272" s="2"/>
    </row>
    <row r="3273" ht="15.75" customHeight="1">
      <c r="A3273" s="4" t="str">
        <f>HYPERLINK("https://stackoverflow.com/q/61734680", "61734680")</f>
        <v>61734680</v>
      </c>
      <c r="B3273" s="2" t="s">
        <v>3316</v>
      </c>
      <c r="C3273" s="3"/>
      <c r="D3273" s="3">
        <v>23.0</v>
      </c>
      <c r="E3273" s="2" t="s">
        <v>11</v>
      </c>
      <c r="F3273" s="2" t="s">
        <v>263</v>
      </c>
      <c r="G3273" s="2"/>
      <c r="H3273" s="2"/>
      <c r="I3273" s="2"/>
      <c r="J3273" s="2"/>
    </row>
    <row r="3274" ht="15.75" customHeight="1">
      <c r="A3274" s="4" t="str">
        <f>HYPERLINK("https://stackoverflow.com/q/61782655", "61782655")</f>
        <v>61782655</v>
      </c>
      <c r="B3274" s="2" t="s">
        <v>3317</v>
      </c>
      <c r="C3274" s="3"/>
      <c r="D3274" s="3">
        <v>23.0</v>
      </c>
      <c r="E3274" s="2" t="s">
        <v>11</v>
      </c>
      <c r="F3274" s="2" t="s">
        <v>25</v>
      </c>
      <c r="G3274" s="2"/>
      <c r="H3274" s="2"/>
      <c r="I3274" s="2"/>
      <c r="J3274" s="2"/>
    </row>
    <row r="3275" ht="15.75" customHeight="1">
      <c r="A3275" s="4" t="str">
        <f>HYPERLINK("https://stackoverflow.com/q/54161244", "54161244")</f>
        <v>54161244</v>
      </c>
      <c r="B3275" s="2" t="s">
        <v>3318</v>
      </c>
      <c r="C3275" s="3"/>
      <c r="D3275" s="3">
        <v>23.0</v>
      </c>
      <c r="E3275" s="2" t="s">
        <v>86</v>
      </c>
      <c r="F3275" s="2" t="s">
        <v>272</v>
      </c>
      <c r="G3275" s="2"/>
      <c r="H3275" s="2"/>
      <c r="I3275" s="2"/>
      <c r="J3275" s="2"/>
    </row>
    <row r="3276" ht="15.75" customHeight="1">
      <c r="A3276" s="4" t="str">
        <f>HYPERLINK("https://stackoverflow.com/q/44551967", "44551967")</f>
        <v>44551967</v>
      </c>
      <c r="B3276" s="2" t="s">
        <v>3319</v>
      </c>
      <c r="C3276" s="3"/>
      <c r="D3276" s="3">
        <v>23.0</v>
      </c>
      <c r="E3276" s="2"/>
      <c r="F3276" s="2"/>
      <c r="G3276" s="2"/>
      <c r="H3276" s="2"/>
      <c r="I3276" s="2"/>
      <c r="J3276" s="2"/>
    </row>
    <row r="3277" ht="15.75" customHeight="1">
      <c r="A3277" s="4" t="str">
        <f>HYPERLINK("https://stackoverflow.com/q/53698558", "53698558")</f>
        <v>53698558</v>
      </c>
      <c r="B3277" s="2" t="s">
        <v>3320</v>
      </c>
      <c r="C3277" s="3"/>
      <c r="D3277" s="3">
        <v>23.0</v>
      </c>
      <c r="E3277" s="2"/>
      <c r="F3277" s="2"/>
      <c r="G3277" s="2"/>
      <c r="H3277" s="2"/>
      <c r="I3277" s="2"/>
      <c r="J3277" s="2"/>
    </row>
    <row r="3278" ht="15.75" customHeight="1">
      <c r="A3278" s="4" t="str">
        <f>HYPERLINK("https://stackoverflow.com/q/56650002", "56650002")</f>
        <v>56650002</v>
      </c>
      <c r="B3278" s="2" t="s">
        <v>3321</v>
      </c>
      <c r="C3278" s="3"/>
      <c r="D3278" s="3">
        <v>23.0</v>
      </c>
      <c r="E3278" s="2"/>
      <c r="F3278" s="2"/>
      <c r="G3278" s="2"/>
      <c r="H3278" s="2"/>
      <c r="I3278" s="2"/>
      <c r="J3278" s="2"/>
    </row>
    <row r="3279" ht="15.75" customHeight="1">
      <c r="A3279" s="4" t="str">
        <f>HYPERLINK("https://stackoverflow.com/q/56701895", "56701895")</f>
        <v>56701895</v>
      </c>
      <c r="B3279" s="2" t="s">
        <v>3322</v>
      </c>
      <c r="C3279" s="3"/>
      <c r="D3279" s="3">
        <v>23.0</v>
      </c>
      <c r="E3279" s="2"/>
      <c r="F3279" s="2"/>
      <c r="G3279" s="2"/>
      <c r="H3279" s="2"/>
      <c r="I3279" s="2"/>
      <c r="J3279" s="2"/>
    </row>
    <row r="3280" ht="15.75" customHeight="1">
      <c r="A3280" s="4" t="str">
        <f>HYPERLINK("https://stackoverflow.com/q/57775673", "57775673")</f>
        <v>57775673</v>
      </c>
      <c r="B3280" s="2" t="s">
        <v>3323</v>
      </c>
      <c r="C3280" s="3"/>
      <c r="D3280" s="3">
        <v>23.0</v>
      </c>
      <c r="E3280" s="2"/>
      <c r="F3280" s="2"/>
      <c r="G3280" s="2"/>
      <c r="H3280" s="2"/>
      <c r="I3280" s="2"/>
      <c r="J3280" s="2"/>
    </row>
    <row r="3281" ht="15.75" customHeight="1">
      <c r="A3281" s="4" t="str">
        <f>HYPERLINK("https://stackoverflow.com/q/57825080", "57825080")</f>
        <v>57825080</v>
      </c>
      <c r="B3281" s="2" t="s">
        <v>3324</v>
      </c>
      <c r="C3281" s="3"/>
      <c r="D3281" s="3">
        <v>23.0</v>
      </c>
      <c r="E3281" s="2"/>
      <c r="F3281" s="2"/>
      <c r="G3281" s="2"/>
      <c r="H3281" s="2"/>
      <c r="I3281" s="2"/>
      <c r="J3281" s="2"/>
    </row>
    <row r="3282" ht="15.75" customHeight="1">
      <c r="A3282" s="4" t="str">
        <f>HYPERLINK("https://stackoverflow.com/q/58316719", "58316719")</f>
        <v>58316719</v>
      </c>
      <c r="B3282" s="2" t="s">
        <v>3325</v>
      </c>
      <c r="C3282" s="3"/>
      <c r="D3282" s="3">
        <v>23.0</v>
      </c>
      <c r="E3282" s="2"/>
      <c r="F3282" s="2"/>
      <c r="G3282" s="2"/>
      <c r="H3282" s="2"/>
      <c r="I3282" s="2"/>
      <c r="J3282" s="2"/>
    </row>
    <row r="3283" ht="15.75" customHeight="1">
      <c r="A3283" s="4" t="str">
        <f>HYPERLINK("https://stackoverflow.com/q/58432441", "58432441")</f>
        <v>58432441</v>
      </c>
      <c r="B3283" s="2" t="s">
        <v>3326</v>
      </c>
      <c r="C3283" s="3"/>
      <c r="D3283" s="3">
        <v>23.0</v>
      </c>
      <c r="E3283" s="2"/>
      <c r="F3283" s="2"/>
      <c r="G3283" s="2"/>
      <c r="H3283" s="2"/>
      <c r="I3283" s="2"/>
      <c r="J3283" s="2"/>
    </row>
    <row r="3284" ht="15.75" customHeight="1">
      <c r="A3284" s="4" t="str">
        <f>HYPERLINK("https://stackoverflow.com/q/58703729", "58703729")</f>
        <v>58703729</v>
      </c>
      <c r="B3284" s="2" t="s">
        <v>3327</v>
      </c>
      <c r="C3284" s="3"/>
      <c r="D3284" s="3">
        <v>23.0</v>
      </c>
      <c r="E3284" s="2"/>
      <c r="F3284" s="2"/>
      <c r="G3284" s="2"/>
      <c r="H3284" s="2"/>
      <c r="I3284" s="2"/>
      <c r="J3284" s="2"/>
    </row>
    <row r="3285" ht="15.75" customHeight="1">
      <c r="A3285" s="4" t="str">
        <f>HYPERLINK("https://stackoverflow.com/q/58819021", "58819021")</f>
        <v>58819021</v>
      </c>
      <c r="B3285" s="2" t="s">
        <v>3328</v>
      </c>
      <c r="C3285" s="3"/>
      <c r="D3285" s="3">
        <v>23.0</v>
      </c>
      <c r="E3285" s="2"/>
      <c r="F3285" s="2"/>
      <c r="G3285" s="2"/>
      <c r="H3285" s="2"/>
      <c r="I3285" s="2"/>
      <c r="J3285" s="2"/>
    </row>
    <row r="3286" ht="15.75" customHeight="1">
      <c r="A3286" s="4" t="str">
        <f>HYPERLINK("https://stackoverflow.com/q/58822568", "58822568")</f>
        <v>58822568</v>
      </c>
      <c r="B3286" s="2" t="s">
        <v>3329</v>
      </c>
      <c r="C3286" s="3"/>
      <c r="D3286" s="3">
        <v>23.0</v>
      </c>
      <c r="E3286" s="2"/>
      <c r="F3286" s="2"/>
      <c r="G3286" s="2"/>
      <c r="H3286" s="2"/>
      <c r="I3286" s="2"/>
      <c r="J3286" s="2"/>
    </row>
    <row r="3287" ht="15.75" customHeight="1">
      <c r="A3287" s="4" t="str">
        <f>HYPERLINK("https://stackoverflow.com/q/59146323", "59146323")</f>
        <v>59146323</v>
      </c>
      <c r="B3287" s="2" t="s">
        <v>3330</v>
      </c>
      <c r="C3287" s="3"/>
      <c r="D3287" s="3">
        <v>23.0</v>
      </c>
      <c r="E3287" s="2"/>
      <c r="F3287" s="2"/>
      <c r="G3287" s="2"/>
      <c r="H3287" s="2"/>
      <c r="I3287" s="2"/>
      <c r="J3287" s="2"/>
    </row>
    <row r="3288" ht="15.75" customHeight="1">
      <c r="A3288" s="4" t="str">
        <f>HYPERLINK("https://stackoverflow.com/q/59306454", "59306454")</f>
        <v>59306454</v>
      </c>
      <c r="B3288" s="2" t="s">
        <v>3331</v>
      </c>
      <c r="C3288" s="3"/>
      <c r="D3288" s="3">
        <v>23.0</v>
      </c>
      <c r="E3288" s="2"/>
      <c r="F3288" s="2"/>
      <c r="G3288" s="2"/>
      <c r="H3288" s="2"/>
      <c r="I3288" s="2"/>
      <c r="J3288" s="2"/>
    </row>
    <row r="3289" ht="15.75" customHeight="1">
      <c r="A3289" s="4" t="str">
        <f>HYPERLINK("https://stackoverflow.com/q/59464598", "59464598")</f>
        <v>59464598</v>
      </c>
      <c r="B3289" s="2" t="s">
        <v>3332</v>
      </c>
      <c r="C3289" s="3"/>
      <c r="D3289" s="3">
        <v>23.0</v>
      </c>
      <c r="E3289" s="2"/>
      <c r="F3289" s="2"/>
      <c r="G3289" s="2"/>
      <c r="H3289" s="2"/>
      <c r="I3289" s="2"/>
      <c r="J3289" s="2"/>
    </row>
    <row r="3290" ht="15.75" customHeight="1">
      <c r="A3290" s="4" t="str">
        <f>HYPERLINK("https://stackoverflow.com/q/59648614", "59648614")</f>
        <v>59648614</v>
      </c>
      <c r="B3290" s="2" t="s">
        <v>3333</v>
      </c>
      <c r="C3290" s="3"/>
      <c r="D3290" s="3">
        <v>23.0</v>
      </c>
      <c r="E3290" s="2"/>
      <c r="F3290" s="2"/>
      <c r="G3290" s="2"/>
      <c r="H3290" s="2"/>
      <c r="I3290" s="2"/>
      <c r="J3290" s="2"/>
    </row>
    <row r="3291" ht="15.75" customHeight="1">
      <c r="A3291" s="4" t="str">
        <f>HYPERLINK("https://stackoverflow.com/q/60211732", "60211732")</f>
        <v>60211732</v>
      </c>
      <c r="B3291" s="2" t="s">
        <v>3334</v>
      </c>
      <c r="C3291" s="3"/>
      <c r="D3291" s="3">
        <v>23.0</v>
      </c>
      <c r="E3291" s="2"/>
      <c r="F3291" s="2"/>
      <c r="G3291" s="2"/>
      <c r="H3291" s="2"/>
      <c r="I3291" s="2"/>
      <c r="J3291" s="2"/>
    </row>
    <row r="3292" ht="15.75" customHeight="1">
      <c r="A3292" s="4" t="str">
        <f>HYPERLINK("https://stackoverflow.com/q/60589214", "60589214")</f>
        <v>60589214</v>
      </c>
      <c r="B3292" s="2" t="s">
        <v>3335</v>
      </c>
      <c r="C3292" s="3"/>
      <c r="D3292" s="3">
        <v>23.0</v>
      </c>
      <c r="E3292" s="2"/>
      <c r="F3292" s="2"/>
      <c r="G3292" s="2"/>
      <c r="H3292" s="2"/>
      <c r="I3292" s="2"/>
      <c r="J3292" s="2"/>
    </row>
    <row r="3293" ht="15.75" customHeight="1">
      <c r="A3293" s="4" t="str">
        <f>HYPERLINK("https://stackoverflow.com/q/60887200", "60887200")</f>
        <v>60887200</v>
      </c>
      <c r="B3293" s="2" t="s">
        <v>3336</v>
      </c>
      <c r="C3293" s="3"/>
      <c r="D3293" s="3">
        <v>23.0</v>
      </c>
      <c r="E3293" s="2"/>
      <c r="F3293" s="2"/>
      <c r="G3293" s="2"/>
      <c r="H3293" s="2"/>
      <c r="I3293" s="2"/>
      <c r="J3293" s="2"/>
    </row>
    <row r="3294" ht="15.75" customHeight="1">
      <c r="A3294" s="4" t="str">
        <f>HYPERLINK("https://stackoverflow.com/q/61824996", "61824996")</f>
        <v>61824996</v>
      </c>
      <c r="B3294" s="2" t="s">
        <v>3337</v>
      </c>
      <c r="C3294" s="3">
        <v>1.0</v>
      </c>
      <c r="D3294" s="3">
        <v>22.0</v>
      </c>
      <c r="E3294" s="2" t="s">
        <v>11</v>
      </c>
      <c r="F3294" s="2" t="s">
        <v>14</v>
      </c>
      <c r="G3294" s="2"/>
      <c r="H3294" s="2"/>
      <c r="I3294" s="2"/>
      <c r="J3294" s="2"/>
    </row>
    <row r="3295" ht="15.75" customHeight="1">
      <c r="A3295" s="4" t="str">
        <f>HYPERLINK("https://stackoverflow.com/q/59979487", "59979487")</f>
        <v>59979487</v>
      </c>
      <c r="B3295" s="2" t="s">
        <v>3338</v>
      </c>
      <c r="C3295" s="3">
        <v>1.0</v>
      </c>
      <c r="D3295" s="3">
        <v>22.0</v>
      </c>
      <c r="E3295" s="2"/>
      <c r="F3295" s="2"/>
      <c r="G3295" s="2"/>
      <c r="H3295" s="2"/>
      <c r="I3295" s="2"/>
      <c r="J3295" s="2"/>
    </row>
    <row r="3296" ht="15.75" customHeight="1">
      <c r="A3296" s="4" t="str">
        <f>HYPERLINK("https://stackoverflow.com/q/60811100", "60811100")</f>
        <v>60811100</v>
      </c>
      <c r="B3296" s="2" t="s">
        <v>3339</v>
      </c>
      <c r="C3296" s="3">
        <v>0.0</v>
      </c>
      <c r="D3296" s="3">
        <v>22.0</v>
      </c>
      <c r="E3296" s="2"/>
      <c r="F3296" s="2"/>
      <c r="G3296" s="2"/>
      <c r="H3296" s="2"/>
      <c r="I3296" s="2"/>
      <c r="J3296" s="2"/>
    </row>
    <row r="3297" ht="15.75" customHeight="1">
      <c r="A3297" s="4" t="str">
        <f>HYPERLINK("https://stackoverflow.com/q/42658036", "42658036")</f>
        <v>42658036</v>
      </c>
      <c r="B3297" s="2" t="s">
        <v>3340</v>
      </c>
      <c r="C3297" s="3"/>
      <c r="D3297" s="3">
        <v>22.0</v>
      </c>
      <c r="E3297" s="2" t="s">
        <v>11</v>
      </c>
      <c r="F3297" s="2" t="s">
        <v>25</v>
      </c>
      <c r="G3297" s="2"/>
      <c r="H3297" s="2"/>
      <c r="I3297" s="2"/>
      <c r="J3297" s="2"/>
    </row>
    <row r="3298" ht="15.75" customHeight="1">
      <c r="A3298" s="4" t="str">
        <f>HYPERLINK("https://stackoverflow.com/q/61204978", "61204978")</f>
        <v>61204978</v>
      </c>
      <c r="B3298" s="2" t="s">
        <v>3341</v>
      </c>
      <c r="C3298" s="3"/>
      <c r="D3298" s="3">
        <v>22.0</v>
      </c>
      <c r="E3298" s="2" t="s">
        <v>11</v>
      </c>
      <c r="F3298" s="2" t="s">
        <v>12</v>
      </c>
      <c r="G3298" s="2"/>
      <c r="H3298" s="2"/>
      <c r="I3298" s="2"/>
      <c r="J3298" s="2"/>
    </row>
    <row r="3299" ht="15.75" customHeight="1">
      <c r="A3299" s="4" t="str">
        <f>HYPERLINK("https://stackoverflow.com/q/61647756", "61647756")</f>
        <v>61647756</v>
      </c>
      <c r="B3299" s="2" t="s">
        <v>3342</v>
      </c>
      <c r="C3299" s="3"/>
      <c r="D3299" s="3">
        <v>22.0</v>
      </c>
      <c r="E3299" s="2" t="s">
        <v>11</v>
      </c>
      <c r="F3299" s="2" t="s">
        <v>25</v>
      </c>
      <c r="G3299" s="2"/>
      <c r="H3299" s="2"/>
      <c r="I3299" s="2"/>
      <c r="J3299" s="2"/>
    </row>
    <row r="3300" ht="15.75" customHeight="1">
      <c r="A3300" s="4" t="str">
        <f>HYPERLINK("https://stackoverflow.com/q/61842832", "61842832")</f>
        <v>61842832</v>
      </c>
      <c r="B3300" s="2" t="s">
        <v>3343</v>
      </c>
      <c r="C3300" s="3"/>
      <c r="D3300" s="3">
        <v>22.0</v>
      </c>
      <c r="E3300" s="2" t="s">
        <v>11</v>
      </c>
      <c r="F3300" s="2" t="s">
        <v>263</v>
      </c>
      <c r="G3300" s="2"/>
      <c r="H3300" s="2"/>
      <c r="I3300" s="2"/>
      <c r="J3300" s="2"/>
    </row>
    <row r="3301" ht="15.75" customHeight="1">
      <c r="A3301" s="4" t="str">
        <f>HYPERLINK("https://stackoverflow.com/q/56860662", "56860662")</f>
        <v>56860662</v>
      </c>
      <c r="B3301" s="2" t="s">
        <v>3344</v>
      </c>
      <c r="C3301" s="3"/>
      <c r="D3301" s="3">
        <v>22.0</v>
      </c>
      <c r="E3301" s="2"/>
      <c r="F3301" s="2"/>
      <c r="G3301" s="2"/>
      <c r="H3301" s="2"/>
      <c r="I3301" s="2"/>
      <c r="J3301" s="2"/>
    </row>
    <row r="3302" ht="15.75" customHeight="1">
      <c r="A3302" s="4" t="str">
        <f>HYPERLINK("https://stackoverflow.com/q/57172082", "57172082")</f>
        <v>57172082</v>
      </c>
      <c r="B3302" s="2" t="s">
        <v>3345</v>
      </c>
      <c r="C3302" s="3"/>
      <c r="D3302" s="3">
        <v>22.0</v>
      </c>
      <c r="E3302" s="2"/>
      <c r="F3302" s="2"/>
      <c r="G3302" s="2"/>
      <c r="H3302" s="2"/>
      <c r="I3302" s="2"/>
      <c r="J3302" s="2"/>
    </row>
    <row r="3303" ht="15.75" customHeight="1">
      <c r="A3303" s="4" t="str">
        <f>HYPERLINK("https://stackoverflow.com/q/57205735", "57205735")</f>
        <v>57205735</v>
      </c>
      <c r="B3303" s="2" t="s">
        <v>3346</v>
      </c>
      <c r="C3303" s="3"/>
      <c r="D3303" s="3">
        <v>22.0</v>
      </c>
      <c r="E3303" s="2"/>
      <c r="F3303" s="2"/>
      <c r="G3303" s="2"/>
      <c r="H3303" s="2"/>
      <c r="I3303" s="2"/>
      <c r="J3303" s="2"/>
    </row>
    <row r="3304" ht="15.75" customHeight="1">
      <c r="A3304" s="4" t="str">
        <f>HYPERLINK("https://stackoverflow.com/q/58148729", "58148729")</f>
        <v>58148729</v>
      </c>
      <c r="B3304" s="2" t="s">
        <v>3347</v>
      </c>
      <c r="C3304" s="3"/>
      <c r="D3304" s="3">
        <v>22.0</v>
      </c>
      <c r="E3304" s="2"/>
      <c r="F3304" s="2"/>
      <c r="G3304" s="2"/>
      <c r="H3304" s="2"/>
      <c r="I3304" s="2"/>
      <c r="J3304" s="2"/>
    </row>
    <row r="3305" ht="15.75" customHeight="1">
      <c r="A3305" s="4" t="str">
        <f>HYPERLINK("https://stackoverflow.com/q/59110327", "59110327")</f>
        <v>59110327</v>
      </c>
      <c r="B3305" s="2" t="s">
        <v>3348</v>
      </c>
      <c r="C3305" s="3"/>
      <c r="D3305" s="3">
        <v>22.0</v>
      </c>
      <c r="E3305" s="2"/>
      <c r="F3305" s="2"/>
      <c r="G3305" s="2"/>
      <c r="H3305" s="2"/>
      <c r="I3305" s="2"/>
      <c r="J3305" s="2"/>
    </row>
    <row r="3306" ht="15.75" customHeight="1">
      <c r="A3306" s="4" t="str">
        <f>HYPERLINK("https://stackoverflow.com/q/59182574", "59182574")</f>
        <v>59182574</v>
      </c>
      <c r="B3306" s="2" t="s">
        <v>3349</v>
      </c>
      <c r="C3306" s="3"/>
      <c r="D3306" s="3">
        <v>22.0</v>
      </c>
      <c r="E3306" s="2"/>
      <c r="F3306" s="2"/>
      <c r="G3306" s="2"/>
      <c r="H3306" s="2"/>
      <c r="I3306" s="2"/>
      <c r="J3306" s="2"/>
    </row>
    <row r="3307" ht="15.75" customHeight="1">
      <c r="A3307" s="4" t="str">
        <f>HYPERLINK("https://stackoverflow.com/q/59223342", "59223342")</f>
        <v>59223342</v>
      </c>
      <c r="B3307" s="2" t="s">
        <v>3350</v>
      </c>
      <c r="C3307" s="3"/>
      <c r="D3307" s="3">
        <v>22.0</v>
      </c>
      <c r="E3307" s="2"/>
      <c r="F3307" s="2"/>
      <c r="G3307" s="2"/>
      <c r="H3307" s="2"/>
      <c r="I3307" s="2"/>
      <c r="J3307" s="2"/>
    </row>
    <row r="3308" ht="15.75" customHeight="1">
      <c r="A3308" s="4" t="str">
        <f>HYPERLINK("https://stackoverflow.com/q/59709217", "59709217")</f>
        <v>59709217</v>
      </c>
      <c r="B3308" s="2" t="s">
        <v>3351</v>
      </c>
      <c r="C3308" s="3"/>
      <c r="D3308" s="3">
        <v>22.0</v>
      </c>
      <c r="E3308" s="2"/>
      <c r="F3308" s="2"/>
      <c r="G3308" s="2"/>
      <c r="H3308" s="2"/>
      <c r="I3308" s="2"/>
      <c r="J3308" s="2"/>
    </row>
    <row r="3309" ht="15.75" customHeight="1">
      <c r="A3309" s="4" t="str">
        <f>HYPERLINK("https://stackoverflow.com/q/60088723", "60088723")</f>
        <v>60088723</v>
      </c>
      <c r="B3309" s="2" t="s">
        <v>3352</v>
      </c>
      <c r="C3309" s="3"/>
      <c r="D3309" s="3">
        <v>22.0</v>
      </c>
      <c r="E3309" s="2"/>
      <c r="F3309" s="2"/>
      <c r="G3309" s="2"/>
      <c r="H3309" s="2"/>
      <c r="I3309" s="2"/>
      <c r="J3309" s="2"/>
    </row>
    <row r="3310" ht="15.75" customHeight="1">
      <c r="A3310" s="4" t="str">
        <f>HYPERLINK("https://stackoverflow.com/q/60389290", "60389290")</f>
        <v>60389290</v>
      </c>
      <c r="B3310" s="2" t="s">
        <v>3353</v>
      </c>
      <c r="C3310" s="3"/>
      <c r="D3310" s="3">
        <v>22.0</v>
      </c>
      <c r="E3310" s="2"/>
      <c r="F3310" s="2"/>
      <c r="G3310" s="2"/>
      <c r="H3310" s="2"/>
      <c r="I3310" s="2"/>
      <c r="J3310" s="2"/>
    </row>
    <row r="3311" ht="15.75" customHeight="1">
      <c r="A3311" s="4" t="str">
        <f>HYPERLINK("https://stackoverflow.com/q/55075917", "55075917")</f>
        <v>55075917</v>
      </c>
      <c r="B3311" s="2" t="s">
        <v>3354</v>
      </c>
      <c r="C3311" s="3"/>
      <c r="D3311" s="3">
        <v>21.0</v>
      </c>
      <c r="E3311" s="9" t="s">
        <v>11</v>
      </c>
      <c r="F3311" s="2" t="s">
        <v>18</v>
      </c>
      <c r="G3311" s="2"/>
      <c r="H3311" s="2"/>
      <c r="I3311" s="2"/>
      <c r="J3311" s="2"/>
    </row>
    <row r="3312" ht="15.75" customHeight="1">
      <c r="A3312" s="4" t="str">
        <f>HYPERLINK("https://stackoverflow.com/q/61238595", "61238595")</f>
        <v>61238595</v>
      </c>
      <c r="B3312" s="2" t="s">
        <v>3355</v>
      </c>
      <c r="C3312" s="3"/>
      <c r="D3312" s="3">
        <v>21.0</v>
      </c>
      <c r="E3312" s="2" t="s">
        <v>11</v>
      </c>
      <c r="F3312" s="2" t="s">
        <v>12</v>
      </c>
      <c r="G3312" s="2"/>
      <c r="H3312" s="2"/>
      <c r="I3312" s="2"/>
      <c r="J3312" s="2"/>
    </row>
    <row r="3313" ht="15.75" customHeight="1">
      <c r="A3313" s="4" t="str">
        <f>HYPERLINK("https://stackoverflow.com/q/61641793", "61641793")</f>
        <v>61641793</v>
      </c>
      <c r="B3313" s="2" t="s">
        <v>3356</v>
      </c>
      <c r="C3313" s="3"/>
      <c r="D3313" s="3">
        <v>21.0</v>
      </c>
      <c r="E3313" s="2" t="s">
        <v>11</v>
      </c>
      <c r="F3313" s="2" t="s">
        <v>56</v>
      </c>
      <c r="G3313" s="2"/>
      <c r="H3313" s="2"/>
      <c r="I3313" s="2"/>
      <c r="J3313" s="2"/>
    </row>
    <row r="3314" ht="15.75" customHeight="1">
      <c r="A3314" s="4" t="str">
        <f>HYPERLINK("https://stackoverflow.com/q/34881746", "34881746")</f>
        <v>34881746</v>
      </c>
      <c r="B3314" s="2" t="s">
        <v>3357</v>
      </c>
      <c r="C3314" s="3"/>
      <c r="D3314" s="3">
        <v>21.0</v>
      </c>
      <c r="E3314" s="2"/>
      <c r="F3314" s="2"/>
      <c r="G3314" s="2"/>
      <c r="H3314" s="2"/>
      <c r="I3314" s="2"/>
      <c r="J3314" s="2"/>
    </row>
    <row r="3315" ht="15.75" customHeight="1">
      <c r="A3315" s="4" t="str">
        <f>HYPERLINK("https://stackoverflow.com/q/56538252", "56538252")</f>
        <v>56538252</v>
      </c>
      <c r="B3315" s="2" t="s">
        <v>3358</v>
      </c>
      <c r="C3315" s="3"/>
      <c r="D3315" s="3">
        <v>21.0</v>
      </c>
      <c r="E3315" s="2"/>
      <c r="F3315" s="2"/>
      <c r="G3315" s="2"/>
      <c r="H3315" s="2"/>
      <c r="I3315" s="2"/>
      <c r="J3315" s="2"/>
    </row>
    <row r="3316" ht="15.75" customHeight="1">
      <c r="A3316" s="4" t="str">
        <f>HYPERLINK("https://stackoverflow.com/q/58264615", "58264615")</f>
        <v>58264615</v>
      </c>
      <c r="B3316" s="2" t="s">
        <v>3359</v>
      </c>
      <c r="C3316" s="3"/>
      <c r="D3316" s="3">
        <v>21.0</v>
      </c>
      <c r="E3316" s="2"/>
      <c r="F3316" s="2"/>
      <c r="G3316" s="2"/>
      <c r="H3316" s="2"/>
      <c r="I3316" s="2"/>
      <c r="J3316" s="2"/>
    </row>
    <row r="3317" ht="15.75" customHeight="1">
      <c r="A3317" s="4" t="str">
        <f>HYPERLINK("https://stackoverflow.com/q/59638262", "59638262")</f>
        <v>59638262</v>
      </c>
      <c r="B3317" s="2" t="s">
        <v>3360</v>
      </c>
      <c r="C3317" s="3"/>
      <c r="D3317" s="3">
        <v>21.0</v>
      </c>
      <c r="E3317" s="2"/>
      <c r="F3317" s="2"/>
      <c r="G3317" s="2"/>
      <c r="H3317" s="2"/>
      <c r="I3317" s="2"/>
      <c r="J3317" s="2"/>
    </row>
    <row r="3318" ht="15.75" customHeight="1">
      <c r="A3318" s="4" t="str">
        <f>HYPERLINK("https://stackoverflow.com/q/59875146", "59875146")</f>
        <v>59875146</v>
      </c>
      <c r="B3318" s="2" t="s">
        <v>3361</v>
      </c>
      <c r="C3318" s="3"/>
      <c r="D3318" s="3">
        <v>21.0</v>
      </c>
      <c r="E3318" s="2"/>
      <c r="F3318" s="2"/>
      <c r="G3318" s="2"/>
      <c r="H3318" s="2"/>
      <c r="I3318" s="2"/>
      <c r="J3318" s="2"/>
    </row>
    <row r="3319" ht="15.75" customHeight="1">
      <c r="A3319" s="4" t="str">
        <f>HYPERLINK("https://stackoverflow.com/q/60407965", "60407965")</f>
        <v>60407965</v>
      </c>
      <c r="B3319" s="2" t="s">
        <v>3362</v>
      </c>
      <c r="C3319" s="3"/>
      <c r="D3319" s="3">
        <v>21.0</v>
      </c>
      <c r="E3319" s="2"/>
      <c r="F3319" s="2"/>
      <c r="G3319" s="2"/>
      <c r="H3319" s="2"/>
      <c r="I3319" s="2"/>
      <c r="J3319" s="2"/>
    </row>
    <row r="3320" ht="15.75" customHeight="1">
      <c r="A3320" s="4" t="str">
        <f>HYPERLINK("https://stackoverflow.com/q/60428312", "60428312")</f>
        <v>60428312</v>
      </c>
      <c r="B3320" s="2" t="s">
        <v>3363</v>
      </c>
      <c r="C3320" s="3"/>
      <c r="D3320" s="3">
        <v>21.0</v>
      </c>
      <c r="E3320" s="2"/>
      <c r="F3320" s="2"/>
      <c r="G3320" s="2"/>
      <c r="H3320" s="2"/>
      <c r="I3320" s="2"/>
      <c r="J3320" s="2"/>
    </row>
    <row r="3321" ht="15.75" customHeight="1">
      <c r="A3321" s="4" t="str">
        <f>HYPERLINK("https://stackoverflow.com/q/60445843", "60445843")</f>
        <v>60445843</v>
      </c>
      <c r="B3321" s="2" t="s">
        <v>3364</v>
      </c>
      <c r="C3321" s="3"/>
      <c r="D3321" s="3">
        <v>21.0</v>
      </c>
      <c r="E3321" s="2"/>
      <c r="F3321" s="2"/>
      <c r="G3321" s="2"/>
      <c r="H3321" s="2"/>
      <c r="I3321" s="2"/>
      <c r="J3321" s="2"/>
    </row>
    <row r="3322" ht="15.75" customHeight="1">
      <c r="A3322" s="4" t="str">
        <f>HYPERLINK("https://stackoverflow.com/q/61014391", "61014391")</f>
        <v>61014391</v>
      </c>
      <c r="B3322" s="2" t="s">
        <v>3365</v>
      </c>
      <c r="C3322" s="3"/>
      <c r="D3322" s="3">
        <v>21.0</v>
      </c>
      <c r="E3322" s="2"/>
      <c r="F3322" s="2"/>
      <c r="G3322" s="2"/>
      <c r="H3322" s="2"/>
      <c r="I3322" s="2"/>
      <c r="J3322" s="2"/>
    </row>
    <row r="3323" ht="15.75" customHeight="1">
      <c r="A3323" s="4" t="str">
        <f>HYPERLINK("https://stackoverflow.com/q/61509970", "61509970")</f>
        <v>61509970</v>
      </c>
      <c r="B3323" s="2" t="s">
        <v>3366</v>
      </c>
      <c r="C3323" s="3"/>
      <c r="D3323" s="3">
        <v>21.0</v>
      </c>
      <c r="E3323" s="2"/>
      <c r="F3323" s="2"/>
      <c r="G3323" s="2"/>
      <c r="H3323" s="2"/>
      <c r="I3323" s="2"/>
      <c r="J3323" s="2"/>
    </row>
    <row r="3324" ht="15.75" customHeight="1">
      <c r="A3324" s="4" t="str">
        <f>HYPERLINK("https://stackoverflow.com/q/59625496", "59625496")</f>
        <v>59625496</v>
      </c>
      <c r="B3324" s="2" t="s">
        <v>3367</v>
      </c>
      <c r="C3324" s="3">
        <v>1.0</v>
      </c>
      <c r="D3324" s="3">
        <v>20.0</v>
      </c>
      <c r="E3324" s="2"/>
      <c r="F3324" s="2"/>
      <c r="G3324" s="2"/>
      <c r="H3324" s="2"/>
      <c r="I3324" s="2"/>
      <c r="J3324" s="2"/>
    </row>
    <row r="3325" ht="15.75" customHeight="1">
      <c r="A3325" s="4" t="str">
        <f>HYPERLINK("https://stackoverflow.com/q/61378839", "61378839")</f>
        <v>61378839</v>
      </c>
      <c r="B3325" s="2" t="s">
        <v>3368</v>
      </c>
      <c r="C3325" s="3"/>
      <c r="D3325" s="3">
        <v>20.0</v>
      </c>
      <c r="E3325" s="2" t="s">
        <v>11</v>
      </c>
      <c r="F3325" s="2" t="s">
        <v>56</v>
      </c>
      <c r="G3325" s="2"/>
      <c r="H3325" s="2"/>
      <c r="I3325" s="2"/>
      <c r="J3325" s="2"/>
    </row>
    <row r="3326" ht="15.75" customHeight="1">
      <c r="A3326" s="4" t="str">
        <f>HYPERLINK("https://stackoverflow.com/q/56446803", "56446803")</f>
        <v>56446803</v>
      </c>
      <c r="B3326" s="2" t="s">
        <v>3369</v>
      </c>
      <c r="C3326" s="3"/>
      <c r="D3326" s="3">
        <v>20.0</v>
      </c>
      <c r="E3326" s="2"/>
      <c r="F3326" s="2"/>
      <c r="G3326" s="2"/>
      <c r="H3326" s="2"/>
      <c r="I3326" s="2"/>
      <c r="J3326" s="2"/>
    </row>
    <row r="3327" ht="15.75" customHeight="1">
      <c r="A3327" s="4" t="str">
        <f>HYPERLINK("https://stackoverflow.com/q/57832672", "57832672")</f>
        <v>57832672</v>
      </c>
      <c r="B3327" s="2" t="s">
        <v>3370</v>
      </c>
      <c r="C3327" s="3"/>
      <c r="D3327" s="3">
        <v>20.0</v>
      </c>
      <c r="E3327" s="2"/>
      <c r="F3327" s="2"/>
      <c r="G3327" s="2"/>
      <c r="H3327" s="2"/>
      <c r="I3327" s="2"/>
      <c r="J3327" s="2"/>
    </row>
    <row r="3328" ht="15.75" customHeight="1">
      <c r="A3328" s="4" t="str">
        <f>HYPERLINK("https://stackoverflow.com/q/57849964", "57849964")</f>
        <v>57849964</v>
      </c>
      <c r="B3328" s="2" t="s">
        <v>3371</v>
      </c>
      <c r="C3328" s="3"/>
      <c r="D3328" s="3">
        <v>20.0</v>
      </c>
      <c r="E3328" s="2"/>
      <c r="F3328" s="2"/>
      <c r="G3328" s="2"/>
      <c r="H3328" s="2"/>
      <c r="I3328" s="2"/>
      <c r="J3328" s="2"/>
    </row>
    <row r="3329" ht="15.75" customHeight="1">
      <c r="A3329" s="4" t="str">
        <f>HYPERLINK("https://stackoverflow.com/q/57894957", "57894957")</f>
        <v>57894957</v>
      </c>
      <c r="B3329" s="2" t="s">
        <v>3372</v>
      </c>
      <c r="C3329" s="3"/>
      <c r="D3329" s="3">
        <v>20.0</v>
      </c>
      <c r="E3329" s="2"/>
      <c r="F3329" s="2"/>
      <c r="G3329" s="2"/>
      <c r="H3329" s="2"/>
      <c r="I3329" s="2"/>
      <c r="J3329" s="2"/>
    </row>
    <row r="3330" ht="15.75" customHeight="1">
      <c r="A3330" s="4" t="str">
        <f>HYPERLINK("https://stackoverflow.com/q/58675434", "58675434")</f>
        <v>58675434</v>
      </c>
      <c r="B3330" s="2" t="s">
        <v>3373</v>
      </c>
      <c r="C3330" s="3"/>
      <c r="D3330" s="3">
        <v>20.0</v>
      </c>
      <c r="E3330" s="2"/>
      <c r="F3330" s="2"/>
      <c r="G3330" s="2"/>
      <c r="H3330" s="2"/>
      <c r="I3330" s="2"/>
      <c r="J3330" s="2"/>
    </row>
    <row r="3331" ht="15.75" customHeight="1">
      <c r="A3331" s="4" t="str">
        <f>HYPERLINK("https://stackoverflow.com/q/59246446", "59246446")</f>
        <v>59246446</v>
      </c>
      <c r="B3331" s="2" t="s">
        <v>3374</v>
      </c>
      <c r="C3331" s="3"/>
      <c r="D3331" s="3">
        <v>20.0</v>
      </c>
      <c r="E3331" s="2"/>
      <c r="F3331" s="2"/>
      <c r="G3331" s="2"/>
      <c r="H3331" s="2"/>
      <c r="I3331" s="2"/>
      <c r="J3331" s="2"/>
    </row>
    <row r="3332" ht="15.75" customHeight="1">
      <c r="A3332" s="4" t="str">
        <f>HYPERLINK("https://stackoverflow.com/q/59352243", "59352243")</f>
        <v>59352243</v>
      </c>
      <c r="B3332" s="2" t="s">
        <v>3375</v>
      </c>
      <c r="C3332" s="3"/>
      <c r="D3332" s="3">
        <v>20.0</v>
      </c>
      <c r="E3332" s="2"/>
      <c r="F3332" s="2"/>
      <c r="G3332" s="2"/>
      <c r="H3332" s="2"/>
      <c r="I3332" s="2"/>
      <c r="J3332" s="2"/>
    </row>
    <row r="3333" ht="15.75" customHeight="1">
      <c r="A3333" s="4" t="str">
        <f>HYPERLINK("https://stackoverflow.com/q/59704836", "59704836")</f>
        <v>59704836</v>
      </c>
      <c r="B3333" s="2" t="s">
        <v>3376</v>
      </c>
      <c r="C3333" s="3"/>
      <c r="D3333" s="3">
        <v>20.0</v>
      </c>
      <c r="E3333" s="2"/>
      <c r="F3333" s="2"/>
      <c r="G3333" s="2"/>
      <c r="H3333" s="2"/>
      <c r="I3333" s="2"/>
      <c r="J3333" s="2"/>
    </row>
    <row r="3334" ht="15.75" customHeight="1">
      <c r="A3334" s="4" t="str">
        <f>HYPERLINK("https://stackoverflow.com/q/59865791", "59865791")</f>
        <v>59865791</v>
      </c>
      <c r="B3334" s="2" t="s">
        <v>3377</v>
      </c>
      <c r="C3334" s="3"/>
      <c r="D3334" s="3">
        <v>20.0</v>
      </c>
      <c r="E3334" s="2"/>
      <c r="F3334" s="2"/>
      <c r="G3334" s="2"/>
      <c r="H3334" s="2"/>
      <c r="I3334" s="2"/>
      <c r="J3334" s="2"/>
    </row>
    <row r="3335" ht="15.75" customHeight="1">
      <c r="A3335" s="4" t="str">
        <f>HYPERLINK("https://stackoverflow.com/q/61487083", "61487083")</f>
        <v>61487083</v>
      </c>
      <c r="B3335" s="2" t="s">
        <v>3378</v>
      </c>
      <c r="C3335" s="3"/>
      <c r="D3335" s="3">
        <v>20.0</v>
      </c>
      <c r="E3335" s="2"/>
      <c r="F3335" s="2"/>
      <c r="G3335" s="2"/>
      <c r="H3335" s="2"/>
      <c r="I3335" s="2"/>
      <c r="J3335" s="2"/>
    </row>
    <row r="3336" ht="15.75" customHeight="1">
      <c r="A3336" s="4" t="str">
        <f>HYPERLINK("https://stackoverflow.com/q/61530340", "61530340")</f>
        <v>61530340</v>
      </c>
      <c r="B3336" s="2" t="s">
        <v>3379</v>
      </c>
      <c r="C3336" s="3"/>
      <c r="D3336" s="3">
        <v>20.0</v>
      </c>
      <c r="E3336" s="2"/>
      <c r="F3336" s="2"/>
      <c r="G3336" s="2"/>
      <c r="H3336" s="2"/>
      <c r="I3336" s="2"/>
      <c r="J3336" s="2"/>
    </row>
    <row r="3337" ht="15.75" customHeight="1">
      <c r="A3337" s="4" t="str">
        <f>HYPERLINK("https://stackoverflow.com/q/61594436", "61594436")</f>
        <v>61594436</v>
      </c>
      <c r="B3337" s="2" t="s">
        <v>3380</v>
      </c>
      <c r="C3337" s="3"/>
      <c r="D3337" s="3">
        <v>20.0</v>
      </c>
      <c r="E3337" s="2"/>
      <c r="F3337" s="2"/>
      <c r="G3337" s="2"/>
      <c r="H3337" s="2"/>
      <c r="I3337" s="2"/>
      <c r="J3337" s="2"/>
    </row>
    <row r="3338" ht="15.75" customHeight="1">
      <c r="A3338" s="4" t="str">
        <f>HYPERLINK("https://stackoverflow.com/q/52242599", "52242599")</f>
        <v>52242599</v>
      </c>
      <c r="B3338" s="2" t="s">
        <v>3381</v>
      </c>
      <c r="C3338" s="3">
        <v>2.0</v>
      </c>
      <c r="D3338" s="3">
        <v>19.0</v>
      </c>
      <c r="E3338" s="2"/>
      <c r="F3338" s="2"/>
      <c r="G3338" s="2"/>
      <c r="H3338" s="2"/>
      <c r="I3338" s="2"/>
      <c r="J3338" s="2"/>
    </row>
    <row r="3339" ht="15.75" customHeight="1">
      <c r="A3339" s="4" t="str">
        <f>HYPERLINK("https://stackoverflow.com/q/61402700", "61402700")</f>
        <v>61402700</v>
      </c>
      <c r="B3339" s="2" t="s">
        <v>3382</v>
      </c>
      <c r="C3339" s="3">
        <v>1.0</v>
      </c>
      <c r="D3339" s="3">
        <v>19.0</v>
      </c>
      <c r="E3339" s="2" t="s">
        <v>20</v>
      </c>
      <c r="F3339" s="2" t="s">
        <v>21</v>
      </c>
      <c r="G3339" s="2"/>
      <c r="H3339" s="2"/>
      <c r="I3339" s="2"/>
      <c r="J3339" s="2"/>
    </row>
    <row r="3340" ht="15.75" customHeight="1">
      <c r="A3340" s="4" t="str">
        <f>HYPERLINK("https://stackoverflow.com/q/61164244", "61164244")</f>
        <v>61164244</v>
      </c>
      <c r="B3340" s="2" t="s">
        <v>3383</v>
      </c>
      <c r="C3340" s="3"/>
      <c r="D3340" s="3">
        <v>19.0</v>
      </c>
      <c r="E3340" s="2" t="s">
        <v>11</v>
      </c>
      <c r="F3340" s="2" t="s">
        <v>35</v>
      </c>
      <c r="G3340" s="2"/>
      <c r="H3340" s="2"/>
      <c r="I3340" s="2"/>
      <c r="J3340" s="2"/>
    </row>
    <row r="3341" ht="15.75" customHeight="1">
      <c r="A3341" s="4" t="str">
        <f>HYPERLINK("https://stackoverflow.com/q/61287217", "61287217")</f>
        <v>61287217</v>
      </c>
      <c r="B3341" s="2" t="s">
        <v>3384</v>
      </c>
      <c r="C3341" s="3"/>
      <c r="D3341" s="3">
        <v>19.0</v>
      </c>
      <c r="E3341" s="2" t="s">
        <v>11</v>
      </c>
      <c r="F3341" s="2" t="s">
        <v>14</v>
      </c>
      <c r="G3341" s="2"/>
      <c r="H3341" s="2"/>
      <c r="I3341" s="2"/>
      <c r="J3341" s="2"/>
    </row>
    <row r="3342" ht="15.75" customHeight="1">
      <c r="A3342" s="4" t="str">
        <f>HYPERLINK("https://stackoverflow.com/q/61452616", "61452616")</f>
        <v>61452616</v>
      </c>
      <c r="B3342" s="2" t="s">
        <v>3385</v>
      </c>
      <c r="C3342" s="3"/>
      <c r="D3342" s="3">
        <v>19.0</v>
      </c>
      <c r="E3342" s="2" t="s">
        <v>11</v>
      </c>
      <c r="F3342" s="2" t="s">
        <v>28</v>
      </c>
      <c r="G3342" s="2"/>
      <c r="H3342" s="2"/>
      <c r="I3342" s="2"/>
      <c r="J3342" s="2"/>
    </row>
    <row r="3343" ht="15.75" customHeight="1">
      <c r="A3343" s="4" t="str">
        <f>HYPERLINK("https://stackoverflow.com/q/61674307", "61674307")</f>
        <v>61674307</v>
      </c>
      <c r="B3343" s="2" t="s">
        <v>3386</v>
      </c>
      <c r="C3343" s="3"/>
      <c r="D3343" s="3">
        <v>19.0</v>
      </c>
      <c r="E3343" s="2" t="s">
        <v>11</v>
      </c>
      <c r="F3343" s="2" t="s">
        <v>25</v>
      </c>
      <c r="G3343" s="2"/>
      <c r="H3343" s="2"/>
      <c r="I3343" s="2"/>
      <c r="J3343" s="2"/>
    </row>
    <row r="3344" ht="15.75" customHeight="1">
      <c r="A3344" s="4" t="str">
        <f>HYPERLINK("https://stackoverflow.com/q/61766048", "61766048")</f>
        <v>61766048</v>
      </c>
      <c r="B3344" s="2" t="s">
        <v>3387</v>
      </c>
      <c r="C3344" s="3"/>
      <c r="D3344" s="3">
        <v>19.0</v>
      </c>
      <c r="E3344" s="9" t="s">
        <v>11</v>
      </c>
      <c r="F3344" s="2" t="s">
        <v>18</v>
      </c>
      <c r="G3344" s="2"/>
      <c r="H3344" s="2"/>
      <c r="I3344" s="2"/>
      <c r="J3344" s="2"/>
    </row>
    <row r="3345" ht="15.75" customHeight="1">
      <c r="A3345" s="4" t="str">
        <f>HYPERLINK("https://stackoverflow.com/q/62031387", "62031387")</f>
        <v>62031387</v>
      </c>
      <c r="B3345" s="2" t="s">
        <v>3388</v>
      </c>
      <c r="C3345" s="3"/>
      <c r="D3345" s="3">
        <v>19.0</v>
      </c>
      <c r="E3345" s="2" t="s">
        <v>11</v>
      </c>
      <c r="F3345" s="2" t="s">
        <v>44</v>
      </c>
      <c r="G3345" s="2"/>
      <c r="H3345" s="2"/>
      <c r="I3345" s="2"/>
      <c r="J3345" s="2"/>
    </row>
    <row r="3346" ht="15.75" customHeight="1">
      <c r="A3346" s="4" t="str">
        <f>HYPERLINK("https://stackoverflow.com/q/34920892", "34920892")</f>
        <v>34920892</v>
      </c>
      <c r="B3346" s="2" t="s">
        <v>3389</v>
      </c>
      <c r="C3346" s="3"/>
      <c r="D3346" s="3">
        <v>19.0</v>
      </c>
      <c r="E3346" s="2"/>
      <c r="F3346" s="2"/>
      <c r="G3346" s="2"/>
      <c r="H3346" s="2"/>
      <c r="I3346" s="2"/>
      <c r="J3346" s="2"/>
    </row>
    <row r="3347" ht="15.75" customHeight="1">
      <c r="A3347" s="4" t="str">
        <f>HYPERLINK("https://stackoverflow.com/q/56578710", "56578710")</f>
        <v>56578710</v>
      </c>
      <c r="B3347" s="2" t="s">
        <v>3390</v>
      </c>
      <c r="C3347" s="3"/>
      <c r="D3347" s="3">
        <v>19.0</v>
      </c>
      <c r="E3347" s="2"/>
      <c r="F3347" s="2"/>
      <c r="G3347" s="2"/>
      <c r="H3347" s="2"/>
      <c r="I3347" s="2"/>
      <c r="J3347" s="2"/>
    </row>
    <row r="3348" ht="15.75" customHeight="1">
      <c r="A3348" s="4" t="str">
        <f>HYPERLINK("https://stackoverflow.com/q/57228609", "57228609")</f>
        <v>57228609</v>
      </c>
      <c r="B3348" s="2" t="s">
        <v>3391</v>
      </c>
      <c r="C3348" s="3"/>
      <c r="D3348" s="3">
        <v>19.0</v>
      </c>
      <c r="E3348" s="2"/>
      <c r="F3348" s="2"/>
      <c r="G3348" s="2"/>
      <c r="H3348" s="2"/>
      <c r="I3348" s="2"/>
      <c r="J3348" s="2"/>
    </row>
    <row r="3349" ht="15.75" customHeight="1">
      <c r="A3349" s="4" t="str">
        <f>HYPERLINK("https://stackoverflow.com/q/57309184", "57309184")</f>
        <v>57309184</v>
      </c>
      <c r="B3349" s="2" t="s">
        <v>3392</v>
      </c>
      <c r="C3349" s="3"/>
      <c r="D3349" s="3">
        <v>19.0</v>
      </c>
      <c r="E3349" s="2"/>
      <c r="F3349" s="2"/>
      <c r="G3349" s="2"/>
      <c r="H3349" s="2"/>
      <c r="I3349" s="2"/>
      <c r="J3349" s="2"/>
    </row>
    <row r="3350" ht="15.75" customHeight="1">
      <c r="A3350" s="4" t="str">
        <f>HYPERLINK("https://stackoverflow.com/q/57795979", "57795979")</f>
        <v>57795979</v>
      </c>
      <c r="B3350" s="2" t="s">
        <v>3393</v>
      </c>
      <c r="C3350" s="3"/>
      <c r="D3350" s="3">
        <v>19.0</v>
      </c>
      <c r="E3350" s="2"/>
      <c r="F3350" s="2"/>
      <c r="G3350" s="2"/>
      <c r="H3350" s="2"/>
      <c r="I3350" s="2"/>
      <c r="J3350" s="2"/>
    </row>
    <row r="3351" ht="15.75" customHeight="1">
      <c r="A3351" s="4" t="str">
        <f>HYPERLINK("https://stackoverflow.com/q/57963215", "57963215")</f>
        <v>57963215</v>
      </c>
      <c r="B3351" s="2" t="s">
        <v>3394</v>
      </c>
      <c r="C3351" s="3"/>
      <c r="D3351" s="3">
        <v>19.0</v>
      </c>
      <c r="E3351" s="2"/>
      <c r="F3351" s="2"/>
      <c r="G3351" s="2"/>
      <c r="H3351" s="2"/>
      <c r="I3351" s="2"/>
      <c r="J3351" s="2"/>
    </row>
    <row r="3352" ht="15.75" customHeight="1">
      <c r="A3352" s="4" t="str">
        <f>HYPERLINK("https://stackoverflow.com/q/58488958", "58488958")</f>
        <v>58488958</v>
      </c>
      <c r="B3352" s="2" t="s">
        <v>3395</v>
      </c>
      <c r="C3352" s="3"/>
      <c r="D3352" s="3">
        <v>19.0</v>
      </c>
      <c r="E3352" s="2"/>
      <c r="F3352" s="2"/>
      <c r="G3352" s="2"/>
      <c r="H3352" s="2"/>
      <c r="I3352" s="2"/>
      <c r="J3352" s="2"/>
    </row>
    <row r="3353" ht="15.75" customHeight="1">
      <c r="A3353" s="4" t="str">
        <f>HYPERLINK("https://stackoverflow.com/q/59530814", "59530814")</f>
        <v>59530814</v>
      </c>
      <c r="B3353" s="2" t="s">
        <v>3396</v>
      </c>
      <c r="C3353" s="3"/>
      <c r="D3353" s="3">
        <v>19.0</v>
      </c>
      <c r="E3353" s="2"/>
      <c r="F3353" s="2"/>
      <c r="G3353" s="2"/>
      <c r="H3353" s="2"/>
      <c r="I3353" s="2"/>
      <c r="J3353" s="2"/>
    </row>
    <row r="3354" ht="15.75" customHeight="1">
      <c r="A3354" s="4" t="str">
        <f>HYPERLINK("https://stackoverflow.com/q/59833955", "59833955")</f>
        <v>59833955</v>
      </c>
      <c r="B3354" s="2" t="s">
        <v>3397</v>
      </c>
      <c r="C3354" s="3"/>
      <c r="D3354" s="3">
        <v>19.0</v>
      </c>
      <c r="E3354" s="2"/>
      <c r="F3354" s="2"/>
      <c r="G3354" s="2"/>
      <c r="H3354" s="2"/>
      <c r="I3354" s="2"/>
      <c r="J3354" s="2"/>
    </row>
    <row r="3355" ht="15.75" customHeight="1">
      <c r="A3355" s="4" t="str">
        <f>HYPERLINK("https://stackoverflow.com/q/59959076", "59959076")</f>
        <v>59959076</v>
      </c>
      <c r="B3355" s="2" t="s">
        <v>3398</v>
      </c>
      <c r="C3355" s="3"/>
      <c r="D3355" s="3">
        <v>19.0</v>
      </c>
      <c r="E3355" s="2"/>
      <c r="F3355" s="2"/>
      <c r="G3355" s="2"/>
      <c r="H3355" s="2"/>
      <c r="I3355" s="2"/>
      <c r="J3355" s="2"/>
    </row>
    <row r="3356" ht="15.75" customHeight="1">
      <c r="A3356" s="4" t="str">
        <f>HYPERLINK("https://stackoverflow.com/q/60716376", "60716376")</f>
        <v>60716376</v>
      </c>
      <c r="B3356" s="2" t="s">
        <v>3399</v>
      </c>
      <c r="C3356" s="3"/>
      <c r="D3356" s="3">
        <v>19.0</v>
      </c>
      <c r="E3356" s="2"/>
      <c r="F3356" s="2"/>
      <c r="G3356" s="2"/>
      <c r="H3356" s="2"/>
      <c r="I3356" s="2"/>
      <c r="J3356" s="2"/>
    </row>
    <row r="3357" ht="15.75" customHeight="1">
      <c r="A3357" s="4" t="str">
        <f>HYPERLINK("https://stackoverflow.com/q/60751498", "60751498")</f>
        <v>60751498</v>
      </c>
      <c r="B3357" s="2" t="s">
        <v>3400</v>
      </c>
      <c r="C3357" s="3"/>
      <c r="D3357" s="3">
        <v>19.0</v>
      </c>
      <c r="E3357" s="2"/>
      <c r="F3357" s="2"/>
      <c r="G3357" s="2"/>
      <c r="H3357" s="2"/>
      <c r="I3357" s="2"/>
      <c r="J3357" s="2"/>
    </row>
    <row r="3358" ht="15.75" customHeight="1">
      <c r="A3358" s="4" t="str">
        <f>HYPERLINK("https://stackoverflow.com/q/61093844", "61093844")</f>
        <v>61093844</v>
      </c>
      <c r="B3358" s="2" t="s">
        <v>3401</v>
      </c>
      <c r="C3358" s="3"/>
      <c r="D3358" s="3">
        <v>19.0</v>
      </c>
      <c r="E3358" s="2"/>
      <c r="F3358" s="2"/>
      <c r="G3358" s="2"/>
      <c r="H3358" s="2"/>
      <c r="I3358" s="2"/>
      <c r="J3358" s="2"/>
    </row>
    <row r="3359" ht="15.75" customHeight="1">
      <c r="A3359" s="4" t="str">
        <f>HYPERLINK("https://stackoverflow.com/q/61100181", "61100181")</f>
        <v>61100181</v>
      </c>
      <c r="B3359" s="2" t="s">
        <v>3402</v>
      </c>
      <c r="C3359" s="3"/>
      <c r="D3359" s="3">
        <v>19.0</v>
      </c>
      <c r="E3359" s="2"/>
      <c r="F3359" s="2"/>
      <c r="G3359" s="2"/>
      <c r="H3359" s="2"/>
      <c r="I3359" s="2"/>
      <c r="J3359" s="2"/>
    </row>
    <row r="3360" ht="15.75" customHeight="1">
      <c r="A3360" s="4" t="str">
        <f>HYPERLINK("https://stackoverflow.com/q/62002491", "62002491")</f>
        <v>62002491</v>
      </c>
      <c r="B3360" s="2" t="s">
        <v>3403</v>
      </c>
      <c r="C3360" s="3"/>
      <c r="D3360" s="3">
        <v>18.0</v>
      </c>
      <c r="E3360" s="2" t="s">
        <v>59</v>
      </c>
      <c r="F3360" s="2" t="s">
        <v>538</v>
      </c>
      <c r="G3360" s="2"/>
      <c r="H3360" s="2"/>
      <c r="I3360" s="2"/>
      <c r="J3360" s="2"/>
    </row>
    <row r="3361" ht="15.75" customHeight="1">
      <c r="A3361" s="4" t="str">
        <f>HYPERLINK("https://stackoverflow.com/q/47505898", "47505898")</f>
        <v>47505898</v>
      </c>
      <c r="B3361" s="2" t="s">
        <v>3404</v>
      </c>
      <c r="C3361" s="3"/>
      <c r="D3361" s="3">
        <v>18.0</v>
      </c>
      <c r="E3361" s="2" t="s">
        <v>11</v>
      </c>
      <c r="F3361" s="2" t="s">
        <v>21</v>
      </c>
      <c r="G3361" s="2"/>
      <c r="H3361" s="2"/>
      <c r="I3361" s="2"/>
      <c r="J3361" s="2"/>
    </row>
    <row r="3362" ht="15.75" customHeight="1">
      <c r="A3362" s="4" t="str">
        <f>HYPERLINK("https://stackoverflow.com/q/61153574", "61153574")</f>
        <v>61153574</v>
      </c>
      <c r="B3362" s="2" t="s">
        <v>3405</v>
      </c>
      <c r="C3362" s="3"/>
      <c r="D3362" s="3">
        <v>18.0</v>
      </c>
      <c r="E3362" s="2" t="s">
        <v>11</v>
      </c>
      <c r="F3362" s="2" t="s">
        <v>25</v>
      </c>
      <c r="G3362" s="2"/>
      <c r="H3362" s="2"/>
      <c r="I3362" s="2"/>
      <c r="J3362" s="2"/>
    </row>
    <row r="3363" ht="15.75" customHeight="1">
      <c r="A3363" s="4" t="str">
        <f>HYPERLINK("https://stackoverflow.com/q/61221088", "61221088")</f>
        <v>61221088</v>
      </c>
      <c r="B3363" s="2" t="s">
        <v>3406</v>
      </c>
      <c r="C3363" s="3"/>
      <c r="D3363" s="3">
        <v>18.0</v>
      </c>
      <c r="E3363" s="2" t="s">
        <v>11</v>
      </c>
      <c r="F3363" s="2" t="s">
        <v>14</v>
      </c>
      <c r="G3363" s="2"/>
      <c r="H3363" s="2"/>
      <c r="I3363" s="2"/>
      <c r="J3363" s="2"/>
    </row>
    <row r="3364" ht="15.75" customHeight="1">
      <c r="A3364" s="4" t="str">
        <f>HYPERLINK("https://stackoverflow.com/q/61904800", "61904800")</f>
        <v>61904800</v>
      </c>
      <c r="B3364" s="2" t="s">
        <v>3407</v>
      </c>
      <c r="C3364" s="3"/>
      <c r="D3364" s="3">
        <v>18.0</v>
      </c>
      <c r="E3364" s="2" t="s">
        <v>11</v>
      </c>
      <c r="F3364" s="2" t="s">
        <v>28</v>
      </c>
      <c r="G3364" s="2"/>
      <c r="H3364" s="2"/>
      <c r="I3364" s="2"/>
      <c r="J3364" s="2"/>
    </row>
    <row r="3365" ht="15.75" customHeight="1">
      <c r="A3365" s="4" t="str">
        <f>HYPERLINK("https://stackoverflow.com/q/61938413", "61938413")</f>
        <v>61938413</v>
      </c>
      <c r="B3365" s="2" t="s">
        <v>3408</v>
      </c>
      <c r="C3365" s="3"/>
      <c r="D3365" s="3">
        <v>18.0</v>
      </c>
      <c r="E3365" s="2" t="s">
        <v>11</v>
      </c>
      <c r="F3365" s="2" t="s">
        <v>67</v>
      </c>
      <c r="G3365" s="2"/>
      <c r="H3365" s="2"/>
      <c r="I3365" s="2"/>
      <c r="J3365" s="2"/>
    </row>
    <row r="3366" ht="15.75" customHeight="1">
      <c r="A3366" s="4" t="str">
        <f>HYPERLINK("https://stackoverflow.com/q/57250350", "57250350")</f>
        <v>57250350</v>
      </c>
      <c r="B3366" s="2" t="s">
        <v>3409</v>
      </c>
      <c r="C3366" s="3"/>
      <c r="D3366" s="3">
        <v>18.0</v>
      </c>
      <c r="E3366" s="2"/>
      <c r="F3366" s="2"/>
      <c r="G3366" s="2"/>
      <c r="H3366" s="2"/>
      <c r="I3366" s="2"/>
      <c r="J3366" s="2"/>
    </row>
    <row r="3367" ht="15.75" customHeight="1">
      <c r="A3367" s="4" t="str">
        <f>HYPERLINK("https://stackoverflow.com/q/58613452", "58613452")</f>
        <v>58613452</v>
      </c>
      <c r="B3367" s="2" t="s">
        <v>3410</v>
      </c>
      <c r="C3367" s="3"/>
      <c r="D3367" s="3">
        <v>18.0</v>
      </c>
      <c r="E3367" s="2"/>
      <c r="F3367" s="2"/>
      <c r="G3367" s="2"/>
      <c r="H3367" s="2"/>
      <c r="I3367" s="2"/>
      <c r="J3367" s="2"/>
    </row>
    <row r="3368" ht="15.75" customHeight="1">
      <c r="A3368" s="4" t="str">
        <f>HYPERLINK("https://stackoverflow.com/q/58944331", "58944331")</f>
        <v>58944331</v>
      </c>
      <c r="B3368" s="2" t="s">
        <v>3411</v>
      </c>
      <c r="C3368" s="3"/>
      <c r="D3368" s="3">
        <v>18.0</v>
      </c>
      <c r="E3368" s="2"/>
      <c r="F3368" s="2"/>
      <c r="G3368" s="2"/>
      <c r="H3368" s="2"/>
      <c r="I3368" s="2"/>
      <c r="J3368" s="2"/>
    </row>
    <row r="3369" ht="15.75" customHeight="1">
      <c r="A3369" s="4" t="str">
        <f>HYPERLINK("https://stackoverflow.com/q/59505728", "59505728")</f>
        <v>59505728</v>
      </c>
      <c r="B3369" s="2" t="s">
        <v>3412</v>
      </c>
      <c r="C3369" s="3"/>
      <c r="D3369" s="3">
        <v>18.0</v>
      </c>
      <c r="E3369" s="2"/>
      <c r="F3369" s="2"/>
      <c r="G3369" s="2"/>
      <c r="H3369" s="2"/>
      <c r="I3369" s="2"/>
      <c r="J3369" s="2"/>
    </row>
    <row r="3370" ht="15.75" customHeight="1">
      <c r="A3370" s="4" t="str">
        <f>HYPERLINK("https://stackoverflow.com/q/59662845", "59662845")</f>
        <v>59662845</v>
      </c>
      <c r="B3370" s="2" t="s">
        <v>3413</v>
      </c>
      <c r="C3370" s="3"/>
      <c r="D3370" s="3">
        <v>18.0</v>
      </c>
      <c r="E3370" s="2"/>
      <c r="F3370" s="2"/>
      <c r="G3370" s="2"/>
      <c r="H3370" s="2"/>
      <c r="I3370" s="2"/>
      <c r="J3370" s="2"/>
    </row>
    <row r="3371" ht="15.75" customHeight="1">
      <c r="A3371" s="4" t="str">
        <f>HYPERLINK("https://stackoverflow.com/q/60155095", "60155095")</f>
        <v>60155095</v>
      </c>
      <c r="B3371" s="2" t="s">
        <v>3414</v>
      </c>
      <c r="C3371" s="3"/>
      <c r="D3371" s="3">
        <v>18.0</v>
      </c>
      <c r="E3371" s="2"/>
      <c r="F3371" s="2"/>
      <c r="G3371" s="2"/>
      <c r="H3371" s="2"/>
      <c r="I3371" s="2"/>
      <c r="J3371" s="2"/>
    </row>
    <row r="3372" ht="15.75" customHeight="1">
      <c r="A3372" s="4" t="str">
        <f>HYPERLINK("https://stackoverflow.com/q/60555616", "60555616")</f>
        <v>60555616</v>
      </c>
      <c r="B3372" s="2" t="s">
        <v>3415</v>
      </c>
      <c r="C3372" s="3"/>
      <c r="D3372" s="3">
        <v>18.0</v>
      </c>
      <c r="E3372" s="2"/>
      <c r="F3372" s="2"/>
      <c r="G3372" s="2"/>
      <c r="H3372" s="2"/>
      <c r="I3372" s="2"/>
      <c r="J3372" s="2"/>
    </row>
    <row r="3373" ht="15.75" customHeight="1">
      <c r="A3373" s="4" t="str">
        <f>HYPERLINK("https://stackoverflow.com/q/60945360", "60945360")</f>
        <v>60945360</v>
      </c>
      <c r="B3373" s="2" t="s">
        <v>3416</v>
      </c>
      <c r="C3373" s="3"/>
      <c r="D3373" s="3">
        <v>18.0</v>
      </c>
      <c r="E3373" s="2"/>
      <c r="F3373" s="2"/>
      <c r="G3373" s="2"/>
      <c r="H3373" s="2"/>
      <c r="I3373" s="2"/>
      <c r="J3373" s="2"/>
    </row>
    <row r="3374" ht="15.75" customHeight="1">
      <c r="A3374" s="4" t="str">
        <f>HYPERLINK("https://stackoverflow.com/q/61021550", "61021550")</f>
        <v>61021550</v>
      </c>
      <c r="B3374" s="2" t="s">
        <v>3417</v>
      </c>
      <c r="C3374" s="3"/>
      <c r="D3374" s="3">
        <v>18.0</v>
      </c>
      <c r="E3374" s="2"/>
      <c r="F3374" s="2"/>
      <c r="G3374" s="2"/>
      <c r="H3374" s="2"/>
      <c r="I3374" s="2"/>
      <c r="J3374" s="2"/>
    </row>
    <row r="3375" ht="15.75" customHeight="1">
      <c r="A3375" s="4" t="str">
        <f>HYPERLINK("https://stackoverflow.com/q/61051123", "61051123")</f>
        <v>61051123</v>
      </c>
      <c r="B3375" s="2" t="s">
        <v>3418</v>
      </c>
      <c r="C3375" s="3"/>
      <c r="D3375" s="3">
        <v>18.0</v>
      </c>
      <c r="E3375" s="2"/>
      <c r="F3375" s="2"/>
      <c r="G3375" s="2"/>
      <c r="H3375" s="2"/>
      <c r="I3375" s="2"/>
      <c r="J3375" s="2"/>
    </row>
    <row r="3376" ht="15.75" customHeight="1">
      <c r="A3376" s="4" t="str">
        <f>HYPERLINK("https://stackoverflow.com/q/61058282", "61058282")</f>
        <v>61058282</v>
      </c>
      <c r="B3376" s="2" t="s">
        <v>3419</v>
      </c>
      <c r="C3376" s="3"/>
      <c r="D3376" s="3">
        <v>18.0</v>
      </c>
      <c r="E3376" s="2"/>
      <c r="F3376" s="2"/>
      <c r="G3376" s="2"/>
      <c r="H3376" s="2"/>
      <c r="I3376" s="2"/>
      <c r="J3376" s="2"/>
    </row>
    <row r="3377" ht="15.75" customHeight="1">
      <c r="A3377" s="4" t="str">
        <f>HYPERLINK("https://stackoverflow.com/q/61073250", "61073250")</f>
        <v>61073250</v>
      </c>
      <c r="B3377" s="2" t="s">
        <v>3420</v>
      </c>
      <c r="C3377" s="3"/>
      <c r="D3377" s="3">
        <v>18.0</v>
      </c>
      <c r="E3377" s="2"/>
      <c r="F3377" s="2"/>
      <c r="G3377" s="2"/>
      <c r="H3377" s="2"/>
      <c r="I3377" s="2"/>
      <c r="J3377" s="2"/>
    </row>
    <row r="3378" ht="15.75" customHeight="1">
      <c r="A3378" s="4" t="str">
        <f>HYPERLINK("https://stackoverflow.com/q/61509495", "61509495")</f>
        <v>61509495</v>
      </c>
      <c r="B3378" s="2" t="s">
        <v>3421</v>
      </c>
      <c r="C3378" s="3"/>
      <c r="D3378" s="3">
        <v>18.0</v>
      </c>
      <c r="E3378" s="2"/>
      <c r="F3378" s="2"/>
      <c r="G3378" s="2"/>
      <c r="H3378" s="2"/>
      <c r="I3378" s="2"/>
      <c r="J3378" s="2"/>
    </row>
    <row r="3379" ht="15.75" customHeight="1">
      <c r="A3379" s="4" t="str">
        <f>HYPERLINK("https://stackoverflow.com/q/61583655", "61583655")</f>
        <v>61583655</v>
      </c>
      <c r="B3379" s="2" t="s">
        <v>3422</v>
      </c>
      <c r="C3379" s="3"/>
      <c r="D3379" s="3">
        <v>18.0</v>
      </c>
      <c r="E3379" s="2"/>
      <c r="F3379" s="2"/>
      <c r="G3379" s="2"/>
      <c r="H3379" s="2"/>
      <c r="I3379" s="2"/>
      <c r="J3379" s="2"/>
    </row>
    <row r="3380" ht="15.75" customHeight="1">
      <c r="A3380" s="4" t="str">
        <f>HYPERLINK("https://stackoverflow.com/q/62077982", "62077982")</f>
        <v>62077982</v>
      </c>
      <c r="B3380" s="2" t="s">
        <v>3423</v>
      </c>
      <c r="C3380" s="3"/>
      <c r="D3380" s="3">
        <v>18.0</v>
      </c>
      <c r="E3380" s="2"/>
      <c r="F3380" s="2"/>
      <c r="G3380" s="2"/>
      <c r="H3380" s="2"/>
      <c r="I3380" s="2"/>
      <c r="J3380" s="2"/>
    </row>
    <row r="3381" ht="15.75" customHeight="1">
      <c r="A3381" s="4" t="str">
        <f>HYPERLINK("https://stackoverflow.com/q/57143256", "57143256")</f>
        <v>57143256</v>
      </c>
      <c r="B3381" s="2" t="s">
        <v>3424</v>
      </c>
      <c r="C3381" s="3">
        <v>1.0</v>
      </c>
      <c r="D3381" s="3">
        <v>17.0</v>
      </c>
      <c r="E3381" s="2"/>
      <c r="F3381" s="2"/>
      <c r="G3381" s="2"/>
      <c r="H3381" s="2"/>
      <c r="I3381" s="2"/>
      <c r="J3381" s="2"/>
    </row>
    <row r="3382" ht="15.75" customHeight="1">
      <c r="A3382" s="4" t="str">
        <f>HYPERLINK("https://stackoverflow.com/q/58483028", "58483028")</f>
        <v>58483028</v>
      </c>
      <c r="B3382" s="2" t="s">
        <v>3425</v>
      </c>
      <c r="C3382" s="3">
        <v>1.0</v>
      </c>
      <c r="D3382" s="3">
        <v>17.0</v>
      </c>
      <c r="E3382" s="2"/>
      <c r="F3382" s="2"/>
      <c r="G3382" s="2"/>
      <c r="H3382" s="2"/>
      <c r="I3382" s="2"/>
      <c r="J3382" s="2"/>
    </row>
    <row r="3383" ht="15.75" customHeight="1">
      <c r="A3383" s="4" t="str">
        <f>HYPERLINK("https://stackoverflow.com/q/61330666", "61330666")</f>
        <v>61330666</v>
      </c>
      <c r="B3383" s="2" t="s">
        <v>3426</v>
      </c>
      <c r="C3383" s="3"/>
      <c r="D3383" s="3">
        <v>17.0</v>
      </c>
      <c r="E3383" s="2" t="s">
        <v>11</v>
      </c>
      <c r="F3383" s="2" t="s">
        <v>56</v>
      </c>
      <c r="G3383" s="2"/>
      <c r="H3383" s="2"/>
      <c r="I3383" s="2"/>
      <c r="J3383" s="2"/>
    </row>
    <row r="3384" ht="15.75" customHeight="1">
      <c r="A3384" s="4" t="str">
        <f>HYPERLINK("https://stackoverflow.com/q/61341097", "61341097")</f>
        <v>61341097</v>
      </c>
      <c r="B3384" s="2" t="s">
        <v>3427</v>
      </c>
      <c r="C3384" s="3"/>
      <c r="D3384" s="3">
        <v>17.0</v>
      </c>
      <c r="E3384" s="9" t="s">
        <v>11</v>
      </c>
      <c r="F3384" s="2" t="s">
        <v>18</v>
      </c>
      <c r="G3384" s="2"/>
      <c r="H3384" s="2"/>
      <c r="I3384" s="2"/>
      <c r="J3384" s="2"/>
    </row>
    <row r="3385" ht="15.75" customHeight="1">
      <c r="A3385" s="4" t="str">
        <f>HYPERLINK("https://stackoverflow.com/q/61687572", "61687572")</f>
        <v>61687572</v>
      </c>
      <c r="B3385" s="2" t="s">
        <v>3428</v>
      </c>
      <c r="C3385" s="3"/>
      <c r="D3385" s="3">
        <v>17.0</v>
      </c>
      <c r="E3385" s="2" t="s">
        <v>11</v>
      </c>
      <c r="F3385" s="2" t="s">
        <v>21</v>
      </c>
      <c r="G3385" s="2" t="s">
        <v>67</v>
      </c>
      <c r="H3385" s="2"/>
      <c r="I3385" s="2"/>
      <c r="J3385" s="2"/>
    </row>
    <row r="3386" ht="15.75" customHeight="1">
      <c r="A3386" s="4" t="str">
        <f>HYPERLINK("https://stackoverflow.com/q/61689176", "61689176")</f>
        <v>61689176</v>
      </c>
      <c r="B3386" s="2" t="s">
        <v>3429</v>
      </c>
      <c r="C3386" s="3"/>
      <c r="D3386" s="3">
        <v>17.0</v>
      </c>
      <c r="E3386" s="9" t="s">
        <v>11</v>
      </c>
      <c r="F3386" s="2" t="s">
        <v>18</v>
      </c>
      <c r="G3386" s="2" t="s">
        <v>34</v>
      </c>
      <c r="H3386" s="2"/>
      <c r="I3386" s="2"/>
      <c r="J3386" s="2"/>
    </row>
    <row r="3387" ht="15.75" customHeight="1">
      <c r="A3387" s="4" t="str">
        <f>HYPERLINK("https://stackoverflow.com/q/61790198", "61790198")</f>
        <v>61790198</v>
      </c>
      <c r="B3387" s="2" t="s">
        <v>3430</v>
      </c>
      <c r="C3387" s="3"/>
      <c r="D3387" s="3">
        <v>17.0</v>
      </c>
      <c r="E3387" s="2" t="s">
        <v>11</v>
      </c>
      <c r="F3387" s="2" t="s">
        <v>67</v>
      </c>
      <c r="G3387" s="2"/>
      <c r="H3387" s="2"/>
      <c r="I3387" s="2"/>
      <c r="J3387" s="2"/>
    </row>
    <row r="3388" ht="15.75" customHeight="1">
      <c r="A3388" s="4" t="str">
        <f>HYPERLINK("https://stackoverflow.com/q/61964967", "61964967")</f>
        <v>61964967</v>
      </c>
      <c r="B3388" s="2" t="s">
        <v>3431</v>
      </c>
      <c r="C3388" s="3"/>
      <c r="D3388" s="3">
        <v>17.0</v>
      </c>
      <c r="E3388" s="2" t="s">
        <v>11</v>
      </c>
      <c r="F3388" s="2" t="s">
        <v>12</v>
      </c>
      <c r="G3388" s="2"/>
      <c r="H3388" s="2"/>
      <c r="I3388" s="2"/>
      <c r="J3388" s="2"/>
    </row>
    <row r="3389" ht="15.75" customHeight="1">
      <c r="A3389" s="4" t="str">
        <f>HYPERLINK("https://stackoverflow.com/q/53590585", "53590585")</f>
        <v>53590585</v>
      </c>
      <c r="B3389" s="2" t="s">
        <v>3432</v>
      </c>
      <c r="C3389" s="3"/>
      <c r="D3389" s="3">
        <v>17.0</v>
      </c>
      <c r="E3389" s="2"/>
      <c r="F3389" s="2"/>
      <c r="G3389" s="2"/>
      <c r="H3389" s="2"/>
      <c r="I3389" s="2"/>
      <c r="J3389" s="2"/>
    </row>
    <row r="3390" ht="15.75" customHeight="1">
      <c r="A3390" s="4" t="str">
        <f>HYPERLINK("https://stackoverflow.com/q/56084123", "56084123")</f>
        <v>56084123</v>
      </c>
      <c r="B3390" s="2" t="s">
        <v>3433</v>
      </c>
      <c r="C3390" s="3"/>
      <c r="D3390" s="3">
        <v>17.0</v>
      </c>
      <c r="E3390" s="2"/>
      <c r="F3390" s="2"/>
      <c r="G3390" s="2"/>
      <c r="H3390" s="2"/>
      <c r="I3390" s="2"/>
      <c r="J3390" s="2"/>
    </row>
    <row r="3391" ht="15.75" customHeight="1">
      <c r="A3391" s="4" t="str">
        <f>HYPERLINK("https://stackoverflow.com/q/56414466", "56414466")</f>
        <v>56414466</v>
      </c>
      <c r="B3391" s="2" t="s">
        <v>3434</v>
      </c>
      <c r="C3391" s="3"/>
      <c r="D3391" s="3">
        <v>17.0</v>
      </c>
      <c r="E3391" s="2"/>
      <c r="F3391" s="2"/>
      <c r="G3391" s="2"/>
      <c r="H3391" s="2"/>
      <c r="I3391" s="2"/>
      <c r="J3391" s="2"/>
    </row>
    <row r="3392" ht="15.75" customHeight="1">
      <c r="A3392" s="4" t="str">
        <f>HYPERLINK("https://stackoverflow.com/q/56716968", "56716968")</f>
        <v>56716968</v>
      </c>
      <c r="B3392" s="2" t="s">
        <v>3435</v>
      </c>
      <c r="C3392" s="3"/>
      <c r="D3392" s="3">
        <v>17.0</v>
      </c>
      <c r="E3392" s="2"/>
      <c r="F3392" s="2"/>
      <c r="G3392" s="2"/>
      <c r="H3392" s="2"/>
      <c r="I3392" s="2"/>
      <c r="J3392" s="2"/>
    </row>
    <row r="3393" ht="15.75" customHeight="1">
      <c r="A3393" s="4" t="str">
        <f>HYPERLINK("https://stackoverflow.com/q/57420814", "57420814")</f>
        <v>57420814</v>
      </c>
      <c r="B3393" s="2" t="s">
        <v>3436</v>
      </c>
      <c r="C3393" s="3"/>
      <c r="D3393" s="3">
        <v>17.0</v>
      </c>
      <c r="E3393" s="2"/>
      <c r="F3393" s="2"/>
      <c r="G3393" s="2"/>
      <c r="H3393" s="2"/>
      <c r="I3393" s="2"/>
      <c r="J3393" s="2"/>
    </row>
    <row r="3394" ht="15.75" customHeight="1">
      <c r="A3394" s="4" t="str">
        <f>HYPERLINK("https://stackoverflow.com/q/57617520", "57617520")</f>
        <v>57617520</v>
      </c>
      <c r="B3394" s="2" t="s">
        <v>3437</v>
      </c>
      <c r="C3394" s="3"/>
      <c r="D3394" s="3">
        <v>17.0</v>
      </c>
      <c r="E3394" s="2"/>
      <c r="F3394" s="2"/>
      <c r="G3394" s="2"/>
      <c r="H3394" s="2"/>
      <c r="I3394" s="2"/>
      <c r="J3394" s="2"/>
    </row>
    <row r="3395" ht="15.75" customHeight="1">
      <c r="A3395" s="4" t="str">
        <f>HYPERLINK("https://stackoverflow.com/q/58344741", "58344741")</f>
        <v>58344741</v>
      </c>
      <c r="B3395" s="2" t="s">
        <v>3438</v>
      </c>
      <c r="C3395" s="3"/>
      <c r="D3395" s="3">
        <v>17.0</v>
      </c>
      <c r="E3395" s="2"/>
      <c r="F3395" s="2"/>
      <c r="G3395" s="2"/>
      <c r="H3395" s="2"/>
      <c r="I3395" s="2"/>
      <c r="J3395" s="2"/>
    </row>
    <row r="3396" ht="15.75" customHeight="1">
      <c r="A3396" s="4" t="str">
        <f>HYPERLINK("https://stackoverflow.com/q/58802352", "58802352")</f>
        <v>58802352</v>
      </c>
      <c r="B3396" s="2" t="s">
        <v>3439</v>
      </c>
      <c r="C3396" s="3"/>
      <c r="D3396" s="3">
        <v>17.0</v>
      </c>
      <c r="E3396" s="2"/>
      <c r="F3396" s="2"/>
      <c r="G3396" s="2"/>
      <c r="H3396" s="2"/>
      <c r="I3396" s="2"/>
      <c r="J3396" s="2"/>
    </row>
    <row r="3397" ht="15.75" customHeight="1">
      <c r="A3397" s="4" t="str">
        <f>HYPERLINK("https://stackoverflow.com/q/58913715", "58913715")</f>
        <v>58913715</v>
      </c>
      <c r="B3397" s="2" t="s">
        <v>3440</v>
      </c>
      <c r="C3397" s="3"/>
      <c r="D3397" s="3">
        <v>17.0</v>
      </c>
      <c r="E3397" s="2"/>
      <c r="F3397" s="2"/>
      <c r="G3397" s="2"/>
      <c r="H3397" s="2"/>
      <c r="I3397" s="2"/>
      <c r="J3397" s="2"/>
    </row>
    <row r="3398" ht="15.75" customHeight="1">
      <c r="A3398" s="4" t="str">
        <f>HYPERLINK("https://stackoverflow.com/q/59412488", "59412488")</f>
        <v>59412488</v>
      </c>
      <c r="B3398" s="2" t="s">
        <v>3441</v>
      </c>
      <c r="C3398" s="3"/>
      <c r="D3398" s="3">
        <v>17.0</v>
      </c>
      <c r="E3398" s="2"/>
      <c r="F3398" s="2"/>
      <c r="G3398" s="2"/>
      <c r="H3398" s="2"/>
      <c r="I3398" s="2"/>
      <c r="J3398" s="2"/>
    </row>
    <row r="3399" ht="15.75" customHeight="1">
      <c r="A3399" s="4" t="str">
        <f>HYPERLINK("https://stackoverflow.com/q/59625264", "59625264")</f>
        <v>59625264</v>
      </c>
      <c r="B3399" s="2" t="s">
        <v>3442</v>
      </c>
      <c r="C3399" s="3"/>
      <c r="D3399" s="3">
        <v>17.0</v>
      </c>
      <c r="E3399" s="2"/>
      <c r="F3399" s="2"/>
      <c r="G3399" s="2"/>
      <c r="H3399" s="2"/>
      <c r="I3399" s="2"/>
      <c r="J3399" s="2"/>
    </row>
    <row r="3400" ht="15.75" customHeight="1">
      <c r="A3400" s="4" t="str">
        <f>HYPERLINK("https://stackoverflow.com/q/59746179", "59746179")</f>
        <v>59746179</v>
      </c>
      <c r="B3400" s="2" t="s">
        <v>3443</v>
      </c>
      <c r="C3400" s="3"/>
      <c r="D3400" s="3">
        <v>17.0</v>
      </c>
      <c r="E3400" s="2"/>
      <c r="F3400" s="2"/>
      <c r="G3400" s="2"/>
      <c r="H3400" s="2"/>
      <c r="I3400" s="2"/>
      <c r="J3400" s="2"/>
    </row>
    <row r="3401" ht="15.75" customHeight="1">
      <c r="A3401" s="4" t="str">
        <f>HYPERLINK("https://stackoverflow.com/q/60667139", "60667139")</f>
        <v>60667139</v>
      </c>
      <c r="B3401" s="2" t="s">
        <v>3444</v>
      </c>
      <c r="C3401" s="3"/>
      <c r="D3401" s="3">
        <v>17.0</v>
      </c>
      <c r="E3401" s="2"/>
      <c r="F3401" s="2"/>
      <c r="G3401" s="2"/>
      <c r="H3401" s="2"/>
      <c r="I3401" s="2"/>
      <c r="J3401" s="2"/>
    </row>
    <row r="3402" ht="15.75" customHeight="1">
      <c r="A3402" s="4" t="str">
        <f>HYPERLINK("https://stackoverflow.com/q/61016498", "61016498")</f>
        <v>61016498</v>
      </c>
      <c r="B3402" s="2" t="s">
        <v>3445</v>
      </c>
      <c r="C3402" s="3"/>
      <c r="D3402" s="3">
        <v>17.0</v>
      </c>
      <c r="E3402" s="2"/>
      <c r="F3402" s="2"/>
      <c r="G3402" s="2"/>
      <c r="H3402" s="2"/>
      <c r="I3402" s="2"/>
      <c r="J3402" s="2"/>
    </row>
    <row r="3403" ht="15.75" customHeight="1">
      <c r="A3403" s="4" t="str">
        <f>HYPERLINK("https://stackoverflow.com/q/61076418", "61076418")</f>
        <v>61076418</v>
      </c>
      <c r="B3403" s="2" t="s">
        <v>3446</v>
      </c>
      <c r="C3403" s="3"/>
      <c r="D3403" s="3">
        <v>17.0</v>
      </c>
      <c r="E3403" s="2"/>
      <c r="F3403" s="2"/>
      <c r="G3403" s="2"/>
      <c r="H3403" s="2"/>
      <c r="I3403" s="2"/>
      <c r="J3403" s="2"/>
    </row>
    <row r="3404" ht="15.75" customHeight="1">
      <c r="A3404" s="4" t="str">
        <f>HYPERLINK("https://stackoverflow.com/q/61094682", "61094682")</f>
        <v>61094682</v>
      </c>
      <c r="B3404" s="2" t="s">
        <v>3447</v>
      </c>
      <c r="C3404" s="3"/>
      <c r="D3404" s="3">
        <v>17.0</v>
      </c>
      <c r="E3404" s="2"/>
      <c r="F3404" s="2"/>
      <c r="G3404" s="2"/>
      <c r="H3404" s="2"/>
      <c r="I3404" s="2"/>
      <c r="J3404" s="2"/>
    </row>
    <row r="3405" ht="15.75" customHeight="1">
      <c r="A3405" s="4" t="str">
        <f>HYPERLINK("https://stackoverflow.com/q/61473114", "61473114")</f>
        <v>61473114</v>
      </c>
      <c r="B3405" s="2" t="s">
        <v>3448</v>
      </c>
      <c r="C3405" s="3"/>
      <c r="D3405" s="3">
        <v>17.0</v>
      </c>
      <c r="E3405" s="2"/>
      <c r="F3405" s="2"/>
      <c r="G3405" s="2"/>
      <c r="H3405" s="2"/>
      <c r="I3405" s="2"/>
      <c r="J3405" s="2"/>
    </row>
    <row r="3406" ht="15.75" customHeight="1">
      <c r="A3406" s="4" t="str">
        <f>HYPERLINK("https://stackoverflow.com/q/61507119", "61507119")</f>
        <v>61507119</v>
      </c>
      <c r="B3406" s="2" t="s">
        <v>3449</v>
      </c>
      <c r="C3406" s="3"/>
      <c r="D3406" s="3">
        <v>17.0</v>
      </c>
      <c r="E3406" s="2"/>
      <c r="F3406" s="2"/>
      <c r="G3406" s="2"/>
      <c r="H3406" s="2"/>
      <c r="I3406" s="2"/>
      <c r="J3406" s="2"/>
    </row>
    <row r="3407" ht="15.75" customHeight="1">
      <c r="A3407" s="4" t="str">
        <f>HYPERLINK("https://stackoverflow.com/q/61557784", "61557784")</f>
        <v>61557784</v>
      </c>
      <c r="B3407" s="2" t="s">
        <v>3450</v>
      </c>
      <c r="C3407" s="3"/>
      <c r="D3407" s="3">
        <v>17.0</v>
      </c>
      <c r="E3407" s="2"/>
      <c r="F3407" s="2"/>
      <c r="G3407" s="2"/>
      <c r="H3407" s="2"/>
      <c r="I3407" s="2"/>
      <c r="J3407" s="2"/>
    </row>
    <row r="3408" ht="15.75" customHeight="1">
      <c r="A3408" s="4" t="str">
        <f>HYPERLINK("https://stackoverflow.com/q/61709741", "61709741")</f>
        <v>61709741</v>
      </c>
      <c r="B3408" s="2" t="s">
        <v>3451</v>
      </c>
      <c r="C3408" s="3"/>
      <c r="D3408" s="3">
        <v>17.0</v>
      </c>
      <c r="E3408" s="2"/>
      <c r="F3408" s="2"/>
      <c r="G3408" s="2"/>
      <c r="H3408" s="2"/>
      <c r="I3408" s="2"/>
      <c r="J3408" s="2"/>
    </row>
    <row r="3409" ht="15.75" customHeight="1">
      <c r="A3409" s="4" t="str">
        <f>HYPERLINK("https://stackoverflow.com/q/61222090", "61222090")</f>
        <v>61222090</v>
      </c>
      <c r="B3409" s="2" t="s">
        <v>3452</v>
      </c>
      <c r="C3409" s="3"/>
      <c r="D3409" s="3">
        <v>16.0</v>
      </c>
      <c r="E3409" s="2" t="s">
        <v>59</v>
      </c>
      <c r="F3409" s="2" t="s">
        <v>538</v>
      </c>
      <c r="G3409" s="2"/>
      <c r="H3409" s="2"/>
      <c r="I3409" s="2"/>
      <c r="J3409" s="2"/>
    </row>
    <row r="3410" ht="15.75" customHeight="1">
      <c r="A3410" s="4" t="str">
        <f>HYPERLINK("https://stackoverflow.com/q/61345897", "61345897")</f>
        <v>61345897</v>
      </c>
      <c r="B3410" s="2" t="s">
        <v>3453</v>
      </c>
      <c r="C3410" s="3"/>
      <c r="D3410" s="3">
        <v>16.0</v>
      </c>
      <c r="E3410" s="9" t="s">
        <v>11</v>
      </c>
      <c r="F3410" s="2" t="s">
        <v>18</v>
      </c>
      <c r="G3410" s="2"/>
      <c r="H3410" s="2"/>
      <c r="I3410" s="2"/>
      <c r="J3410" s="2"/>
    </row>
    <row r="3411" ht="15.75" customHeight="1">
      <c r="A3411" s="4" t="str">
        <f>HYPERLINK("https://stackoverflow.com/q/61731925", "61731925")</f>
        <v>61731925</v>
      </c>
      <c r="B3411" s="2" t="s">
        <v>3454</v>
      </c>
      <c r="C3411" s="3"/>
      <c r="D3411" s="3">
        <v>16.0</v>
      </c>
      <c r="E3411" s="2" t="s">
        <v>11</v>
      </c>
      <c r="F3411" s="2" t="s">
        <v>67</v>
      </c>
      <c r="G3411" s="2"/>
      <c r="H3411" s="2"/>
      <c r="I3411" s="2"/>
      <c r="J3411" s="2"/>
    </row>
    <row r="3412" ht="15.75" customHeight="1">
      <c r="A3412" s="4" t="str">
        <f>HYPERLINK("https://stackoverflow.com/q/61776817", "61776817")</f>
        <v>61776817</v>
      </c>
      <c r="B3412" s="2" t="s">
        <v>3455</v>
      </c>
      <c r="C3412" s="3"/>
      <c r="D3412" s="3">
        <v>16.0</v>
      </c>
      <c r="E3412" s="2" t="s">
        <v>11</v>
      </c>
      <c r="F3412" s="2" t="s">
        <v>84</v>
      </c>
      <c r="G3412" s="2"/>
      <c r="H3412" s="2"/>
      <c r="I3412" s="2"/>
      <c r="J3412" s="2"/>
    </row>
    <row r="3413" ht="15.75" customHeight="1">
      <c r="A3413" s="4" t="str">
        <f>HYPERLINK("https://stackoverflow.com/q/61818220", "61818220")</f>
        <v>61818220</v>
      </c>
      <c r="B3413" s="2" t="s">
        <v>3456</v>
      </c>
      <c r="C3413" s="3"/>
      <c r="D3413" s="3">
        <v>16.0</v>
      </c>
      <c r="E3413" s="9" t="s">
        <v>11</v>
      </c>
      <c r="F3413" s="2" t="s">
        <v>18</v>
      </c>
      <c r="G3413" s="2"/>
      <c r="H3413" s="2"/>
      <c r="I3413" s="2"/>
      <c r="J3413" s="2"/>
    </row>
    <row r="3414" ht="15.75" customHeight="1">
      <c r="A3414" s="4" t="str">
        <f>HYPERLINK("https://stackoverflow.com/q/61983642", "61983642")</f>
        <v>61983642</v>
      </c>
      <c r="B3414" s="2" t="s">
        <v>3457</v>
      </c>
      <c r="C3414" s="3"/>
      <c r="D3414" s="3">
        <v>16.0</v>
      </c>
      <c r="E3414" s="2" t="s">
        <v>11</v>
      </c>
      <c r="F3414" s="2" t="s">
        <v>56</v>
      </c>
      <c r="G3414" s="2"/>
      <c r="H3414" s="2"/>
      <c r="I3414" s="2"/>
      <c r="J3414" s="2"/>
    </row>
    <row r="3415" ht="15.75" customHeight="1">
      <c r="A3415" s="4" t="str">
        <f>HYPERLINK("https://stackoverflow.com/q/61999799", "61999799")</f>
        <v>61999799</v>
      </c>
      <c r="B3415" s="2" t="s">
        <v>3458</v>
      </c>
      <c r="C3415" s="3"/>
      <c r="D3415" s="3">
        <v>16.0</v>
      </c>
      <c r="E3415" s="2" t="s">
        <v>11</v>
      </c>
      <c r="F3415" s="2" t="s">
        <v>35</v>
      </c>
      <c r="G3415" s="2"/>
      <c r="H3415" s="2"/>
      <c r="I3415" s="2"/>
      <c r="J3415" s="2"/>
    </row>
    <row r="3416" ht="15.75" customHeight="1">
      <c r="A3416" s="4" t="str">
        <f>HYPERLINK("https://stackoverflow.com/q/62006237", "62006237")</f>
        <v>62006237</v>
      </c>
      <c r="B3416" s="2" t="s">
        <v>3459</v>
      </c>
      <c r="C3416" s="3"/>
      <c r="D3416" s="3">
        <v>16.0</v>
      </c>
      <c r="E3416" s="2" t="s">
        <v>11</v>
      </c>
      <c r="F3416" s="2" t="s">
        <v>263</v>
      </c>
      <c r="G3416" s="2"/>
      <c r="H3416" s="2"/>
      <c r="I3416" s="2"/>
      <c r="J3416" s="2"/>
    </row>
    <row r="3417" ht="15.75" customHeight="1">
      <c r="A3417" s="4" t="str">
        <f>HYPERLINK("https://stackoverflow.com/q/27398134", "27398134")</f>
        <v>27398134</v>
      </c>
      <c r="B3417" s="2" t="s">
        <v>3460</v>
      </c>
      <c r="C3417" s="3"/>
      <c r="D3417" s="3">
        <v>16.0</v>
      </c>
      <c r="E3417" s="2"/>
      <c r="F3417" s="2"/>
      <c r="G3417" s="2"/>
      <c r="H3417" s="2"/>
      <c r="I3417" s="2"/>
      <c r="J3417" s="2"/>
    </row>
    <row r="3418" ht="15.75" customHeight="1">
      <c r="A3418" s="4" t="str">
        <f>HYPERLINK("https://stackoverflow.com/q/58275712", "58275712")</f>
        <v>58275712</v>
      </c>
      <c r="B3418" s="2" t="s">
        <v>3461</v>
      </c>
      <c r="C3418" s="3"/>
      <c r="D3418" s="3">
        <v>16.0</v>
      </c>
      <c r="E3418" s="2"/>
      <c r="F3418" s="2"/>
      <c r="G3418" s="2"/>
      <c r="H3418" s="2"/>
      <c r="I3418" s="2"/>
      <c r="J3418" s="2"/>
    </row>
    <row r="3419" ht="15.75" customHeight="1">
      <c r="A3419" s="4" t="str">
        <f>HYPERLINK("https://stackoverflow.com/q/58454150", "58454150")</f>
        <v>58454150</v>
      </c>
      <c r="B3419" s="2" t="s">
        <v>3462</v>
      </c>
      <c r="C3419" s="3"/>
      <c r="D3419" s="3">
        <v>16.0</v>
      </c>
      <c r="E3419" s="2"/>
      <c r="F3419" s="2"/>
      <c r="G3419" s="2"/>
      <c r="H3419" s="2"/>
      <c r="I3419" s="2"/>
      <c r="J3419" s="2"/>
    </row>
    <row r="3420" ht="15.75" customHeight="1">
      <c r="A3420" s="4" t="str">
        <f>HYPERLINK("https://stackoverflow.com/q/58488121", "58488121")</f>
        <v>58488121</v>
      </c>
      <c r="B3420" s="2" t="s">
        <v>3463</v>
      </c>
      <c r="C3420" s="3"/>
      <c r="D3420" s="3">
        <v>16.0</v>
      </c>
      <c r="E3420" s="2"/>
      <c r="F3420" s="2"/>
      <c r="G3420" s="2"/>
      <c r="H3420" s="2"/>
      <c r="I3420" s="2"/>
      <c r="J3420" s="2"/>
    </row>
    <row r="3421" ht="15.75" customHeight="1">
      <c r="A3421" s="4" t="str">
        <f>HYPERLINK("https://stackoverflow.com/q/59282347", "59282347")</f>
        <v>59282347</v>
      </c>
      <c r="B3421" s="2" t="s">
        <v>3464</v>
      </c>
      <c r="C3421" s="3"/>
      <c r="D3421" s="3">
        <v>16.0</v>
      </c>
      <c r="E3421" s="2"/>
      <c r="F3421" s="2"/>
      <c r="G3421" s="2"/>
      <c r="H3421" s="2"/>
      <c r="I3421" s="2"/>
      <c r="J3421" s="2"/>
    </row>
    <row r="3422" ht="15.75" customHeight="1">
      <c r="A3422" s="4" t="str">
        <f>HYPERLINK("https://stackoverflow.com/q/59645309", "59645309")</f>
        <v>59645309</v>
      </c>
      <c r="B3422" s="2" t="s">
        <v>3465</v>
      </c>
      <c r="C3422" s="3"/>
      <c r="D3422" s="3">
        <v>16.0</v>
      </c>
      <c r="E3422" s="2"/>
      <c r="F3422" s="2"/>
      <c r="G3422" s="2"/>
      <c r="H3422" s="2"/>
      <c r="I3422" s="2"/>
      <c r="J3422" s="2"/>
    </row>
    <row r="3423" ht="15.75" customHeight="1">
      <c r="A3423" s="4" t="str">
        <f>HYPERLINK("https://stackoverflow.com/q/60005455", "60005455")</f>
        <v>60005455</v>
      </c>
      <c r="B3423" s="2" t="s">
        <v>3466</v>
      </c>
      <c r="C3423" s="3"/>
      <c r="D3423" s="3">
        <v>16.0</v>
      </c>
      <c r="E3423" s="2"/>
      <c r="F3423" s="2"/>
      <c r="G3423" s="2"/>
      <c r="H3423" s="2"/>
      <c r="I3423" s="2"/>
      <c r="J3423" s="2"/>
    </row>
    <row r="3424" ht="15.75" customHeight="1">
      <c r="A3424" s="4" t="str">
        <f>HYPERLINK("https://stackoverflow.com/q/60348603", "60348603")</f>
        <v>60348603</v>
      </c>
      <c r="B3424" s="2" t="s">
        <v>3467</v>
      </c>
      <c r="C3424" s="3"/>
      <c r="D3424" s="3">
        <v>16.0</v>
      </c>
      <c r="E3424" s="2"/>
      <c r="F3424" s="2"/>
      <c r="G3424" s="2"/>
      <c r="H3424" s="2"/>
      <c r="I3424" s="2"/>
      <c r="J3424" s="2"/>
    </row>
    <row r="3425" ht="15.75" customHeight="1">
      <c r="A3425" s="4" t="str">
        <f>HYPERLINK("https://stackoverflow.com/q/60429162", "60429162")</f>
        <v>60429162</v>
      </c>
      <c r="B3425" s="2" t="s">
        <v>3468</v>
      </c>
      <c r="C3425" s="3"/>
      <c r="D3425" s="3">
        <v>16.0</v>
      </c>
      <c r="E3425" s="2"/>
      <c r="F3425" s="2"/>
      <c r="G3425" s="2"/>
      <c r="H3425" s="2"/>
      <c r="I3425" s="2"/>
      <c r="J3425" s="2"/>
    </row>
    <row r="3426" ht="15.75" customHeight="1">
      <c r="A3426" s="4" t="str">
        <f>HYPERLINK("https://stackoverflow.com/q/60567487", "60567487")</f>
        <v>60567487</v>
      </c>
      <c r="B3426" s="2" t="s">
        <v>3469</v>
      </c>
      <c r="C3426" s="3"/>
      <c r="D3426" s="3">
        <v>16.0</v>
      </c>
      <c r="E3426" s="2"/>
      <c r="F3426" s="2"/>
      <c r="G3426" s="2"/>
      <c r="H3426" s="2"/>
      <c r="I3426" s="2"/>
      <c r="J3426" s="2"/>
    </row>
    <row r="3427" ht="15.75" customHeight="1">
      <c r="A3427" s="4" t="str">
        <f>HYPERLINK("https://stackoverflow.com/q/61537914", "61537914")</f>
        <v>61537914</v>
      </c>
      <c r="B3427" s="2" t="s">
        <v>3470</v>
      </c>
      <c r="C3427" s="3"/>
      <c r="D3427" s="3">
        <v>16.0</v>
      </c>
      <c r="E3427" s="2"/>
      <c r="F3427" s="2"/>
      <c r="G3427" s="2"/>
      <c r="H3427" s="2"/>
      <c r="I3427" s="2"/>
      <c r="J3427" s="2"/>
    </row>
    <row r="3428" ht="15.75" customHeight="1">
      <c r="A3428" s="4" t="str">
        <f>HYPERLINK("https://stackoverflow.com/q/62081474", "62081474")</f>
        <v>62081474</v>
      </c>
      <c r="B3428" s="2" t="s">
        <v>3471</v>
      </c>
      <c r="C3428" s="3"/>
      <c r="D3428" s="3">
        <v>16.0</v>
      </c>
      <c r="E3428" s="2"/>
      <c r="F3428" s="2"/>
      <c r="G3428" s="2"/>
      <c r="H3428" s="2"/>
      <c r="I3428" s="2"/>
      <c r="J3428" s="2"/>
    </row>
    <row r="3429" ht="15.75" customHeight="1">
      <c r="A3429" s="4" t="str">
        <f>HYPERLINK("https://stackoverflow.com/q/61169100", "61169100")</f>
        <v>61169100</v>
      </c>
      <c r="B3429" s="2" t="s">
        <v>3472</v>
      </c>
      <c r="C3429" s="3"/>
      <c r="D3429" s="3">
        <v>15.0</v>
      </c>
      <c r="E3429" s="2" t="s">
        <v>11</v>
      </c>
      <c r="F3429" s="2" t="s">
        <v>67</v>
      </c>
      <c r="G3429" s="2"/>
      <c r="H3429" s="2"/>
      <c r="I3429" s="2"/>
      <c r="J3429" s="2"/>
    </row>
    <row r="3430" ht="15.75" customHeight="1">
      <c r="A3430" s="4" t="str">
        <f>HYPERLINK("https://stackoverflow.com/q/61642239", "61642239")</f>
        <v>61642239</v>
      </c>
      <c r="B3430" s="2" t="s">
        <v>3473</v>
      </c>
      <c r="C3430" s="3"/>
      <c r="D3430" s="3">
        <v>15.0</v>
      </c>
      <c r="E3430" s="9" t="s">
        <v>11</v>
      </c>
      <c r="F3430" s="2" t="s">
        <v>18</v>
      </c>
      <c r="G3430" s="2"/>
      <c r="H3430" s="2"/>
      <c r="I3430" s="2"/>
      <c r="J3430" s="2"/>
    </row>
    <row r="3431" ht="15.75" customHeight="1">
      <c r="A3431" s="4" t="str">
        <f>HYPERLINK("https://stackoverflow.com/q/61780469", "61780469")</f>
        <v>61780469</v>
      </c>
      <c r="B3431" s="2" t="s">
        <v>3474</v>
      </c>
      <c r="C3431" s="3"/>
      <c r="D3431" s="3">
        <v>15.0</v>
      </c>
      <c r="E3431" s="2" t="s">
        <v>11</v>
      </c>
      <c r="F3431" s="2" t="s">
        <v>194</v>
      </c>
      <c r="G3431" s="2"/>
      <c r="H3431" s="2"/>
      <c r="I3431" s="2"/>
      <c r="J3431" s="2"/>
    </row>
    <row r="3432" ht="15.75" customHeight="1">
      <c r="A3432" s="4" t="str">
        <f>HYPERLINK("https://stackoverflow.com/q/61854113", "61854113")</f>
        <v>61854113</v>
      </c>
      <c r="B3432" s="2" t="s">
        <v>3475</v>
      </c>
      <c r="C3432" s="3"/>
      <c r="D3432" s="3">
        <v>15.0</v>
      </c>
      <c r="E3432" s="9" t="s">
        <v>11</v>
      </c>
      <c r="F3432" s="2" t="s">
        <v>18</v>
      </c>
      <c r="G3432" s="2"/>
      <c r="H3432" s="2"/>
      <c r="I3432" s="2"/>
      <c r="J3432" s="2"/>
    </row>
    <row r="3433" ht="15.75" customHeight="1">
      <c r="A3433" s="4" t="str">
        <f>HYPERLINK("https://stackoverflow.com/q/61909353", "61909353")</f>
        <v>61909353</v>
      </c>
      <c r="B3433" s="2" t="s">
        <v>3476</v>
      </c>
      <c r="C3433" s="3"/>
      <c r="D3433" s="3">
        <v>15.0</v>
      </c>
      <c r="E3433" s="2" t="s">
        <v>11</v>
      </c>
      <c r="F3433" s="2" t="s">
        <v>25</v>
      </c>
      <c r="G3433" s="2" t="s">
        <v>14</v>
      </c>
      <c r="H3433" s="2"/>
      <c r="I3433" s="2"/>
      <c r="J3433" s="2"/>
    </row>
    <row r="3434" ht="15.75" customHeight="1">
      <c r="A3434" s="4" t="str">
        <f>HYPERLINK("https://stackoverflow.com/q/61977505", "61977505")</f>
        <v>61977505</v>
      </c>
      <c r="B3434" s="2" t="s">
        <v>3477</v>
      </c>
      <c r="C3434" s="3"/>
      <c r="D3434" s="3">
        <v>15.0</v>
      </c>
      <c r="E3434" s="2" t="s">
        <v>11</v>
      </c>
      <c r="F3434" s="2" t="s">
        <v>34</v>
      </c>
      <c r="G3434" s="2"/>
      <c r="H3434" s="2"/>
      <c r="I3434" s="2"/>
      <c r="J3434" s="2"/>
    </row>
    <row r="3435" ht="15.75" customHeight="1">
      <c r="A3435" s="4" t="str">
        <f>HYPERLINK("https://stackoverflow.com/q/61469908", "61469908")</f>
        <v>61469908</v>
      </c>
      <c r="B3435" s="2" t="s">
        <v>3478</v>
      </c>
      <c r="C3435" s="3"/>
      <c r="D3435" s="3">
        <v>15.0</v>
      </c>
      <c r="E3435" s="2" t="s">
        <v>86</v>
      </c>
      <c r="F3435" s="2" t="s">
        <v>87</v>
      </c>
      <c r="G3435" s="2"/>
      <c r="H3435" s="2"/>
      <c r="I3435" s="2"/>
      <c r="J3435" s="2"/>
    </row>
    <row r="3436" ht="15.75" customHeight="1">
      <c r="A3436" s="4" t="str">
        <f>HYPERLINK("https://stackoverflow.com/q/56709602", "56709602")</f>
        <v>56709602</v>
      </c>
      <c r="B3436" s="2" t="s">
        <v>3479</v>
      </c>
      <c r="C3436" s="3"/>
      <c r="D3436" s="3">
        <v>15.0</v>
      </c>
      <c r="E3436" s="2"/>
      <c r="F3436" s="2"/>
      <c r="G3436" s="2"/>
      <c r="H3436" s="2"/>
      <c r="I3436" s="2"/>
      <c r="J3436" s="2"/>
    </row>
    <row r="3437" ht="15.75" customHeight="1">
      <c r="A3437" s="4" t="str">
        <f>HYPERLINK("https://stackoverflow.com/q/56774454", "56774454")</f>
        <v>56774454</v>
      </c>
      <c r="B3437" s="2" t="s">
        <v>3480</v>
      </c>
      <c r="C3437" s="3"/>
      <c r="D3437" s="3">
        <v>15.0</v>
      </c>
      <c r="E3437" s="2"/>
      <c r="F3437" s="2"/>
      <c r="G3437" s="2"/>
      <c r="H3437" s="2"/>
      <c r="I3437" s="2"/>
      <c r="J3437" s="2"/>
    </row>
    <row r="3438" ht="15.75" customHeight="1">
      <c r="A3438" s="4" t="str">
        <f>HYPERLINK("https://stackoverflow.com/q/57685832", "57685832")</f>
        <v>57685832</v>
      </c>
      <c r="B3438" s="2" t="s">
        <v>3481</v>
      </c>
      <c r="C3438" s="3"/>
      <c r="D3438" s="3">
        <v>15.0</v>
      </c>
      <c r="E3438" s="2"/>
      <c r="F3438" s="2"/>
      <c r="G3438" s="2"/>
      <c r="H3438" s="2"/>
      <c r="I3438" s="2"/>
      <c r="J3438" s="2"/>
    </row>
    <row r="3439" ht="15.75" customHeight="1">
      <c r="A3439" s="4" t="str">
        <f>HYPERLINK("https://stackoverflow.com/q/58561304", "58561304")</f>
        <v>58561304</v>
      </c>
      <c r="B3439" s="2" t="s">
        <v>3482</v>
      </c>
      <c r="C3439" s="3"/>
      <c r="D3439" s="3">
        <v>15.0</v>
      </c>
      <c r="E3439" s="2"/>
      <c r="F3439" s="2"/>
      <c r="G3439" s="2"/>
      <c r="H3439" s="2"/>
      <c r="I3439" s="2"/>
      <c r="J3439" s="2"/>
    </row>
    <row r="3440" ht="15.75" customHeight="1">
      <c r="A3440" s="4" t="str">
        <f>HYPERLINK("https://stackoverflow.com/q/59729377", "59729377")</f>
        <v>59729377</v>
      </c>
      <c r="B3440" s="2" t="s">
        <v>3483</v>
      </c>
      <c r="C3440" s="3"/>
      <c r="D3440" s="3">
        <v>15.0</v>
      </c>
      <c r="E3440" s="2"/>
      <c r="F3440" s="2"/>
      <c r="G3440" s="2"/>
      <c r="H3440" s="2"/>
      <c r="I3440" s="2"/>
      <c r="J3440" s="2"/>
    </row>
    <row r="3441" ht="15.75" customHeight="1">
      <c r="A3441" s="4" t="str">
        <f>HYPERLINK("https://stackoverflow.com/q/60218411", "60218411")</f>
        <v>60218411</v>
      </c>
      <c r="B3441" s="2" t="s">
        <v>3484</v>
      </c>
      <c r="C3441" s="3"/>
      <c r="D3441" s="3">
        <v>15.0</v>
      </c>
      <c r="E3441" s="2"/>
      <c r="F3441" s="2"/>
      <c r="G3441" s="2"/>
      <c r="H3441" s="2"/>
      <c r="I3441" s="2"/>
      <c r="J3441" s="2"/>
    </row>
    <row r="3442" ht="15.75" customHeight="1">
      <c r="A3442" s="4" t="str">
        <f>HYPERLINK("https://stackoverflow.com/q/60310744", "60310744")</f>
        <v>60310744</v>
      </c>
      <c r="B3442" s="2" t="s">
        <v>3485</v>
      </c>
      <c r="C3442" s="3"/>
      <c r="D3442" s="3">
        <v>15.0</v>
      </c>
      <c r="E3442" s="2"/>
      <c r="F3442" s="2"/>
      <c r="G3442" s="2"/>
      <c r="H3442" s="2"/>
      <c r="I3442" s="2"/>
      <c r="J3442" s="2"/>
    </row>
    <row r="3443" ht="15.75" customHeight="1">
      <c r="A3443" s="4" t="str">
        <f>HYPERLINK("https://stackoverflow.com/q/60453651", "60453651")</f>
        <v>60453651</v>
      </c>
      <c r="B3443" s="2" t="s">
        <v>3486</v>
      </c>
      <c r="C3443" s="3"/>
      <c r="D3443" s="3">
        <v>15.0</v>
      </c>
      <c r="E3443" s="2"/>
      <c r="F3443" s="2"/>
      <c r="G3443" s="2"/>
      <c r="H3443" s="2"/>
      <c r="I3443" s="2"/>
      <c r="J3443" s="2"/>
    </row>
    <row r="3444" ht="15.75" customHeight="1">
      <c r="A3444" s="4" t="str">
        <f>HYPERLINK("https://stackoverflow.com/q/60727567", "60727567")</f>
        <v>60727567</v>
      </c>
      <c r="B3444" s="2" t="s">
        <v>3487</v>
      </c>
      <c r="C3444" s="3"/>
      <c r="D3444" s="3">
        <v>15.0</v>
      </c>
      <c r="E3444" s="2"/>
      <c r="F3444" s="2"/>
      <c r="G3444" s="2"/>
      <c r="H3444" s="2"/>
      <c r="I3444" s="2"/>
      <c r="J3444" s="2"/>
    </row>
    <row r="3445" ht="15.75" customHeight="1">
      <c r="A3445" s="4" t="str">
        <f>HYPERLINK("https://stackoverflow.com/q/61038662", "61038662")</f>
        <v>61038662</v>
      </c>
      <c r="B3445" s="2" t="s">
        <v>3488</v>
      </c>
      <c r="C3445" s="3"/>
      <c r="D3445" s="3">
        <v>15.0</v>
      </c>
      <c r="E3445" s="2"/>
      <c r="F3445" s="2"/>
      <c r="G3445" s="2"/>
      <c r="H3445" s="2"/>
      <c r="I3445" s="2"/>
      <c r="J3445" s="2"/>
    </row>
    <row r="3446" ht="15.75" customHeight="1">
      <c r="A3446" s="4" t="str">
        <f>HYPERLINK("https://stackoverflow.com/q/61481389", "61481389")</f>
        <v>61481389</v>
      </c>
      <c r="B3446" s="2" t="s">
        <v>3489</v>
      </c>
      <c r="C3446" s="3"/>
      <c r="D3446" s="3">
        <v>15.0</v>
      </c>
      <c r="E3446" s="2"/>
      <c r="F3446" s="2"/>
      <c r="G3446" s="2"/>
      <c r="H3446" s="2"/>
      <c r="I3446" s="2"/>
      <c r="J3446" s="2"/>
    </row>
    <row r="3447" ht="15.75" customHeight="1">
      <c r="A3447" s="4" t="str">
        <f>HYPERLINK("https://stackoverflow.com/q/61488025", "61488025")</f>
        <v>61488025</v>
      </c>
      <c r="B3447" s="2" t="s">
        <v>3490</v>
      </c>
      <c r="C3447" s="3"/>
      <c r="D3447" s="3">
        <v>15.0</v>
      </c>
      <c r="E3447" s="2"/>
      <c r="F3447" s="2"/>
      <c r="G3447" s="2"/>
      <c r="H3447" s="2"/>
      <c r="I3447" s="2"/>
      <c r="J3447" s="2"/>
    </row>
    <row r="3448" ht="15.75" customHeight="1">
      <c r="A3448" s="4" t="str">
        <f>HYPERLINK("https://stackoverflow.com/q/61491488", "61491488")</f>
        <v>61491488</v>
      </c>
      <c r="B3448" s="2" t="s">
        <v>3491</v>
      </c>
      <c r="C3448" s="3"/>
      <c r="D3448" s="3">
        <v>15.0</v>
      </c>
      <c r="E3448" s="2"/>
      <c r="F3448" s="2"/>
      <c r="G3448" s="2"/>
      <c r="H3448" s="2"/>
      <c r="I3448" s="2"/>
      <c r="J3448" s="2"/>
    </row>
    <row r="3449" ht="15.75" customHeight="1">
      <c r="A3449" s="4" t="str">
        <f>HYPERLINK("https://stackoverflow.com/q/62074209", "62074209")</f>
        <v>62074209</v>
      </c>
      <c r="B3449" s="2" t="s">
        <v>3492</v>
      </c>
      <c r="C3449" s="3"/>
      <c r="D3449" s="3">
        <v>15.0</v>
      </c>
      <c r="E3449" s="2"/>
      <c r="F3449" s="2"/>
      <c r="G3449" s="2"/>
      <c r="H3449" s="2"/>
      <c r="I3449" s="2"/>
      <c r="J3449" s="2"/>
    </row>
    <row r="3450" ht="15.75" customHeight="1">
      <c r="A3450" s="4" t="str">
        <f>HYPERLINK("https://stackoverflow.com/q/61660647", "61660647")</f>
        <v>61660647</v>
      </c>
      <c r="B3450" s="2" t="s">
        <v>3493</v>
      </c>
      <c r="C3450" s="3"/>
      <c r="D3450" s="3">
        <v>14.0</v>
      </c>
      <c r="E3450" s="2" t="s">
        <v>11</v>
      </c>
      <c r="F3450" s="2" t="s">
        <v>56</v>
      </c>
      <c r="G3450" s="2"/>
      <c r="H3450" s="2"/>
      <c r="I3450" s="2"/>
      <c r="J3450" s="2"/>
    </row>
    <row r="3451" ht="15.75" customHeight="1">
      <c r="A3451" s="4" t="str">
        <f>HYPERLINK("https://stackoverflow.com/q/61676962", "61676962")</f>
        <v>61676962</v>
      </c>
      <c r="B3451" s="2" t="s">
        <v>3494</v>
      </c>
      <c r="C3451" s="3"/>
      <c r="D3451" s="3">
        <v>14.0</v>
      </c>
      <c r="E3451" s="2" t="s">
        <v>11</v>
      </c>
      <c r="F3451" s="2" t="s">
        <v>67</v>
      </c>
      <c r="G3451" s="2"/>
      <c r="H3451" s="2"/>
      <c r="I3451" s="2"/>
      <c r="J3451" s="2"/>
    </row>
    <row r="3452" ht="15.75" customHeight="1">
      <c r="A3452" s="4" t="str">
        <f>HYPERLINK("https://stackoverflow.com/q/61677805", "61677805")</f>
        <v>61677805</v>
      </c>
      <c r="B3452" s="2" t="s">
        <v>3495</v>
      </c>
      <c r="C3452" s="3"/>
      <c r="D3452" s="3">
        <v>14.0</v>
      </c>
      <c r="E3452" s="2" t="s">
        <v>11</v>
      </c>
      <c r="F3452" s="2" t="s">
        <v>35</v>
      </c>
      <c r="G3452" s="2"/>
      <c r="H3452" s="2"/>
      <c r="I3452" s="2"/>
      <c r="J3452" s="2"/>
    </row>
    <row r="3453" ht="15.75" customHeight="1">
      <c r="A3453" s="4" t="str">
        <f>HYPERLINK("https://stackoverflow.com/q/61817845", "61817845")</f>
        <v>61817845</v>
      </c>
      <c r="B3453" s="2" t="s">
        <v>3496</v>
      </c>
      <c r="C3453" s="3"/>
      <c r="D3453" s="3">
        <v>14.0</v>
      </c>
      <c r="E3453" s="9" t="s">
        <v>11</v>
      </c>
      <c r="F3453" s="2" t="s">
        <v>18</v>
      </c>
      <c r="G3453" s="2"/>
      <c r="H3453" s="2"/>
      <c r="I3453" s="2"/>
      <c r="J3453" s="2"/>
    </row>
    <row r="3454" ht="15.75" customHeight="1">
      <c r="A3454" s="4" t="str">
        <f>HYPERLINK("https://stackoverflow.com/q/61820944", "61820944")</f>
        <v>61820944</v>
      </c>
      <c r="B3454" s="2" t="s">
        <v>3497</v>
      </c>
      <c r="C3454" s="3"/>
      <c r="D3454" s="3">
        <v>14.0</v>
      </c>
      <c r="E3454" s="9" t="s">
        <v>11</v>
      </c>
      <c r="F3454" s="2" t="s">
        <v>18</v>
      </c>
      <c r="G3454" s="2"/>
      <c r="H3454" s="2"/>
      <c r="I3454" s="2"/>
      <c r="J3454" s="2"/>
    </row>
    <row r="3455" ht="15.75" customHeight="1">
      <c r="A3455" s="4" t="str">
        <f>HYPERLINK("https://stackoverflow.com/q/62049728", "62049728")</f>
        <v>62049728</v>
      </c>
      <c r="B3455" s="2" t="s">
        <v>3498</v>
      </c>
      <c r="C3455" s="3"/>
      <c r="D3455" s="3">
        <v>14.0</v>
      </c>
      <c r="E3455" s="9" t="s">
        <v>11</v>
      </c>
      <c r="F3455" s="2" t="s">
        <v>18</v>
      </c>
      <c r="G3455" s="2"/>
      <c r="H3455" s="2"/>
      <c r="I3455" s="2"/>
      <c r="J3455" s="2"/>
    </row>
    <row r="3456" ht="15.75" customHeight="1">
      <c r="A3456" s="4" t="str">
        <f>HYPERLINK("https://stackoverflow.com/q/55795520", "55795520")</f>
        <v>55795520</v>
      </c>
      <c r="B3456" s="2" t="s">
        <v>3499</v>
      </c>
      <c r="C3456" s="3"/>
      <c r="D3456" s="3">
        <v>14.0</v>
      </c>
      <c r="E3456" s="2"/>
      <c r="F3456" s="2"/>
      <c r="G3456" s="2"/>
      <c r="H3456" s="2"/>
      <c r="I3456" s="2"/>
      <c r="J3456" s="2"/>
    </row>
    <row r="3457" ht="15.75" customHeight="1">
      <c r="A3457" s="4" t="str">
        <f>HYPERLINK("https://stackoverflow.com/q/56635352", "56635352")</f>
        <v>56635352</v>
      </c>
      <c r="B3457" s="2" t="s">
        <v>3500</v>
      </c>
      <c r="C3457" s="3"/>
      <c r="D3457" s="3">
        <v>14.0</v>
      </c>
      <c r="E3457" s="2"/>
      <c r="F3457" s="2"/>
      <c r="G3457" s="2"/>
      <c r="H3457" s="2"/>
      <c r="I3457" s="2"/>
      <c r="J3457" s="2"/>
    </row>
    <row r="3458" ht="15.75" customHeight="1">
      <c r="A3458" s="4" t="str">
        <f>HYPERLINK("https://stackoverflow.com/q/56907474", "56907474")</f>
        <v>56907474</v>
      </c>
      <c r="B3458" s="2" t="s">
        <v>3501</v>
      </c>
      <c r="C3458" s="3"/>
      <c r="D3458" s="3">
        <v>14.0</v>
      </c>
      <c r="E3458" s="2"/>
      <c r="F3458" s="2"/>
      <c r="G3458" s="2"/>
      <c r="H3458" s="2"/>
      <c r="I3458" s="2"/>
      <c r="J3458" s="2"/>
    </row>
    <row r="3459" ht="15.75" customHeight="1">
      <c r="A3459" s="4" t="str">
        <f>HYPERLINK("https://stackoverflow.com/q/57279450", "57279450")</f>
        <v>57279450</v>
      </c>
      <c r="B3459" s="2" t="s">
        <v>3502</v>
      </c>
      <c r="C3459" s="3"/>
      <c r="D3459" s="3">
        <v>14.0</v>
      </c>
      <c r="E3459" s="2"/>
      <c r="F3459" s="2"/>
      <c r="G3459" s="2"/>
      <c r="H3459" s="2"/>
      <c r="I3459" s="2"/>
      <c r="J3459" s="2"/>
    </row>
    <row r="3460" ht="15.75" customHeight="1">
      <c r="A3460" s="4" t="str">
        <f>HYPERLINK("https://stackoverflow.com/q/58746612", "58746612")</f>
        <v>58746612</v>
      </c>
      <c r="B3460" s="2" t="s">
        <v>3503</v>
      </c>
      <c r="C3460" s="3"/>
      <c r="D3460" s="3">
        <v>14.0</v>
      </c>
      <c r="E3460" s="2"/>
      <c r="F3460" s="2"/>
      <c r="G3460" s="2"/>
      <c r="H3460" s="2"/>
      <c r="I3460" s="2"/>
      <c r="J3460" s="2"/>
    </row>
    <row r="3461" ht="15.75" customHeight="1">
      <c r="A3461" s="4" t="str">
        <f>HYPERLINK("https://stackoverflow.com/q/59784776", "59784776")</f>
        <v>59784776</v>
      </c>
      <c r="B3461" s="2" t="s">
        <v>3504</v>
      </c>
      <c r="C3461" s="3"/>
      <c r="D3461" s="3">
        <v>14.0</v>
      </c>
      <c r="E3461" s="2"/>
      <c r="F3461" s="2"/>
      <c r="G3461" s="2"/>
      <c r="H3461" s="2"/>
      <c r="I3461" s="2"/>
      <c r="J3461" s="2"/>
    </row>
    <row r="3462" ht="15.75" customHeight="1">
      <c r="A3462" s="4" t="str">
        <f>HYPERLINK("https://stackoverflow.com/q/60411724", "60411724")</f>
        <v>60411724</v>
      </c>
      <c r="B3462" s="2" t="s">
        <v>3505</v>
      </c>
      <c r="C3462" s="3"/>
      <c r="D3462" s="3">
        <v>14.0</v>
      </c>
      <c r="E3462" s="2"/>
      <c r="F3462" s="2"/>
      <c r="G3462" s="2"/>
      <c r="H3462" s="2"/>
      <c r="I3462" s="2"/>
      <c r="J3462" s="2"/>
    </row>
    <row r="3463" ht="15.75" customHeight="1">
      <c r="A3463" s="4" t="str">
        <f>HYPERLINK("https://stackoverflow.com/q/61074680", "61074680")</f>
        <v>61074680</v>
      </c>
      <c r="B3463" s="2" t="s">
        <v>3506</v>
      </c>
      <c r="C3463" s="3"/>
      <c r="D3463" s="3">
        <v>14.0</v>
      </c>
      <c r="E3463" s="2"/>
      <c r="F3463" s="2"/>
      <c r="G3463" s="2"/>
      <c r="H3463" s="2"/>
      <c r="I3463" s="2"/>
      <c r="J3463" s="2"/>
    </row>
    <row r="3464" ht="15.75" customHeight="1">
      <c r="A3464" s="4" t="str">
        <f>HYPERLINK("https://stackoverflow.com/q/61076786", "61076786")</f>
        <v>61076786</v>
      </c>
      <c r="B3464" s="2" t="s">
        <v>3507</v>
      </c>
      <c r="C3464" s="3"/>
      <c r="D3464" s="3">
        <v>14.0</v>
      </c>
      <c r="E3464" s="2"/>
      <c r="F3464" s="2"/>
      <c r="G3464" s="2"/>
      <c r="H3464" s="2"/>
      <c r="I3464" s="2"/>
      <c r="J3464" s="2"/>
    </row>
    <row r="3465" ht="15.75" customHeight="1">
      <c r="A3465" s="4" t="str">
        <f>HYPERLINK("https://stackoverflow.com/q/61078197", "61078197")</f>
        <v>61078197</v>
      </c>
      <c r="B3465" s="2" t="s">
        <v>3508</v>
      </c>
      <c r="C3465" s="3"/>
      <c r="D3465" s="3">
        <v>14.0</v>
      </c>
      <c r="E3465" s="2"/>
      <c r="F3465" s="2"/>
      <c r="G3465" s="2"/>
      <c r="H3465" s="2"/>
      <c r="I3465" s="2"/>
      <c r="J3465" s="2"/>
    </row>
    <row r="3466" ht="15.75" customHeight="1">
      <c r="A3466" s="4" t="str">
        <f>HYPERLINK("https://stackoverflow.com/q/61628400", "61628400")</f>
        <v>61628400</v>
      </c>
      <c r="B3466" s="2" t="s">
        <v>3509</v>
      </c>
      <c r="C3466" s="3"/>
      <c r="D3466" s="3">
        <v>14.0</v>
      </c>
      <c r="E3466" s="2"/>
      <c r="F3466" s="2"/>
      <c r="G3466" s="2"/>
      <c r="H3466" s="2"/>
      <c r="I3466" s="2"/>
      <c r="J3466" s="2"/>
    </row>
    <row r="3467" ht="15.75" customHeight="1">
      <c r="A3467" s="4" t="str">
        <f>HYPERLINK("https://stackoverflow.com/q/62074644", "62074644")</f>
        <v>62074644</v>
      </c>
      <c r="B3467" s="2" t="s">
        <v>3510</v>
      </c>
      <c r="C3467" s="3"/>
      <c r="D3467" s="3">
        <v>14.0</v>
      </c>
      <c r="E3467" s="2"/>
      <c r="F3467" s="2"/>
      <c r="G3467" s="2"/>
      <c r="H3467" s="2"/>
      <c r="I3467" s="2"/>
      <c r="J3467" s="2"/>
    </row>
    <row r="3468" ht="15.75" customHeight="1">
      <c r="A3468" s="4" t="str">
        <f>HYPERLINK("https://stackoverflow.com/q/61188935", "61188935")</f>
        <v>61188935</v>
      </c>
      <c r="B3468" s="2" t="s">
        <v>3511</v>
      </c>
      <c r="C3468" s="3"/>
      <c r="D3468" s="3">
        <v>13.0</v>
      </c>
      <c r="E3468" s="2" t="s">
        <v>11</v>
      </c>
      <c r="F3468" s="2" t="s">
        <v>25</v>
      </c>
      <c r="G3468" s="2"/>
      <c r="H3468" s="2"/>
      <c r="I3468" s="2"/>
      <c r="J3468" s="2"/>
    </row>
    <row r="3469" ht="15.75" customHeight="1">
      <c r="A3469" s="4" t="str">
        <f>HYPERLINK("https://stackoverflow.com/q/61207974", "61207974")</f>
        <v>61207974</v>
      </c>
      <c r="B3469" s="2" t="s">
        <v>3512</v>
      </c>
      <c r="C3469" s="3"/>
      <c r="D3469" s="3">
        <v>13.0</v>
      </c>
      <c r="E3469" s="2" t="s">
        <v>11</v>
      </c>
      <c r="F3469" s="2" t="s">
        <v>25</v>
      </c>
      <c r="G3469" s="2"/>
      <c r="H3469" s="2"/>
      <c r="I3469" s="2"/>
      <c r="J3469" s="2"/>
    </row>
    <row r="3470" ht="15.75" customHeight="1">
      <c r="A3470" s="4" t="str">
        <f>HYPERLINK("https://stackoverflow.com/q/61329104", "61329104")</f>
        <v>61329104</v>
      </c>
      <c r="B3470" s="2" t="s">
        <v>3513</v>
      </c>
      <c r="C3470" s="3"/>
      <c r="D3470" s="3">
        <v>13.0</v>
      </c>
      <c r="E3470" s="2" t="s">
        <v>11</v>
      </c>
      <c r="F3470" s="2" t="s">
        <v>30</v>
      </c>
      <c r="G3470" s="2"/>
      <c r="H3470" s="2"/>
      <c r="I3470" s="2"/>
      <c r="J3470" s="2"/>
    </row>
    <row r="3471" ht="15.75" customHeight="1">
      <c r="A3471" s="4" t="str">
        <f>HYPERLINK("https://stackoverflow.com/q/61363424", "61363424")</f>
        <v>61363424</v>
      </c>
      <c r="B3471" s="2" t="s">
        <v>3514</v>
      </c>
      <c r="C3471" s="3"/>
      <c r="D3471" s="3">
        <v>13.0</v>
      </c>
      <c r="E3471" s="2" t="s">
        <v>11</v>
      </c>
      <c r="F3471" s="2" t="s">
        <v>67</v>
      </c>
      <c r="G3471" s="2"/>
      <c r="H3471" s="2"/>
      <c r="I3471" s="2"/>
      <c r="J3471" s="2"/>
    </row>
    <row r="3472" ht="15.75" customHeight="1">
      <c r="A3472" s="4" t="str">
        <f>HYPERLINK("https://stackoverflow.com/q/61869531", "61869531")</f>
        <v>61869531</v>
      </c>
      <c r="B3472" s="2" t="s">
        <v>3515</v>
      </c>
      <c r="C3472" s="3"/>
      <c r="D3472" s="3">
        <v>13.0</v>
      </c>
      <c r="E3472" s="2" t="s">
        <v>86</v>
      </c>
      <c r="F3472" s="2" t="s">
        <v>87</v>
      </c>
      <c r="G3472" s="2"/>
      <c r="H3472" s="2"/>
      <c r="I3472" s="2"/>
      <c r="J3472" s="2"/>
    </row>
    <row r="3473" ht="15.75" customHeight="1">
      <c r="A3473" s="4" t="str">
        <f>HYPERLINK("https://stackoverflow.com/q/51150942", "51150942")</f>
        <v>51150942</v>
      </c>
      <c r="B3473" s="2" t="s">
        <v>3516</v>
      </c>
      <c r="C3473" s="3"/>
      <c r="D3473" s="3">
        <v>13.0</v>
      </c>
      <c r="E3473" s="2"/>
      <c r="F3473" s="2"/>
      <c r="G3473" s="2"/>
      <c r="H3473" s="2"/>
      <c r="I3473" s="2"/>
      <c r="J3473" s="2"/>
    </row>
    <row r="3474" ht="15.75" customHeight="1">
      <c r="A3474" s="4" t="str">
        <f>HYPERLINK("https://stackoverflow.com/q/56421760", "56421760")</f>
        <v>56421760</v>
      </c>
      <c r="B3474" s="2" t="s">
        <v>3517</v>
      </c>
      <c r="C3474" s="3"/>
      <c r="D3474" s="3">
        <v>13.0</v>
      </c>
      <c r="E3474" s="2"/>
      <c r="F3474" s="2"/>
      <c r="G3474" s="2"/>
      <c r="H3474" s="2"/>
      <c r="I3474" s="2"/>
      <c r="J3474" s="2"/>
    </row>
    <row r="3475" ht="15.75" customHeight="1">
      <c r="A3475" s="4" t="str">
        <f>HYPERLINK("https://stackoverflow.com/q/56551738", "56551738")</f>
        <v>56551738</v>
      </c>
      <c r="B3475" s="2" t="s">
        <v>3518</v>
      </c>
      <c r="C3475" s="3"/>
      <c r="D3475" s="3">
        <v>13.0</v>
      </c>
      <c r="E3475" s="2"/>
      <c r="F3475" s="2"/>
      <c r="G3475" s="2"/>
      <c r="H3475" s="2"/>
      <c r="I3475" s="2"/>
      <c r="J3475" s="2"/>
    </row>
    <row r="3476" ht="15.75" customHeight="1">
      <c r="A3476" s="4" t="str">
        <f>HYPERLINK("https://stackoverflow.com/q/57169785", "57169785")</f>
        <v>57169785</v>
      </c>
      <c r="B3476" s="2" t="s">
        <v>3519</v>
      </c>
      <c r="C3476" s="3"/>
      <c r="D3476" s="3">
        <v>13.0</v>
      </c>
      <c r="E3476" s="2"/>
      <c r="F3476" s="2"/>
      <c r="G3476" s="2"/>
      <c r="H3476" s="2"/>
      <c r="I3476" s="2"/>
      <c r="J3476" s="2"/>
    </row>
    <row r="3477" ht="15.75" customHeight="1">
      <c r="A3477" s="4" t="str">
        <f>HYPERLINK("https://stackoverflow.com/q/57204867", "57204867")</f>
        <v>57204867</v>
      </c>
      <c r="B3477" s="2" t="s">
        <v>3520</v>
      </c>
      <c r="C3477" s="3"/>
      <c r="D3477" s="3">
        <v>13.0</v>
      </c>
      <c r="E3477" s="2"/>
      <c r="F3477" s="2"/>
      <c r="G3477" s="2"/>
      <c r="H3477" s="2"/>
      <c r="I3477" s="2"/>
      <c r="J3477" s="2"/>
    </row>
    <row r="3478" ht="15.75" customHeight="1">
      <c r="A3478" s="4" t="str">
        <f>HYPERLINK("https://stackoverflow.com/q/57535384", "57535384")</f>
        <v>57535384</v>
      </c>
      <c r="B3478" s="2" t="s">
        <v>3521</v>
      </c>
      <c r="C3478" s="3"/>
      <c r="D3478" s="3">
        <v>13.0</v>
      </c>
      <c r="E3478" s="2"/>
      <c r="F3478" s="2"/>
      <c r="G3478" s="2"/>
      <c r="H3478" s="2"/>
      <c r="I3478" s="2"/>
      <c r="J3478" s="2"/>
    </row>
    <row r="3479" ht="15.75" customHeight="1">
      <c r="A3479" s="4" t="str">
        <f>HYPERLINK("https://stackoverflow.com/q/58004855", "58004855")</f>
        <v>58004855</v>
      </c>
      <c r="B3479" s="2" t="s">
        <v>3522</v>
      </c>
      <c r="C3479" s="3"/>
      <c r="D3479" s="3">
        <v>13.0</v>
      </c>
      <c r="E3479" s="2"/>
      <c r="F3479" s="2"/>
      <c r="G3479" s="2"/>
      <c r="H3479" s="2"/>
      <c r="I3479" s="2"/>
      <c r="J3479" s="2"/>
    </row>
    <row r="3480" ht="15.75" customHeight="1">
      <c r="A3480" s="4" t="str">
        <f>HYPERLINK("https://stackoverflow.com/q/58973104", "58973104")</f>
        <v>58973104</v>
      </c>
      <c r="B3480" s="2" t="s">
        <v>3523</v>
      </c>
      <c r="C3480" s="3"/>
      <c r="D3480" s="3">
        <v>13.0</v>
      </c>
      <c r="E3480" s="2"/>
      <c r="F3480" s="2"/>
      <c r="G3480" s="2"/>
      <c r="H3480" s="2"/>
      <c r="I3480" s="2"/>
      <c r="J3480" s="2"/>
    </row>
    <row r="3481" ht="15.75" customHeight="1">
      <c r="A3481" s="4" t="str">
        <f>HYPERLINK("https://stackoverflow.com/q/59320807", "59320807")</f>
        <v>59320807</v>
      </c>
      <c r="B3481" s="2" t="s">
        <v>3524</v>
      </c>
      <c r="C3481" s="3"/>
      <c r="D3481" s="3">
        <v>13.0</v>
      </c>
      <c r="E3481" s="2"/>
      <c r="F3481" s="2"/>
      <c r="G3481" s="2"/>
      <c r="H3481" s="2"/>
      <c r="I3481" s="2"/>
      <c r="J3481" s="2"/>
    </row>
    <row r="3482" ht="15.75" customHeight="1">
      <c r="A3482" s="4" t="str">
        <f>HYPERLINK("https://stackoverflow.com/q/59771209", "59771209")</f>
        <v>59771209</v>
      </c>
      <c r="B3482" s="2" t="s">
        <v>3525</v>
      </c>
      <c r="C3482" s="3"/>
      <c r="D3482" s="3">
        <v>13.0</v>
      </c>
      <c r="E3482" s="2"/>
      <c r="F3482" s="2"/>
      <c r="G3482" s="2"/>
      <c r="H3482" s="2"/>
      <c r="I3482" s="2"/>
      <c r="J3482" s="2"/>
    </row>
    <row r="3483" ht="15.75" customHeight="1">
      <c r="A3483" s="4" t="str">
        <f>HYPERLINK("https://stackoverflow.com/q/60005599", "60005599")</f>
        <v>60005599</v>
      </c>
      <c r="B3483" s="2" t="s">
        <v>3526</v>
      </c>
      <c r="C3483" s="3"/>
      <c r="D3483" s="3">
        <v>13.0</v>
      </c>
      <c r="E3483" s="2"/>
      <c r="F3483" s="2"/>
      <c r="G3483" s="2"/>
      <c r="H3483" s="2"/>
      <c r="I3483" s="2"/>
      <c r="J3483" s="2"/>
    </row>
    <row r="3484" ht="15.75" customHeight="1">
      <c r="A3484" s="4" t="str">
        <f>HYPERLINK("https://stackoverflow.com/q/60168595", "60168595")</f>
        <v>60168595</v>
      </c>
      <c r="B3484" s="2" t="s">
        <v>3527</v>
      </c>
      <c r="C3484" s="3"/>
      <c r="D3484" s="3">
        <v>13.0</v>
      </c>
      <c r="E3484" s="2"/>
      <c r="F3484" s="2"/>
      <c r="G3484" s="2"/>
      <c r="H3484" s="2"/>
      <c r="I3484" s="2"/>
      <c r="J3484" s="2"/>
    </row>
    <row r="3485" ht="15.75" customHeight="1">
      <c r="A3485" s="4" t="str">
        <f>HYPERLINK("https://stackoverflow.com/q/60455349", "60455349")</f>
        <v>60455349</v>
      </c>
      <c r="B3485" s="2" t="s">
        <v>3528</v>
      </c>
      <c r="C3485" s="3"/>
      <c r="D3485" s="3">
        <v>13.0</v>
      </c>
      <c r="E3485" s="2"/>
      <c r="F3485" s="2"/>
      <c r="G3485" s="2"/>
      <c r="H3485" s="2"/>
      <c r="I3485" s="2"/>
      <c r="J3485" s="2"/>
    </row>
    <row r="3486" ht="15.75" customHeight="1">
      <c r="A3486" s="4" t="str">
        <f>HYPERLINK("https://stackoverflow.com/q/60672693", "60672693")</f>
        <v>60672693</v>
      </c>
      <c r="B3486" s="2" t="s">
        <v>3529</v>
      </c>
      <c r="C3486" s="3"/>
      <c r="D3486" s="3">
        <v>13.0</v>
      </c>
      <c r="E3486" s="2"/>
      <c r="F3486" s="2"/>
      <c r="G3486" s="2"/>
      <c r="H3486" s="2"/>
      <c r="I3486" s="2"/>
      <c r="J3486" s="2"/>
    </row>
    <row r="3487" ht="15.75" customHeight="1">
      <c r="A3487" s="4" t="str">
        <f>HYPERLINK("https://stackoverflow.com/q/60836488", "60836488")</f>
        <v>60836488</v>
      </c>
      <c r="B3487" s="2" t="s">
        <v>3530</v>
      </c>
      <c r="C3487" s="3"/>
      <c r="D3487" s="3">
        <v>13.0</v>
      </c>
      <c r="E3487" s="2"/>
      <c r="F3487" s="2"/>
      <c r="G3487" s="2"/>
      <c r="H3487" s="2"/>
      <c r="I3487" s="2"/>
      <c r="J3487" s="2"/>
    </row>
    <row r="3488" ht="15.75" customHeight="1">
      <c r="A3488" s="4" t="str">
        <f>HYPERLINK("https://stackoverflow.com/q/60986606", "60986606")</f>
        <v>60986606</v>
      </c>
      <c r="B3488" s="2" t="s">
        <v>3531</v>
      </c>
      <c r="C3488" s="3"/>
      <c r="D3488" s="3">
        <v>13.0</v>
      </c>
      <c r="E3488" s="2"/>
      <c r="F3488" s="2"/>
      <c r="G3488" s="2"/>
      <c r="H3488" s="2"/>
      <c r="I3488" s="2"/>
      <c r="J3488" s="2"/>
    </row>
    <row r="3489" ht="15.75" customHeight="1">
      <c r="A3489" s="4" t="str">
        <f>HYPERLINK("https://stackoverflow.com/q/61088814", "61088814")</f>
        <v>61088814</v>
      </c>
      <c r="B3489" s="2" t="s">
        <v>3532</v>
      </c>
      <c r="C3489" s="3"/>
      <c r="D3489" s="3">
        <v>13.0</v>
      </c>
      <c r="E3489" s="2"/>
      <c r="F3489" s="2"/>
      <c r="G3489" s="2"/>
      <c r="H3489" s="2"/>
      <c r="I3489" s="2"/>
      <c r="J3489" s="2"/>
    </row>
    <row r="3490" ht="15.75" customHeight="1">
      <c r="A3490" s="4" t="str">
        <f>HYPERLINK("https://stackoverflow.com/q/61579511", "61579511")</f>
        <v>61579511</v>
      </c>
      <c r="B3490" s="2" t="s">
        <v>3533</v>
      </c>
      <c r="C3490" s="3"/>
      <c r="D3490" s="3">
        <v>13.0</v>
      </c>
      <c r="E3490" s="2"/>
      <c r="F3490" s="2"/>
      <c r="G3490" s="2"/>
      <c r="H3490" s="2"/>
      <c r="I3490" s="2"/>
      <c r="J3490" s="2"/>
    </row>
    <row r="3491" ht="15.75" customHeight="1">
      <c r="A3491" s="4" t="str">
        <f>HYPERLINK("https://stackoverflow.com/q/61626875", "61626875")</f>
        <v>61626875</v>
      </c>
      <c r="B3491" s="2" t="s">
        <v>3534</v>
      </c>
      <c r="C3491" s="3"/>
      <c r="D3491" s="3">
        <v>13.0</v>
      </c>
      <c r="E3491" s="2"/>
      <c r="F3491" s="2"/>
      <c r="G3491" s="2"/>
      <c r="H3491" s="2"/>
      <c r="I3491" s="2"/>
      <c r="J3491" s="2"/>
    </row>
    <row r="3492" ht="15.75" customHeight="1">
      <c r="A3492" s="4" t="str">
        <f>HYPERLINK("https://stackoverflow.com/q/61639444", "61639444")</f>
        <v>61639444</v>
      </c>
      <c r="B3492" s="2" t="s">
        <v>3535</v>
      </c>
      <c r="C3492" s="3"/>
      <c r="D3492" s="3">
        <v>13.0</v>
      </c>
      <c r="E3492" s="2"/>
      <c r="F3492" s="2"/>
      <c r="G3492" s="2"/>
      <c r="H3492" s="2"/>
      <c r="I3492" s="2"/>
      <c r="J3492" s="2"/>
    </row>
    <row r="3493" ht="15.75" customHeight="1">
      <c r="A3493" s="4" t="str">
        <f>HYPERLINK("https://stackoverflow.com/q/62099257", "62099257")</f>
        <v>62099257</v>
      </c>
      <c r="B3493" s="2" t="s">
        <v>3536</v>
      </c>
      <c r="C3493" s="3"/>
      <c r="D3493" s="3">
        <v>13.0</v>
      </c>
      <c r="E3493" s="2"/>
      <c r="F3493" s="2"/>
      <c r="G3493" s="2"/>
      <c r="H3493" s="2"/>
      <c r="I3493" s="2"/>
      <c r="J3493" s="2"/>
    </row>
    <row r="3494" ht="15.75" customHeight="1">
      <c r="A3494" s="4" t="str">
        <f>HYPERLINK("https://stackoverflow.com/q/55418261", "55418261")</f>
        <v>55418261</v>
      </c>
      <c r="B3494" s="2" t="s">
        <v>3537</v>
      </c>
      <c r="C3494" s="3"/>
      <c r="D3494" s="3">
        <v>12.0</v>
      </c>
      <c r="E3494" s="2" t="s">
        <v>11</v>
      </c>
      <c r="F3494" s="2" t="s">
        <v>35</v>
      </c>
      <c r="G3494" s="2"/>
      <c r="H3494" s="2"/>
      <c r="I3494" s="2"/>
      <c r="J3494" s="2"/>
    </row>
    <row r="3495" ht="15.75" customHeight="1">
      <c r="A3495" s="4" t="str">
        <f>HYPERLINK("https://stackoverflow.com/q/61668245", "61668245")</f>
        <v>61668245</v>
      </c>
      <c r="B3495" s="2" t="s">
        <v>3538</v>
      </c>
      <c r="C3495" s="3"/>
      <c r="D3495" s="3">
        <v>12.0</v>
      </c>
      <c r="E3495" s="2" t="s">
        <v>11</v>
      </c>
      <c r="F3495" s="2" t="s">
        <v>14</v>
      </c>
      <c r="G3495" s="2"/>
      <c r="H3495" s="2"/>
      <c r="I3495" s="2"/>
      <c r="J3495" s="2"/>
    </row>
    <row r="3496" ht="15.75" customHeight="1">
      <c r="A3496" s="4" t="str">
        <f>HYPERLINK("https://stackoverflow.com/q/61671196", "61671196")</f>
        <v>61671196</v>
      </c>
      <c r="B3496" s="2" t="s">
        <v>3539</v>
      </c>
      <c r="C3496" s="3"/>
      <c r="D3496" s="3">
        <v>12.0</v>
      </c>
      <c r="E3496" s="2" t="s">
        <v>11</v>
      </c>
      <c r="F3496" s="2" t="s">
        <v>25</v>
      </c>
      <c r="G3496" s="2"/>
      <c r="H3496" s="2"/>
      <c r="I3496" s="2"/>
      <c r="J3496" s="2"/>
    </row>
    <row r="3497" ht="15.75" customHeight="1">
      <c r="A3497" s="4" t="str">
        <f>HYPERLINK("https://stackoverflow.com/q/61672841", "61672841")</f>
        <v>61672841</v>
      </c>
      <c r="B3497" s="2" t="s">
        <v>3540</v>
      </c>
      <c r="C3497" s="3"/>
      <c r="D3497" s="3">
        <v>12.0</v>
      </c>
      <c r="E3497" s="2" t="s">
        <v>11</v>
      </c>
      <c r="F3497" s="2" t="s">
        <v>12</v>
      </c>
      <c r="G3497" s="2"/>
      <c r="H3497" s="2"/>
      <c r="I3497" s="2"/>
      <c r="J3497" s="2"/>
    </row>
    <row r="3498" ht="15.75" customHeight="1">
      <c r="A3498" s="4" t="str">
        <f>HYPERLINK("https://stackoverflow.com/q/61683219", "61683219")</f>
        <v>61683219</v>
      </c>
      <c r="B3498" s="2" t="s">
        <v>3541</v>
      </c>
      <c r="C3498" s="3"/>
      <c r="D3498" s="3">
        <v>12.0</v>
      </c>
      <c r="E3498" s="2" t="s">
        <v>11</v>
      </c>
      <c r="F3498" s="2" t="s">
        <v>56</v>
      </c>
      <c r="G3498" s="2"/>
      <c r="H3498" s="2"/>
      <c r="I3498" s="2"/>
      <c r="J3498" s="2"/>
    </row>
    <row r="3499" ht="15.75" customHeight="1">
      <c r="A3499" s="4" t="str">
        <f>HYPERLINK("https://stackoverflow.com/q/61685582", "61685582")</f>
        <v>61685582</v>
      </c>
      <c r="B3499" s="2" t="s">
        <v>3542</v>
      </c>
      <c r="C3499" s="3"/>
      <c r="D3499" s="3">
        <v>12.0</v>
      </c>
      <c r="E3499" s="2" t="s">
        <v>11</v>
      </c>
      <c r="F3499" s="2" t="s">
        <v>25</v>
      </c>
      <c r="G3499" s="2"/>
      <c r="H3499" s="2"/>
      <c r="I3499" s="2"/>
      <c r="J3499" s="2"/>
    </row>
    <row r="3500" ht="15.75" customHeight="1">
      <c r="A3500" s="4" t="str">
        <f>HYPERLINK("https://stackoverflow.com/q/61735365", "61735365")</f>
        <v>61735365</v>
      </c>
      <c r="B3500" s="2" t="s">
        <v>3543</v>
      </c>
      <c r="C3500" s="3"/>
      <c r="D3500" s="3">
        <v>12.0</v>
      </c>
      <c r="E3500" s="2" t="s">
        <v>11</v>
      </c>
      <c r="F3500" s="2" t="s">
        <v>12</v>
      </c>
      <c r="G3500" s="2"/>
      <c r="H3500" s="2"/>
      <c r="I3500" s="2"/>
      <c r="J3500" s="2"/>
    </row>
    <row r="3501" ht="15.75" customHeight="1">
      <c r="A3501" s="4" t="str">
        <f>HYPERLINK("https://stackoverflow.com/q/61915796", "61915796")</f>
        <v>61915796</v>
      </c>
      <c r="B3501" s="2" t="s">
        <v>3544</v>
      </c>
      <c r="C3501" s="3"/>
      <c r="D3501" s="3">
        <v>12.0</v>
      </c>
      <c r="E3501" s="2" t="s">
        <v>11</v>
      </c>
      <c r="F3501" s="2" t="s">
        <v>67</v>
      </c>
      <c r="G3501" s="2"/>
      <c r="H3501" s="2"/>
      <c r="I3501" s="2"/>
      <c r="J3501" s="2"/>
    </row>
    <row r="3502" ht="15.75" customHeight="1">
      <c r="A3502" s="4" t="str">
        <f>HYPERLINK("https://stackoverflow.com/q/62022772", "62022772")</f>
        <v>62022772</v>
      </c>
      <c r="B3502" s="2" t="s">
        <v>3545</v>
      </c>
      <c r="C3502" s="3"/>
      <c r="D3502" s="3">
        <v>12.0</v>
      </c>
      <c r="E3502" s="9" t="s">
        <v>11</v>
      </c>
      <c r="F3502" s="2" t="s">
        <v>18</v>
      </c>
      <c r="G3502" s="2"/>
      <c r="H3502" s="2"/>
      <c r="I3502" s="2"/>
      <c r="J3502" s="2"/>
    </row>
    <row r="3503" ht="15.75" customHeight="1">
      <c r="A3503" s="4" t="str">
        <f>HYPERLINK("https://stackoverflow.com/q/58429974", "58429974")</f>
        <v>58429974</v>
      </c>
      <c r="B3503" s="2" t="s">
        <v>3546</v>
      </c>
      <c r="C3503" s="3"/>
      <c r="D3503" s="3">
        <v>12.0</v>
      </c>
      <c r="E3503" s="2" t="s">
        <v>537</v>
      </c>
      <c r="F3503" s="2" t="s">
        <v>183</v>
      </c>
      <c r="G3503" s="2"/>
      <c r="H3503" s="2"/>
      <c r="I3503" s="2"/>
      <c r="J3503" s="2"/>
    </row>
    <row r="3504" ht="15.75" customHeight="1">
      <c r="A3504" s="4" t="str">
        <f>HYPERLINK("https://stackoverflow.com/q/50450644", "50450644")</f>
        <v>50450644</v>
      </c>
      <c r="B3504" s="2" t="s">
        <v>3547</v>
      </c>
      <c r="C3504" s="3"/>
      <c r="D3504" s="3">
        <v>12.0</v>
      </c>
      <c r="E3504" s="2"/>
      <c r="F3504" s="2"/>
      <c r="G3504" s="2"/>
      <c r="H3504" s="2"/>
      <c r="I3504" s="2"/>
      <c r="J3504" s="2"/>
    </row>
    <row r="3505" ht="15.75" customHeight="1">
      <c r="A3505" s="4" t="str">
        <f>HYPERLINK("https://stackoverflow.com/q/57557137", "57557137")</f>
        <v>57557137</v>
      </c>
      <c r="B3505" s="2" t="s">
        <v>3548</v>
      </c>
      <c r="C3505" s="3"/>
      <c r="D3505" s="3">
        <v>12.0</v>
      </c>
      <c r="E3505" s="2"/>
      <c r="F3505" s="2"/>
      <c r="G3505" s="2"/>
      <c r="H3505" s="2"/>
      <c r="I3505" s="2"/>
      <c r="J3505" s="2"/>
    </row>
    <row r="3506" ht="15.75" customHeight="1">
      <c r="A3506" s="4" t="str">
        <f>HYPERLINK("https://stackoverflow.com/q/58058193", "58058193")</f>
        <v>58058193</v>
      </c>
      <c r="B3506" s="2" t="s">
        <v>3549</v>
      </c>
      <c r="C3506" s="3"/>
      <c r="D3506" s="3">
        <v>12.0</v>
      </c>
      <c r="E3506" s="2"/>
      <c r="F3506" s="2"/>
      <c r="G3506" s="2"/>
      <c r="H3506" s="2"/>
      <c r="I3506" s="2"/>
      <c r="J3506" s="2"/>
    </row>
    <row r="3507" ht="15.75" customHeight="1">
      <c r="A3507" s="4" t="str">
        <f>HYPERLINK("https://stackoverflow.com/q/58927482", "58927482")</f>
        <v>58927482</v>
      </c>
      <c r="B3507" s="2" t="s">
        <v>3550</v>
      </c>
      <c r="C3507" s="3"/>
      <c r="D3507" s="3">
        <v>12.0</v>
      </c>
      <c r="E3507" s="2"/>
      <c r="F3507" s="2"/>
      <c r="G3507" s="2"/>
      <c r="H3507" s="2"/>
      <c r="I3507" s="2"/>
      <c r="J3507" s="2"/>
    </row>
    <row r="3508" ht="15.75" customHeight="1">
      <c r="A3508" s="4" t="str">
        <f>HYPERLINK("https://stackoverflow.com/q/59880170", "59880170")</f>
        <v>59880170</v>
      </c>
      <c r="B3508" s="2" t="s">
        <v>3551</v>
      </c>
      <c r="C3508" s="3"/>
      <c r="D3508" s="3">
        <v>12.0</v>
      </c>
      <c r="E3508" s="2"/>
      <c r="F3508" s="2"/>
      <c r="G3508" s="2"/>
      <c r="H3508" s="2"/>
      <c r="I3508" s="2"/>
      <c r="J3508" s="2"/>
    </row>
    <row r="3509" ht="15.75" customHeight="1">
      <c r="A3509" s="4" t="str">
        <f>HYPERLINK("https://stackoverflow.com/q/60551702", "60551702")</f>
        <v>60551702</v>
      </c>
      <c r="B3509" s="2" t="s">
        <v>3552</v>
      </c>
      <c r="C3509" s="3"/>
      <c r="D3509" s="3">
        <v>12.0</v>
      </c>
      <c r="E3509" s="2"/>
      <c r="F3509" s="2"/>
      <c r="G3509" s="2"/>
      <c r="H3509" s="2"/>
      <c r="I3509" s="2"/>
      <c r="J3509" s="2"/>
    </row>
    <row r="3510" ht="15.75" customHeight="1">
      <c r="A3510" s="4" t="str">
        <f>HYPERLINK("https://stackoverflow.com/q/60706026", "60706026")</f>
        <v>60706026</v>
      </c>
      <c r="B3510" s="2" t="s">
        <v>3553</v>
      </c>
      <c r="C3510" s="3"/>
      <c r="D3510" s="3">
        <v>12.0</v>
      </c>
      <c r="E3510" s="2"/>
      <c r="F3510" s="2"/>
      <c r="G3510" s="2"/>
      <c r="H3510" s="2"/>
      <c r="I3510" s="2"/>
      <c r="J3510" s="2"/>
    </row>
    <row r="3511" ht="15.75" customHeight="1">
      <c r="A3511" s="4" t="str">
        <f>HYPERLINK("https://stackoverflow.com/q/60772816", "60772816")</f>
        <v>60772816</v>
      </c>
      <c r="B3511" s="2" t="s">
        <v>3554</v>
      </c>
      <c r="C3511" s="3"/>
      <c r="D3511" s="3">
        <v>12.0</v>
      </c>
      <c r="E3511" s="2"/>
      <c r="F3511" s="2"/>
      <c r="G3511" s="2"/>
      <c r="H3511" s="2"/>
      <c r="I3511" s="2"/>
      <c r="J3511" s="2"/>
    </row>
    <row r="3512" ht="15.75" customHeight="1">
      <c r="A3512" s="4" t="str">
        <f>HYPERLINK("https://stackoverflow.com/q/61016404", "61016404")</f>
        <v>61016404</v>
      </c>
      <c r="B3512" s="2" t="s">
        <v>3555</v>
      </c>
      <c r="C3512" s="3"/>
      <c r="D3512" s="3">
        <v>12.0</v>
      </c>
      <c r="E3512" s="2"/>
      <c r="F3512" s="2"/>
      <c r="G3512" s="2"/>
      <c r="H3512" s="2"/>
      <c r="I3512" s="2"/>
      <c r="J3512" s="2"/>
    </row>
    <row r="3513" ht="15.75" customHeight="1">
      <c r="A3513" s="4" t="str">
        <f>HYPERLINK("https://stackoverflow.com/q/61531727", "61531727")</f>
        <v>61531727</v>
      </c>
      <c r="B3513" s="2" t="s">
        <v>3556</v>
      </c>
      <c r="C3513" s="3"/>
      <c r="D3513" s="3">
        <v>12.0</v>
      </c>
      <c r="E3513" s="2"/>
      <c r="F3513" s="2"/>
      <c r="G3513" s="2"/>
      <c r="H3513" s="2"/>
      <c r="I3513" s="2"/>
      <c r="J3513" s="2"/>
    </row>
    <row r="3514" ht="15.75" customHeight="1">
      <c r="A3514" s="4" t="str">
        <f>HYPERLINK("https://stackoverflow.com/q/61242253", "61242253")</f>
        <v>61242253</v>
      </c>
      <c r="B3514" s="2" t="s">
        <v>3557</v>
      </c>
      <c r="C3514" s="3"/>
      <c r="D3514" s="3">
        <v>11.0</v>
      </c>
      <c r="E3514" s="2" t="s">
        <v>11</v>
      </c>
      <c r="F3514" s="2" t="s">
        <v>67</v>
      </c>
      <c r="G3514" s="2"/>
      <c r="H3514" s="2"/>
      <c r="I3514" s="2"/>
      <c r="J3514" s="2"/>
    </row>
    <row r="3515" ht="15.75" customHeight="1">
      <c r="A3515" s="4" t="str">
        <f>HYPERLINK("https://stackoverflow.com/q/61282234", "61282234")</f>
        <v>61282234</v>
      </c>
      <c r="B3515" s="2" t="s">
        <v>3558</v>
      </c>
      <c r="C3515" s="3"/>
      <c r="D3515" s="3">
        <v>11.0</v>
      </c>
      <c r="E3515" s="2" t="s">
        <v>11</v>
      </c>
      <c r="F3515" s="2" t="s">
        <v>25</v>
      </c>
      <c r="G3515" s="2"/>
      <c r="H3515" s="2"/>
      <c r="I3515" s="2"/>
      <c r="J3515" s="2"/>
    </row>
    <row r="3516" ht="15.75" customHeight="1">
      <c r="A3516" s="4" t="str">
        <f>HYPERLINK("https://stackoverflow.com/q/61327724", "61327724")</f>
        <v>61327724</v>
      </c>
      <c r="B3516" s="2" t="s">
        <v>3559</v>
      </c>
      <c r="C3516" s="3"/>
      <c r="D3516" s="3">
        <v>11.0</v>
      </c>
      <c r="E3516" s="2" t="s">
        <v>11</v>
      </c>
      <c r="F3516" s="2" t="s">
        <v>28</v>
      </c>
      <c r="G3516" s="2"/>
      <c r="H3516" s="2"/>
      <c r="I3516" s="2"/>
      <c r="J3516" s="2"/>
    </row>
    <row r="3517" ht="15.75" customHeight="1">
      <c r="A3517" s="4" t="str">
        <f>HYPERLINK("https://stackoverflow.com/q/61729009", "61729009")</f>
        <v>61729009</v>
      </c>
      <c r="B3517" s="2" t="s">
        <v>3560</v>
      </c>
      <c r="C3517" s="3"/>
      <c r="D3517" s="3">
        <v>11.0</v>
      </c>
      <c r="E3517" s="2" t="s">
        <v>11</v>
      </c>
      <c r="F3517" s="2" t="s">
        <v>14</v>
      </c>
      <c r="G3517" s="2"/>
      <c r="H3517" s="2"/>
      <c r="I3517" s="2"/>
      <c r="J3517" s="2"/>
    </row>
    <row r="3518" ht="15.75" customHeight="1">
      <c r="A3518" s="4" t="str">
        <f>HYPERLINK("https://stackoverflow.com/q/62020069", "62020069")</f>
        <v>62020069</v>
      </c>
      <c r="B3518" s="2" t="s">
        <v>3561</v>
      </c>
      <c r="C3518" s="3"/>
      <c r="D3518" s="3">
        <v>11.0</v>
      </c>
      <c r="E3518" s="2" t="s">
        <v>11</v>
      </c>
      <c r="F3518" s="2" t="s">
        <v>84</v>
      </c>
      <c r="G3518" s="2"/>
      <c r="H3518" s="2"/>
      <c r="I3518" s="2"/>
      <c r="J3518" s="2"/>
    </row>
    <row r="3519" ht="15.75" customHeight="1">
      <c r="A3519" s="4" t="str">
        <f>HYPERLINK("https://stackoverflow.com/q/62020899", "62020899")</f>
        <v>62020899</v>
      </c>
      <c r="B3519" s="2" t="s">
        <v>3562</v>
      </c>
      <c r="C3519" s="3"/>
      <c r="D3519" s="3">
        <v>11.0</v>
      </c>
      <c r="E3519" s="2" t="s">
        <v>11</v>
      </c>
      <c r="F3519" s="2" t="s">
        <v>21</v>
      </c>
      <c r="G3519" s="2"/>
      <c r="H3519" s="2"/>
      <c r="I3519" s="2"/>
      <c r="J3519" s="2"/>
    </row>
    <row r="3520" ht="15.75" customHeight="1">
      <c r="A3520" s="4" t="str">
        <f>HYPERLINK("https://stackoverflow.com/q/62066602", "62066602")</f>
        <v>62066602</v>
      </c>
      <c r="B3520" s="2" t="s">
        <v>3563</v>
      </c>
      <c r="C3520" s="3"/>
      <c r="D3520" s="3">
        <v>11.0</v>
      </c>
      <c r="E3520" s="2" t="s">
        <v>11</v>
      </c>
      <c r="F3520" s="2" t="s">
        <v>84</v>
      </c>
      <c r="G3520" s="2"/>
      <c r="H3520" s="2"/>
      <c r="I3520" s="2"/>
      <c r="J3520" s="2"/>
    </row>
    <row r="3521" ht="15.75" customHeight="1">
      <c r="A3521" s="4" t="str">
        <f>HYPERLINK("https://stackoverflow.com/q/61920382", "61920382")</f>
        <v>61920382</v>
      </c>
      <c r="B3521" s="2" t="s">
        <v>3564</v>
      </c>
      <c r="C3521" s="3"/>
      <c r="D3521" s="3">
        <v>11.0</v>
      </c>
      <c r="E3521" s="2" t="s">
        <v>86</v>
      </c>
      <c r="F3521" s="2" t="s">
        <v>87</v>
      </c>
      <c r="G3521" s="2"/>
      <c r="H3521" s="2"/>
      <c r="I3521" s="2"/>
      <c r="J3521" s="2"/>
    </row>
    <row r="3522" ht="15.75" customHeight="1">
      <c r="A3522" s="4" t="str">
        <f>HYPERLINK("https://stackoverflow.com/q/57892682", "57892682")</f>
        <v>57892682</v>
      </c>
      <c r="B3522" s="2" t="s">
        <v>3565</v>
      </c>
      <c r="C3522" s="3"/>
      <c r="D3522" s="3">
        <v>11.0</v>
      </c>
      <c r="E3522" s="2"/>
      <c r="F3522" s="2"/>
      <c r="G3522" s="2"/>
      <c r="H3522" s="2"/>
      <c r="I3522" s="2"/>
      <c r="J3522" s="2"/>
    </row>
    <row r="3523" ht="15.75" customHeight="1">
      <c r="A3523" s="4" t="str">
        <f>HYPERLINK("https://stackoverflow.com/q/58090993", "58090993")</f>
        <v>58090993</v>
      </c>
      <c r="B3523" s="2" t="s">
        <v>3566</v>
      </c>
      <c r="C3523" s="3"/>
      <c r="D3523" s="3">
        <v>11.0</v>
      </c>
      <c r="E3523" s="2"/>
      <c r="F3523" s="2"/>
      <c r="G3523" s="2"/>
      <c r="H3523" s="2"/>
      <c r="I3523" s="2"/>
      <c r="J3523" s="2"/>
    </row>
    <row r="3524" ht="15.75" customHeight="1">
      <c r="A3524" s="4" t="str">
        <f>HYPERLINK("https://stackoverflow.com/q/58328684", "58328684")</f>
        <v>58328684</v>
      </c>
      <c r="B3524" s="2" t="s">
        <v>3567</v>
      </c>
      <c r="C3524" s="3"/>
      <c r="D3524" s="3">
        <v>11.0</v>
      </c>
      <c r="E3524" s="2"/>
      <c r="F3524" s="2"/>
      <c r="G3524" s="2"/>
      <c r="H3524" s="2"/>
      <c r="I3524" s="2"/>
      <c r="J3524" s="2"/>
    </row>
    <row r="3525" ht="15.75" customHeight="1">
      <c r="A3525" s="4" t="str">
        <f>HYPERLINK("https://stackoverflow.com/q/59926810", "59926810")</f>
        <v>59926810</v>
      </c>
      <c r="B3525" s="2" t="s">
        <v>3568</v>
      </c>
      <c r="C3525" s="3"/>
      <c r="D3525" s="3">
        <v>11.0</v>
      </c>
      <c r="E3525" s="2"/>
      <c r="F3525" s="2"/>
      <c r="G3525" s="2"/>
      <c r="H3525" s="2"/>
      <c r="I3525" s="2"/>
      <c r="J3525" s="2"/>
    </row>
    <row r="3526" ht="15.75" customHeight="1">
      <c r="A3526" s="4" t="str">
        <f>HYPERLINK("https://stackoverflow.com/q/61489793", "61489793")</f>
        <v>61489793</v>
      </c>
      <c r="B3526" s="2" t="s">
        <v>3569</v>
      </c>
      <c r="C3526" s="3"/>
      <c r="D3526" s="3">
        <v>11.0</v>
      </c>
      <c r="E3526" s="2"/>
      <c r="F3526" s="2"/>
      <c r="G3526" s="2"/>
      <c r="H3526" s="2"/>
      <c r="I3526" s="2"/>
      <c r="J3526" s="2"/>
    </row>
    <row r="3527" ht="15.75" customHeight="1">
      <c r="A3527" s="4" t="str">
        <f>HYPERLINK("https://stackoverflow.com/q/62076983", "62076983")</f>
        <v>62076983</v>
      </c>
      <c r="B3527" s="2" t="s">
        <v>3570</v>
      </c>
      <c r="C3527" s="3"/>
      <c r="D3527" s="3">
        <v>11.0</v>
      </c>
      <c r="E3527" s="2"/>
      <c r="F3527" s="2"/>
      <c r="G3527" s="2"/>
      <c r="H3527" s="2"/>
      <c r="I3527" s="2"/>
      <c r="J3527" s="2"/>
    </row>
    <row r="3528" ht="15.75" customHeight="1">
      <c r="A3528" s="4" t="str">
        <f>HYPERLINK("https://stackoverflow.com/q/58229641", "58229641")</f>
        <v>58229641</v>
      </c>
      <c r="B3528" s="2" t="s">
        <v>3571</v>
      </c>
      <c r="C3528" s="3">
        <v>1.0</v>
      </c>
      <c r="D3528" s="3">
        <v>10.0</v>
      </c>
      <c r="E3528" s="2"/>
      <c r="F3528" s="2"/>
      <c r="G3528" s="2"/>
      <c r="H3528" s="2"/>
      <c r="I3528" s="2"/>
      <c r="J3528" s="2"/>
    </row>
    <row r="3529" ht="15.75" customHeight="1">
      <c r="A3529" s="4" t="str">
        <f>HYPERLINK("https://stackoverflow.com/q/61112343", "61112343")</f>
        <v>61112343</v>
      </c>
      <c r="B3529" s="2" t="s">
        <v>3572</v>
      </c>
      <c r="C3529" s="3"/>
      <c r="D3529" s="3">
        <v>10.0</v>
      </c>
      <c r="E3529" s="2" t="s">
        <v>11</v>
      </c>
      <c r="F3529" s="2" t="s">
        <v>67</v>
      </c>
      <c r="G3529" s="2"/>
      <c r="H3529" s="2"/>
      <c r="I3529" s="2"/>
      <c r="J3529" s="2"/>
    </row>
    <row r="3530" ht="15.75" customHeight="1">
      <c r="A3530" s="4" t="str">
        <f>HYPERLINK("https://stackoverflow.com/q/61252925", "61252925")</f>
        <v>61252925</v>
      </c>
      <c r="B3530" s="2" t="s">
        <v>3573</v>
      </c>
      <c r="C3530" s="3"/>
      <c r="D3530" s="3">
        <v>10.0</v>
      </c>
      <c r="E3530" s="9" t="s">
        <v>11</v>
      </c>
      <c r="F3530" s="2" t="s">
        <v>18</v>
      </c>
      <c r="G3530" s="2"/>
      <c r="H3530" s="2"/>
      <c r="I3530" s="2"/>
      <c r="J3530" s="2"/>
    </row>
    <row r="3531" ht="15.75" customHeight="1">
      <c r="A3531" s="4" t="str">
        <f>HYPERLINK("https://stackoverflow.com/q/61343277", "61343277")</f>
        <v>61343277</v>
      </c>
      <c r="B3531" s="2" t="s">
        <v>3574</v>
      </c>
      <c r="C3531" s="3"/>
      <c r="D3531" s="3">
        <v>10.0</v>
      </c>
      <c r="E3531" s="2" t="s">
        <v>11</v>
      </c>
      <c r="F3531" s="2" t="s">
        <v>44</v>
      </c>
      <c r="G3531" s="2"/>
      <c r="H3531" s="2"/>
      <c r="I3531" s="2"/>
      <c r="J3531" s="2"/>
    </row>
    <row r="3532" ht="15.75" customHeight="1">
      <c r="A3532" s="4" t="str">
        <f>HYPERLINK("https://stackoverflow.com/q/61749474", "61749474")</f>
        <v>61749474</v>
      </c>
      <c r="B3532" s="2" t="s">
        <v>3575</v>
      </c>
      <c r="C3532" s="3"/>
      <c r="D3532" s="3">
        <v>10.0</v>
      </c>
      <c r="E3532" s="2" t="s">
        <v>11</v>
      </c>
      <c r="F3532" s="2" t="s">
        <v>34</v>
      </c>
      <c r="G3532" s="2" t="s">
        <v>194</v>
      </c>
      <c r="H3532" s="2"/>
      <c r="I3532" s="2"/>
      <c r="J3532" s="2"/>
    </row>
    <row r="3533" ht="15.75" customHeight="1">
      <c r="A3533" s="4" t="str">
        <f>HYPERLINK("https://stackoverflow.com/q/61798937", "61798937")</f>
        <v>61798937</v>
      </c>
      <c r="B3533" s="2" t="s">
        <v>3576</v>
      </c>
      <c r="C3533" s="3"/>
      <c r="D3533" s="3">
        <v>10.0</v>
      </c>
      <c r="E3533" s="2" t="s">
        <v>537</v>
      </c>
      <c r="F3533" s="2" t="s">
        <v>21</v>
      </c>
      <c r="G3533" s="2"/>
      <c r="H3533" s="2"/>
      <c r="I3533" s="2"/>
      <c r="J3533" s="2"/>
    </row>
    <row r="3534" ht="15.75" customHeight="1">
      <c r="A3534" s="4" t="str">
        <f>HYPERLINK("https://stackoverflow.com/q/50339104", "50339104")</f>
        <v>50339104</v>
      </c>
      <c r="B3534" s="2" t="s">
        <v>3577</v>
      </c>
      <c r="C3534" s="3"/>
      <c r="D3534" s="3">
        <v>10.0</v>
      </c>
      <c r="E3534" s="2"/>
      <c r="F3534" s="2"/>
      <c r="G3534" s="2"/>
      <c r="H3534" s="2"/>
      <c r="I3534" s="2"/>
      <c r="J3534" s="2"/>
    </row>
    <row r="3535" ht="15.75" customHeight="1">
      <c r="A3535" s="4" t="str">
        <f>HYPERLINK("https://stackoverflow.com/q/56952560", "56952560")</f>
        <v>56952560</v>
      </c>
      <c r="B3535" s="2" t="s">
        <v>3578</v>
      </c>
      <c r="C3535" s="3"/>
      <c r="D3535" s="3">
        <v>10.0</v>
      </c>
      <c r="E3535" s="2"/>
      <c r="F3535" s="2"/>
      <c r="G3535" s="2"/>
      <c r="H3535" s="2"/>
      <c r="I3535" s="2"/>
      <c r="J3535" s="2"/>
    </row>
    <row r="3536" ht="15.75" customHeight="1">
      <c r="A3536" s="4" t="str">
        <f>HYPERLINK("https://stackoverflow.com/q/57626023", "57626023")</f>
        <v>57626023</v>
      </c>
      <c r="B3536" s="2" t="s">
        <v>3579</v>
      </c>
      <c r="C3536" s="3"/>
      <c r="D3536" s="3">
        <v>10.0</v>
      </c>
      <c r="E3536" s="2"/>
      <c r="F3536" s="2"/>
      <c r="G3536" s="2"/>
      <c r="H3536" s="2"/>
      <c r="I3536" s="2"/>
      <c r="J3536" s="2"/>
    </row>
    <row r="3537" ht="15.75" customHeight="1">
      <c r="A3537" s="4" t="str">
        <f>HYPERLINK("https://stackoverflow.com/q/58340827", "58340827")</f>
        <v>58340827</v>
      </c>
      <c r="B3537" s="2" t="s">
        <v>3580</v>
      </c>
      <c r="C3537" s="3"/>
      <c r="D3537" s="3">
        <v>10.0</v>
      </c>
      <c r="E3537" s="2"/>
      <c r="F3537" s="2"/>
      <c r="G3537" s="2"/>
      <c r="H3537" s="2"/>
      <c r="I3537" s="2"/>
      <c r="J3537" s="2"/>
    </row>
    <row r="3538" ht="15.75" customHeight="1">
      <c r="A3538" s="4" t="str">
        <f>HYPERLINK("https://stackoverflow.com/q/58473180", "58473180")</f>
        <v>58473180</v>
      </c>
      <c r="B3538" s="2" t="s">
        <v>3581</v>
      </c>
      <c r="C3538" s="3"/>
      <c r="D3538" s="3">
        <v>10.0</v>
      </c>
      <c r="E3538" s="2"/>
      <c r="F3538" s="2"/>
      <c r="G3538" s="2"/>
      <c r="H3538" s="2"/>
      <c r="I3538" s="2"/>
      <c r="J3538" s="2"/>
    </row>
    <row r="3539" ht="15.75" customHeight="1">
      <c r="A3539" s="4" t="str">
        <f>HYPERLINK("https://stackoverflow.com/q/59869329", "59869329")</f>
        <v>59869329</v>
      </c>
      <c r="B3539" s="2" t="s">
        <v>3582</v>
      </c>
      <c r="C3539" s="3"/>
      <c r="D3539" s="3">
        <v>10.0</v>
      </c>
      <c r="E3539" s="2"/>
      <c r="F3539" s="2"/>
      <c r="G3539" s="2"/>
      <c r="H3539" s="2"/>
      <c r="I3539" s="2"/>
      <c r="J3539" s="2"/>
    </row>
    <row r="3540" ht="15.75" customHeight="1">
      <c r="A3540" s="4" t="str">
        <f>HYPERLINK("https://stackoverflow.com/q/59881776", "59881776")</f>
        <v>59881776</v>
      </c>
      <c r="B3540" s="2" t="s">
        <v>3583</v>
      </c>
      <c r="C3540" s="3"/>
      <c r="D3540" s="3">
        <v>10.0</v>
      </c>
      <c r="E3540" s="2"/>
      <c r="F3540" s="2"/>
      <c r="G3540" s="2"/>
      <c r="H3540" s="2"/>
      <c r="I3540" s="2"/>
      <c r="J3540" s="2"/>
    </row>
    <row r="3541" ht="15.75" customHeight="1">
      <c r="A3541" s="4" t="str">
        <f>HYPERLINK("https://stackoverflow.com/q/60084638", "60084638")</f>
        <v>60084638</v>
      </c>
      <c r="B3541" s="2" t="s">
        <v>3584</v>
      </c>
      <c r="C3541" s="3"/>
      <c r="D3541" s="3">
        <v>10.0</v>
      </c>
      <c r="E3541" s="2"/>
      <c r="F3541" s="2"/>
      <c r="G3541" s="2"/>
      <c r="H3541" s="2"/>
      <c r="I3541" s="2"/>
      <c r="J3541" s="2"/>
    </row>
    <row r="3542" ht="15.75" customHeight="1">
      <c r="A3542" s="4" t="str">
        <f>HYPERLINK("https://stackoverflow.com/q/60982768", "60982768")</f>
        <v>60982768</v>
      </c>
      <c r="B3542" s="2" t="s">
        <v>3585</v>
      </c>
      <c r="C3542" s="3"/>
      <c r="D3542" s="3">
        <v>10.0</v>
      </c>
      <c r="E3542" s="2"/>
      <c r="F3542" s="2"/>
      <c r="G3542" s="2"/>
      <c r="H3542" s="2"/>
      <c r="I3542" s="2"/>
      <c r="J3542" s="2"/>
    </row>
    <row r="3543" ht="15.75" customHeight="1">
      <c r="A3543" s="4" t="str">
        <f>HYPERLINK("https://stackoverflow.com/q/61019105", "61019105")</f>
        <v>61019105</v>
      </c>
      <c r="B3543" s="2" t="s">
        <v>3586</v>
      </c>
      <c r="C3543" s="3"/>
      <c r="D3543" s="3">
        <v>10.0</v>
      </c>
      <c r="E3543" s="2"/>
      <c r="F3543" s="2"/>
      <c r="G3543" s="2"/>
      <c r="H3543" s="2"/>
      <c r="I3543" s="2"/>
      <c r="J3543" s="2"/>
    </row>
    <row r="3544" ht="15.75" customHeight="1">
      <c r="A3544" s="4" t="str">
        <f>HYPERLINK("https://stackoverflow.com/q/62107434", "62107434")</f>
        <v>62107434</v>
      </c>
      <c r="B3544" s="2" t="s">
        <v>3587</v>
      </c>
      <c r="C3544" s="3"/>
      <c r="D3544" s="3">
        <v>10.0</v>
      </c>
      <c r="E3544" s="2"/>
      <c r="F3544" s="2"/>
      <c r="G3544" s="2"/>
      <c r="H3544" s="2"/>
      <c r="I3544" s="2"/>
      <c r="J3544" s="2"/>
    </row>
    <row r="3545" ht="15.75" customHeight="1">
      <c r="A3545" s="4" t="str">
        <f>HYPERLINK("https://stackoverflow.com/q/61867669", "61867669")</f>
        <v>61867669</v>
      </c>
      <c r="B3545" s="2" t="s">
        <v>3588</v>
      </c>
      <c r="C3545" s="3"/>
      <c r="D3545" s="3">
        <v>9.0</v>
      </c>
      <c r="E3545" s="9" t="s">
        <v>11</v>
      </c>
      <c r="F3545" s="2" t="s">
        <v>18</v>
      </c>
      <c r="G3545" s="2"/>
      <c r="H3545" s="2"/>
      <c r="I3545" s="2"/>
      <c r="J3545" s="2"/>
    </row>
    <row r="3546" ht="15.75" customHeight="1">
      <c r="A3546" s="4" t="str">
        <f>HYPERLINK("https://stackoverflow.com/q/62065508", "62065508")</f>
        <v>62065508</v>
      </c>
      <c r="B3546" s="2" t="s">
        <v>3589</v>
      </c>
      <c r="C3546" s="3"/>
      <c r="D3546" s="3">
        <v>9.0</v>
      </c>
      <c r="E3546" s="2" t="s">
        <v>11</v>
      </c>
      <c r="F3546" s="2" t="s">
        <v>44</v>
      </c>
      <c r="G3546" s="2"/>
      <c r="H3546" s="2"/>
      <c r="I3546" s="2"/>
      <c r="J3546" s="2"/>
    </row>
    <row r="3547" ht="15.75" customHeight="1">
      <c r="A3547" s="4" t="str">
        <f>HYPERLINK("https://stackoverflow.com/q/61947363", "61947363")</f>
        <v>61947363</v>
      </c>
      <c r="B3547" s="2" t="s">
        <v>3590</v>
      </c>
      <c r="C3547" s="3"/>
      <c r="D3547" s="3">
        <v>9.0</v>
      </c>
      <c r="E3547" s="2" t="s">
        <v>537</v>
      </c>
      <c r="F3547" s="2" t="s">
        <v>194</v>
      </c>
      <c r="G3547" s="2"/>
      <c r="H3547" s="2"/>
      <c r="I3547" s="2"/>
      <c r="J3547" s="2"/>
    </row>
    <row r="3548" ht="15.75" customHeight="1">
      <c r="A3548" s="4" t="str">
        <f>HYPERLINK("https://stackoverflow.com/q/56875888", "56875888")</f>
        <v>56875888</v>
      </c>
      <c r="B3548" s="2" t="s">
        <v>3591</v>
      </c>
      <c r="C3548" s="3"/>
      <c r="D3548" s="3">
        <v>9.0</v>
      </c>
      <c r="E3548" s="2"/>
      <c r="F3548" s="2"/>
      <c r="G3548" s="2"/>
      <c r="H3548" s="2"/>
      <c r="I3548" s="2"/>
      <c r="J3548" s="2"/>
    </row>
    <row r="3549" ht="15.75" customHeight="1">
      <c r="A3549" s="4" t="str">
        <f>HYPERLINK("https://stackoverflow.com/q/56892999", "56892999")</f>
        <v>56892999</v>
      </c>
      <c r="B3549" s="2" t="s">
        <v>3592</v>
      </c>
      <c r="C3549" s="3"/>
      <c r="D3549" s="3">
        <v>9.0</v>
      </c>
      <c r="E3549" s="2"/>
      <c r="F3549" s="2"/>
      <c r="G3549" s="2"/>
      <c r="H3549" s="2"/>
      <c r="I3549" s="2"/>
      <c r="J3549" s="2"/>
    </row>
    <row r="3550" ht="15.75" customHeight="1">
      <c r="A3550" s="4" t="str">
        <f>HYPERLINK("https://stackoverflow.com/q/58030372", "58030372")</f>
        <v>58030372</v>
      </c>
      <c r="B3550" s="2" t="s">
        <v>3593</v>
      </c>
      <c r="C3550" s="3"/>
      <c r="D3550" s="3">
        <v>9.0</v>
      </c>
      <c r="E3550" s="2"/>
      <c r="F3550" s="2"/>
      <c r="G3550" s="2"/>
      <c r="H3550" s="2"/>
      <c r="I3550" s="2"/>
      <c r="J3550" s="2"/>
    </row>
    <row r="3551" ht="15.75" customHeight="1">
      <c r="A3551" s="4" t="str">
        <f>HYPERLINK("https://stackoverflow.com/q/58302431", "58302431")</f>
        <v>58302431</v>
      </c>
      <c r="B3551" s="2" t="s">
        <v>3594</v>
      </c>
      <c r="C3551" s="3"/>
      <c r="D3551" s="3">
        <v>9.0</v>
      </c>
      <c r="E3551" s="2"/>
      <c r="F3551" s="2"/>
      <c r="G3551" s="2"/>
      <c r="H3551" s="2"/>
      <c r="I3551" s="2"/>
      <c r="J3551" s="2"/>
    </row>
    <row r="3552" ht="15.75" customHeight="1">
      <c r="A3552" s="4" t="str">
        <f>HYPERLINK("https://stackoverflow.com/q/59794418", "59794418")</f>
        <v>59794418</v>
      </c>
      <c r="B3552" s="2" t="s">
        <v>3595</v>
      </c>
      <c r="C3552" s="3"/>
      <c r="D3552" s="3">
        <v>9.0</v>
      </c>
      <c r="E3552" s="2"/>
      <c r="F3552" s="2"/>
      <c r="G3552" s="2"/>
      <c r="H3552" s="2"/>
      <c r="I3552" s="2"/>
      <c r="J3552" s="2"/>
    </row>
    <row r="3553" ht="15.75" customHeight="1">
      <c r="A3553" s="4" t="str">
        <f>HYPERLINK("https://stackoverflow.com/q/59857501", "59857501")</f>
        <v>59857501</v>
      </c>
      <c r="B3553" s="2" t="s">
        <v>3596</v>
      </c>
      <c r="C3553" s="3"/>
      <c r="D3553" s="3">
        <v>9.0</v>
      </c>
      <c r="E3553" s="2"/>
      <c r="F3553" s="2"/>
      <c r="G3553" s="2"/>
      <c r="H3553" s="2"/>
      <c r="I3553" s="2"/>
      <c r="J3553" s="2"/>
    </row>
    <row r="3554" ht="15.75" customHeight="1">
      <c r="A3554" s="4" t="str">
        <f>HYPERLINK("https://stackoverflow.com/q/60746275", "60746275")</f>
        <v>60746275</v>
      </c>
      <c r="B3554" s="2" t="s">
        <v>3597</v>
      </c>
      <c r="C3554" s="3"/>
      <c r="D3554" s="3">
        <v>9.0</v>
      </c>
      <c r="E3554" s="2"/>
      <c r="F3554" s="2"/>
      <c r="G3554" s="2"/>
      <c r="H3554" s="2"/>
      <c r="I3554" s="2"/>
      <c r="J3554" s="2"/>
    </row>
    <row r="3555" ht="15.75" customHeight="1">
      <c r="A3555" s="4" t="str">
        <f>HYPERLINK("https://stackoverflow.com/q/61634293", "61634293")</f>
        <v>61634293</v>
      </c>
      <c r="B3555" s="2" t="s">
        <v>3598</v>
      </c>
      <c r="C3555" s="3"/>
      <c r="D3555" s="3">
        <v>9.0</v>
      </c>
      <c r="E3555" s="2"/>
      <c r="F3555" s="2"/>
      <c r="G3555" s="2"/>
      <c r="H3555" s="2"/>
      <c r="I3555" s="2"/>
      <c r="J3555" s="2"/>
    </row>
    <row r="3556" ht="15.75" customHeight="1">
      <c r="A3556" s="4" t="str">
        <f>HYPERLINK("https://stackoverflow.com/q/61656958", "61656958")</f>
        <v>61656958</v>
      </c>
      <c r="B3556" s="2" t="s">
        <v>3599</v>
      </c>
      <c r="C3556" s="3"/>
      <c r="D3556" s="3">
        <v>9.0</v>
      </c>
      <c r="E3556" s="2"/>
      <c r="F3556" s="2"/>
      <c r="G3556" s="2"/>
      <c r="H3556" s="2"/>
      <c r="I3556" s="2"/>
      <c r="J3556" s="2"/>
    </row>
    <row r="3557" ht="15.75" customHeight="1">
      <c r="A3557" s="4" t="str">
        <f>HYPERLINK("https://stackoverflow.com/q/62100067", "62100067")</f>
        <v>62100067</v>
      </c>
      <c r="B3557" s="2" t="s">
        <v>3600</v>
      </c>
      <c r="C3557" s="3">
        <v>1.0</v>
      </c>
      <c r="D3557" s="3">
        <v>8.0</v>
      </c>
      <c r="E3557" s="2"/>
      <c r="F3557" s="2"/>
      <c r="G3557" s="2"/>
      <c r="H3557" s="2"/>
      <c r="I3557" s="2"/>
      <c r="J3557" s="2"/>
    </row>
    <row r="3558" ht="15.75" customHeight="1">
      <c r="A3558" s="4" t="str">
        <f>HYPERLINK("https://stackoverflow.com/q/61284724", "61284724")</f>
        <v>61284724</v>
      </c>
      <c r="B3558" s="2" t="s">
        <v>3601</v>
      </c>
      <c r="C3558" s="3"/>
      <c r="D3558" s="3">
        <v>8.0</v>
      </c>
      <c r="E3558" s="2" t="s">
        <v>11</v>
      </c>
      <c r="F3558" s="2" t="s">
        <v>67</v>
      </c>
      <c r="G3558" s="2"/>
      <c r="H3558" s="2"/>
      <c r="I3558" s="2"/>
      <c r="J3558" s="2"/>
    </row>
    <row r="3559" ht="15.75" customHeight="1">
      <c r="A3559" s="4" t="str">
        <f>HYPERLINK("https://stackoverflow.com/q/61676798", "61676798")</f>
        <v>61676798</v>
      </c>
      <c r="B3559" s="2" t="s">
        <v>3602</v>
      </c>
      <c r="C3559" s="3"/>
      <c r="D3559" s="3">
        <v>8.0</v>
      </c>
      <c r="E3559" s="9" t="s">
        <v>11</v>
      </c>
      <c r="F3559" s="2" t="s">
        <v>18</v>
      </c>
      <c r="G3559" s="2"/>
      <c r="H3559" s="2"/>
      <c r="I3559" s="2"/>
      <c r="J3559" s="2"/>
    </row>
    <row r="3560" ht="15.75" customHeight="1">
      <c r="A3560" s="4" t="str">
        <f>HYPERLINK("https://stackoverflow.com/q/61775267", "61775267")</f>
        <v>61775267</v>
      </c>
      <c r="B3560" s="2" t="s">
        <v>3603</v>
      </c>
      <c r="C3560" s="3"/>
      <c r="D3560" s="3">
        <v>8.0</v>
      </c>
      <c r="E3560" s="2" t="s">
        <v>11</v>
      </c>
      <c r="F3560" s="2" t="s">
        <v>12</v>
      </c>
      <c r="G3560" s="2"/>
      <c r="H3560" s="2"/>
      <c r="I3560" s="2"/>
      <c r="J3560" s="2"/>
    </row>
    <row r="3561" ht="15.75" customHeight="1">
      <c r="A3561" s="4" t="str">
        <f>HYPERLINK("https://stackoverflow.com/q/62036134", "62036134")</f>
        <v>62036134</v>
      </c>
      <c r="B3561" s="2" t="s">
        <v>3604</v>
      </c>
      <c r="C3561" s="3"/>
      <c r="D3561" s="3">
        <v>8.0</v>
      </c>
      <c r="E3561" s="2" t="s">
        <v>11</v>
      </c>
      <c r="F3561" s="2" t="s">
        <v>56</v>
      </c>
      <c r="G3561" s="2"/>
      <c r="H3561" s="2"/>
      <c r="I3561" s="2"/>
      <c r="J3561" s="2"/>
    </row>
    <row r="3562" ht="15.75" customHeight="1">
      <c r="A3562" s="4" t="str">
        <f>HYPERLINK("https://stackoverflow.com/q/62049277", "62049277")</f>
        <v>62049277</v>
      </c>
      <c r="B3562" s="2" t="s">
        <v>3605</v>
      </c>
      <c r="C3562" s="3"/>
      <c r="D3562" s="3">
        <v>8.0</v>
      </c>
      <c r="E3562" s="2" t="s">
        <v>11</v>
      </c>
      <c r="F3562" s="2" t="s">
        <v>56</v>
      </c>
      <c r="G3562" s="2"/>
      <c r="H3562" s="2"/>
      <c r="I3562" s="2"/>
      <c r="J3562" s="2"/>
    </row>
    <row r="3563" ht="15.75" customHeight="1">
      <c r="A3563" s="4" t="str">
        <f>HYPERLINK("https://stackoverflow.com/q/58993188", "58993188")</f>
        <v>58993188</v>
      </c>
      <c r="B3563" s="2" t="s">
        <v>3606</v>
      </c>
      <c r="C3563" s="3"/>
      <c r="D3563" s="3">
        <v>8.0</v>
      </c>
      <c r="E3563" s="2"/>
      <c r="F3563" s="2"/>
      <c r="G3563" s="2"/>
      <c r="H3563" s="2"/>
      <c r="I3563" s="2"/>
      <c r="J3563" s="2"/>
    </row>
    <row r="3564" ht="15.75" customHeight="1">
      <c r="A3564" s="4" t="str">
        <f>HYPERLINK("https://stackoverflow.com/q/59175116", "59175116")</f>
        <v>59175116</v>
      </c>
      <c r="B3564" s="2" t="s">
        <v>3607</v>
      </c>
      <c r="C3564" s="3"/>
      <c r="D3564" s="3">
        <v>8.0</v>
      </c>
      <c r="E3564" s="2"/>
      <c r="F3564" s="2"/>
      <c r="G3564" s="2"/>
      <c r="H3564" s="2"/>
      <c r="I3564" s="2"/>
      <c r="J3564" s="2"/>
    </row>
    <row r="3565" ht="15.75" customHeight="1">
      <c r="A3565" s="4" t="str">
        <f>HYPERLINK("https://stackoverflow.com/q/60906873", "60906873")</f>
        <v>60906873</v>
      </c>
      <c r="B3565" s="2" t="s">
        <v>3608</v>
      </c>
      <c r="C3565" s="3"/>
      <c r="D3565" s="3">
        <v>8.0</v>
      </c>
      <c r="E3565" s="2"/>
      <c r="F3565" s="2"/>
      <c r="G3565" s="2"/>
      <c r="H3565" s="2"/>
      <c r="I3565" s="2"/>
      <c r="J3565" s="2"/>
    </row>
    <row r="3566" ht="15.75" customHeight="1">
      <c r="A3566" s="4" t="str">
        <f>HYPERLINK("https://stackoverflow.com/q/61548727", "61548727")</f>
        <v>61548727</v>
      </c>
      <c r="B3566" s="2" t="s">
        <v>3609</v>
      </c>
      <c r="C3566" s="3"/>
      <c r="D3566" s="3">
        <v>8.0</v>
      </c>
      <c r="E3566" s="2"/>
      <c r="F3566" s="2"/>
      <c r="G3566" s="2"/>
      <c r="H3566" s="2"/>
      <c r="I3566" s="2"/>
      <c r="J3566" s="2"/>
    </row>
    <row r="3567" ht="15.75" customHeight="1">
      <c r="A3567" s="4" t="str">
        <f>HYPERLINK("https://stackoverflow.com/q/61950117", "61950117")</f>
        <v>61950117</v>
      </c>
      <c r="B3567" s="2" t="s">
        <v>3610</v>
      </c>
      <c r="C3567" s="3"/>
      <c r="D3567" s="3">
        <v>8.0</v>
      </c>
      <c r="E3567" s="2"/>
      <c r="F3567" s="2"/>
      <c r="G3567" s="2"/>
      <c r="H3567" s="2"/>
      <c r="I3567" s="2"/>
      <c r="J3567" s="2"/>
    </row>
    <row r="3568" ht="15.75" customHeight="1">
      <c r="A3568" s="4" t="str">
        <f>HYPERLINK("https://stackoverflow.com/q/62078382", "62078382")</f>
        <v>62078382</v>
      </c>
      <c r="B3568" s="2" t="s">
        <v>3611</v>
      </c>
      <c r="C3568" s="3"/>
      <c r="D3568" s="3">
        <v>8.0</v>
      </c>
      <c r="E3568" s="2"/>
      <c r="F3568" s="2"/>
      <c r="G3568" s="2"/>
      <c r="H3568" s="2"/>
      <c r="I3568" s="2"/>
      <c r="J3568" s="2"/>
    </row>
    <row r="3569" ht="15.75" customHeight="1">
      <c r="A3569" s="4" t="str">
        <f>HYPERLINK("https://stackoverflow.com/q/61664951", "61664951")</f>
        <v>61664951</v>
      </c>
      <c r="B3569" s="2" t="s">
        <v>3612</v>
      </c>
      <c r="C3569" s="3"/>
      <c r="D3569" s="3">
        <v>7.0</v>
      </c>
      <c r="E3569" s="2" t="s">
        <v>11</v>
      </c>
      <c r="F3569" s="2" t="s">
        <v>25</v>
      </c>
      <c r="G3569" s="2"/>
      <c r="H3569" s="2"/>
      <c r="I3569" s="2"/>
      <c r="J3569" s="2"/>
    </row>
    <row r="3570" ht="15.75" customHeight="1">
      <c r="A3570" s="4" t="str">
        <f>HYPERLINK("https://stackoverflow.com/q/61674856", "61674856")</f>
        <v>61674856</v>
      </c>
      <c r="B3570" s="2" t="s">
        <v>3613</v>
      </c>
      <c r="C3570" s="3"/>
      <c r="D3570" s="3">
        <v>7.0</v>
      </c>
      <c r="E3570" s="2" t="s">
        <v>11</v>
      </c>
      <c r="F3570" s="2" t="s">
        <v>73</v>
      </c>
      <c r="G3570" s="2"/>
      <c r="H3570" s="2"/>
      <c r="I3570" s="2"/>
      <c r="J3570" s="2"/>
    </row>
    <row r="3571" ht="15.75" customHeight="1">
      <c r="A3571" s="4" t="str">
        <f>HYPERLINK("https://stackoverflow.com/q/61834955", "61834955")</f>
        <v>61834955</v>
      </c>
      <c r="B3571" s="2" t="s">
        <v>3614</v>
      </c>
      <c r="C3571" s="3"/>
      <c r="D3571" s="3">
        <v>7.0</v>
      </c>
      <c r="E3571" s="9" t="s">
        <v>11</v>
      </c>
      <c r="F3571" s="2" t="s">
        <v>18</v>
      </c>
      <c r="G3571" s="2"/>
      <c r="H3571" s="2"/>
      <c r="I3571" s="2"/>
      <c r="J3571" s="2"/>
    </row>
    <row r="3572" ht="15.75" customHeight="1">
      <c r="A3572" s="4" t="str">
        <f>HYPERLINK("https://stackoverflow.com/q/61932638", "61932638")</f>
        <v>61932638</v>
      </c>
      <c r="B3572" s="2" t="s">
        <v>3615</v>
      </c>
      <c r="C3572" s="3"/>
      <c r="D3572" s="3">
        <v>7.0</v>
      </c>
      <c r="E3572" s="2" t="s">
        <v>11</v>
      </c>
      <c r="F3572" s="2" t="s">
        <v>84</v>
      </c>
      <c r="G3572" s="2"/>
      <c r="H3572" s="2"/>
      <c r="I3572" s="2"/>
      <c r="J3572" s="2"/>
    </row>
    <row r="3573" ht="15.75" customHeight="1">
      <c r="A3573" s="4" t="str">
        <f>HYPERLINK("https://stackoverflow.com/q/59082961", "59082961")</f>
        <v>59082961</v>
      </c>
      <c r="B3573" s="2" t="s">
        <v>3616</v>
      </c>
      <c r="C3573" s="3"/>
      <c r="D3573" s="3">
        <v>7.0</v>
      </c>
      <c r="E3573" s="2"/>
      <c r="F3573" s="2"/>
      <c r="G3573" s="2"/>
      <c r="H3573" s="2"/>
      <c r="I3573" s="2"/>
      <c r="J3573" s="2"/>
    </row>
    <row r="3574" ht="15.75" customHeight="1">
      <c r="A3574" s="4" t="str">
        <f>HYPERLINK("https://stackoverflow.com/q/60176349", "60176349")</f>
        <v>60176349</v>
      </c>
      <c r="B3574" s="2" t="s">
        <v>3617</v>
      </c>
      <c r="C3574" s="3"/>
      <c r="D3574" s="3">
        <v>7.0</v>
      </c>
      <c r="E3574" s="2"/>
      <c r="F3574" s="2"/>
      <c r="G3574" s="2"/>
      <c r="H3574" s="2"/>
      <c r="I3574" s="2"/>
      <c r="J3574" s="2"/>
    </row>
    <row r="3575" ht="15.75" customHeight="1">
      <c r="A3575" s="4" t="str">
        <f>HYPERLINK("https://stackoverflow.com/q/62074726", "62074726")</f>
        <v>62074726</v>
      </c>
      <c r="B3575" s="2" t="s">
        <v>3618</v>
      </c>
      <c r="C3575" s="3"/>
      <c r="D3575" s="3">
        <v>7.0</v>
      </c>
      <c r="E3575" s="2"/>
      <c r="F3575" s="2"/>
      <c r="G3575" s="2"/>
      <c r="H3575" s="2"/>
      <c r="I3575" s="2"/>
      <c r="J3575" s="2"/>
    </row>
    <row r="3576" ht="15.75" customHeight="1">
      <c r="A3576" s="4" t="str">
        <f>HYPERLINK("https://stackoverflow.com/q/62079800", "62079800")</f>
        <v>62079800</v>
      </c>
      <c r="B3576" s="2" t="s">
        <v>3619</v>
      </c>
      <c r="C3576" s="3"/>
      <c r="D3576" s="3">
        <v>7.0</v>
      </c>
      <c r="E3576" s="2"/>
      <c r="F3576" s="2"/>
      <c r="G3576" s="2"/>
      <c r="H3576" s="2"/>
      <c r="I3576" s="2"/>
      <c r="J3576" s="2"/>
    </row>
    <row r="3577" ht="15.75" customHeight="1">
      <c r="A3577" s="4" t="str">
        <f>HYPERLINK("https://stackoverflow.com/q/62103461", "62103461")</f>
        <v>62103461</v>
      </c>
      <c r="B3577" s="2" t="s">
        <v>3620</v>
      </c>
      <c r="C3577" s="3"/>
      <c r="D3577" s="3">
        <v>7.0</v>
      </c>
      <c r="E3577" s="2"/>
      <c r="F3577" s="2"/>
      <c r="G3577" s="2"/>
      <c r="H3577" s="2"/>
      <c r="I3577" s="2"/>
      <c r="J3577" s="2"/>
    </row>
    <row r="3578" ht="15.75" customHeight="1">
      <c r="A3578" s="4" t="str">
        <f>HYPERLINK("https://stackoverflow.com/q/61011463", "61011463")</f>
        <v>61011463</v>
      </c>
      <c r="B3578" s="2" t="s">
        <v>3621</v>
      </c>
      <c r="C3578" s="3"/>
      <c r="D3578" s="3">
        <v>6.0</v>
      </c>
      <c r="E3578" s="2" t="s">
        <v>11</v>
      </c>
      <c r="F3578" s="2" t="s">
        <v>183</v>
      </c>
      <c r="G3578" s="2"/>
      <c r="H3578" s="2"/>
      <c r="I3578" s="2"/>
      <c r="J3578" s="2"/>
    </row>
    <row r="3579" ht="15.75" customHeight="1">
      <c r="A3579" s="4" t="str">
        <f>HYPERLINK("https://stackoverflow.com/q/61186117", "61186117")</f>
        <v>61186117</v>
      </c>
      <c r="B3579" s="2" t="s">
        <v>3622</v>
      </c>
      <c r="C3579" s="3"/>
      <c r="D3579" s="3">
        <v>6.0</v>
      </c>
      <c r="E3579" s="2" t="s">
        <v>11</v>
      </c>
      <c r="F3579" s="2" t="s">
        <v>38</v>
      </c>
      <c r="G3579" s="2"/>
      <c r="H3579" s="2"/>
      <c r="I3579" s="2"/>
      <c r="J3579" s="2"/>
    </row>
    <row r="3580" ht="15.75" customHeight="1">
      <c r="A3580" s="4" t="str">
        <f>HYPERLINK("https://stackoverflow.com/q/61827269", "61827269")</f>
        <v>61827269</v>
      </c>
      <c r="B3580" s="2" t="s">
        <v>3623</v>
      </c>
      <c r="C3580" s="3"/>
      <c r="D3580" s="3">
        <v>6.0</v>
      </c>
      <c r="E3580" s="9" t="s">
        <v>11</v>
      </c>
      <c r="F3580" s="2" t="s">
        <v>18</v>
      </c>
      <c r="G3580" s="2"/>
      <c r="H3580" s="2"/>
      <c r="I3580" s="2"/>
      <c r="J3580" s="2"/>
    </row>
    <row r="3581" ht="15.75" customHeight="1">
      <c r="A3581" s="4" t="str">
        <f>HYPERLINK("https://stackoverflow.com/q/61928879", "61928879")</f>
        <v>61928879</v>
      </c>
      <c r="B3581" s="2" t="s">
        <v>3624</v>
      </c>
      <c r="C3581" s="3"/>
      <c r="D3581" s="3">
        <v>6.0</v>
      </c>
      <c r="E3581" s="2" t="s">
        <v>11</v>
      </c>
      <c r="F3581" s="2" t="s">
        <v>67</v>
      </c>
      <c r="G3581" s="2"/>
      <c r="H3581" s="2"/>
      <c r="I3581" s="2"/>
      <c r="J3581" s="2"/>
    </row>
    <row r="3582" ht="15.75" customHeight="1">
      <c r="A3582" s="4" t="str">
        <f>HYPERLINK("https://stackoverflow.com/q/61210424", "61210424")</f>
        <v>61210424</v>
      </c>
      <c r="B3582" s="2" t="s">
        <v>3625</v>
      </c>
      <c r="C3582" s="3"/>
      <c r="D3582" s="3">
        <v>6.0</v>
      </c>
      <c r="E3582" s="2" t="s">
        <v>86</v>
      </c>
      <c r="F3582" s="2" t="s">
        <v>87</v>
      </c>
      <c r="G3582" s="17"/>
      <c r="H3582" s="2"/>
      <c r="I3582" s="2"/>
      <c r="J3582" s="2"/>
    </row>
    <row r="3583" ht="15.75" customHeight="1">
      <c r="A3583" s="4" t="str">
        <f>HYPERLINK("https://stackoverflow.com/q/61979138", "61979138")</f>
        <v>61979138</v>
      </c>
      <c r="B3583" s="2" t="s">
        <v>3626</v>
      </c>
      <c r="C3583" s="3"/>
      <c r="D3583" s="3">
        <v>6.0</v>
      </c>
      <c r="E3583" s="2" t="s">
        <v>86</v>
      </c>
      <c r="F3583" s="2" t="s">
        <v>87</v>
      </c>
      <c r="G3583" s="17"/>
      <c r="H3583" s="2"/>
      <c r="I3583" s="2"/>
      <c r="J3583" s="2"/>
    </row>
    <row r="3584" ht="15.75" customHeight="1">
      <c r="A3584" s="4" t="str">
        <f>HYPERLINK("https://stackoverflow.com/q/62014768", "62014768")</f>
        <v>62014768</v>
      </c>
      <c r="B3584" s="2" t="s">
        <v>3627</v>
      </c>
      <c r="C3584" s="3"/>
      <c r="D3584" s="3">
        <v>6.0</v>
      </c>
      <c r="E3584" s="2" t="s">
        <v>537</v>
      </c>
      <c r="F3584" s="2" t="s">
        <v>34</v>
      </c>
      <c r="G3584" s="2" t="s">
        <v>484</v>
      </c>
      <c r="H3584" s="2"/>
      <c r="I3584" s="2"/>
      <c r="J3584" s="2"/>
    </row>
    <row r="3585" ht="15.75" customHeight="1">
      <c r="A3585" s="4" t="str">
        <f>HYPERLINK("https://stackoverflow.com/q/57160000", "57160000")</f>
        <v>57160000</v>
      </c>
      <c r="B3585" s="2" t="s">
        <v>3628</v>
      </c>
      <c r="C3585" s="3"/>
      <c r="D3585" s="3">
        <v>6.0</v>
      </c>
      <c r="E3585" s="2"/>
      <c r="F3585" s="2"/>
      <c r="G3585" s="2"/>
      <c r="H3585" s="2"/>
      <c r="I3585" s="2"/>
      <c r="J3585" s="2"/>
    </row>
    <row r="3586" ht="15.75" customHeight="1">
      <c r="A3586" s="4" t="str">
        <f>HYPERLINK("https://stackoverflow.com/q/58794905", "58794905")</f>
        <v>58794905</v>
      </c>
      <c r="B3586" s="2" t="s">
        <v>3629</v>
      </c>
      <c r="C3586" s="3"/>
      <c r="D3586" s="3">
        <v>6.0</v>
      </c>
      <c r="E3586" s="2"/>
      <c r="F3586" s="2"/>
      <c r="G3586" s="2"/>
      <c r="H3586" s="2"/>
      <c r="I3586" s="2"/>
      <c r="J3586" s="2"/>
    </row>
    <row r="3587" ht="15.75" customHeight="1">
      <c r="A3587" s="4" t="str">
        <f>HYPERLINK("https://stackoverflow.com/q/58796302", "58796302")</f>
        <v>58796302</v>
      </c>
      <c r="B3587" s="2" t="s">
        <v>3630</v>
      </c>
      <c r="C3587" s="3"/>
      <c r="D3587" s="3">
        <v>6.0</v>
      </c>
      <c r="E3587" s="2"/>
      <c r="F3587" s="2"/>
      <c r="G3587" s="2"/>
      <c r="H3587" s="2"/>
      <c r="I3587" s="2"/>
      <c r="J3587" s="2"/>
    </row>
    <row r="3588" ht="15.75" customHeight="1">
      <c r="A3588" s="4" t="str">
        <f>HYPERLINK("https://stackoverflow.com/q/62075536", "62075536")</f>
        <v>62075536</v>
      </c>
      <c r="B3588" s="2" t="s">
        <v>3631</v>
      </c>
      <c r="C3588" s="3"/>
      <c r="D3588" s="3">
        <v>6.0</v>
      </c>
      <c r="E3588" s="2"/>
      <c r="F3588" s="2"/>
      <c r="G3588" s="2"/>
      <c r="H3588" s="2"/>
      <c r="I3588" s="2"/>
      <c r="J3588" s="2"/>
    </row>
    <row r="3589" ht="15.75" customHeight="1">
      <c r="A3589" s="4" t="str">
        <f>HYPERLINK("https://stackoverflow.com/q/62080130", "62080130")</f>
        <v>62080130</v>
      </c>
      <c r="B3589" s="2" t="s">
        <v>3632</v>
      </c>
      <c r="C3589" s="3"/>
      <c r="D3589" s="3">
        <v>6.0</v>
      </c>
      <c r="E3589" s="2"/>
      <c r="F3589" s="2"/>
      <c r="G3589" s="2"/>
      <c r="H3589" s="2"/>
      <c r="I3589" s="2"/>
      <c r="J3589" s="2"/>
    </row>
    <row r="3590" ht="15.75" customHeight="1">
      <c r="A3590" s="4" t="str">
        <f>HYPERLINK("https://stackoverflow.com/q/61659007", "61659007")</f>
        <v>61659007</v>
      </c>
      <c r="B3590" s="2" t="s">
        <v>3633</v>
      </c>
      <c r="C3590" s="3"/>
      <c r="D3590" s="3">
        <v>5.0</v>
      </c>
      <c r="E3590" s="2" t="s">
        <v>11</v>
      </c>
      <c r="F3590" s="2" t="s">
        <v>67</v>
      </c>
      <c r="G3590" s="2"/>
      <c r="H3590" s="2"/>
      <c r="I3590" s="2"/>
      <c r="J3590" s="2"/>
    </row>
    <row r="3591" ht="15.75" customHeight="1">
      <c r="A3591" s="4" t="str">
        <f>HYPERLINK("https://stackoverflow.com/q/62087465", "62087465")</f>
        <v>62087465</v>
      </c>
      <c r="B3591" s="2" t="s">
        <v>3634</v>
      </c>
      <c r="C3591" s="3"/>
      <c r="D3591" s="3">
        <v>5.0</v>
      </c>
      <c r="E3591" s="2"/>
      <c r="F3591" s="2"/>
      <c r="G3591" s="2"/>
      <c r="H3591" s="2"/>
      <c r="I3591" s="2"/>
      <c r="J3591" s="2"/>
    </row>
    <row r="3592" ht="15.75" customHeight="1">
      <c r="A3592" s="4" t="str">
        <f>HYPERLINK("https://stackoverflow.com/q/62101239", "62101239")</f>
        <v>62101239</v>
      </c>
      <c r="B3592" s="2" t="s">
        <v>3635</v>
      </c>
      <c r="C3592" s="3"/>
      <c r="D3592" s="3">
        <v>5.0</v>
      </c>
      <c r="E3592" s="2"/>
      <c r="F3592" s="2"/>
      <c r="G3592" s="2"/>
      <c r="H3592" s="2"/>
      <c r="I3592" s="2"/>
      <c r="J3592" s="2"/>
    </row>
    <row r="3593" ht="15.75" customHeight="1">
      <c r="A3593" s="4" t="str">
        <f>HYPERLINK("https://stackoverflow.com/q/61350864", "61350864")</f>
        <v>61350864</v>
      </c>
      <c r="B3593" s="2" t="s">
        <v>3636</v>
      </c>
      <c r="C3593" s="3"/>
      <c r="D3593" s="3">
        <v>4.0</v>
      </c>
      <c r="E3593" s="2" t="s">
        <v>11</v>
      </c>
      <c r="F3593" s="2" t="s">
        <v>25</v>
      </c>
      <c r="G3593" s="2"/>
      <c r="H3593" s="2"/>
      <c r="I3593" s="2"/>
      <c r="J3593" s="2"/>
    </row>
    <row r="3594" ht="15.75" customHeight="1">
      <c r="A3594" s="4" t="str">
        <f>HYPERLINK("https://stackoverflow.com/q/61734639", "61734639")</f>
        <v>61734639</v>
      </c>
      <c r="B3594" s="2" t="s">
        <v>3637</v>
      </c>
      <c r="C3594" s="3"/>
      <c r="D3594" s="3">
        <v>4.0</v>
      </c>
      <c r="E3594" s="2" t="s">
        <v>11</v>
      </c>
      <c r="F3594" s="2" t="s">
        <v>25</v>
      </c>
      <c r="G3594" s="2"/>
      <c r="H3594" s="2"/>
      <c r="I3594" s="2"/>
      <c r="J3594" s="2"/>
    </row>
    <row r="3595" ht="15.75" customHeight="1">
      <c r="A3595" s="4" t="str">
        <f>HYPERLINK("https://stackoverflow.com/q/62018029", "62018029")</f>
        <v>62018029</v>
      </c>
      <c r="B3595" s="2" t="s">
        <v>3638</v>
      </c>
      <c r="C3595" s="3"/>
      <c r="D3595" s="3">
        <v>4.0</v>
      </c>
      <c r="E3595" s="2" t="s">
        <v>11</v>
      </c>
      <c r="F3595" s="2" t="s">
        <v>21</v>
      </c>
      <c r="G3595" s="2"/>
      <c r="H3595" s="2"/>
      <c r="I3595" s="2"/>
      <c r="J3595" s="2"/>
    </row>
    <row r="3596" ht="15.75" customHeight="1">
      <c r="A3596" s="4" t="str">
        <f>HYPERLINK("https://stackoverflow.com/q/56561002", "56561002")</f>
        <v>56561002</v>
      </c>
      <c r="B3596" s="2" t="s">
        <v>3639</v>
      </c>
      <c r="C3596" s="3"/>
      <c r="D3596" s="3">
        <v>4.0</v>
      </c>
      <c r="E3596" s="2"/>
      <c r="F3596" s="2"/>
      <c r="G3596" s="2"/>
      <c r="H3596" s="2"/>
      <c r="I3596" s="2"/>
      <c r="J3596" s="2"/>
    </row>
    <row r="3597" ht="15.75" customHeight="1">
      <c r="A3597" s="4" t="str">
        <f>HYPERLINK("https://stackoverflow.com/q/62100452", "62100452")</f>
        <v>62100452</v>
      </c>
      <c r="B3597" s="2" t="s">
        <v>3640</v>
      </c>
      <c r="C3597" s="3"/>
      <c r="D3597" s="3">
        <v>4.0</v>
      </c>
      <c r="E3597" s="2"/>
      <c r="F3597" s="2"/>
      <c r="G3597" s="2"/>
      <c r="H3597" s="2"/>
      <c r="I3597" s="2"/>
      <c r="J3597" s="2"/>
    </row>
    <row r="3598" ht="15.75" customHeight="1">
      <c r="A3598" s="4" t="str">
        <f>HYPERLINK("https://stackoverflow.com/q/61325505", "61325505")</f>
        <v>61325505</v>
      </c>
      <c r="B3598" s="2" t="s">
        <v>3641</v>
      </c>
      <c r="C3598" s="3"/>
      <c r="D3598" s="3">
        <v>3.0</v>
      </c>
      <c r="E3598" s="2" t="s">
        <v>537</v>
      </c>
      <c r="F3598" s="2" t="s">
        <v>194</v>
      </c>
      <c r="G3598" s="2" t="s">
        <v>484</v>
      </c>
      <c r="H3598" s="2"/>
      <c r="I3598" s="2"/>
      <c r="J3598" s="2"/>
    </row>
    <row r="3599" ht="15.75" customHeight="1">
      <c r="B3599" s="2"/>
      <c r="C3599" s="3"/>
      <c r="D3599" s="3"/>
      <c r="E3599" s="2"/>
      <c r="F3599" s="2"/>
      <c r="G3599" s="2"/>
      <c r="H3599" s="2"/>
      <c r="I3599" s="2"/>
      <c r="J3599" s="2"/>
    </row>
    <row r="3600" ht="15.75" customHeight="1">
      <c r="B3600" s="2"/>
      <c r="C3600" s="3"/>
      <c r="D3600" s="3"/>
      <c r="E3600" s="2"/>
      <c r="F3600" s="2"/>
      <c r="G3600" s="2"/>
      <c r="H3600" s="2"/>
      <c r="I3600" s="2"/>
      <c r="J3600" s="2"/>
    </row>
  </sheetData>
  <dataValidations>
    <dataValidation type="list" allowBlank="1" sqref="F1:F3600">
      <formula1>"wrong tag,Queries on Platform [plaform comparision | platform features | Community support | Reusability Scalability performance],General query [HTTP error header message  explanation | Feature usage query | Learning curve],Flatform features support [Even"&amp;"t Monitoring | Dashboard customization | View Management | role management | collaboration | platform security],Platform issues [platform limitaion | not working as expected],Session/Authentication [social auth | oaut2 | jtoken],Version Controlling,Deploy"&amp;"ment Issues [ Local Development],Access control [Application accessibility| Permission],Browser compatibility,API Integration [Updating Integrated API versions | API unexpected response | Connecting external services | Ambiguous sample code integration],E"&amp;"mail and DNS configuration [SMTP Authentication| email not working | DNS Integration],Application Customization [QR code | Automatic value| Show/Hide Component| Pagination | Automatic Email | Embedding | pagination ],Input validation,UI customization [Des"&amp;"ign flexibility|  UI Overflow| Show/Hide Component| Template],Dynamic Content,Database CRUD [Complex Database query| DB query for M:M data model| DB query unexpected| ],Database [connection| sclability| model design| Export/import data| Database design| D"&amp;"B scalability| DB Admin Authorization|,Data migration [export | import],Data binding,General programming query [JSON to CSV/excel],Debugging Error/crash [why this does not work| Application Code change not executed| Broken UI| Functionalities not working|"&amp;" boken UI| Embedding | ],Testing [Test failed| Test coverage| Third party functional testing suite|],Tutorial [How to do this ],Recommendation on best practice,Documentation [incorrent| incomplete| ambiguous| Ambiguous sample code integration]"</formula1>
    </dataValidation>
    <dataValidation type="list" allowBlank="1" sqref="G1:G3600">
      <formula1>"wrong tag,Queries on Platform [plaform comparision | platform features | Community support | Reusability Scalability performance],General query [HTTP error header message  explanation | Feature usage query | Learning curve],Flatform features [Event Monito"&amp;"ring | Dashboard customization | View Management | role management | collaboration | platform security],Platform issues [platform limitaion | not working as expected],Session/Authentication [social auth | oaut2 | jtoken],Version Controlling,Deployment Iss"&amp;"ues [ Local Development],Access control [Application accessibility| Permission],Browser compatibility,API Integration [Updating Integrated API versions | API unexpected response | Connecting external services | Ambiguous sample code integration],Email con"&amp;"figuration [SMTP Authentication | DNS Integration],Application Customization [QR code | Automatic value| Show/Hide Component| Pagination | Automatic Email | Embedding | pagination ],Input validation,UI customization [Design flexibility|  UI Overflow| Show"&amp;"/Hide Component| Template],Dynamic Content,Database CRUD [Complex Database query| DB query for M:M data model| DB query unexpected| ],Database [connection| sclability| model design| Export/import data| Database design| DB scalability| DB Admin Authorizati"&amp;"on|,Data migration [export | import],Data binding,General programming query [JSON to CSV/excel],Debugging Error/crash [why this does not work| Application Code change not executed| Broken UI| Functionalities not working| boken UI| Embedding | ],Testing [T"&amp;"est failed| Test coverage| Third party functional testing suite|],Tutorial [How to do this ],Recommendation on best practice,Documentation [incorrent| incomplete| ambiguous| Ambiguous sample code integration]"</formula1>
    </dataValidation>
    <dataValidation type="list" allowBlank="1" sqref="E1:E3600">
      <formula1>"1__requirement,2__design,3__development,4__testing,5__deployment,6__maintenance"</formula1>
    </dataValidation>
    <dataValidation type="list" allowBlank="1" sqref="H1 H3 H5 H10 H12:H13 H15:H3600">
      <formula1>"Queries on Platform [plaform comparision | platform features | Community support | Reusability Scalability performance],General query [HTTP error header message  explanation | Feature usage query | Learning curve],wrong tag,Event Monitoring [Dashboard cus"&amp;"tomization | View Management],Platform issues [platform limitaion | not working as expected],Developer role management [Collaboration | Developer role assignment],Application security [Platform security CIA | Security Token error],Session/Authentication ["&amp;"social auth | oaut2 | jtoken],Version Controlling,Deployment Issues [ Local Development],Access control [Application accessibility| Permission],Browser compatibility,API Integration [Updating Integrated API versions | API unexpected response | Connecting "&amp;"external services | Ambiguous sample code integration],DNS Integration [Email domain verification],Email configuration [SMTP Authentication],Application Customization [QR code | Automatic value| Show/Hide Component| Pagination | Automatic Email | Embeddin"&amp;"g ],Input validation,pagination,UI customization [Design flexibility|  UI Overflow| Show/Hide Component|],Dynamic Content,Database CRUD [Complex Database query| DB query for M:M data model| DB query unexpected| ],Database [connection| sclability| model de"&amp;"sign| Export/import data| Database design| DB scalability| DB Admin Authorization|,Data migration [export | import],Data binding,General programming query [JSON to CSV/excel],Template,Debugging Error/crash [why this does not work| Application Code change "&amp;"not executed| Broken UI| Functionalities not working| boken UI| Embedding | ],Testing [Test failed| Test coverage| Third party functional testing suite|],Tutorial [How to do this ],Recommendation on best practice,Documentation [incorrent| incomplete| ambi"&amp;"guous| Ambiguous sample code integration]"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43.0"/>
    <col customWidth="1" min="3" max="4" width="43.86"/>
    <col customWidth="1" min="5" max="5" width="16.43"/>
    <col customWidth="1" min="6" max="6" width="14.43"/>
  </cols>
  <sheetData>
    <row r="1" ht="15.75" customHeight="1">
      <c r="A1" s="1" t="s">
        <v>0</v>
      </c>
      <c r="B1" s="2" t="s">
        <v>1</v>
      </c>
      <c r="C1" s="19" t="s">
        <v>3642</v>
      </c>
      <c r="D1" s="19" t="s">
        <v>3643</v>
      </c>
      <c r="E1" s="2" t="s">
        <v>4</v>
      </c>
      <c r="F1" s="19"/>
    </row>
    <row r="2" ht="15.75" customHeight="1">
      <c r="A2" s="1">
        <v>326366.0</v>
      </c>
      <c r="B2" s="2" t="s">
        <v>233</v>
      </c>
      <c r="C2" s="19" t="s">
        <v>3644</v>
      </c>
      <c r="D2" s="19" t="s">
        <v>3645</v>
      </c>
      <c r="E2" s="2" t="s">
        <v>20</v>
      </c>
      <c r="F2" s="19"/>
    </row>
    <row r="3" ht="15.75" customHeight="1">
      <c r="A3" s="1">
        <v>359717.0</v>
      </c>
      <c r="B3" s="2" t="s">
        <v>1323</v>
      </c>
      <c r="C3" s="19" t="s">
        <v>3646</v>
      </c>
      <c r="D3" s="19" t="s">
        <v>3647</v>
      </c>
      <c r="E3" s="2" t="s">
        <v>20</v>
      </c>
      <c r="F3" s="19"/>
    </row>
    <row r="4" ht="15.75" customHeight="1">
      <c r="A4" s="1">
        <v>3016015.0</v>
      </c>
      <c r="B4" s="2" t="s">
        <v>19</v>
      </c>
      <c r="C4" s="19" t="s">
        <v>3648</v>
      </c>
      <c r="D4" s="19" t="s">
        <v>3649</v>
      </c>
      <c r="E4" s="2" t="s">
        <v>20</v>
      </c>
      <c r="F4" s="19"/>
    </row>
    <row r="5" ht="15.75" customHeight="1">
      <c r="A5" s="1">
        <v>3990732.0</v>
      </c>
      <c r="B5" s="2" t="s">
        <v>469</v>
      </c>
      <c r="C5" s="19" t="s">
        <v>3650</v>
      </c>
      <c r="D5" s="19"/>
      <c r="E5" s="2" t="s">
        <v>20</v>
      </c>
      <c r="F5" s="19"/>
    </row>
    <row r="6" ht="15.75" customHeight="1">
      <c r="A6" s="1">
        <v>1.2004748E7</v>
      </c>
      <c r="B6" s="2" t="s">
        <v>65</v>
      </c>
      <c r="C6" s="19" t="s">
        <v>3651</v>
      </c>
      <c r="D6" s="19" t="s">
        <v>3652</v>
      </c>
      <c r="E6" s="2" t="s">
        <v>20</v>
      </c>
      <c r="F6" s="19"/>
    </row>
    <row r="7" ht="15.75" customHeight="1">
      <c r="A7" s="1">
        <v>4.3045887E7</v>
      </c>
      <c r="B7" s="2" t="s">
        <v>1017</v>
      </c>
      <c r="C7" s="19" t="s">
        <v>3653</v>
      </c>
      <c r="D7" s="19" t="s">
        <v>3654</v>
      </c>
      <c r="E7" s="2" t="s">
        <v>20</v>
      </c>
      <c r="F7" s="19"/>
    </row>
    <row r="8" ht="15.75" customHeight="1">
      <c r="A8" s="1">
        <v>4.3919778E7</v>
      </c>
      <c r="B8" s="2" t="s">
        <v>1028</v>
      </c>
      <c r="C8" s="19" t="s">
        <v>3655</v>
      </c>
      <c r="D8" s="19"/>
      <c r="E8" s="2" t="s">
        <v>20</v>
      </c>
      <c r="F8" s="19"/>
    </row>
    <row r="9" ht="15.75" customHeight="1">
      <c r="A9" s="1">
        <v>4.6565154E7</v>
      </c>
      <c r="B9" s="2" t="s">
        <v>2307</v>
      </c>
      <c r="C9" s="19" t="s">
        <v>3656</v>
      </c>
      <c r="D9" s="19"/>
      <c r="E9" s="2" t="s">
        <v>20</v>
      </c>
      <c r="F9" s="19"/>
    </row>
    <row r="10" ht="15.75" customHeight="1">
      <c r="A10" s="1">
        <v>4.6684369E7</v>
      </c>
      <c r="B10" s="2" t="s">
        <v>963</v>
      </c>
      <c r="C10" s="19" t="s">
        <v>3657</v>
      </c>
      <c r="D10" s="19"/>
      <c r="E10" s="2" t="s">
        <v>20</v>
      </c>
      <c r="F10" s="19"/>
    </row>
    <row r="11" ht="15.75" customHeight="1">
      <c r="A11" s="1">
        <v>5.1884008E7</v>
      </c>
      <c r="B11" s="2" t="s">
        <v>1477</v>
      </c>
      <c r="C11" s="19" t="s">
        <v>3658</v>
      </c>
      <c r="D11" s="19"/>
      <c r="E11" s="2" t="s">
        <v>20</v>
      </c>
      <c r="F11" s="19"/>
    </row>
    <row r="12" ht="15.75" customHeight="1">
      <c r="A12" s="1">
        <v>5.4223484E7</v>
      </c>
      <c r="B12" s="2" t="s">
        <v>1760</v>
      </c>
      <c r="C12" s="19" t="s">
        <v>3659</v>
      </c>
      <c r="D12" s="19"/>
      <c r="E12" s="2" t="s">
        <v>20</v>
      </c>
      <c r="F12" s="19"/>
    </row>
    <row r="13" ht="15.75" customHeight="1">
      <c r="A13" s="1">
        <v>5.4841101E7</v>
      </c>
      <c r="B13" s="2" t="s">
        <v>2980</v>
      </c>
      <c r="C13" s="19" t="s">
        <v>3660</v>
      </c>
      <c r="D13" s="19"/>
      <c r="E13" s="2" t="s">
        <v>20</v>
      </c>
      <c r="F13" s="19"/>
    </row>
    <row r="14" ht="15.75" customHeight="1">
      <c r="A14" s="1">
        <v>6.14027E7</v>
      </c>
      <c r="B14" s="2" t="s">
        <v>3382</v>
      </c>
      <c r="C14" s="19" t="s">
        <v>3661</v>
      </c>
      <c r="D14" s="19"/>
      <c r="E14" s="2" t="s">
        <v>20</v>
      </c>
      <c r="F14" s="19"/>
    </row>
    <row r="15" ht="15.75" customHeight="1">
      <c r="A15" s="1">
        <v>6.1845738E7</v>
      </c>
      <c r="B15" s="2" t="s">
        <v>3269</v>
      </c>
      <c r="C15" s="19" t="s">
        <v>3662</v>
      </c>
      <c r="D15" s="19"/>
      <c r="E15" s="2" t="s">
        <v>20</v>
      </c>
      <c r="F15" s="19"/>
    </row>
    <row r="16" ht="15.75" customHeight="1">
      <c r="A16" s="1">
        <v>9041860.0</v>
      </c>
      <c r="B16" s="2" t="s">
        <v>686</v>
      </c>
      <c r="C16" s="19" t="s">
        <v>3663</v>
      </c>
      <c r="D16" s="19"/>
      <c r="E16" s="2" t="s">
        <v>59</v>
      </c>
      <c r="F16" s="19"/>
    </row>
    <row r="17" ht="15.75" customHeight="1">
      <c r="A17" s="1">
        <v>1.017094E7</v>
      </c>
      <c r="B17" s="2" t="s">
        <v>78</v>
      </c>
      <c r="C17" s="19" t="s">
        <v>3664</v>
      </c>
      <c r="D17" s="19" t="s">
        <v>3665</v>
      </c>
      <c r="E17" s="2" t="s">
        <v>59</v>
      </c>
      <c r="F17" s="19"/>
    </row>
    <row r="18" ht="15.75" customHeight="1">
      <c r="A18" s="1">
        <v>2.2562925E7</v>
      </c>
      <c r="B18" s="2" t="s">
        <v>58</v>
      </c>
      <c r="C18" s="19" t="s">
        <v>3666</v>
      </c>
      <c r="D18" s="19"/>
      <c r="E18" s="2" t="s">
        <v>59</v>
      </c>
      <c r="F18" s="19"/>
    </row>
    <row r="19" ht="15.75" customHeight="1">
      <c r="A19" s="1">
        <v>4.1679881E7</v>
      </c>
      <c r="B19" s="2" t="s">
        <v>257</v>
      </c>
      <c r="C19" s="19" t="s">
        <v>3667</v>
      </c>
      <c r="D19" s="19" t="s">
        <v>3668</v>
      </c>
      <c r="E19" s="2" t="s">
        <v>59</v>
      </c>
      <c r="F19" s="19"/>
    </row>
    <row r="20" ht="15.75" customHeight="1">
      <c r="A20" s="1">
        <v>4.1813166E7</v>
      </c>
      <c r="B20" s="2" t="s">
        <v>532</v>
      </c>
      <c r="C20" s="19" t="s">
        <v>3669</v>
      </c>
      <c r="D20" s="19" t="s">
        <v>3670</v>
      </c>
      <c r="E20" s="2" t="s">
        <v>59</v>
      </c>
      <c r="F20" s="19"/>
    </row>
    <row r="21" ht="15.75" customHeight="1">
      <c r="A21" s="1">
        <v>4.2647054E7</v>
      </c>
      <c r="B21" s="2" t="s">
        <v>411</v>
      </c>
      <c r="C21" s="19" t="s">
        <v>3671</v>
      </c>
      <c r="D21" s="19" t="s">
        <v>3672</v>
      </c>
      <c r="E21" s="2" t="s">
        <v>59</v>
      </c>
      <c r="F21" s="19"/>
    </row>
    <row r="22" ht="15.75" customHeight="1">
      <c r="A22" s="1">
        <v>4.324312E7</v>
      </c>
      <c r="B22" s="2" t="s">
        <v>2233</v>
      </c>
      <c r="C22" s="19" t="s">
        <v>3673</v>
      </c>
      <c r="D22" s="19" t="s">
        <v>3674</v>
      </c>
      <c r="E22" s="2" t="s">
        <v>59</v>
      </c>
      <c r="F22" s="19"/>
    </row>
    <row r="23" ht="15.75" customHeight="1">
      <c r="A23" s="1">
        <v>4.34964E7</v>
      </c>
      <c r="B23" s="2" t="s">
        <v>574</v>
      </c>
      <c r="C23" s="19" t="s">
        <v>3675</v>
      </c>
      <c r="D23" s="19" t="s">
        <v>3676</v>
      </c>
      <c r="E23" s="2" t="s">
        <v>59</v>
      </c>
      <c r="F23" s="19"/>
    </row>
    <row r="24" ht="15.75" customHeight="1">
      <c r="A24" s="1">
        <v>4.3642384E7</v>
      </c>
      <c r="B24" s="2" t="s">
        <v>760</v>
      </c>
      <c r="C24" s="19" t="s">
        <v>3677</v>
      </c>
      <c r="D24" s="19" t="s">
        <v>3678</v>
      </c>
      <c r="E24" s="2" t="s">
        <v>59</v>
      </c>
      <c r="F24" s="19"/>
    </row>
    <row r="25" ht="15.75" customHeight="1">
      <c r="A25" s="1">
        <v>4.3924709E7</v>
      </c>
      <c r="B25" s="2" t="s">
        <v>380</v>
      </c>
      <c r="C25" s="19" t="s">
        <v>3679</v>
      </c>
      <c r="D25" s="19" t="s">
        <v>3680</v>
      </c>
      <c r="E25" s="2" t="s">
        <v>59</v>
      </c>
      <c r="F25" s="19"/>
    </row>
    <row r="26" ht="15.75" customHeight="1">
      <c r="A26" s="1">
        <v>4.3995641E7</v>
      </c>
      <c r="B26" s="2" t="s">
        <v>379</v>
      </c>
      <c r="C26" s="19" t="s">
        <v>3681</v>
      </c>
      <c r="D26" s="19"/>
      <c r="E26" s="2" t="s">
        <v>59</v>
      </c>
      <c r="F26" s="19"/>
    </row>
    <row r="27" ht="15.75" customHeight="1">
      <c r="A27" s="1">
        <v>4.4165995E7</v>
      </c>
      <c r="B27" s="2" t="s">
        <v>1239</v>
      </c>
      <c r="C27" s="19" t="s">
        <v>3682</v>
      </c>
      <c r="D27" s="19" t="s">
        <v>3683</v>
      </c>
      <c r="E27" s="2" t="s">
        <v>59</v>
      </c>
      <c r="F27" s="19"/>
    </row>
    <row r="28" ht="15.75" customHeight="1">
      <c r="A28" s="1">
        <v>4.6195839E7</v>
      </c>
      <c r="B28" s="2" t="s">
        <v>964</v>
      </c>
      <c r="C28" s="19" t="s">
        <v>3684</v>
      </c>
      <c r="D28" s="19"/>
      <c r="E28" s="2" t="s">
        <v>59</v>
      </c>
      <c r="F28" s="19"/>
    </row>
    <row r="29" ht="15.75" customHeight="1">
      <c r="A29" s="1">
        <v>4.6314967E7</v>
      </c>
      <c r="B29" s="2" t="s">
        <v>281</v>
      </c>
      <c r="C29" s="19" t="s">
        <v>3685</v>
      </c>
      <c r="D29" s="19"/>
      <c r="E29" s="2" t="s">
        <v>59</v>
      </c>
      <c r="F29" s="19"/>
    </row>
    <row r="30" ht="15.75" customHeight="1">
      <c r="A30" s="1">
        <v>4.6421271E7</v>
      </c>
      <c r="B30" s="2" t="s">
        <v>548</v>
      </c>
      <c r="C30" s="19" t="s">
        <v>3686</v>
      </c>
      <c r="D30" s="19" t="s">
        <v>3687</v>
      </c>
      <c r="E30" s="2" t="s">
        <v>59</v>
      </c>
      <c r="F30" s="19"/>
    </row>
    <row r="31" ht="15.75" customHeight="1">
      <c r="A31" s="1">
        <v>4.6453448E7</v>
      </c>
      <c r="B31" s="2" t="s">
        <v>487</v>
      </c>
      <c r="C31" s="19" t="s">
        <v>3688</v>
      </c>
      <c r="D31" s="19"/>
      <c r="E31" s="2" t="s">
        <v>59</v>
      </c>
      <c r="F31" s="19"/>
    </row>
    <row r="32" ht="15.75" customHeight="1">
      <c r="A32" s="1">
        <v>4.6463283E7</v>
      </c>
      <c r="B32" s="2" t="s">
        <v>880</v>
      </c>
      <c r="C32" s="19" t="s">
        <v>3689</v>
      </c>
      <c r="D32" s="19" t="s">
        <v>3690</v>
      </c>
      <c r="E32" s="2" t="s">
        <v>59</v>
      </c>
      <c r="F32" s="19"/>
    </row>
    <row r="33" ht="15.75" customHeight="1">
      <c r="A33" s="1">
        <v>4.6614237E7</v>
      </c>
      <c r="B33" s="2" t="s">
        <v>2653</v>
      </c>
      <c r="C33" s="19" t="s">
        <v>3691</v>
      </c>
      <c r="D33" s="19"/>
      <c r="E33" s="2" t="s">
        <v>59</v>
      </c>
      <c r="F33" s="19"/>
    </row>
    <row r="34" ht="15.75" customHeight="1">
      <c r="A34" s="1">
        <v>4.6866935E7</v>
      </c>
      <c r="B34" s="2" t="s">
        <v>1557</v>
      </c>
      <c r="C34" s="19" t="s">
        <v>3692</v>
      </c>
      <c r="D34" s="19"/>
      <c r="E34" s="2" t="s">
        <v>59</v>
      </c>
      <c r="F34" s="19"/>
    </row>
    <row r="35" ht="15.75" customHeight="1">
      <c r="A35" s="1">
        <v>4.7333242E7</v>
      </c>
      <c r="B35" s="2" t="s">
        <v>2399</v>
      </c>
      <c r="C35" s="19" t="s">
        <v>3693</v>
      </c>
      <c r="D35" s="19"/>
      <c r="E35" s="2" t="s">
        <v>59</v>
      </c>
      <c r="F35" s="19"/>
    </row>
    <row r="36" ht="15.75" customHeight="1">
      <c r="A36" s="1">
        <v>4.7704069E7</v>
      </c>
      <c r="B36" s="2" t="s">
        <v>681</v>
      </c>
      <c r="C36" s="19" t="s">
        <v>3694</v>
      </c>
      <c r="D36" s="19" t="s">
        <v>3695</v>
      </c>
      <c r="E36" s="2" t="s">
        <v>59</v>
      </c>
      <c r="F36" s="19"/>
    </row>
    <row r="37" ht="15.75" customHeight="1">
      <c r="A37" s="1">
        <v>4.7820165E7</v>
      </c>
      <c r="B37" s="2" t="s">
        <v>848</v>
      </c>
      <c r="C37" s="19" t="s">
        <v>3696</v>
      </c>
      <c r="D37" s="19" t="s">
        <v>3697</v>
      </c>
      <c r="E37" s="2" t="s">
        <v>59</v>
      </c>
      <c r="F37" s="19"/>
    </row>
    <row r="38" ht="15.75" customHeight="1">
      <c r="A38" s="1">
        <v>4.7823345E7</v>
      </c>
      <c r="B38" s="2" t="s">
        <v>849</v>
      </c>
      <c r="C38" s="19" t="s">
        <v>3698</v>
      </c>
      <c r="D38" s="19" t="s">
        <v>3699</v>
      </c>
      <c r="E38" s="2" t="s">
        <v>59</v>
      </c>
      <c r="F38" s="19"/>
    </row>
    <row r="39" ht="15.75" customHeight="1">
      <c r="A39" s="1">
        <v>4.8054534E7</v>
      </c>
      <c r="B39" s="2" t="s">
        <v>1601</v>
      </c>
      <c r="C39" s="19" t="s">
        <v>3700</v>
      </c>
      <c r="D39" s="19"/>
      <c r="E39" s="2" t="s">
        <v>59</v>
      </c>
      <c r="F39" s="19"/>
    </row>
    <row r="40" ht="15.75" customHeight="1">
      <c r="A40" s="1">
        <v>5.1381376E7</v>
      </c>
      <c r="B40" s="2" t="s">
        <v>1735</v>
      </c>
      <c r="C40" s="19" t="s">
        <v>3701</v>
      </c>
      <c r="D40" s="19" t="s">
        <v>3702</v>
      </c>
      <c r="E40" s="2" t="s">
        <v>59</v>
      </c>
      <c r="F40" s="19"/>
    </row>
    <row r="41" ht="15.75" customHeight="1">
      <c r="A41" s="1">
        <v>5.3826899E7</v>
      </c>
      <c r="B41" s="2" t="s">
        <v>2910</v>
      </c>
      <c r="C41" s="19" t="s">
        <v>3703</v>
      </c>
      <c r="D41" s="19"/>
      <c r="E41" s="2" t="s">
        <v>59</v>
      </c>
      <c r="F41" s="19"/>
    </row>
    <row r="42" ht="15.75" customHeight="1">
      <c r="A42" s="1">
        <v>5.4350879E7</v>
      </c>
      <c r="B42" s="2" t="s">
        <v>2539</v>
      </c>
      <c r="C42" s="19" t="s">
        <v>3704</v>
      </c>
      <c r="D42" s="19"/>
      <c r="E42" s="2" t="s">
        <v>59</v>
      </c>
      <c r="F42" s="19"/>
    </row>
    <row r="43" ht="15.75" customHeight="1">
      <c r="A43" s="1">
        <v>5.4474013E7</v>
      </c>
      <c r="B43" s="2" t="s">
        <v>1405</v>
      </c>
      <c r="C43" s="19" t="s">
        <v>3705</v>
      </c>
      <c r="D43" s="19"/>
      <c r="E43" s="2" t="s">
        <v>59</v>
      </c>
      <c r="F43" s="19"/>
    </row>
    <row r="44" ht="15.75" customHeight="1">
      <c r="A44" s="1">
        <v>5.4554531E7</v>
      </c>
      <c r="B44" s="2" t="s">
        <v>1807</v>
      </c>
      <c r="C44" s="19" t="s">
        <v>3706</v>
      </c>
      <c r="D44" s="19"/>
      <c r="E44" s="2" t="s">
        <v>59</v>
      </c>
      <c r="F44" s="19"/>
    </row>
    <row r="45" ht="15.75" customHeight="1">
      <c r="A45" s="1">
        <v>5.4577431E7</v>
      </c>
      <c r="B45" s="2" t="s">
        <v>1749</v>
      </c>
      <c r="C45" s="19" t="s">
        <v>3707</v>
      </c>
      <c r="D45" s="19"/>
      <c r="E45" s="2" t="s">
        <v>59</v>
      </c>
      <c r="F45" s="19"/>
    </row>
    <row r="46" ht="15.75" customHeight="1">
      <c r="A46" s="1">
        <v>5.5005441E7</v>
      </c>
      <c r="B46" s="2" t="s">
        <v>2228</v>
      </c>
      <c r="C46" s="19" t="s">
        <v>3708</v>
      </c>
      <c r="D46" s="19" t="s">
        <v>3709</v>
      </c>
      <c r="E46" s="2" t="s">
        <v>59</v>
      </c>
      <c r="F46" s="19"/>
    </row>
    <row r="47" ht="15.75" customHeight="1">
      <c r="A47" s="1">
        <v>5.5207558E7</v>
      </c>
      <c r="B47" s="2" t="s">
        <v>2186</v>
      </c>
      <c r="C47" s="19" t="s">
        <v>3710</v>
      </c>
      <c r="D47" s="19"/>
      <c r="E47" s="2" t="s">
        <v>59</v>
      </c>
      <c r="F47" s="19"/>
    </row>
    <row r="48" ht="15.75" customHeight="1">
      <c r="A48" s="1">
        <v>5.5220499E7</v>
      </c>
      <c r="B48" s="2" t="s">
        <v>1119</v>
      </c>
      <c r="C48" s="19" t="s">
        <v>3711</v>
      </c>
      <c r="D48" s="19"/>
      <c r="E48" s="2" t="s">
        <v>59</v>
      </c>
      <c r="F48" s="19"/>
    </row>
    <row r="49" ht="15.75" customHeight="1">
      <c r="A49" s="1">
        <v>5.5238384E7</v>
      </c>
      <c r="B49" s="2" t="s">
        <v>2099</v>
      </c>
      <c r="C49" s="19" t="s">
        <v>3712</v>
      </c>
      <c r="D49" s="19" t="s">
        <v>3713</v>
      </c>
      <c r="E49" s="2" t="s">
        <v>59</v>
      </c>
      <c r="F49" s="19"/>
    </row>
    <row r="50" ht="15.75" customHeight="1">
      <c r="A50" s="1">
        <v>5.5304547E7</v>
      </c>
      <c r="B50" s="2" t="s">
        <v>1454</v>
      </c>
      <c r="C50" s="19" t="s">
        <v>3714</v>
      </c>
      <c r="D50" s="19" t="s">
        <v>3715</v>
      </c>
      <c r="E50" s="2" t="s">
        <v>59</v>
      </c>
      <c r="F50" s="19"/>
    </row>
    <row r="51" ht="15.75" customHeight="1">
      <c r="A51" s="1">
        <v>5.5367038E7</v>
      </c>
      <c r="B51" s="2" t="s">
        <v>3165</v>
      </c>
      <c r="C51" s="19" t="s">
        <v>3716</v>
      </c>
      <c r="D51" s="19"/>
      <c r="E51" s="2" t="s">
        <v>59</v>
      </c>
      <c r="F51" s="19"/>
    </row>
    <row r="52" ht="15.75" customHeight="1">
      <c r="A52" s="1">
        <v>6.122209E7</v>
      </c>
      <c r="B52" s="2" t="s">
        <v>3452</v>
      </c>
      <c r="C52" s="19" t="s">
        <v>3717</v>
      </c>
      <c r="D52" s="19"/>
      <c r="E52" s="2" t="s">
        <v>59</v>
      </c>
      <c r="F52" s="19"/>
    </row>
    <row r="53" ht="15.75" customHeight="1">
      <c r="A53" s="1">
        <v>6.1379667E7</v>
      </c>
      <c r="B53" s="2" t="s">
        <v>3207</v>
      </c>
      <c r="C53" s="19" t="s">
        <v>3718</v>
      </c>
      <c r="D53" s="19"/>
      <c r="E53" s="2" t="s">
        <v>59</v>
      </c>
      <c r="F53" s="19"/>
    </row>
    <row r="54" ht="15.75" customHeight="1">
      <c r="A54" s="1">
        <v>6.1838119E7</v>
      </c>
      <c r="B54" s="2" t="s">
        <v>2981</v>
      </c>
      <c r="C54" s="19" t="s">
        <v>3719</v>
      </c>
      <c r="D54" s="19" t="s">
        <v>3720</v>
      </c>
      <c r="E54" s="2" t="s">
        <v>59</v>
      </c>
      <c r="F54" s="19"/>
    </row>
    <row r="55" ht="15.75" customHeight="1">
      <c r="A55" s="1">
        <v>6.2002491E7</v>
      </c>
      <c r="B55" s="2" t="s">
        <v>3403</v>
      </c>
      <c r="C55" s="19" t="s">
        <v>3721</v>
      </c>
      <c r="D55" s="19"/>
      <c r="E55" s="2" t="s">
        <v>59</v>
      </c>
      <c r="F55" s="19"/>
    </row>
    <row r="56" ht="15.75" customHeight="1">
      <c r="A56" s="1">
        <v>980932.0</v>
      </c>
      <c r="B56" s="2" t="s">
        <v>418</v>
      </c>
      <c r="C56" s="19" t="s">
        <v>3722</v>
      </c>
      <c r="D56" s="19" t="s">
        <v>3723</v>
      </c>
      <c r="E56" s="2" t="s">
        <v>11</v>
      </c>
      <c r="F56" s="19"/>
    </row>
    <row r="57" ht="15.75" customHeight="1">
      <c r="A57" s="1">
        <v>1236439.0</v>
      </c>
      <c r="B57" s="2" t="s">
        <v>162</v>
      </c>
      <c r="C57" s="19" t="s">
        <v>3724</v>
      </c>
      <c r="D57" s="19" t="s">
        <v>3725</v>
      </c>
      <c r="E57" s="2" t="s">
        <v>11</v>
      </c>
      <c r="F57" s="19"/>
    </row>
    <row r="58" ht="15.75" customHeight="1">
      <c r="A58" s="1">
        <v>1258834.0</v>
      </c>
      <c r="B58" s="2" t="s">
        <v>110</v>
      </c>
      <c r="C58" s="19" t="s">
        <v>3726</v>
      </c>
      <c r="D58" s="19" t="s">
        <v>3727</v>
      </c>
      <c r="E58" s="2" t="s">
        <v>11</v>
      </c>
      <c r="F58" s="19"/>
    </row>
    <row r="59" ht="15.75" customHeight="1">
      <c r="A59" s="1">
        <v>2022549.0</v>
      </c>
      <c r="B59" s="2" t="s">
        <v>317</v>
      </c>
      <c r="C59" s="19" t="s">
        <v>3728</v>
      </c>
      <c r="D59" s="19" t="s">
        <v>3729</v>
      </c>
      <c r="E59" s="2" t="s">
        <v>11</v>
      </c>
      <c r="F59" s="19"/>
    </row>
    <row r="60" ht="15.75" customHeight="1">
      <c r="A60" s="1">
        <v>2377082.0</v>
      </c>
      <c r="B60" s="2" t="s">
        <v>1317</v>
      </c>
      <c r="C60" s="19" t="s">
        <v>3730</v>
      </c>
      <c r="D60" s="19"/>
      <c r="E60" s="2" t="s">
        <v>11</v>
      </c>
      <c r="F60" s="19"/>
    </row>
    <row r="61" ht="15.75" customHeight="1">
      <c r="A61" s="1">
        <v>3700594.0</v>
      </c>
      <c r="B61" s="2" t="s">
        <v>826</v>
      </c>
      <c r="C61" s="19" t="s">
        <v>3731</v>
      </c>
      <c r="D61" s="19"/>
      <c r="E61" s="2" t="s">
        <v>11</v>
      </c>
      <c r="F61" s="19"/>
    </row>
    <row r="62" ht="15.75" customHeight="1">
      <c r="A62" s="1">
        <v>3906522.0</v>
      </c>
      <c r="B62" s="2" t="s">
        <v>246</v>
      </c>
      <c r="C62" s="19" t="s">
        <v>3732</v>
      </c>
      <c r="D62" s="19"/>
      <c r="E62" s="2" t="s">
        <v>11</v>
      </c>
      <c r="F62" s="19"/>
    </row>
    <row r="63" ht="15.75" customHeight="1">
      <c r="A63" s="1">
        <v>4432075.0</v>
      </c>
      <c r="B63" s="2" t="s">
        <v>295</v>
      </c>
      <c r="C63" s="19" t="s">
        <v>3733</v>
      </c>
      <c r="D63" s="19" t="s">
        <v>3734</v>
      </c>
      <c r="E63" s="2" t="s">
        <v>11</v>
      </c>
      <c r="F63" s="19"/>
    </row>
    <row r="64" ht="15.75" customHeight="1">
      <c r="A64" s="1">
        <v>4439797.0</v>
      </c>
      <c r="B64" s="2" t="s">
        <v>797</v>
      </c>
      <c r="C64" s="19" t="s">
        <v>3735</v>
      </c>
      <c r="D64" s="19" t="s">
        <v>3736</v>
      </c>
      <c r="E64" s="2" t="s">
        <v>11</v>
      </c>
      <c r="F64" s="19"/>
    </row>
    <row r="65" ht="15.75" customHeight="1">
      <c r="A65" s="1">
        <v>4556252.0</v>
      </c>
      <c r="B65" s="2" t="s">
        <v>433</v>
      </c>
      <c r="C65" s="19" t="s">
        <v>3737</v>
      </c>
      <c r="D65" s="19" t="s">
        <v>3738</v>
      </c>
      <c r="E65" s="2" t="s">
        <v>11</v>
      </c>
      <c r="F65" s="19"/>
    </row>
    <row r="66" ht="15.75" customHeight="1">
      <c r="A66" s="1">
        <v>4598926.0</v>
      </c>
      <c r="B66" s="2" t="s">
        <v>492</v>
      </c>
      <c r="C66" s="19" t="s">
        <v>3739</v>
      </c>
      <c r="D66" s="19" t="s">
        <v>3740</v>
      </c>
      <c r="E66" s="9" t="s">
        <v>11</v>
      </c>
      <c r="F66" s="19"/>
    </row>
    <row r="67" ht="15.75" customHeight="1">
      <c r="A67" s="1">
        <v>4804623.0</v>
      </c>
      <c r="B67" s="2" t="s">
        <v>497</v>
      </c>
      <c r="C67" s="19" t="s">
        <v>3741</v>
      </c>
      <c r="D67" s="19"/>
      <c r="E67" s="2" t="s">
        <v>11</v>
      </c>
      <c r="F67" s="19"/>
    </row>
    <row r="68" ht="15.75" customHeight="1">
      <c r="A68" s="1">
        <v>5552901.0</v>
      </c>
      <c r="B68" s="2" t="s">
        <v>1065</v>
      </c>
      <c r="C68" s="19" t="s">
        <v>3742</v>
      </c>
      <c r="D68" s="19"/>
      <c r="E68" s="2" t="s">
        <v>11</v>
      </c>
      <c r="F68" s="19"/>
    </row>
    <row r="69" ht="15.75" customHeight="1">
      <c r="A69" s="1">
        <v>7048854.0</v>
      </c>
      <c r="B69" s="2" t="s">
        <v>308</v>
      </c>
      <c r="C69" s="19" t="s">
        <v>3743</v>
      </c>
      <c r="D69" s="19" t="s">
        <v>3744</v>
      </c>
      <c r="E69" s="2" t="s">
        <v>11</v>
      </c>
      <c r="F69" s="19"/>
    </row>
    <row r="70" ht="15.75" customHeight="1">
      <c r="A70" s="1">
        <v>7304006.0</v>
      </c>
      <c r="B70" s="2" t="s">
        <v>125</v>
      </c>
      <c r="C70" s="19" t="s">
        <v>3745</v>
      </c>
      <c r="D70" s="19" t="s">
        <v>3746</v>
      </c>
      <c r="E70" s="2" t="s">
        <v>11</v>
      </c>
      <c r="F70" s="19"/>
    </row>
    <row r="71" ht="15.75" customHeight="1">
      <c r="A71" s="1">
        <v>7383641.0</v>
      </c>
      <c r="B71" s="2" t="s">
        <v>1501</v>
      </c>
      <c r="C71" s="19" t="s">
        <v>3747</v>
      </c>
      <c r="D71" s="19"/>
      <c r="E71" s="2" t="s">
        <v>11</v>
      </c>
      <c r="F71" s="19"/>
    </row>
    <row r="72" ht="15.75" customHeight="1">
      <c r="A72" s="1">
        <v>7679733.0</v>
      </c>
      <c r="B72" s="2" t="s">
        <v>985</v>
      </c>
      <c r="C72" s="19" t="s">
        <v>3748</v>
      </c>
      <c r="D72" s="19" t="s">
        <v>3749</v>
      </c>
      <c r="E72" s="2" t="s">
        <v>11</v>
      </c>
      <c r="F72" s="19"/>
    </row>
    <row r="73" ht="15.75" customHeight="1">
      <c r="A73" s="1">
        <v>7699717.0</v>
      </c>
      <c r="B73" s="2" t="s">
        <v>449</v>
      </c>
      <c r="C73" s="19" t="s">
        <v>3750</v>
      </c>
      <c r="D73" s="19" t="s">
        <v>3751</v>
      </c>
      <c r="E73" s="2" t="s">
        <v>11</v>
      </c>
      <c r="F73" s="19"/>
    </row>
    <row r="74" ht="15.75" customHeight="1">
      <c r="A74" s="1">
        <v>7839597.0</v>
      </c>
      <c r="B74" s="2" t="s">
        <v>213</v>
      </c>
      <c r="C74" s="19" t="s">
        <v>3752</v>
      </c>
      <c r="D74" s="19" t="s">
        <v>3753</v>
      </c>
      <c r="E74" s="2" t="s">
        <v>11</v>
      </c>
      <c r="F74" s="19"/>
    </row>
    <row r="75" ht="15.75" customHeight="1">
      <c r="A75" s="1">
        <v>8005085.0</v>
      </c>
      <c r="B75" s="2" t="s">
        <v>237</v>
      </c>
      <c r="C75" s="19" t="s">
        <v>3754</v>
      </c>
      <c r="D75" s="19"/>
      <c r="E75" s="2" t="s">
        <v>11</v>
      </c>
      <c r="F75" s="19"/>
    </row>
    <row r="76" ht="15.75" customHeight="1">
      <c r="A76" s="1">
        <v>8040701.0</v>
      </c>
      <c r="B76" s="2" t="s">
        <v>478</v>
      </c>
      <c r="C76" s="19" t="s">
        <v>3755</v>
      </c>
      <c r="D76" s="19"/>
      <c r="E76" s="2" t="s">
        <v>11</v>
      </c>
      <c r="F76" s="19"/>
    </row>
    <row r="77" ht="15.75" customHeight="1">
      <c r="A77" s="1">
        <v>8067099.0</v>
      </c>
      <c r="B77" s="2" t="s">
        <v>104</v>
      </c>
      <c r="C77" s="19" t="s">
        <v>3756</v>
      </c>
      <c r="D77" s="19"/>
      <c r="E77" s="2" t="s">
        <v>11</v>
      </c>
      <c r="F77" s="19"/>
    </row>
    <row r="78" ht="15.75" customHeight="1">
      <c r="A78" s="1">
        <v>8123314.0</v>
      </c>
      <c r="B78" s="2" t="s">
        <v>676</v>
      </c>
      <c r="C78" s="19" t="s">
        <v>3757</v>
      </c>
      <c r="D78" s="19" t="s">
        <v>3758</v>
      </c>
      <c r="E78" s="2" t="s">
        <v>11</v>
      </c>
      <c r="F78" s="19"/>
    </row>
    <row r="79" ht="15.75" customHeight="1">
      <c r="A79" s="1">
        <v>8430681.0</v>
      </c>
      <c r="B79" s="2" t="s">
        <v>979</v>
      </c>
      <c r="C79" s="19" t="s">
        <v>3759</v>
      </c>
      <c r="D79" s="19"/>
      <c r="E79" s="2" t="s">
        <v>11</v>
      </c>
      <c r="F79" s="19"/>
    </row>
    <row r="80" ht="15.75" customHeight="1">
      <c r="A80" s="1">
        <v>8430696.0</v>
      </c>
      <c r="B80" s="2" t="s">
        <v>196</v>
      </c>
      <c r="C80" s="19" t="s">
        <v>3760</v>
      </c>
      <c r="D80" s="19"/>
      <c r="E80" s="9" t="s">
        <v>11</v>
      </c>
      <c r="F80" s="19"/>
    </row>
    <row r="81" ht="15.75" customHeight="1">
      <c r="A81" s="1">
        <v>8980486.0</v>
      </c>
      <c r="B81" s="2" t="s">
        <v>813</v>
      </c>
      <c r="C81" s="19" t="s">
        <v>3761</v>
      </c>
      <c r="D81" s="19"/>
      <c r="E81" s="9" t="s">
        <v>11</v>
      </c>
      <c r="F81" s="19"/>
    </row>
    <row r="82" ht="15.75" customHeight="1">
      <c r="A82" s="1">
        <v>9054254.0</v>
      </c>
      <c r="B82" s="2" t="s">
        <v>1126</v>
      </c>
      <c r="C82" s="19" t="s">
        <v>3762</v>
      </c>
      <c r="D82" s="19" t="s">
        <v>3763</v>
      </c>
      <c r="E82" s="2" t="s">
        <v>11</v>
      </c>
      <c r="F82" s="19"/>
    </row>
    <row r="83" ht="15.75" customHeight="1">
      <c r="A83" s="1">
        <v>9076585.0</v>
      </c>
      <c r="B83" s="2" t="s">
        <v>376</v>
      </c>
      <c r="C83" s="19" t="s">
        <v>3764</v>
      </c>
      <c r="D83" s="19"/>
      <c r="E83" s="2" t="s">
        <v>11</v>
      </c>
      <c r="F83" s="19"/>
    </row>
    <row r="84" ht="15.75" customHeight="1">
      <c r="A84" s="1">
        <v>9139207.0</v>
      </c>
      <c r="B84" s="2" t="s">
        <v>1182</v>
      </c>
      <c r="C84" s="19" t="s">
        <v>3765</v>
      </c>
      <c r="D84" s="19"/>
      <c r="E84" s="9" t="s">
        <v>11</v>
      </c>
      <c r="F84" s="19"/>
    </row>
    <row r="85" ht="15.75" customHeight="1">
      <c r="A85" s="1">
        <v>9168994.0</v>
      </c>
      <c r="B85" s="2" t="s">
        <v>29</v>
      </c>
      <c r="C85" s="19" t="s">
        <v>3766</v>
      </c>
      <c r="D85" s="19" t="s">
        <v>3767</v>
      </c>
      <c r="E85" s="9" t="s">
        <v>11</v>
      </c>
      <c r="F85" s="19"/>
    </row>
    <row r="86" ht="15.75" customHeight="1">
      <c r="A86" s="1">
        <v>9187799.0</v>
      </c>
      <c r="B86" s="2" t="s">
        <v>1093</v>
      </c>
      <c r="C86" s="19" t="s">
        <v>3768</v>
      </c>
      <c r="D86" s="19"/>
      <c r="E86" s="2" t="s">
        <v>11</v>
      </c>
      <c r="F86" s="19"/>
    </row>
    <row r="87" ht="15.75" customHeight="1">
      <c r="A87" s="1">
        <v>9391137.0</v>
      </c>
      <c r="B87" s="2" t="s">
        <v>10</v>
      </c>
      <c r="C87" s="19" t="s">
        <v>3769</v>
      </c>
      <c r="D87" s="19" t="s">
        <v>3770</v>
      </c>
      <c r="E87" s="2" t="s">
        <v>11</v>
      </c>
      <c r="F87" s="19"/>
    </row>
    <row r="88" ht="15.75" customHeight="1">
      <c r="A88" s="1">
        <v>9959449.0</v>
      </c>
      <c r="B88" s="2" t="s">
        <v>33</v>
      </c>
      <c r="C88" s="19" t="s">
        <v>3771</v>
      </c>
      <c r="D88" s="19"/>
      <c r="E88" s="2" t="s">
        <v>11</v>
      </c>
      <c r="F88" s="19"/>
    </row>
    <row r="89" ht="15.75" customHeight="1">
      <c r="A89" s="1">
        <v>1.0557731E7</v>
      </c>
      <c r="B89" s="2" t="s">
        <v>290</v>
      </c>
      <c r="C89" s="19" t="s">
        <v>3772</v>
      </c>
      <c r="D89" s="19"/>
      <c r="E89" s="2" t="s">
        <v>11</v>
      </c>
      <c r="F89" s="19"/>
    </row>
    <row r="90" ht="15.75" customHeight="1">
      <c r="A90" s="1">
        <v>1.092387E7</v>
      </c>
      <c r="B90" s="2" t="s">
        <v>273</v>
      </c>
      <c r="C90" s="19" t="s">
        <v>3773</v>
      </c>
      <c r="D90" s="19" t="s">
        <v>3774</v>
      </c>
      <c r="E90" s="2" t="s">
        <v>11</v>
      </c>
      <c r="F90" s="19"/>
    </row>
    <row r="91" ht="15.75" customHeight="1">
      <c r="A91" s="1">
        <v>1.1513122E7</v>
      </c>
      <c r="B91" s="2" t="s">
        <v>74</v>
      </c>
      <c r="C91" s="19" t="s">
        <v>3775</v>
      </c>
      <c r="D91" s="19" t="s">
        <v>3776</v>
      </c>
      <c r="E91" s="2" t="s">
        <v>11</v>
      </c>
      <c r="F91" s="19"/>
    </row>
    <row r="92" ht="15.75" customHeight="1">
      <c r="A92" s="1">
        <v>1.2242168E7</v>
      </c>
      <c r="B92" s="2" t="s">
        <v>97</v>
      </c>
      <c r="C92" s="19" t="s">
        <v>3777</v>
      </c>
      <c r="D92" s="19" t="s">
        <v>3778</v>
      </c>
      <c r="E92" s="2" t="s">
        <v>11</v>
      </c>
      <c r="F92" s="19"/>
    </row>
    <row r="93" ht="15.75" customHeight="1">
      <c r="A93" s="1">
        <v>1.2412269E7</v>
      </c>
      <c r="B93" s="2" t="s">
        <v>17</v>
      </c>
      <c r="C93" s="19" t="s">
        <v>3779</v>
      </c>
      <c r="D93" s="19"/>
      <c r="E93" s="2" t="s">
        <v>11</v>
      </c>
      <c r="F93" s="19"/>
    </row>
    <row r="94" ht="15.75" customHeight="1">
      <c r="A94" s="1">
        <v>1.2507134E7</v>
      </c>
      <c r="B94" s="2" t="s">
        <v>274</v>
      </c>
      <c r="C94" s="19" t="s">
        <v>3780</v>
      </c>
      <c r="D94" s="19" t="s">
        <v>3781</v>
      </c>
      <c r="E94" s="2" t="s">
        <v>11</v>
      </c>
      <c r="F94" s="19"/>
    </row>
    <row r="95" ht="15.75" customHeight="1">
      <c r="A95" s="1">
        <v>1.2559029E7</v>
      </c>
      <c r="B95" s="2" t="s">
        <v>278</v>
      </c>
      <c r="C95" s="19" t="s">
        <v>3782</v>
      </c>
      <c r="D95" s="19" t="s">
        <v>3783</v>
      </c>
      <c r="E95" s="2" t="s">
        <v>11</v>
      </c>
      <c r="F95" s="19"/>
    </row>
    <row r="96" ht="15.75" customHeight="1">
      <c r="A96" s="1">
        <v>1.3991036E7</v>
      </c>
      <c r="B96" s="2" t="s">
        <v>75</v>
      </c>
      <c r="C96" s="19" t="s">
        <v>3784</v>
      </c>
      <c r="D96" s="19" t="s">
        <v>3785</v>
      </c>
      <c r="E96" s="2" t="s">
        <v>11</v>
      </c>
      <c r="F96" s="19"/>
    </row>
    <row r="97" ht="15.75" customHeight="1">
      <c r="A97" s="1">
        <v>1.6200946E7</v>
      </c>
      <c r="B97" s="2" t="s">
        <v>63</v>
      </c>
      <c r="C97" s="19" t="s">
        <v>3786</v>
      </c>
      <c r="D97" s="19" t="s">
        <v>3787</v>
      </c>
      <c r="E97" s="2" t="s">
        <v>11</v>
      </c>
      <c r="F97" s="19"/>
    </row>
    <row r="98" ht="15.75" customHeight="1">
      <c r="A98" s="1">
        <v>1.6617053E7</v>
      </c>
      <c r="B98" s="2" t="s">
        <v>53</v>
      </c>
      <c r="C98" s="19" t="s">
        <v>3788</v>
      </c>
      <c r="D98" s="19" t="s">
        <v>3789</v>
      </c>
      <c r="E98" s="2" t="s">
        <v>11</v>
      </c>
      <c r="F98" s="19"/>
    </row>
    <row r="99" ht="15.75" customHeight="1">
      <c r="A99" s="1">
        <v>1.6930202E7</v>
      </c>
      <c r="B99" s="2" t="s">
        <v>117</v>
      </c>
      <c r="C99" s="19" t="s">
        <v>3790</v>
      </c>
      <c r="D99" s="19"/>
      <c r="E99" s="2" t="s">
        <v>11</v>
      </c>
      <c r="F99" s="19"/>
    </row>
    <row r="100" ht="15.75" customHeight="1">
      <c r="A100" s="1">
        <v>1.7126323E7</v>
      </c>
      <c r="B100" s="2" t="s">
        <v>31</v>
      </c>
      <c r="C100" s="19" t="s">
        <v>3791</v>
      </c>
      <c r="D100" s="19" t="s">
        <v>3792</v>
      </c>
      <c r="E100" s="2" t="s">
        <v>11</v>
      </c>
      <c r="F100" s="19"/>
    </row>
    <row r="101" ht="15.75" customHeight="1">
      <c r="A101" s="1">
        <v>1.7886545E7</v>
      </c>
      <c r="B101" s="2" t="s">
        <v>100</v>
      </c>
      <c r="C101" s="19" t="s">
        <v>3793</v>
      </c>
      <c r="D101" s="19" t="s">
        <v>3794</v>
      </c>
      <c r="E101" s="2" t="s">
        <v>11</v>
      </c>
      <c r="F101" s="19"/>
    </row>
    <row r="102" ht="15.75" customHeight="1">
      <c r="A102" s="1">
        <v>1.8440385E7</v>
      </c>
      <c r="B102" s="2" t="s">
        <v>288</v>
      </c>
      <c r="C102" s="19" t="s">
        <v>3795</v>
      </c>
      <c r="D102" s="19" t="s">
        <v>3796</v>
      </c>
      <c r="E102" s="2" t="s">
        <v>11</v>
      </c>
      <c r="F102" s="19"/>
    </row>
    <row r="103" ht="15.75" customHeight="1">
      <c r="A103" s="1">
        <v>2.043782E7</v>
      </c>
      <c r="B103" s="2" t="s">
        <v>90</v>
      </c>
      <c r="C103" s="19" t="s">
        <v>3797</v>
      </c>
      <c r="D103" s="19"/>
      <c r="E103" s="2" t="s">
        <v>11</v>
      </c>
      <c r="F103" s="19"/>
    </row>
    <row r="104" ht="15.75" customHeight="1">
      <c r="A104" s="1">
        <v>2.3062636E7</v>
      </c>
      <c r="B104" s="2" t="s">
        <v>268</v>
      </c>
      <c r="C104" s="19" t="s">
        <v>3798</v>
      </c>
      <c r="D104" s="19" t="s">
        <v>3799</v>
      </c>
      <c r="E104" s="2" t="s">
        <v>11</v>
      </c>
      <c r="F104" s="19"/>
    </row>
    <row r="105" ht="15.75" customHeight="1">
      <c r="A105" s="1">
        <v>2.3984516E7</v>
      </c>
      <c r="B105" s="2" t="s">
        <v>271</v>
      </c>
      <c r="C105" s="19" t="s">
        <v>3800</v>
      </c>
      <c r="D105" s="19" t="s">
        <v>3801</v>
      </c>
      <c r="E105" s="2" t="s">
        <v>11</v>
      </c>
      <c r="F105" s="19"/>
    </row>
    <row r="106" ht="15.75" customHeight="1">
      <c r="A106" s="1">
        <v>2.4450595E7</v>
      </c>
      <c r="B106" s="2" t="s">
        <v>95</v>
      </c>
      <c r="C106" s="19" t="s">
        <v>3802</v>
      </c>
      <c r="D106" s="19"/>
      <c r="E106" s="2" t="s">
        <v>11</v>
      </c>
      <c r="F106" s="19"/>
    </row>
    <row r="107" ht="15.75" customHeight="1">
      <c r="A107" s="1">
        <v>2.4808967E7</v>
      </c>
      <c r="B107" s="2" t="s">
        <v>68</v>
      </c>
      <c r="C107" s="19" t="s">
        <v>3803</v>
      </c>
      <c r="D107" s="19"/>
      <c r="E107" s="2" t="s">
        <v>11</v>
      </c>
      <c r="F107" s="19"/>
    </row>
    <row r="108" ht="15.75" customHeight="1">
      <c r="A108" s="12">
        <v>2.6655087E7</v>
      </c>
      <c r="B108" s="10" t="s">
        <v>43</v>
      </c>
      <c r="C108" s="19" t="s">
        <v>3804</v>
      </c>
      <c r="D108" s="19"/>
      <c r="E108" s="10" t="s">
        <v>11</v>
      </c>
      <c r="F108" s="19"/>
      <c r="G108" s="12"/>
    </row>
    <row r="109" ht="15.75" customHeight="1">
      <c r="A109" s="1">
        <v>2.9386945E7</v>
      </c>
      <c r="B109" s="2" t="s">
        <v>105</v>
      </c>
      <c r="C109" s="19" t="s">
        <v>3805</v>
      </c>
      <c r="D109" s="19"/>
      <c r="E109" s="2" t="s">
        <v>11</v>
      </c>
      <c r="F109" s="19"/>
    </row>
    <row r="110" ht="15.75" customHeight="1">
      <c r="A110" s="1">
        <v>3.0193726E7</v>
      </c>
      <c r="B110" s="2" t="s">
        <v>280</v>
      </c>
      <c r="C110" s="19" t="s">
        <v>3806</v>
      </c>
      <c r="D110" s="19"/>
      <c r="E110" s="2" t="s">
        <v>11</v>
      </c>
      <c r="F110" s="19"/>
    </row>
    <row r="111" ht="15.75" customHeight="1">
      <c r="A111" s="1">
        <v>3.1052944E7</v>
      </c>
      <c r="B111" s="2" t="s">
        <v>276</v>
      </c>
      <c r="C111" s="19" t="s">
        <v>3807</v>
      </c>
      <c r="D111" s="19" t="s">
        <v>3808</v>
      </c>
      <c r="E111" s="2" t="s">
        <v>11</v>
      </c>
      <c r="F111" s="19"/>
    </row>
    <row r="112" ht="15.75" customHeight="1">
      <c r="A112" s="1">
        <v>3.4179466E7</v>
      </c>
      <c r="B112" s="2" t="s">
        <v>47</v>
      </c>
      <c r="C112" s="19" t="s">
        <v>3809</v>
      </c>
      <c r="D112" s="19"/>
      <c r="E112" s="2" t="s">
        <v>11</v>
      </c>
      <c r="F112" s="19"/>
    </row>
    <row r="113" ht="15.75" customHeight="1">
      <c r="A113" s="1">
        <v>3.4292278E7</v>
      </c>
      <c r="B113" s="2" t="s">
        <v>291</v>
      </c>
      <c r="C113" s="19" t="s">
        <v>3810</v>
      </c>
      <c r="D113" s="19" t="s">
        <v>3811</v>
      </c>
      <c r="E113" s="2" t="s">
        <v>11</v>
      </c>
      <c r="F113" s="19"/>
    </row>
    <row r="114" ht="15.75" customHeight="1">
      <c r="A114" s="1">
        <v>3.4341952E7</v>
      </c>
      <c r="B114" s="2" t="s">
        <v>27</v>
      </c>
      <c r="C114" s="19" t="s">
        <v>3812</v>
      </c>
      <c r="D114" s="19" t="s">
        <v>3813</v>
      </c>
      <c r="E114" s="2" t="s">
        <v>11</v>
      </c>
      <c r="F114" s="19"/>
    </row>
    <row r="115" ht="15.75" customHeight="1">
      <c r="A115" s="1">
        <v>3.4510911E7</v>
      </c>
      <c r="B115" s="2" t="s">
        <v>386</v>
      </c>
      <c r="C115" s="19" t="s">
        <v>3814</v>
      </c>
      <c r="D115" s="19" t="s">
        <v>3815</v>
      </c>
      <c r="E115" s="2" t="s">
        <v>11</v>
      </c>
      <c r="F115" s="19"/>
    </row>
    <row r="116" ht="15.75" customHeight="1">
      <c r="A116" s="1">
        <v>3.4963112E7</v>
      </c>
      <c r="B116" s="2" t="s">
        <v>286</v>
      </c>
      <c r="C116" s="19" t="s">
        <v>3816</v>
      </c>
      <c r="D116" s="19" t="s">
        <v>3817</v>
      </c>
      <c r="E116" s="2" t="s">
        <v>11</v>
      </c>
      <c r="F116" s="19"/>
    </row>
    <row r="117" ht="15.75" customHeight="1">
      <c r="A117" s="1">
        <v>3.5609644E7</v>
      </c>
      <c r="B117" s="2" t="s">
        <v>399</v>
      </c>
      <c r="C117" s="19" t="s">
        <v>3818</v>
      </c>
      <c r="D117" s="19" t="s">
        <v>3819</v>
      </c>
      <c r="E117" s="2" t="s">
        <v>11</v>
      </c>
      <c r="F117" s="19"/>
    </row>
    <row r="118" ht="15.75" customHeight="1">
      <c r="A118" s="1">
        <v>3.7196287E7</v>
      </c>
      <c r="B118" s="2" t="s">
        <v>24</v>
      </c>
      <c r="C118" s="19" t="s">
        <v>3820</v>
      </c>
      <c r="D118" s="19" t="s">
        <v>3821</v>
      </c>
      <c r="E118" s="2" t="s">
        <v>11</v>
      </c>
      <c r="F118" s="19"/>
    </row>
    <row r="119" ht="15.75" customHeight="1">
      <c r="A119" s="1">
        <v>3.7481142E7</v>
      </c>
      <c r="B119" s="2" t="s">
        <v>80</v>
      </c>
      <c r="C119" s="19" t="s">
        <v>3822</v>
      </c>
      <c r="D119" s="19"/>
      <c r="E119" s="2" t="s">
        <v>11</v>
      </c>
      <c r="F119" s="19"/>
    </row>
    <row r="120" ht="15.75" customHeight="1">
      <c r="A120" s="1">
        <v>3.7816734E7</v>
      </c>
      <c r="B120" s="2" t="s">
        <v>46</v>
      </c>
      <c r="C120" s="19" t="s">
        <v>3823</v>
      </c>
      <c r="D120" s="19"/>
      <c r="E120" s="2" t="s">
        <v>11</v>
      </c>
      <c r="F120" s="19"/>
    </row>
    <row r="121" ht="15.75" customHeight="1">
      <c r="A121" s="1">
        <v>3.9232599E7</v>
      </c>
      <c r="B121" s="2" t="s">
        <v>26</v>
      </c>
      <c r="C121" s="19" t="s">
        <v>3824</v>
      </c>
      <c r="D121" s="19" t="s">
        <v>3825</v>
      </c>
      <c r="E121" s="2" t="s">
        <v>11</v>
      </c>
      <c r="F121" s="19"/>
    </row>
    <row r="122" ht="15.75" customHeight="1">
      <c r="A122" s="1">
        <v>3.9488461E7</v>
      </c>
      <c r="B122" s="2" t="s">
        <v>40</v>
      </c>
      <c r="C122" s="19" t="s">
        <v>3826</v>
      </c>
      <c r="D122" s="19" t="s">
        <v>3827</v>
      </c>
      <c r="E122" s="2" t="s">
        <v>11</v>
      </c>
      <c r="F122" s="19"/>
    </row>
    <row r="123" ht="15.75" customHeight="1">
      <c r="A123" s="1">
        <v>3.94902E7</v>
      </c>
      <c r="B123" s="2" t="s">
        <v>39</v>
      </c>
      <c r="C123" s="19" t="s">
        <v>3828</v>
      </c>
      <c r="D123" s="19" t="s">
        <v>3829</v>
      </c>
      <c r="E123" s="2" t="s">
        <v>11</v>
      </c>
      <c r="F123" s="19"/>
    </row>
    <row r="124" ht="15.75" customHeight="1">
      <c r="A124" s="1">
        <v>3.9493708E7</v>
      </c>
      <c r="B124" s="2" t="s">
        <v>52</v>
      </c>
      <c r="C124" s="19" t="s">
        <v>3830</v>
      </c>
      <c r="D124" s="19" t="s">
        <v>3831</v>
      </c>
      <c r="E124" s="2" t="s">
        <v>11</v>
      </c>
      <c r="F124" s="19"/>
    </row>
    <row r="125" ht="15.75" customHeight="1">
      <c r="A125" s="1">
        <v>4.0159662E7</v>
      </c>
      <c r="B125" s="2" t="s">
        <v>15</v>
      </c>
      <c r="C125" s="19" t="s">
        <v>3832</v>
      </c>
      <c r="D125" s="19" t="s">
        <v>3833</v>
      </c>
      <c r="E125" s="2" t="s">
        <v>11</v>
      </c>
      <c r="F125" s="19"/>
    </row>
    <row r="126" ht="15.75" customHeight="1">
      <c r="A126" s="1">
        <v>4.1002487E7</v>
      </c>
      <c r="B126" s="2" t="s">
        <v>77</v>
      </c>
      <c r="C126" s="19" t="s">
        <v>3834</v>
      </c>
      <c r="D126" s="19"/>
      <c r="E126" s="2" t="s">
        <v>11</v>
      </c>
      <c r="F126" s="19"/>
    </row>
    <row r="127" ht="15.75" customHeight="1">
      <c r="A127" s="1">
        <v>4.1438021E7</v>
      </c>
      <c r="B127" s="2" t="s">
        <v>193</v>
      </c>
      <c r="C127" s="19" t="s">
        <v>3835</v>
      </c>
      <c r="D127" s="19" t="s">
        <v>3836</v>
      </c>
      <c r="E127" s="2" t="s">
        <v>11</v>
      </c>
      <c r="F127" s="19"/>
    </row>
    <row r="128" ht="15.75" customHeight="1">
      <c r="A128" s="1">
        <v>4.1469924E7</v>
      </c>
      <c r="B128" s="2" t="s">
        <v>477</v>
      </c>
      <c r="C128" s="19" t="s">
        <v>3837</v>
      </c>
      <c r="D128" s="19"/>
      <c r="E128" s="2" t="s">
        <v>11</v>
      </c>
      <c r="F128" s="19"/>
    </row>
    <row r="129" ht="15.75" customHeight="1">
      <c r="A129" s="1">
        <v>4.148405E7</v>
      </c>
      <c r="B129" s="2" t="s">
        <v>187</v>
      </c>
      <c r="C129" s="19" t="s">
        <v>3838</v>
      </c>
      <c r="D129" s="19"/>
      <c r="E129" s="2" t="s">
        <v>11</v>
      </c>
      <c r="F129" s="19"/>
    </row>
    <row r="130" ht="15.75" customHeight="1">
      <c r="A130" s="1">
        <v>4.1542609E7</v>
      </c>
      <c r="B130" s="2" t="s">
        <v>292</v>
      </c>
      <c r="C130" s="19" t="s">
        <v>3839</v>
      </c>
      <c r="D130" s="19"/>
      <c r="E130" s="2" t="s">
        <v>11</v>
      </c>
      <c r="F130" s="19"/>
    </row>
    <row r="131" ht="15.75" customHeight="1">
      <c r="A131" s="1">
        <v>4.1574944E7</v>
      </c>
      <c r="B131" s="2" t="s">
        <v>1134</v>
      </c>
      <c r="C131" s="19" t="s">
        <v>3840</v>
      </c>
      <c r="D131" s="19"/>
      <c r="E131" s="2" t="s">
        <v>11</v>
      </c>
      <c r="F131" s="19"/>
    </row>
    <row r="132" ht="15.75" customHeight="1">
      <c r="A132" s="1">
        <v>4.1577382E7</v>
      </c>
      <c r="B132" s="2" t="s">
        <v>218</v>
      </c>
      <c r="C132" s="19" t="s">
        <v>3841</v>
      </c>
      <c r="D132" s="19"/>
      <c r="E132" s="2" t="s">
        <v>11</v>
      </c>
      <c r="F132" s="19"/>
    </row>
    <row r="133" ht="15.75" customHeight="1">
      <c r="A133" s="1">
        <v>4.1580358E7</v>
      </c>
      <c r="B133" s="2" t="s">
        <v>471</v>
      </c>
      <c r="C133" s="19" t="s">
        <v>3842</v>
      </c>
      <c r="D133" s="19"/>
      <c r="E133" s="2" t="s">
        <v>11</v>
      </c>
      <c r="F133" s="19"/>
    </row>
    <row r="134" ht="15.75" customHeight="1">
      <c r="A134" s="1">
        <v>4.1638663E7</v>
      </c>
      <c r="B134" s="2" t="s">
        <v>523</v>
      </c>
      <c r="C134" s="19" t="s">
        <v>3843</v>
      </c>
      <c r="D134" s="19" t="s">
        <v>3844</v>
      </c>
      <c r="E134" s="2" t="s">
        <v>11</v>
      </c>
      <c r="F134" s="19"/>
    </row>
    <row r="135" ht="15.75" customHeight="1">
      <c r="A135" s="1">
        <v>4.1645111E7</v>
      </c>
      <c r="B135" s="2" t="s">
        <v>999</v>
      </c>
      <c r="C135" s="19" t="s">
        <v>3845</v>
      </c>
      <c r="D135" s="19" t="s">
        <v>3846</v>
      </c>
      <c r="E135" s="2" t="s">
        <v>11</v>
      </c>
      <c r="F135" s="19"/>
    </row>
    <row r="136" ht="15.75" customHeight="1">
      <c r="A136" s="1">
        <v>4.1652958E7</v>
      </c>
      <c r="B136" s="2" t="s">
        <v>533</v>
      </c>
      <c r="C136" s="19" t="s">
        <v>3847</v>
      </c>
      <c r="D136" s="19"/>
      <c r="E136" s="2" t="s">
        <v>11</v>
      </c>
      <c r="F136" s="19"/>
    </row>
    <row r="137" ht="15.75" customHeight="1">
      <c r="A137" s="1">
        <v>4.1733883E7</v>
      </c>
      <c r="B137" s="2" t="s">
        <v>662</v>
      </c>
      <c r="C137" s="19" t="s">
        <v>3848</v>
      </c>
      <c r="D137" s="19"/>
      <c r="E137" s="2" t="s">
        <v>11</v>
      </c>
      <c r="F137" s="19"/>
    </row>
    <row r="138" ht="15.75" customHeight="1">
      <c r="A138" s="1">
        <v>4.1749324E7</v>
      </c>
      <c r="B138" s="2" t="s">
        <v>1775</v>
      </c>
      <c r="C138" s="19" t="s">
        <v>3849</v>
      </c>
      <c r="D138" s="19"/>
      <c r="E138" s="2" t="s">
        <v>11</v>
      </c>
      <c r="F138" s="19"/>
    </row>
    <row r="139" ht="15.75" customHeight="1">
      <c r="A139" s="1">
        <v>4.1755842E7</v>
      </c>
      <c r="B139" s="2" t="s">
        <v>1330</v>
      </c>
      <c r="C139" s="19" t="s">
        <v>3850</v>
      </c>
      <c r="D139" s="19"/>
      <c r="E139" s="2" t="s">
        <v>11</v>
      </c>
      <c r="F139" s="19"/>
    </row>
    <row r="140" ht="15.75" customHeight="1">
      <c r="A140" s="1">
        <v>4.1803929E7</v>
      </c>
      <c r="B140" s="2" t="s">
        <v>1204</v>
      </c>
      <c r="C140" s="19" t="s">
        <v>3851</v>
      </c>
      <c r="D140" s="19" t="s">
        <v>3852</v>
      </c>
      <c r="E140" s="2" t="s">
        <v>11</v>
      </c>
      <c r="F140" s="19"/>
    </row>
    <row r="141" ht="15.75" customHeight="1">
      <c r="A141" s="1">
        <v>4.180658E7</v>
      </c>
      <c r="B141" s="2" t="s">
        <v>142</v>
      </c>
      <c r="C141" s="19" t="s">
        <v>3853</v>
      </c>
      <c r="D141" s="19"/>
      <c r="E141" s="2" t="s">
        <v>11</v>
      </c>
      <c r="F141" s="19"/>
    </row>
    <row r="142" ht="15.75" customHeight="1">
      <c r="A142" s="1">
        <v>4.1838629E7</v>
      </c>
      <c r="B142" s="2" t="s">
        <v>504</v>
      </c>
      <c r="C142" s="19" t="s">
        <v>3854</v>
      </c>
      <c r="D142" s="19"/>
      <c r="E142" s="2" t="s">
        <v>11</v>
      </c>
      <c r="F142" s="19"/>
    </row>
    <row r="143" ht="15.75" customHeight="1">
      <c r="A143" s="1">
        <v>4.1842171E7</v>
      </c>
      <c r="B143" s="2" t="s">
        <v>622</v>
      </c>
      <c r="C143" s="19" t="s">
        <v>3855</v>
      </c>
      <c r="D143" s="19"/>
      <c r="E143" s="2" t="s">
        <v>11</v>
      </c>
      <c r="F143" s="19"/>
    </row>
    <row r="144" ht="15.75" customHeight="1">
      <c r="A144" s="1">
        <v>4.1860322E7</v>
      </c>
      <c r="B144" s="2" t="s">
        <v>1056</v>
      </c>
      <c r="C144" s="19" t="s">
        <v>3856</v>
      </c>
      <c r="D144" s="19" t="s">
        <v>3857</v>
      </c>
      <c r="E144" s="2" t="s">
        <v>11</v>
      </c>
      <c r="F144" s="19"/>
    </row>
    <row r="145" ht="15.75" customHeight="1">
      <c r="A145" s="1">
        <v>4.1867303E7</v>
      </c>
      <c r="B145" s="2" t="s">
        <v>1030</v>
      </c>
      <c r="C145" s="19" t="s">
        <v>3858</v>
      </c>
      <c r="D145" s="19" t="s">
        <v>3859</v>
      </c>
      <c r="E145" s="2" t="s">
        <v>11</v>
      </c>
      <c r="F145" s="19"/>
    </row>
    <row r="146" ht="15.75" customHeight="1">
      <c r="A146" s="1">
        <v>4.1881534E7</v>
      </c>
      <c r="B146" s="2" t="s">
        <v>1432</v>
      </c>
      <c r="C146" s="19" t="s">
        <v>3860</v>
      </c>
      <c r="D146" s="19"/>
      <c r="E146" s="2" t="s">
        <v>11</v>
      </c>
      <c r="F146" s="19"/>
    </row>
    <row r="147" ht="15.75" customHeight="1">
      <c r="A147" s="1">
        <v>4.1883521E7</v>
      </c>
      <c r="B147" s="2" t="s">
        <v>171</v>
      </c>
      <c r="C147" s="19" t="s">
        <v>3861</v>
      </c>
      <c r="D147" s="19"/>
      <c r="E147" s="2" t="s">
        <v>11</v>
      </c>
      <c r="F147" s="19"/>
    </row>
    <row r="148" ht="15.75" customHeight="1">
      <c r="A148" s="1">
        <v>4.1886336E7</v>
      </c>
      <c r="B148" s="2" t="s">
        <v>1303</v>
      </c>
      <c r="C148" s="19" t="s">
        <v>3862</v>
      </c>
      <c r="D148" s="19"/>
      <c r="E148" s="2" t="s">
        <v>11</v>
      </c>
      <c r="F148" s="19"/>
    </row>
    <row r="149" ht="15.75" customHeight="1">
      <c r="A149" s="1">
        <v>4.1904477E7</v>
      </c>
      <c r="B149" s="2" t="s">
        <v>915</v>
      </c>
      <c r="C149" s="19" t="s">
        <v>3863</v>
      </c>
      <c r="D149" s="19" t="s">
        <v>3864</v>
      </c>
      <c r="E149" s="2" t="s">
        <v>11</v>
      </c>
      <c r="F149" s="19"/>
    </row>
    <row r="150" ht="15.75" customHeight="1">
      <c r="A150" s="1">
        <v>4.1905258E7</v>
      </c>
      <c r="B150" s="2" t="s">
        <v>715</v>
      </c>
      <c r="C150" s="19" t="s">
        <v>3865</v>
      </c>
      <c r="D150" s="19"/>
      <c r="E150" s="2" t="s">
        <v>11</v>
      </c>
      <c r="F150" s="19"/>
    </row>
    <row r="151" ht="15.75" customHeight="1">
      <c r="A151" s="1">
        <v>4.1920583E7</v>
      </c>
      <c r="B151" s="2" t="s">
        <v>2043</v>
      </c>
      <c r="C151" s="19" t="s">
        <v>3866</v>
      </c>
      <c r="D151" s="19"/>
      <c r="E151" s="2" t="s">
        <v>11</v>
      </c>
      <c r="F151" s="19"/>
    </row>
    <row r="152" ht="15.75" customHeight="1">
      <c r="A152" s="1">
        <v>4.1935351E7</v>
      </c>
      <c r="B152" s="2" t="s">
        <v>138</v>
      </c>
      <c r="C152" s="19" t="s">
        <v>3867</v>
      </c>
      <c r="D152" s="19" t="s">
        <v>3868</v>
      </c>
      <c r="E152" s="2" t="s">
        <v>11</v>
      </c>
      <c r="F152" s="19"/>
    </row>
    <row r="153" ht="15.75" customHeight="1">
      <c r="A153" s="1">
        <v>4.1944876E7</v>
      </c>
      <c r="B153" s="2" t="s">
        <v>581</v>
      </c>
      <c r="C153" s="19" t="s">
        <v>3869</v>
      </c>
      <c r="D153" s="19"/>
      <c r="E153" s="2" t="s">
        <v>11</v>
      </c>
      <c r="F153" s="19"/>
    </row>
    <row r="154" ht="15.75" customHeight="1">
      <c r="A154" s="1">
        <v>4.1945601E7</v>
      </c>
      <c r="B154" s="2" t="s">
        <v>1765</v>
      </c>
      <c r="C154" s="19" t="s">
        <v>3870</v>
      </c>
      <c r="D154" s="19" t="s">
        <v>3871</v>
      </c>
      <c r="E154" s="9" t="s">
        <v>11</v>
      </c>
      <c r="F154" s="19"/>
    </row>
    <row r="155" ht="15.75" customHeight="1">
      <c r="A155" s="1">
        <v>4.1980071E7</v>
      </c>
      <c r="B155" s="2" t="s">
        <v>809</v>
      </c>
      <c r="C155" s="19" t="s">
        <v>3872</v>
      </c>
      <c r="D155" s="19"/>
      <c r="E155" s="2" t="s">
        <v>11</v>
      </c>
      <c r="F155" s="19"/>
    </row>
    <row r="156" ht="15.75" customHeight="1">
      <c r="A156" s="1">
        <v>4.1983737E7</v>
      </c>
      <c r="B156" s="2" t="s">
        <v>1144</v>
      </c>
      <c r="C156" s="19" t="s">
        <v>3873</v>
      </c>
      <c r="D156" s="19"/>
      <c r="E156" s="2" t="s">
        <v>11</v>
      </c>
      <c r="F156" s="19"/>
    </row>
    <row r="157" ht="15.75" customHeight="1">
      <c r="A157" s="1">
        <v>4.1984603E7</v>
      </c>
      <c r="B157" s="2" t="s">
        <v>1638</v>
      </c>
      <c r="C157" s="19" t="s">
        <v>3874</v>
      </c>
      <c r="D157" s="19" t="s">
        <v>3875</v>
      </c>
      <c r="E157" s="2" t="s">
        <v>11</v>
      </c>
      <c r="F157" s="19"/>
    </row>
    <row r="158" ht="15.75" customHeight="1">
      <c r="A158" s="1">
        <v>4.1987911E7</v>
      </c>
      <c r="B158" s="2" t="s">
        <v>2182</v>
      </c>
      <c r="C158" s="19" t="s">
        <v>3876</v>
      </c>
      <c r="D158" s="19"/>
      <c r="E158" s="2" t="s">
        <v>11</v>
      </c>
      <c r="F158" s="19"/>
    </row>
    <row r="159" ht="15.75" customHeight="1">
      <c r="A159" s="1">
        <v>4.1994114E7</v>
      </c>
      <c r="B159" s="2" t="s">
        <v>857</v>
      </c>
      <c r="C159" s="19" t="s">
        <v>3877</v>
      </c>
      <c r="D159" s="19"/>
      <c r="E159" s="2" t="s">
        <v>11</v>
      </c>
      <c r="F159" s="19"/>
    </row>
    <row r="160" ht="15.75" customHeight="1">
      <c r="A160" s="1">
        <v>4.2006707E7</v>
      </c>
      <c r="B160" s="2" t="s">
        <v>1449</v>
      </c>
      <c r="C160" s="19" t="s">
        <v>3878</v>
      </c>
      <c r="D160" s="19" t="s">
        <v>3879</v>
      </c>
      <c r="E160" s="2" t="s">
        <v>11</v>
      </c>
      <c r="F160" s="19"/>
    </row>
    <row r="161" ht="15.75" customHeight="1">
      <c r="A161" s="1">
        <v>4.2010994E7</v>
      </c>
      <c r="B161" s="2" t="s">
        <v>960</v>
      </c>
      <c r="C161" s="19" t="s">
        <v>3880</v>
      </c>
      <c r="D161" s="19" t="s">
        <v>3881</v>
      </c>
      <c r="E161" s="2" t="s">
        <v>11</v>
      </c>
      <c r="F161" s="19"/>
    </row>
    <row r="162" ht="15.75" customHeight="1">
      <c r="A162" s="1">
        <v>4.2020377E7</v>
      </c>
      <c r="B162" s="2" t="s">
        <v>225</v>
      </c>
      <c r="C162" s="19" t="s">
        <v>3882</v>
      </c>
      <c r="D162" s="19" t="s">
        <v>3883</v>
      </c>
      <c r="E162" s="2" t="s">
        <v>11</v>
      </c>
      <c r="F162" s="19"/>
    </row>
    <row r="163" ht="15.75" customHeight="1">
      <c r="A163" s="1">
        <v>4.2024359E7</v>
      </c>
      <c r="B163" s="2" t="s">
        <v>293</v>
      </c>
      <c r="C163" s="19" t="s">
        <v>3884</v>
      </c>
      <c r="D163" s="19"/>
      <c r="E163" s="2" t="s">
        <v>11</v>
      </c>
      <c r="F163" s="19"/>
    </row>
    <row r="164" ht="15.75" customHeight="1">
      <c r="A164" s="1">
        <v>4.2053998E7</v>
      </c>
      <c r="B164" s="2" t="s">
        <v>358</v>
      </c>
      <c r="C164" s="19" t="s">
        <v>3885</v>
      </c>
      <c r="D164" s="19" t="s">
        <v>3886</v>
      </c>
      <c r="E164" s="2" t="s">
        <v>11</v>
      </c>
      <c r="F164" s="19"/>
    </row>
    <row r="165" ht="15.75" customHeight="1">
      <c r="A165" s="1">
        <v>4.2073424E7</v>
      </c>
      <c r="B165" s="2" t="s">
        <v>503</v>
      </c>
      <c r="C165" s="19" t="s">
        <v>3887</v>
      </c>
      <c r="D165" s="19"/>
      <c r="E165" s="2" t="s">
        <v>11</v>
      </c>
      <c r="F165" s="19"/>
    </row>
    <row r="166" ht="15.75" customHeight="1">
      <c r="A166" s="1">
        <v>4.2106471E7</v>
      </c>
      <c r="B166" s="2" t="s">
        <v>2089</v>
      </c>
      <c r="C166" s="19" t="s">
        <v>3888</v>
      </c>
      <c r="D166" s="19"/>
      <c r="E166" s="2" t="s">
        <v>11</v>
      </c>
      <c r="F166" s="19"/>
    </row>
    <row r="167" ht="15.75" customHeight="1">
      <c r="A167" s="1">
        <v>4.2121564E7</v>
      </c>
      <c r="B167" s="2" t="s">
        <v>259</v>
      </c>
      <c r="C167" s="19" t="s">
        <v>3889</v>
      </c>
      <c r="D167" s="19"/>
      <c r="E167" s="2" t="s">
        <v>11</v>
      </c>
      <c r="F167" s="19"/>
    </row>
    <row r="168" ht="15.75" customHeight="1">
      <c r="A168" s="1">
        <v>4.2145093E7</v>
      </c>
      <c r="B168" s="2" t="s">
        <v>941</v>
      </c>
      <c r="C168" s="19" t="s">
        <v>3890</v>
      </c>
      <c r="D168" s="19"/>
      <c r="E168" s="2" t="s">
        <v>11</v>
      </c>
      <c r="F168" s="19"/>
    </row>
    <row r="169" ht="15.75" customHeight="1">
      <c r="A169" s="1">
        <v>4.2148587E7</v>
      </c>
      <c r="B169" s="2" t="s">
        <v>400</v>
      </c>
      <c r="C169" s="19" t="s">
        <v>3891</v>
      </c>
      <c r="D169" s="19"/>
      <c r="E169" s="2" t="s">
        <v>11</v>
      </c>
      <c r="F169" s="19"/>
    </row>
    <row r="170" ht="15.75" customHeight="1">
      <c r="A170" s="1">
        <v>4.2169656E7</v>
      </c>
      <c r="B170" s="2" t="s">
        <v>336</v>
      </c>
      <c r="C170" s="19" t="s">
        <v>3892</v>
      </c>
      <c r="D170" s="19"/>
      <c r="E170" s="2" t="s">
        <v>11</v>
      </c>
      <c r="F170" s="19"/>
    </row>
    <row r="171" ht="15.75" customHeight="1">
      <c r="A171" s="1">
        <v>4.2170805E7</v>
      </c>
      <c r="B171" s="2" t="s">
        <v>1709</v>
      </c>
      <c r="C171" s="19" t="s">
        <v>3893</v>
      </c>
      <c r="D171" s="19"/>
      <c r="E171" s="2" t="s">
        <v>11</v>
      </c>
      <c r="F171" s="19"/>
    </row>
    <row r="172" ht="15.75" customHeight="1">
      <c r="A172" s="1">
        <v>4.2215621E7</v>
      </c>
      <c r="B172" s="2" t="s">
        <v>1933</v>
      </c>
      <c r="C172" s="19" t="s">
        <v>3894</v>
      </c>
      <c r="D172" s="19"/>
      <c r="E172" s="2" t="s">
        <v>11</v>
      </c>
      <c r="F172" s="19"/>
    </row>
    <row r="173" ht="15.75" customHeight="1">
      <c r="A173" s="1">
        <v>4.2227249E7</v>
      </c>
      <c r="B173" s="2" t="s">
        <v>1338</v>
      </c>
      <c r="C173" s="19" t="s">
        <v>3895</v>
      </c>
      <c r="D173" s="19" t="s">
        <v>3896</v>
      </c>
      <c r="E173" s="9" t="s">
        <v>11</v>
      </c>
      <c r="F173" s="19"/>
    </row>
    <row r="174" ht="15.75" customHeight="1">
      <c r="A174" s="1">
        <v>4.2238738E7</v>
      </c>
      <c r="B174" s="2" t="s">
        <v>1059</v>
      </c>
      <c r="C174" s="19" t="s">
        <v>3897</v>
      </c>
      <c r="D174" s="19" t="s">
        <v>3898</v>
      </c>
      <c r="E174" s="2" t="s">
        <v>11</v>
      </c>
      <c r="F174" s="19"/>
    </row>
    <row r="175" ht="15.75" customHeight="1">
      <c r="A175" s="1">
        <v>4.2239047E7</v>
      </c>
      <c r="B175" s="2" t="s">
        <v>1936</v>
      </c>
      <c r="C175" s="19" t="s">
        <v>3899</v>
      </c>
      <c r="D175" s="19" t="s">
        <v>3900</v>
      </c>
      <c r="E175" s="2" t="s">
        <v>11</v>
      </c>
      <c r="F175" s="19"/>
    </row>
    <row r="176" ht="15.75" customHeight="1">
      <c r="A176" s="1">
        <v>4.2254535E7</v>
      </c>
      <c r="B176" s="2" t="s">
        <v>369</v>
      </c>
      <c r="C176" s="19" t="s">
        <v>3901</v>
      </c>
      <c r="D176" s="19" t="s">
        <v>3902</v>
      </c>
      <c r="E176" s="2" t="s">
        <v>11</v>
      </c>
      <c r="F176" s="19"/>
    </row>
    <row r="177" ht="15.75" customHeight="1">
      <c r="A177" s="1">
        <v>4.2277585E7</v>
      </c>
      <c r="B177" s="2" t="s">
        <v>871</v>
      </c>
      <c r="C177" s="19" t="s">
        <v>3903</v>
      </c>
      <c r="D177" s="19"/>
      <c r="E177" s="2" t="s">
        <v>11</v>
      </c>
      <c r="F177" s="19"/>
    </row>
    <row r="178" ht="15.75" customHeight="1">
      <c r="A178" s="1">
        <v>4.2295539E7</v>
      </c>
      <c r="B178" s="2" t="s">
        <v>1887</v>
      </c>
      <c r="C178" s="19" t="s">
        <v>3904</v>
      </c>
      <c r="D178" s="19" t="s">
        <v>3905</v>
      </c>
      <c r="E178" s="2" t="s">
        <v>11</v>
      </c>
      <c r="F178" s="19"/>
    </row>
    <row r="179" ht="15.75" customHeight="1">
      <c r="A179" s="1">
        <v>4.2305224E7</v>
      </c>
      <c r="B179" s="2" t="s">
        <v>1437</v>
      </c>
      <c r="C179" s="19" t="s">
        <v>3906</v>
      </c>
      <c r="D179" s="19"/>
      <c r="E179" s="9" t="s">
        <v>11</v>
      </c>
      <c r="F179" s="19"/>
    </row>
    <row r="180" ht="15.75" customHeight="1">
      <c r="A180" s="1">
        <v>4.2313976E7</v>
      </c>
      <c r="B180" s="2" t="s">
        <v>2672</v>
      </c>
      <c r="C180" s="19" t="s">
        <v>3907</v>
      </c>
      <c r="D180" s="19"/>
      <c r="E180" s="2" t="s">
        <v>11</v>
      </c>
      <c r="F180" s="19"/>
    </row>
    <row r="181" ht="15.75" customHeight="1">
      <c r="A181" s="1">
        <v>4.2375516E7</v>
      </c>
      <c r="B181" s="2" t="s">
        <v>2728</v>
      </c>
      <c r="C181" s="19" t="s">
        <v>3908</v>
      </c>
      <c r="D181" s="19"/>
      <c r="E181" s="2" t="s">
        <v>11</v>
      </c>
      <c r="F181" s="19"/>
    </row>
    <row r="182" ht="15.75" customHeight="1">
      <c r="A182" s="1">
        <v>4.2379606E7</v>
      </c>
      <c r="B182" s="2" t="s">
        <v>1737</v>
      </c>
      <c r="C182" s="19" t="s">
        <v>3909</v>
      </c>
      <c r="D182" s="19"/>
      <c r="E182" s="2" t="s">
        <v>11</v>
      </c>
      <c r="F182" s="19"/>
    </row>
    <row r="183" ht="15.75" customHeight="1">
      <c r="A183" s="1">
        <v>4.2388942E7</v>
      </c>
      <c r="B183" s="2" t="s">
        <v>405</v>
      </c>
      <c r="C183" s="19" t="s">
        <v>3910</v>
      </c>
      <c r="D183" s="19"/>
      <c r="E183" s="2" t="s">
        <v>11</v>
      </c>
      <c r="F183" s="19"/>
    </row>
    <row r="184" ht="15.75" customHeight="1">
      <c r="A184" s="1">
        <v>4.2405004E7</v>
      </c>
      <c r="B184" s="2" t="s">
        <v>530</v>
      </c>
      <c r="C184" s="19" t="s">
        <v>3911</v>
      </c>
      <c r="D184" s="19"/>
      <c r="E184" s="2" t="s">
        <v>11</v>
      </c>
      <c r="F184" s="19"/>
    </row>
    <row r="185" ht="15.75" customHeight="1">
      <c r="A185" s="1">
        <v>4.2444198E7</v>
      </c>
      <c r="B185" s="2" t="s">
        <v>567</v>
      </c>
      <c r="C185" s="19" t="s">
        <v>3912</v>
      </c>
      <c r="D185" s="19"/>
      <c r="E185" s="2" t="s">
        <v>11</v>
      </c>
      <c r="F185" s="19"/>
    </row>
    <row r="186" ht="15.75" customHeight="1">
      <c r="A186" s="1">
        <v>4.2470252E7</v>
      </c>
      <c r="B186" s="2" t="s">
        <v>1037</v>
      </c>
      <c r="C186" s="19" t="s">
        <v>3913</v>
      </c>
      <c r="D186" s="19" t="s">
        <v>3914</v>
      </c>
      <c r="E186" s="2" t="s">
        <v>11</v>
      </c>
      <c r="F186" s="19"/>
    </row>
    <row r="187" ht="15.75" customHeight="1">
      <c r="A187" s="1">
        <v>4.2483638E7</v>
      </c>
      <c r="B187" s="2" t="s">
        <v>850</v>
      </c>
      <c r="C187" s="19" t="s">
        <v>3915</v>
      </c>
      <c r="D187" s="19"/>
      <c r="E187" s="2" t="s">
        <v>11</v>
      </c>
      <c r="F187" s="19"/>
    </row>
    <row r="188" ht="15.75" customHeight="1">
      <c r="A188" s="1">
        <v>4.2484228E7</v>
      </c>
      <c r="B188" s="2" t="s">
        <v>2654</v>
      </c>
      <c r="C188" s="19" t="s">
        <v>3916</v>
      </c>
      <c r="D188" s="19"/>
      <c r="E188" s="2" t="s">
        <v>11</v>
      </c>
      <c r="F188" s="19"/>
    </row>
    <row r="189" ht="15.75" customHeight="1">
      <c r="A189" s="1">
        <v>4.2503229E7</v>
      </c>
      <c r="B189" s="2" t="s">
        <v>1630</v>
      </c>
      <c r="C189" s="19" t="s">
        <v>3917</v>
      </c>
      <c r="D189" s="19"/>
      <c r="E189" s="2" t="s">
        <v>11</v>
      </c>
      <c r="F189" s="19"/>
    </row>
    <row r="190" ht="15.75" customHeight="1">
      <c r="A190" s="1">
        <v>4.2530654E7</v>
      </c>
      <c r="B190" s="2" t="s">
        <v>253</v>
      </c>
      <c r="C190" s="19" t="s">
        <v>3918</v>
      </c>
      <c r="D190" s="19"/>
      <c r="E190" s="2" t="s">
        <v>11</v>
      </c>
      <c r="F190" s="19"/>
    </row>
    <row r="191" ht="15.75" customHeight="1">
      <c r="A191" s="1">
        <v>4.2560474E7</v>
      </c>
      <c r="B191" s="2" t="s">
        <v>598</v>
      </c>
      <c r="C191" s="19" t="s">
        <v>3919</v>
      </c>
      <c r="D191" s="19" t="s">
        <v>3920</v>
      </c>
      <c r="E191" s="2" t="s">
        <v>11</v>
      </c>
      <c r="F191" s="19"/>
    </row>
    <row r="192" ht="15.75" customHeight="1">
      <c r="A192" s="1">
        <v>4.2619631E7</v>
      </c>
      <c r="B192" s="2" t="s">
        <v>2540</v>
      </c>
      <c r="C192" s="19" t="s">
        <v>3921</v>
      </c>
      <c r="D192" s="19" t="s">
        <v>3922</v>
      </c>
      <c r="E192" s="9" t="s">
        <v>11</v>
      </c>
      <c r="F192" s="19"/>
    </row>
    <row r="193" ht="15.75" customHeight="1">
      <c r="A193" s="1">
        <v>4.2623994E7</v>
      </c>
      <c r="B193" s="2" t="s">
        <v>905</v>
      </c>
      <c r="C193" s="19" t="s">
        <v>3923</v>
      </c>
      <c r="D193" s="19"/>
      <c r="E193" s="9" t="s">
        <v>11</v>
      </c>
      <c r="F193" s="19"/>
    </row>
    <row r="194" ht="15.75" customHeight="1">
      <c r="A194" s="1">
        <v>4.2638538E7</v>
      </c>
      <c r="B194" s="2" t="s">
        <v>1867</v>
      </c>
      <c r="C194" s="19" t="s">
        <v>3924</v>
      </c>
      <c r="D194" s="19"/>
      <c r="E194" s="2" t="s">
        <v>11</v>
      </c>
      <c r="F194" s="19"/>
    </row>
    <row r="195" ht="15.75" customHeight="1">
      <c r="A195" s="1">
        <v>4.2642927E7</v>
      </c>
      <c r="B195" s="2" t="s">
        <v>2655</v>
      </c>
      <c r="C195" s="19" t="s">
        <v>3925</v>
      </c>
      <c r="D195" s="19"/>
      <c r="E195" s="9" t="s">
        <v>11</v>
      </c>
      <c r="F195" s="19"/>
    </row>
    <row r="196" ht="15.75" customHeight="1">
      <c r="A196" s="1">
        <v>4.2658036E7</v>
      </c>
      <c r="B196" s="2" t="s">
        <v>3340</v>
      </c>
      <c r="C196" s="19" t="s">
        <v>3926</v>
      </c>
      <c r="D196" s="19"/>
      <c r="E196" s="2" t="s">
        <v>11</v>
      </c>
      <c r="F196" s="19"/>
    </row>
    <row r="197" ht="15.75" customHeight="1">
      <c r="A197" s="1">
        <v>4.2672196E7</v>
      </c>
      <c r="B197" s="2" t="s">
        <v>409</v>
      </c>
      <c r="C197" s="19" t="s">
        <v>3927</v>
      </c>
      <c r="D197" s="19" t="s">
        <v>3928</v>
      </c>
      <c r="E197" s="2" t="s">
        <v>11</v>
      </c>
      <c r="F197" s="19"/>
    </row>
    <row r="198" ht="15.75" customHeight="1">
      <c r="A198" s="1">
        <v>4.2677688E7</v>
      </c>
      <c r="B198" s="2" t="s">
        <v>831</v>
      </c>
      <c r="C198" s="19" t="s">
        <v>3929</v>
      </c>
      <c r="D198" s="19" t="s">
        <v>3930</v>
      </c>
      <c r="E198" s="2" t="s">
        <v>11</v>
      </c>
      <c r="F198" s="19"/>
    </row>
    <row r="199" ht="15.75" customHeight="1">
      <c r="A199" s="1">
        <v>4.2705379E7</v>
      </c>
      <c r="B199" s="2" t="s">
        <v>385</v>
      </c>
      <c r="C199" s="19" t="s">
        <v>3931</v>
      </c>
      <c r="D199" s="19" t="s">
        <v>3932</v>
      </c>
      <c r="E199" s="2" t="s">
        <v>11</v>
      </c>
      <c r="F199" s="19"/>
    </row>
    <row r="200" ht="15.75" customHeight="1">
      <c r="A200" s="1">
        <v>4.2739284E7</v>
      </c>
      <c r="B200" s="2" t="s">
        <v>481</v>
      </c>
      <c r="C200" s="19" t="s">
        <v>3933</v>
      </c>
      <c r="D200" s="19"/>
      <c r="E200" s="2" t="s">
        <v>11</v>
      </c>
      <c r="F200" s="19"/>
    </row>
    <row r="201" ht="15.75" customHeight="1">
      <c r="A201" s="1">
        <v>4.2756855E7</v>
      </c>
      <c r="B201" s="2" t="s">
        <v>1634</v>
      </c>
      <c r="C201" s="19" t="s">
        <v>3934</v>
      </c>
      <c r="D201" s="19" t="s">
        <v>3935</v>
      </c>
      <c r="E201" s="2" t="s">
        <v>11</v>
      </c>
      <c r="F201" s="19"/>
    </row>
    <row r="202" ht="15.75" customHeight="1">
      <c r="A202" s="1">
        <v>4.2784576E7</v>
      </c>
      <c r="B202" s="2" t="s">
        <v>619</v>
      </c>
      <c r="C202" s="19" t="s">
        <v>3936</v>
      </c>
      <c r="D202" s="19"/>
      <c r="E202" s="2" t="s">
        <v>11</v>
      </c>
      <c r="F202" s="19"/>
    </row>
    <row r="203" ht="15.75" customHeight="1">
      <c r="A203" s="1">
        <v>4.2797456E7</v>
      </c>
      <c r="B203" s="2" t="s">
        <v>511</v>
      </c>
      <c r="C203" s="19" t="s">
        <v>3937</v>
      </c>
      <c r="D203" s="19" t="s">
        <v>3938</v>
      </c>
      <c r="E203" s="2" t="s">
        <v>11</v>
      </c>
      <c r="F203" s="19"/>
    </row>
    <row r="204" ht="15.75" customHeight="1">
      <c r="A204" s="1">
        <v>4.2809056E7</v>
      </c>
      <c r="B204" s="2" t="s">
        <v>2139</v>
      </c>
      <c r="C204" s="19" t="s">
        <v>3939</v>
      </c>
      <c r="D204" s="19"/>
      <c r="E204" s="2" t="s">
        <v>11</v>
      </c>
      <c r="F204" s="19"/>
    </row>
    <row r="205" ht="15.75" customHeight="1">
      <c r="A205" s="1">
        <v>4.2835744E7</v>
      </c>
      <c r="B205" s="2" t="s">
        <v>2667</v>
      </c>
      <c r="C205" s="19" t="s">
        <v>3940</v>
      </c>
      <c r="D205" s="19" t="s">
        <v>3941</v>
      </c>
      <c r="E205" s="2" t="s">
        <v>11</v>
      </c>
      <c r="F205" s="19"/>
    </row>
    <row r="206" ht="15.75" customHeight="1">
      <c r="A206" s="1">
        <v>4.2859142E7</v>
      </c>
      <c r="B206" s="2" t="s">
        <v>2318</v>
      </c>
      <c r="C206" s="19" t="s">
        <v>3942</v>
      </c>
      <c r="D206" s="19" t="s">
        <v>3943</v>
      </c>
      <c r="E206" s="2" t="s">
        <v>11</v>
      </c>
      <c r="F206" s="19"/>
    </row>
    <row r="207" ht="15.75" customHeight="1">
      <c r="A207" s="1">
        <v>4.2859891E7</v>
      </c>
      <c r="B207" s="2" t="s">
        <v>618</v>
      </c>
      <c r="C207" s="19" t="s">
        <v>3944</v>
      </c>
      <c r="D207" s="19" t="s">
        <v>3945</v>
      </c>
      <c r="E207" s="2" t="s">
        <v>11</v>
      </c>
      <c r="F207" s="19"/>
    </row>
    <row r="208" ht="15.75" customHeight="1">
      <c r="A208" s="1">
        <v>4.290054E7</v>
      </c>
      <c r="B208" s="2" t="s">
        <v>132</v>
      </c>
      <c r="C208" s="19" t="s">
        <v>3946</v>
      </c>
      <c r="D208" s="19"/>
      <c r="E208" s="2" t="s">
        <v>11</v>
      </c>
      <c r="F208" s="19"/>
    </row>
    <row r="209" ht="15.75" customHeight="1">
      <c r="A209" s="1">
        <v>4.2908516E7</v>
      </c>
      <c r="B209" s="2" t="s">
        <v>1937</v>
      </c>
      <c r="C209" s="19" t="s">
        <v>3947</v>
      </c>
      <c r="D209" s="19"/>
      <c r="E209" s="2" t="s">
        <v>11</v>
      </c>
      <c r="F209" s="19"/>
    </row>
    <row r="210" ht="15.75" customHeight="1">
      <c r="A210" s="1">
        <v>4.2912565E7</v>
      </c>
      <c r="B210" s="2" t="s">
        <v>231</v>
      </c>
      <c r="C210" s="19" t="s">
        <v>3948</v>
      </c>
      <c r="D210" s="19"/>
      <c r="E210" s="2" t="s">
        <v>11</v>
      </c>
      <c r="F210" s="19"/>
    </row>
    <row r="211" ht="15.75" customHeight="1">
      <c r="A211" s="1">
        <v>4.2938295E7</v>
      </c>
      <c r="B211" s="2" t="s">
        <v>1670</v>
      </c>
      <c r="C211" s="19" t="s">
        <v>3949</v>
      </c>
      <c r="D211" s="19" t="s">
        <v>3950</v>
      </c>
      <c r="E211" s="9" t="s">
        <v>11</v>
      </c>
      <c r="F211" s="19"/>
    </row>
    <row r="212" ht="15.75" customHeight="1">
      <c r="A212" s="1">
        <v>4.2946766E7</v>
      </c>
      <c r="B212" s="2" t="s">
        <v>786</v>
      </c>
      <c r="C212" s="19" t="s">
        <v>3951</v>
      </c>
      <c r="D212" s="19"/>
      <c r="E212" s="2" t="s">
        <v>11</v>
      </c>
      <c r="F212" s="19"/>
    </row>
    <row r="213" ht="15.75" customHeight="1">
      <c r="A213" s="1">
        <v>4.2955004E7</v>
      </c>
      <c r="B213" s="2" t="s">
        <v>1878</v>
      </c>
      <c r="C213" s="19" t="s">
        <v>3952</v>
      </c>
      <c r="D213" s="19" t="s">
        <v>3953</v>
      </c>
      <c r="E213" s="2" t="s">
        <v>11</v>
      </c>
      <c r="F213" s="19"/>
    </row>
    <row r="214" ht="15.75" customHeight="1">
      <c r="A214" s="1">
        <v>4.295953E7</v>
      </c>
      <c r="B214" s="2" t="s">
        <v>1008</v>
      </c>
      <c r="C214" s="19" t="s">
        <v>3954</v>
      </c>
      <c r="D214" s="19"/>
      <c r="E214" s="2" t="s">
        <v>11</v>
      </c>
      <c r="F214" s="19"/>
    </row>
    <row r="215" ht="15.75" customHeight="1">
      <c r="A215" s="1">
        <v>4.2996482E7</v>
      </c>
      <c r="B215" s="2" t="s">
        <v>382</v>
      </c>
      <c r="C215" s="19" t="s">
        <v>3955</v>
      </c>
      <c r="D215" s="19" t="s">
        <v>3956</v>
      </c>
      <c r="E215" s="2" t="s">
        <v>11</v>
      </c>
      <c r="F215" s="19"/>
    </row>
    <row r="216" ht="15.75" customHeight="1">
      <c r="A216" s="1">
        <v>4.3007141E7</v>
      </c>
      <c r="B216" s="2" t="s">
        <v>429</v>
      </c>
      <c r="C216" s="19" t="s">
        <v>3957</v>
      </c>
      <c r="D216" s="19"/>
      <c r="E216" s="2" t="s">
        <v>11</v>
      </c>
      <c r="F216" s="19"/>
    </row>
    <row r="217" ht="15.75" customHeight="1">
      <c r="A217" s="1">
        <v>4.3008145E7</v>
      </c>
      <c r="B217" s="2" t="s">
        <v>1333</v>
      </c>
      <c r="C217" s="19" t="s">
        <v>3958</v>
      </c>
      <c r="D217" s="19"/>
      <c r="E217" s="2" t="s">
        <v>11</v>
      </c>
      <c r="F217" s="19"/>
    </row>
    <row r="218" ht="15.75" customHeight="1">
      <c r="A218" s="1">
        <v>4.303364E7</v>
      </c>
      <c r="B218" s="2" t="s">
        <v>957</v>
      </c>
      <c r="C218" s="19" t="s">
        <v>3959</v>
      </c>
      <c r="D218" s="19" t="s">
        <v>3960</v>
      </c>
      <c r="E218" s="9" t="s">
        <v>11</v>
      </c>
      <c r="F218" s="19"/>
    </row>
    <row r="219" ht="15.75" customHeight="1">
      <c r="A219" s="1">
        <v>4.3061699E7</v>
      </c>
      <c r="B219" s="2" t="s">
        <v>2478</v>
      </c>
      <c r="C219" s="19" t="s">
        <v>3961</v>
      </c>
      <c r="D219" s="19"/>
      <c r="E219" s="2" t="s">
        <v>11</v>
      </c>
      <c r="F219" s="19"/>
    </row>
    <row r="220" ht="15.75" customHeight="1">
      <c r="A220" s="1">
        <v>4.3079162E7</v>
      </c>
      <c r="B220" s="2" t="s">
        <v>975</v>
      </c>
      <c r="C220" s="19" t="s">
        <v>3962</v>
      </c>
      <c r="D220" s="19" t="s">
        <v>3963</v>
      </c>
      <c r="E220" s="2" t="s">
        <v>11</v>
      </c>
      <c r="F220" s="19"/>
    </row>
    <row r="221" ht="15.75" customHeight="1">
      <c r="A221" s="1">
        <v>4.3096166E7</v>
      </c>
      <c r="B221" s="2" t="s">
        <v>106</v>
      </c>
      <c r="C221" s="19" t="s">
        <v>3964</v>
      </c>
      <c r="D221" s="19"/>
      <c r="E221" s="2" t="s">
        <v>11</v>
      </c>
      <c r="F221" s="19"/>
    </row>
    <row r="222" ht="15.75" customHeight="1">
      <c r="A222" s="1">
        <v>4.3097927E7</v>
      </c>
      <c r="B222" s="2" t="s">
        <v>461</v>
      </c>
      <c r="C222" s="19" t="s">
        <v>3965</v>
      </c>
      <c r="D222" s="19" t="s">
        <v>3966</v>
      </c>
      <c r="E222" s="2" t="s">
        <v>11</v>
      </c>
      <c r="F222" s="19"/>
    </row>
    <row r="223" ht="15.75" customHeight="1">
      <c r="A223" s="1">
        <v>4.3164321E7</v>
      </c>
      <c r="B223" s="2" t="s">
        <v>1426</v>
      </c>
      <c r="C223" s="19" t="s">
        <v>3967</v>
      </c>
      <c r="D223" s="19"/>
      <c r="E223" s="9" t="s">
        <v>11</v>
      </c>
      <c r="F223" s="19"/>
    </row>
    <row r="224" ht="15.75" customHeight="1">
      <c r="A224" s="1">
        <v>4.320189E7</v>
      </c>
      <c r="B224" s="2" t="s">
        <v>892</v>
      </c>
      <c r="C224" s="19" t="s">
        <v>3968</v>
      </c>
      <c r="D224" s="19"/>
      <c r="E224" s="2" t="s">
        <v>11</v>
      </c>
      <c r="F224" s="19"/>
    </row>
    <row r="225" ht="15.75" customHeight="1">
      <c r="A225" s="1">
        <v>4.3207458E7</v>
      </c>
      <c r="B225" s="2" t="s">
        <v>1992</v>
      </c>
      <c r="C225" s="19" t="s">
        <v>3969</v>
      </c>
      <c r="D225" s="19"/>
      <c r="E225" s="2" t="s">
        <v>11</v>
      </c>
      <c r="F225" s="19"/>
    </row>
    <row r="226" ht="15.75" customHeight="1">
      <c r="A226" s="1">
        <v>4.3212275E7</v>
      </c>
      <c r="B226" s="2" t="s">
        <v>2106</v>
      </c>
      <c r="C226" s="19" t="s">
        <v>3970</v>
      </c>
      <c r="D226" s="19" t="s">
        <v>3971</v>
      </c>
      <c r="E226" s="9" t="s">
        <v>11</v>
      </c>
      <c r="F226" s="19"/>
    </row>
    <row r="227" ht="15.75" customHeight="1">
      <c r="A227" s="1">
        <v>4.3213661E7</v>
      </c>
      <c r="B227" s="2" t="s">
        <v>1587</v>
      </c>
      <c r="C227" s="19" t="s">
        <v>3972</v>
      </c>
      <c r="D227" s="19" t="s">
        <v>3973</v>
      </c>
      <c r="E227" s="9" t="s">
        <v>11</v>
      </c>
      <c r="F227" s="19"/>
    </row>
    <row r="228" ht="15.75" customHeight="1">
      <c r="A228" s="1">
        <v>4.3241155E7</v>
      </c>
      <c r="B228" s="2" t="s">
        <v>1691</v>
      </c>
      <c r="C228" s="19" t="s">
        <v>3974</v>
      </c>
      <c r="D228" s="19"/>
      <c r="E228" s="2" t="s">
        <v>11</v>
      </c>
      <c r="F228" s="19"/>
    </row>
    <row r="229" ht="15.75" customHeight="1">
      <c r="A229" s="1">
        <v>4.3244727E7</v>
      </c>
      <c r="B229" s="2" t="s">
        <v>791</v>
      </c>
      <c r="C229" s="19" t="s">
        <v>3975</v>
      </c>
      <c r="D229" s="19" t="s">
        <v>3976</v>
      </c>
      <c r="E229" s="2" t="s">
        <v>11</v>
      </c>
      <c r="F229" s="19"/>
    </row>
    <row r="230" ht="15.75" customHeight="1">
      <c r="A230" s="1">
        <v>4.326174E7</v>
      </c>
      <c r="B230" s="2" t="s">
        <v>159</v>
      </c>
      <c r="C230" s="19" t="s">
        <v>3977</v>
      </c>
      <c r="D230" s="19"/>
      <c r="E230" s="2" t="s">
        <v>11</v>
      </c>
      <c r="F230" s="19"/>
    </row>
    <row r="231" ht="15.75" customHeight="1">
      <c r="A231" s="1">
        <v>4.3299948E7</v>
      </c>
      <c r="B231" s="2" t="s">
        <v>1374</v>
      </c>
      <c r="C231" s="19" t="s">
        <v>3978</v>
      </c>
      <c r="D231" s="19"/>
      <c r="E231" s="2" t="s">
        <v>11</v>
      </c>
      <c r="F231" s="19"/>
    </row>
    <row r="232" ht="15.75" customHeight="1">
      <c r="A232" s="1">
        <v>4.3332875E7</v>
      </c>
      <c r="B232" s="2" t="s">
        <v>483</v>
      </c>
      <c r="C232" s="19" t="s">
        <v>3979</v>
      </c>
      <c r="D232" s="19" t="s">
        <v>3980</v>
      </c>
      <c r="E232" s="2" t="s">
        <v>11</v>
      </c>
      <c r="F232" s="19"/>
    </row>
    <row r="233" ht="15.75" customHeight="1">
      <c r="A233" s="1">
        <v>4.340112E7</v>
      </c>
      <c r="B233" s="2" t="s">
        <v>1260</v>
      </c>
      <c r="C233" s="19" t="s">
        <v>3981</v>
      </c>
      <c r="D233" s="19"/>
      <c r="E233" s="2" t="s">
        <v>11</v>
      </c>
      <c r="F233" s="19"/>
    </row>
    <row r="234" ht="15.75" customHeight="1">
      <c r="A234" s="1">
        <v>4.3454426E7</v>
      </c>
      <c r="B234" s="2" t="s">
        <v>2169</v>
      </c>
      <c r="C234" s="19" t="s">
        <v>3982</v>
      </c>
      <c r="D234" s="19"/>
      <c r="E234" s="2" t="s">
        <v>11</v>
      </c>
      <c r="F234" s="19"/>
    </row>
    <row r="235" ht="15.75" customHeight="1">
      <c r="A235" s="1">
        <v>4.345454E7</v>
      </c>
      <c r="B235" s="2" t="s">
        <v>867</v>
      </c>
      <c r="C235" s="19" t="s">
        <v>3983</v>
      </c>
      <c r="D235" s="19"/>
      <c r="E235" s="2" t="s">
        <v>11</v>
      </c>
      <c r="F235" s="19"/>
    </row>
    <row r="236" ht="15.75" customHeight="1">
      <c r="A236" s="1">
        <v>4.346294E7</v>
      </c>
      <c r="B236" s="2" t="s">
        <v>625</v>
      </c>
      <c r="C236" s="19" t="s">
        <v>3984</v>
      </c>
      <c r="D236" s="19" t="s">
        <v>3985</v>
      </c>
      <c r="E236" s="2" t="s">
        <v>11</v>
      </c>
      <c r="F236" s="19"/>
    </row>
    <row r="237" ht="15.75" customHeight="1">
      <c r="A237" s="1">
        <v>4.3480568E7</v>
      </c>
      <c r="B237" s="2" t="s">
        <v>118</v>
      </c>
      <c r="C237" s="19" t="s">
        <v>3986</v>
      </c>
      <c r="D237" s="19" t="s">
        <v>3987</v>
      </c>
      <c r="E237" s="2" t="s">
        <v>11</v>
      </c>
      <c r="F237" s="19"/>
    </row>
    <row r="238" ht="15.75" customHeight="1">
      <c r="A238" s="1">
        <v>4.3500546E7</v>
      </c>
      <c r="B238" s="2" t="s">
        <v>1942</v>
      </c>
      <c r="C238" s="19" t="s">
        <v>3988</v>
      </c>
      <c r="D238" s="19" t="s">
        <v>3989</v>
      </c>
      <c r="E238" s="2" t="s">
        <v>11</v>
      </c>
      <c r="F238" s="19"/>
    </row>
    <row r="239" ht="15.75" customHeight="1">
      <c r="A239" s="1">
        <v>4.3529651E7</v>
      </c>
      <c r="B239" s="2" t="s">
        <v>297</v>
      </c>
      <c r="C239" s="19" t="s">
        <v>3990</v>
      </c>
      <c r="D239" s="19"/>
      <c r="E239" s="2" t="s">
        <v>11</v>
      </c>
      <c r="F239" s="19"/>
    </row>
    <row r="240" ht="15.75" customHeight="1">
      <c r="A240" s="1">
        <v>4.3535377E7</v>
      </c>
      <c r="B240" s="2" t="s">
        <v>70</v>
      </c>
      <c r="C240" s="19" t="s">
        <v>3991</v>
      </c>
      <c r="D240" s="19"/>
      <c r="E240" s="2" t="s">
        <v>11</v>
      </c>
      <c r="F240" s="19"/>
    </row>
    <row r="241" ht="15.75" customHeight="1">
      <c r="A241" s="1">
        <v>4.3549104E7</v>
      </c>
      <c r="B241" s="2" t="s">
        <v>262</v>
      </c>
      <c r="C241" s="19" t="s">
        <v>3992</v>
      </c>
      <c r="D241" s="19" t="s">
        <v>3993</v>
      </c>
      <c r="E241" s="2" t="s">
        <v>11</v>
      </c>
      <c r="F241" s="19"/>
    </row>
    <row r="242" ht="15.75" customHeight="1">
      <c r="A242" s="1">
        <v>4.3549963E7</v>
      </c>
      <c r="B242" s="2" t="s">
        <v>2506</v>
      </c>
      <c r="C242" s="19" t="s">
        <v>3994</v>
      </c>
      <c r="D242" s="19"/>
      <c r="E242" s="2" t="s">
        <v>11</v>
      </c>
      <c r="F242" s="19"/>
    </row>
    <row r="243" ht="15.75" customHeight="1">
      <c r="A243" s="1">
        <v>4.3589592E7</v>
      </c>
      <c r="B243" s="2" t="s">
        <v>835</v>
      </c>
      <c r="C243" s="19" t="s">
        <v>3995</v>
      </c>
      <c r="D243" s="19"/>
      <c r="E243" s="2" t="s">
        <v>11</v>
      </c>
      <c r="F243" s="19"/>
    </row>
    <row r="244" ht="15.75" customHeight="1">
      <c r="A244" s="1">
        <v>4.3611109E7</v>
      </c>
      <c r="B244" s="2" t="s">
        <v>704</v>
      </c>
      <c r="C244" s="19" t="s">
        <v>3996</v>
      </c>
      <c r="D244" s="19"/>
      <c r="E244" s="2" t="s">
        <v>11</v>
      </c>
      <c r="F244" s="19"/>
    </row>
    <row r="245" ht="15.75" customHeight="1">
      <c r="A245" s="1">
        <v>4.3612228E7</v>
      </c>
      <c r="B245" s="2" t="s">
        <v>3166</v>
      </c>
      <c r="C245" s="19" t="s">
        <v>3997</v>
      </c>
      <c r="D245" s="19" t="s">
        <v>3998</v>
      </c>
      <c r="E245" s="2" t="s">
        <v>11</v>
      </c>
      <c r="F245" s="19"/>
    </row>
    <row r="246" ht="15.75" customHeight="1">
      <c r="A246" s="1">
        <v>4.3618424E7</v>
      </c>
      <c r="B246" s="2" t="s">
        <v>2911</v>
      </c>
      <c r="C246" s="19" t="s">
        <v>3999</v>
      </c>
      <c r="D246" s="19"/>
      <c r="E246" s="9" t="s">
        <v>11</v>
      </c>
      <c r="F246" s="19"/>
    </row>
    <row r="247" ht="15.75" customHeight="1">
      <c r="A247" s="1">
        <v>4.3634549E7</v>
      </c>
      <c r="B247" s="2" t="s">
        <v>1450</v>
      </c>
      <c r="C247" s="19" t="s">
        <v>4000</v>
      </c>
      <c r="D247" s="19" t="s">
        <v>4001</v>
      </c>
      <c r="E247" s="2" t="s">
        <v>11</v>
      </c>
      <c r="F247" s="19"/>
    </row>
    <row r="248" ht="15.75" customHeight="1">
      <c r="A248" s="1">
        <v>4.364646E7</v>
      </c>
      <c r="B248" s="2" t="s">
        <v>1004</v>
      </c>
      <c r="C248" s="19" t="s">
        <v>4002</v>
      </c>
      <c r="D248" s="19"/>
      <c r="E248" s="9" t="s">
        <v>11</v>
      </c>
      <c r="F248" s="19"/>
    </row>
    <row r="249" ht="15.75" customHeight="1">
      <c r="A249" s="1">
        <v>4.3655581E7</v>
      </c>
      <c r="B249" s="2" t="s">
        <v>119</v>
      </c>
      <c r="C249" s="19" t="s">
        <v>4003</v>
      </c>
      <c r="D249" s="19"/>
      <c r="E249" s="2" t="s">
        <v>11</v>
      </c>
      <c r="F249" s="19"/>
    </row>
    <row r="250" ht="15.75" customHeight="1">
      <c r="A250" s="1">
        <v>4.3667724E7</v>
      </c>
      <c r="B250" s="2" t="s">
        <v>818</v>
      </c>
      <c r="C250" s="19" t="s">
        <v>4004</v>
      </c>
      <c r="D250" s="19" t="s">
        <v>4005</v>
      </c>
      <c r="E250" s="2" t="s">
        <v>11</v>
      </c>
      <c r="F250" s="19"/>
    </row>
    <row r="251" ht="15.75" customHeight="1">
      <c r="A251" s="1">
        <v>4.3725028E7</v>
      </c>
      <c r="B251" s="2" t="s">
        <v>69</v>
      </c>
      <c r="C251" s="19" t="s">
        <v>4006</v>
      </c>
      <c r="D251" s="19" t="s">
        <v>4007</v>
      </c>
      <c r="E251" s="2" t="s">
        <v>11</v>
      </c>
      <c r="F251" s="19"/>
    </row>
    <row r="252" ht="15.75" customHeight="1">
      <c r="A252" s="1">
        <v>4.3733425E7</v>
      </c>
      <c r="B252" s="2" t="s">
        <v>1560</v>
      </c>
      <c r="C252" s="19" t="s">
        <v>4008</v>
      </c>
      <c r="D252" s="19"/>
      <c r="E252" s="9" t="s">
        <v>11</v>
      </c>
      <c r="F252" s="19"/>
    </row>
    <row r="253" ht="15.75" customHeight="1">
      <c r="A253" s="1">
        <v>4.3734104E7</v>
      </c>
      <c r="B253" s="2" t="s">
        <v>578</v>
      </c>
      <c r="C253" s="19" t="s">
        <v>4009</v>
      </c>
      <c r="D253" s="19" t="s">
        <v>4010</v>
      </c>
      <c r="E253" s="2" t="s">
        <v>11</v>
      </c>
      <c r="F253" s="19"/>
    </row>
    <row r="254" ht="15.75" customHeight="1">
      <c r="A254" s="1">
        <v>4.3737787E7</v>
      </c>
      <c r="B254" s="2" t="s">
        <v>590</v>
      </c>
      <c r="C254" s="19" t="s">
        <v>4011</v>
      </c>
      <c r="D254" s="19"/>
      <c r="E254" s="2" t="s">
        <v>11</v>
      </c>
      <c r="F254" s="19"/>
    </row>
    <row r="255" ht="15.75" customHeight="1">
      <c r="A255" s="1">
        <v>4.3752772E7</v>
      </c>
      <c r="B255" s="2" t="s">
        <v>206</v>
      </c>
      <c r="C255" s="19" t="s">
        <v>4012</v>
      </c>
      <c r="D255" s="19" t="s">
        <v>4013</v>
      </c>
      <c r="E255" s="2" t="s">
        <v>11</v>
      </c>
      <c r="F255" s="19"/>
    </row>
    <row r="256" ht="15.75" customHeight="1">
      <c r="A256" s="1">
        <v>4.3764771E7</v>
      </c>
      <c r="B256" s="2" t="s">
        <v>1713</v>
      </c>
      <c r="C256" s="19" t="s">
        <v>4014</v>
      </c>
      <c r="D256" s="19" t="s">
        <v>4015</v>
      </c>
      <c r="E256" s="9" t="s">
        <v>11</v>
      </c>
      <c r="F256" s="19"/>
    </row>
    <row r="257" ht="15.75" customHeight="1">
      <c r="A257" s="1">
        <v>4.3837603E7</v>
      </c>
      <c r="B257" s="2" t="s">
        <v>556</v>
      </c>
      <c r="C257" s="19" t="s">
        <v>4016</v>
      </c>
      <c r="D257" s="19"/>
      <c r="E257" s="2" t="s">
        <v>11</v>
      </c>
      <c r="F257" s="19"/>
    </row>
    <row r="258" ht="15.75" customHeight="1">
      <c r="A258" s="1">
        <v>4.3849977E7</v>
      </c>
      <c r="B258" s="2" t="s">
        <v>1287</v>
      </c>
      <c r="C258" s="19" t="s">
        <v>4017</v>
      </c>
      <c r="D258" s="19"/>
      <c r="E258" s="2" t="s">
        <v>11</v>
      </c>
      <c r="F258" s="19"/>
    </row>
    <row r="259" ht="15.75" customHeight="1">
      <c r="A259" s="1">
        <v>4.3860901E7</v>
      </c>
      <c r="B259" s="2" t="s">
        <v>744</v>
      </c>
      <c r="C259" s="19" t="s">
        <v>4018</v>
      </c>
      <c r="D259" s="19" t="s">
        <v>4019</v>
      </c>
      <c r="E259" s="2" t="s">
        <v>11</v>
      </c>
      <c r="F259" s="19"/>
    </row>
    <row r="260" ht="15.75" customHeight="1">
      <c r="A260" s="1">
        <v>4.3861008E7</v>
      </c>
      <c r="B260" s="2" t="s">
        <v>551</v>
      </c>
      <c r="C260" s="19" t="s">
        <v>4020</v>
      </c>
      <c r="D260" s="19" t="s">
        <v>4021</v>
      </c>
      <c r="E260" s="2" t="s">
        <v>11</v>
      </c>
      <c r="F260" s="19"/>
    </row>
    <row r="261" ht="15.75" customHeight="1">
      <c r="A261" s="1">
        <v>4.3876357E7</v>
      </c>
      <c r="B261" s="2" t="s">
        <v>412</v>
      </c>
      <c r="C261" s="19" t="s">
        <v>4022</v>
      </c>
      <c r="D261" s="19" t="s">
        <v>4023</v>
      </c>
      <c r="E261" s="2" t="s">
        <v>11</v>
      </c>
      <c r="F261" s="19"/>
    </row>
    <row r="262" ht="15.75" customHeight="1">
      <c r="A262" s="1">
        <v>4.3877814E7</v>
      </c>
      <c r="B262" s="2" t="s">
        <v>898</v>
      </c>
      <c r="C262" s="19" t="s">
        <v>4024</v>
      </c>
      <c r="D262" s="19"/>
      <c r="E262" s="2" t="s">
        <v>11</v>
      </c>
      <c r="F262" s="19"/>
    </row>
    <row r="263" ht="15.75" customHeight="1">
      <c r="A263" s="1">
        <v>4.3906526E7</v>
      </c>
      <c r="B263" s="2" t="s">
        <v>1792</v>
      </c>
      <c r="C263" s="19" t="s">
        <v>4025</v>
      </c>
      <c r="D263" s="19"/>
      <c r="E263" s="2" t="s">
        <v>11</v>
      </c>
      <c r="F263" s="19"/>
    </row>
    <row r="264" ht="15.75" customHeight="1">
      <c r="A264" s="1">
        <v>4.3908577E7</v>
      </c>
      <c r="B264" s="2" t="s">
        <v>2736</v>
      </c>
      <c r="C264" s="19" t="s">
        <v>4026</v>
      </c>
      <c r="D264" s="19" t="s">
        <v>4027</v>
      </c>
      <c r="E264" s="9" t="s">
        <v>11</v>
      </c>
      <c r="F264" s="19"/>
    </row>
    <row r="265" ht="15.75" customHeight="1">
      <c r="A265" s="1">
        <v>4.3937563E7</v>
      </c>
      <c r="B265" s="2" t="s">
        <v>1680</v>
      </c>
      <c r="C265" s="19" t="s">
        <v>4028</v>
      </c>
      <c r="D265" s="19"/>
      <c r="E265" s="2" t="s">
        <v>11</v>
      </c>
      <c r="F265" s="19"/>
    </row>
    <row r="266" ht="15.75" customHeight="1">
      <c r="A266" s="1">
        <v>4.3947704E7</v>
      </c>
      <c r="B266" s="2" t="s">
        <v>1845</v>
      </c>
      <c r="C266" s="19" t="s">
        <v>4029</v>
      </c>
      <c r="D266" s="19"/>
      <c r="E266" s="2" t="s">
        <v>11</v>
      </c>
      <c r="F266" s="19"/>
    </row>
    <row r="267" ht="15.75" customHeight="1">
      <c r="A267" s="1">
        <v>4.3965841E7</v>
      </c>
      <c r="B267" s="2" t="s">
        <v>2010</v>
      </c>
      <c r="C267" s="19" t="s">
        <v>4030</v>
      </c>
      <c r="D267" s="19"/>
      <c r="E267" s="2" t="s">
        <v>11</v>
      </c>
      <c r="F267" s="19"/>
    </row>
    <row r="268" ht="15.75" customHeight="1">
      <c r="A268" s="1">
        <v>4.3995671E7</v>
      </c>
      <c r="B268" s="2" t="s">
        <v>641</v>
      </c>
      <c r="C268" s="19" t="s">
        <v>4031</v>
      </c>
      <c r="D268" s="19"/>
      <c r="E268" s="2" t="s">
        <v>11</v>
      </c>
      <c r="F268" s="19"/>
    </row>
    <row r="269" ht="15.75" customHeight="1">
      <c r="A269" s="1">
        <v>4.4005685E7</v>
      </c>
      <c r="B269" s="2" t="s">
        <v>1060</v>
      </c>
      <c r="C269" s="19" t="s">
        <v>4032</v>
      </c>
      <c r="D269" s="19" t="s">
        <v>4033</v>
      </c>
      <c r="E269" s="2" t="s">
        <v>11</v>
      </c>
      <c r="F269" s="19"/>
    </row>
    <row r="270" ht="15.75" customHeight="1">
      <c r="A270" s="1">
        <v>4.4013975E7</v>
      </c>
      <c r="B270" s="2" t="s">
        <v>1572</v>
      </c>
      <c r="C270" s="19" t="s">
        <v>4034</v>
      </c>
      <c r="D270" s="19" t="s">
        <v>4035</v>
      </c>
      <c r="E270" s="2" t="s">
        <v>11</v>
      </c>
      <c r="F270" s="19"/>
    </row>
    <row r="271" ht="15.75" customHeight="1">
      <c r="A271" s="1">
        <v>4.4041037E7</v>
      </c>
      <c r="B271" s="2" t="s">
        <v>2317</v>
      </c>
      <c r="C271" s="19" t="s">
        <v>4036</v>
      </c>
      <c r="D271" s="19"/>
      <c r="E271" s="9" t="s">
        <v>11</v>
      </c>
      <c r="F271" s="19"/>
    </row>
    <row r="272" ht="15.75" customHeight="1">
      <c r="A272" s="1">
        <v>4.4050836E7</v>
      </c>
      <c r="B272" s="2" t="s">
        <v>326</v>
      </c>
      <c r="C272" s="19" t="s">
        <v>4037</v>
      </c>
      <c r="D272" s="19"/>
      <c r="E272" s="2" t="s">
        <v>11</v>
      </c>
      <c r="F272" s="19"/>
    </row>
    <row r="273" ht="15.75" customHeight="1">
      <c r="A273" s="1">
        <v>4.4070042E7</v>
      </c>
      <c r="B273" s="2" t="s">
        <v>2400</v>
      </c>
      <c r="C273" s="19" t="s">
        <v>4038</v>
      </c>
      <c r="D273" s="19"/>
      <c r="E273" s="2" t="s">
        <v>11</v>
      </c>
      <c r="F273" s="19"/>
    </row>
    <row r="274" ht="15.75" customHeight="1">
      <c r="A274" s="1">
        <v>4.4073389E7</v>
      </c>
      <c r="B274" s="2" t="s">
        <v>2366</v>
      </c>
      <c r="C274" s="19" t="s">
        <v>4039</v>
      </c>
      <c r="D274" s="19"/>
      <c r="E274" s="2" t="s">
        <v>11</v>
      </c>
      <c r="F274" s="19"/>
    </row>
    <row r="275" ht="15.75" customHeight="1">
      <c r="A275" s="1">
        <v>4.4073502E7</v>
      </c>
      <c r="B275" s="2" t="s">
        <v>1686</v>
      </c>
      <c r="C275" s="19" t="s">
        <v>4040</v>
      </c>
      <c r="D275" s="19" t="s">
        <v>4041</v>
      </c>
      <c r="E275" s="2" t="s">
        <v>11</v>
      </c>
      <c r="F275" s="19"/>
    </row>
    <row r="276" ht="15.75" customHeight="1">
      <c r="A276" s="1">
        <v>4.4076048E7</v>
      </c>
      <c r="B276" s="2" t="s">
        <v>927</v>
      </c>
      <c r="C276" s="19" t="s">
        <v>4042</v>
      </c>
      <c r="D276" s="19" t="s">
        <v>4043</v>
      </c>
      <c r="E276" s="2" t="s">
        <v>11</v>
      </c>
      <c r="F276" s="19"/>
    </row>
    <row r="277" ht="15.75" customHeight="1">
      <c r="A277" s="1">
        <v>4.4078721E7</v>
      </c>
      <c r="B277" s="2" t="s">
        <v>1774</v>
      </c>
      <c r="C277" s="19" t="s">
        <v>4044</v>
      </c>
      <c r="D277" s="19"/>
      <c r="E277" s="2" t="s">
        <v>11</v>
      </c>
      <c r="F277" s="19"/>
    </row>
    <row r="278" ht="15.75" customHeight="1">
      <c r="A278" s="1">
        <v>4.4080566E7</v>
      </c>
      <c r="B278" s="2" t="s">
        <v>696</v>
      </c>
      <c r="C278" s="19" t="s">
        <v>4045</v>
      </c>
      <c r="D278" s="19" t="s">
        <v>4046</v>
      </c>
      <c r="E278" s="2" t="s">
        <v>11</v>
      </c>
      <c r="F278" s="19"/>
    </row>
    <row r="279" ht="15.75" customHeight="1">
      <c r="A279" s="1">
        <v>4.4091275E7</v>
      </c>
      <c r="B279" s="2" t="s">
        <v>652</v>
      </c>
      <c r="C279" s="19" t="s">
        <v>4047</v>
      </c>
      <c r="D279" s="19" t="s">
        <v>4048</v>
      </c>
      <c r="E279" s="2" t="s">
        <v>11</v>
      </c>
      <c r="F279" s="19"/>
    </row>
    <row r="280" ht="15.75" customHeight="1">
      <c r="A280" s="1">
        <v>4.4102892E7</v>
      </c>
      <c r="B280" s="2" t="s">
        <v>1324</v>
      </c>
      <c r="C280" s="19" t="s">
        <v>4049</v>
      </c>
      <c r="D280" s="19"/>
      <c r="E280" s="2" t="s">
        <v>11</v>
      </c>
      <c r="F280" s="19"/>
    </row>
    <row r="281" ht="15.75" customHeight="1">
      <c r="A281" s="1">
        <v>4.4106979E7</v>
      </c>
      <c r="B281" s="2" t="s">
        <v>1500</v>
      </c>
      <c r="C281" s="19" t="s">
        <v>4050</v>
      </c>
      <c r="D281" s="19" t="s">
        <v>4051</v>
      </c>
      <c r="E281" s="9" t="s">
        <v>11</v>
      </c>
      <c r="F281" s="19"/>
    </row>
    <row r="282" ht="15.75" customHeight="1">
      <c r="A282" s="1">
        <v>4.4111993E7</v>
      </c>
      <c r="B282" s="2" t="s">
        <v>604</v>
      </c>
      <c r="C282" s="19" t="s">
        <v>4052</v>
      </c>
      <c r="D282" s="19"/>
      <c r="E282" s="2" t="s">
        <v>11</v>
      </c>
      <c r="F282" s="19"/>
    </row>
    <row r="283" ht="15.75" customHeight="1">
      <c r="A283" s="1">
        <v>4.4131065E7</v>
      </c>
      <c r="B283" s="2" t="s">
        <v>55</v>
      </c>
      <c r="C283" s="19" t="s">
        <v>4053</v>
      </c>
      <c r="D283" s="19"/>
      <c r="E283" s="2" t="s">
        <v>11</v>
      </c>
      <c r="F283" s="19"/>
    </row>
    <row r="284" ht="15.75" customHeight="1">
      <c r="A284" s="1">
        <v>4.4140332E7</v>
      </c>
      <c r="B284" s="2" t="s">
        <v>2308</v>
      </c>
      <c r="C284" s="19" t="s">
        <v>4054</v>
      </c>
      <c r="D284" s="19" t="s">
        <v>4055</v>
      </c>
      <c r="E284" s="2" t="s">
        <v>11</v>
      </c>
      <c r="F284" s="19"/>
    </row>
    <row r="285" ht="15.75" customHeight="1">
      <c r="A285" s="1">
        <v>4.4145365E7</v>
      </c>
      <c r="B285" s="2" t="s">
        <v>2011</v>
      </c>
      <c r="C285" s="19" t="s">
        <v>4056</v>
      </c>
      <c r="D285" s="19"/>
      <c r="E285" s="2" t="s">
        <v>11</v>
      </c>
      <c r="F285" s="19"/>
    </row>
    <row r="286" ht="15.75" customHeight="1">
      <c r="A286" s="1">
        <v>4.4178272E7</v>
      </c>
      <c r="B286" s="2" t="s">
        <v>912</v>
      </c>
      <c r="C286" s="19" t="s">
        <v>4057</v>
      </c>
      <c r="D286" s="19"/>
      <c r="E286" s="2" t="s">
        <v>11</v>
      </c>
      <c r="F286" s="19"/>
    </row>
    <row r="287" ht="15.75" customHeight="1">
      <c r="A287" s="1">
        <v>4.4178802E7</v>
      </c>
      <c r="B287" s="2" t="s">
        <v>2817</v>
      </c>
      <c r="C287" s="19" t="s">
        <v>4058</v>
      </c>
      <c r="D287" s="19" t="s">
        <v>4059</v>
      </c>
      <c r="E287" s="2" t="s">
        <v>11</v>
      </c>
      <c r="F287" s="19"/>
    </row>
    <row r="288" ht="15.75" customHeight="1">
      <c r="A288" s="1">
        <v>4.4233707E7</v>
      </c>
      <c r="B288" s="2" t="s">
        <v>32</v>
      </c>
      <c r="C288" s="19" t="s">
        <v>4060</v>
      </c>
      <c r="D288" s="19" t="s">
        <v>4061</v>
      </c>
      <c r="E288" s="2" t="s">
        <v>11</v>
      </c>
      <c r="F288" s="19"/>
    </row>
    <row r="289" ht="15.75" customHeight="1">
      <c r="A289" s="1">
        <v>4.4242378E7</v>
      </c>
      <c r="B289" s="2" t="s">
        <v>94</v>
      </c>
      <c r="C289" s="19" t="s">
        <v>4062</v>
      </c>
      <c r="D289" s="19" t="s">
        <v>4063</v>
      </c>
      <c r="E289" s="2" t="s">
        <v>11</v>
      </c>
      <c r="F289" s="19"/>
    </row>
    <row r="290" ht="15.75" customHeight="1">
      <c r="A290" s="1">
        <v>4.4375912E7</v>
      </c>
      <c r="B290" s="2" t="s">
        <v>289</v>
      </c>
      <c r="C290" s="19" t="s">
        <v>4064</v>
      </c>
      <c r="D290" s="19"/>
      <c r="E290" s="2" t="s">
        <v>11</v>
      </c>
      <c r="F290" s="19"/>
    </row>
    <row r="291" ht="15.75" customHeight="1">
      <c r="A291" s="1">
        <v>4.4565423E7</v>
      </c>
      <c r="B291" s="2" t="s">
        <v>76</v>
      </c>
      <c r="C291" s="19" t="s">
        <v>4065</v>
      </c>
      <c r="D291" s="19"/>
      <c r="E291" s="2" t="s">
        <v>11</v>
      </c>
      <c r="F291" s="19"/>
    </row>
    <row r="292" ht="15.75" customHeight="1">
      <c r="A292" s="1">
        <v>4.5310234E7</v>
      </c>
      <c r="B292" s="2" t="s">
        <v>197</v>
      </c>
      <c r="C292" s="19" t="s">
        <v>4066</v>
      </c>
      <c r="D292" s="19"/>
      <c r="E292" s="2" t="s">
        <v>11</v>
      </c>
      <c r="F292" s="19"/>
    </row>
    <row r="293" ht="15.75" customHeight="1">
      <c r="A293" s="1">
        <v>4.5442784E7</v>
      </c>
      <c r="B293" s="2" t="s">
        <v>107</v>
      </c>
      <c r="C293" s="19" t="s">
        <v>4067</v>
      </c>
      <c r="D293" s="19"/>
      <c r="E293" s="2" t="s">
        <v>11</v>
      </c>
      <c r="F293" s="19"/>
    </row>
    <row r="294" ht="15.75" customHeight="1">
      <c r="A294" s="1">
        <v>4.5483554E7</v>
      </c>
      <c r="B294" s="2" t="s">
        <v>79</v>
      </c>
      <c r="C294" s="19" t="s">
        <v>4068</v>
      </c>
      <c r="D294" s="19"/>
      <c r="E294" s="2" t="s">
        <v>11</v>
      </c>
      <c r="F294" s="19"/>
    </row>
    <row r="295" ht="15.75" customHeight="1">
      <c r="A295" s="1">
        <v>4.572376E7</v>
      </c>
      <c r="B295" s="2" t="s">
        <v>1027</v>
      </c>
      <c r="C295" s="19" t="s">
        <v>4069</v>
      </c>
      <c r="D295" s="19" t="s">
        <v>4070</v>
      </c>
      <c r="E295" s="9" t="s">
        <v>11</v>
      </c>
      <c r="F295" s="19"/>
    </row>
    <row r="296" ht="15.75" customHeight="1">
      <c r="A296" s="1">
        <v>4.5834435E7</v>
      </c>
      <c r="B296" s="2" t="s">
        <v>126</v>
      </c>
      <c r="C296" s="19" t="s">
        <v>4071</v>
      </c>
      <c r="D296" s="19"/>
      <c r="E296" s="2" t="s">
        <v>11</v>
      </c>
      <c r="F296" s="19"/>
    </row>
    <row r="297" ht="15.75" customHeight="1">
      <c r="A297" s="1">
        <v>4.5955538E7</v>
      </c>
      <c r="B297" s="2" t="s">
        <v>13</v>
      </c>
      <c r="C297" s="19" t="s">
        <v>4072</v>
      </c>
      <c r="D297" s="19"/>
      <c r="E297" s="2" t="s">
        <v>11</v>
      </c>
      <c r="F297" s="19"/>
    </row>
    <row r="298" ht="15.75" customHeight="1">
      <c r="A298" s="1">
        <v>4.6067509E7</v>
      </c>
      <c r="B298" s="2" t="s">
        <v>667</v>
      </c>
      <c r="C298" s="19" t="s">
        <v>4073</v>
      </c>
      <c r="D298" s="19" t="s">
        <v>4074</v>
      </c>
      <c r="E298" s="2" t="s">
        <v>11</v>
      </c>
      <c r="F298" s="19"/>
    </row>
    <row r="299" ht="15.75" customHeight="1">
      <c r="A299" s="1">
        <v>4.6067552E7</v>
      </c>
      <c r="B299" s="2" t="s">
        <v>242</v>
      </c>
      <c r="C299" s="19" t="s">
        <v>4075</v>
      </c>
      <c r="D299" s="19"/>
      <c r="E299" s="2" t="s">
        <v>11</v>
      </c>
      <c r="F299" s="19"/>
    </row>
    <row r="300" ht="15.75" customHeight="1">
      <c r="A300" s="1">
        <v>4.607784E7</v>
      </c>
      <c r="B300" s="2" t="s">
        <v>1714</v>
      </c>
      <c r="C300" s="19" t="s">
        <v>4076</v>
      </c>
      <c r="D300" s="19"/>
      <c r="E300" s="9" t="s">
        <v>11</v>
      </c>
      <c r="F300" s="19"/>
    </row>
    <row r="301" ht="15.75" customHeight="1">
      <c r="A301" s="1">
        <v>4.6088465E7</v>
      </c>
      <c r="B301" s="2" t="s">
        <v>277</v>
      </c>
      <c r="C301" s="19" t="s">
        <v>4077</v>
      </c>
      <c r="D301" s="19" t="s">
        <v>4078</v>
      </c>
      <c r="E301" s="2" t="s">
        <v>11</v>
      </c>
      <c r="F301" s="19"/>
    </row>
    <row r="302" ht="15.75" customHeight="1">
      <c r="A302" s="1">
        <v>4.6090082E7</v>
      </c>
      <c r="B302" s="2" t="s">
        <v>1558</v>
      </c>
      <c r="C302" s="19" t="s">
        <v>4079</v>
      </c>
      <c r="D302" s="19" t="s">
        <v>4080</v>
      </c>
      <c r="E302" s="2" t="s">
        <v>11</v>
      </c>
      <c r="F302" s="19"/>
    </row>
    <row r="303" ht="15.75" customHeight="1">
      <c r="A303" s="1">
        <v>4.6124156E7</v>
      </c>
      <c r="B303" s="2" t="s">
        <v>2449</v>
      </c>
      <c r="C303" s="19" t="s">
        <v>4081</v>
      </c>
      <c r="D303" s="19"/>
      <c r="E303" s="9" t="s">
        <v>11</v>
      </c>
      <c r="F303" s="19"/>
    </row>
    <row r="304" ht="15.75" customHeight="1">
      <c r="A304" s="1">
        <v>4.6144718E7</v>
      </c>
      <c r="B304" s="2" t="s">
        <v>1000</v>
      </c>
      <c r="C304" s="19" t="s">
        <v>4082</v>
      </c>
      <c r="D304" s="19"/>
      <c r="E304" s="2" t="s">
        <v>11</v>
      </c>
      <c r="F304" s="19"/>
    </row>
    <row r="305" ht="15.75" customHeight="1">
      <c r="A305" s="1">
        <v>4.6158698E7</v>
      </c>
      <c r="B305" s="2" t="s">
        <v>929</v>
      </c>
      <c r="C305" s="19" t="s">
        <v>4083</v>
      </c>
      <c r="D305" s="19"/>
      <c r="E305" s="9" t="s">
        <v>11</v>
      </c>
      <c r="F305" s="19"/>
    </row>
    <row r="306" ht="15.75" customHeight="1">
      <c r="A306" s="1">
        <v>4.6171283E7</v>
      </c>
      <c r="B306" s="2" t="s">
        <v>285</v>
      </c>
      <c r="C306" s="19" t="s">
        <v>4084</v>
      </c>
      <c r="D306" s="19" t="s">
        <v>4085</v>
      </c>
      <c r="E306" s="2" t="s">
        <v>11</v>
      </c>
      <c r="F306" s="19"/>
    </row>
    <row r="307" ht="15.75" customHeight="1">
      <c r="A307" s="1">
        <v>4.6193704E7</v>
      </c>
      <c r="B307" s="2" t="s">
        <v>1732</v>
      </c>
      <c r="C307" s="19" t="s">
        <v>4086</v>
      </c>
      <c r="D307" s="19"/>
      <c r="E307" s="2" t="s">
        <v>11</v>
      </c>
      <c r="F307" s="19"/>
    </row>
    <row r="308" ht="15.75" customHeight="1">
      <c r="A308" s="1">
        <v>4.62062E7</v>
      </c>
      <c r="B308" s="2" t="s">
        <v>2257</v>
      </c>
      <c r="C308" s="19" t="s">
        <v>4087</v>
      </c>
      <c r="D308" s="19"/>
      <c r="E308" s="2" t="s">
        <v>11</v>
      </c>
      <c r="F308" s="19"/>
    </row>
    <row r="309" ht="15.75" customHeight="1">
      <c r="A309" s="1">
        <v>4.6206207E7</v>
      </c>
      <c r="B309" s="2" t="s">
        <v>2421</v>
      </c>
      <c r="C309" s="19" t="s">
        <v>4088</v>
      </c>
      <c r="D309" s="19" t="s">
        <v>4089</v>
      </c>
      <c r="E309" s="2" t="s">
        <v>11</v>
      </c>
      <c r="F309" s="19"/>
    </row>
    <row r="310" ht="15.75" customHeight="1">
      <c r="A310" s="1">
        <v>4.6211514E7</v>
      </c>
      <c r="B310" s="2" t="s">
        <v>659</v>
      </c>
      <c r="C310" s="19" t="s">
        <v>4090</v>
      </c>
      <c r="D310" s="19"/>
      <c r="E310" s="2" t="s">
        <v>11</v>
      </c>
      <c r="F310" s="19"/>
    </row>
    <row r="311" ht="15.75" customHeight="1">
      <c r="A311" s="1">
        <v>4.6226398E7</v>
      </c>
      <c r="B311" s="2" t="s">
        <v>1639</v>
      </c>
      <c r="C311" s="19" t="s">
        <v>4091</v>
      </c>
      <c r="D311" s="19"/>
      <c r="E311" s="9" t="s">
        <v>11</v>
      </c>
      <c r="F311" s="19"/>
    </row>
    <row r="312" ht="15.75" customHeight="1">
      <c r="A312" s="1">
        <v>4.6227182E7</v>
      </c>
      <c r="B312" s="2" t="s">
        <v>716</v>
      </c>
      <c r="C312" s="19" t="s">
        <v>4092</v>
      </c>
      <c r="D312" s="19" t="s">
        <v>4093</v>
      </c>
      <c r="E312" s="2" t="s">
        <v>11</v>
      </c>
      <c r="F312" s="19"/>
    </row>
    <row r="313" ht="15.75" customHeight="1">
      <c r="A313" s="1">
        <v>4.6236405E7</v>
      </c>
      <c r="B313" s="2" t="s">
        <v>1828</v>
      </c>
      <c r="C313" s="19" t="s">
        <v>4094</v>
      </c>
      <c r="D313" s="19" t="s">
        <v>4095</v>
      </c>
      <c r="E313" s="2" t="s">
        <v>11</v>
      </c>
      <c r="F313" s="19"/>
    </row>
    <row r="314" ht="15.75" customHeight="1">
      <c r="A314" s="1">
        <v>4.6238759E7</v>
      </c>
      <c r="B314" s="2" t="s">
        <v>1399</v>
      </c>
      <c r="C314" s="19" t="s">
        <v>4096</v>
      </c>
      <c r="D314" s="19"/>
      <c r="E314" s="2" t="s">
        <v>11</v>
      </c>
      <c r="F314" s="19"/>
    </row>
    <row r="315" ht="15.75" customHeight="1">
      <c r="A315" s="1">
        <v>4.6241015E7</v>
      </c>
      <c r="B315" s="2" t="s">
        <v>1035</v>
      </c>
      <c r="C315" s="19" t="s">
        <v>4097</v>
      </c>
      <c r="D315" s="19"/>
      <c r="E315" s="2" t="s">
        <v>11</v>
      </c>
      <c r="F315" s="19"/>
    </row>
    <row r="316" ht="15.75" customHeight="1">
      <c r="A316" s="1">
        <v>4.6250017E7</v>
      </c>
      <c r="B316" s="2" t="s">
        <v>407</v>
      </c>
      <c r="C316" s="19" t="s">
        <v>4098</v>
      </c>
      <c r="D316" s="19"/>
      <c r="E316" s="2" t="s">
        <v>11</v>
      </c>
      <c r="F316" s="19"/>
    </row>
    <row r="317" ht="15.75" customHeight="1">
      <c r="A317" s="1">
        <v>4.6257017E7</v>
      </c>
      <c r="B317" s="2" t="s">
        <v>1147</v>
      </c>
      <c r="C317" s="19" t="s">
        <v>4099</v>
      </c>
      <c r="D317" s="19"/>
      <c r="E317" s="2" t="s">
        <v>11</v>
      </c>
      <c r="F317" s="19"/>
    </row>
    <row r="318" ht="15.75" customHeight="1">
      <c r="A318" s="1">
        <v>4.6271988E7</v>
      </c>
      <c r="B318" s="2" t="s">
        <v>2147</v>
      </c>
      <c r="C318" s="19" t="s">
        <v>4100</v>
      </c>
      <c r="D318" s="19"/>
      <c r="E318" s="9" t="s">
        <v>11</v>
      </c>
      <c r="F318" s="19"/>
    </row>
    <row r="319" ht="15.75" customHeight="1">
      <c r="A319" s="1">
        <v>4.6275169E7</v>
      </c>
      <c r="B319" s="2" t="s">
        <v>2006</v>
      </c>
      <c r="C319" s="19" t="s">
        <v>4101</v>
      </c>
      <c r="D319" s="19" t="s">
        <v>4102</v>
      </c>
      <c r="E319" s="9" t="s">
        <v>11</v>
      </c>
      <c r="F319" s="19"/>
    </row>
    <row r="320" ht="15.75" customHeight="1">
      <c r="A320" s="1">
        <v>4.627736E7</v>
      </c>
      <c r="B320" s="2" t="s">
        <v>906</v>
      </c>
      <c r="C320" s="19" t="s">
        <v>4103</v>
      </c>
      <c r="D320" s="19"/>
      <c r="E320" s="2" t="s">
        <v>11</v>
      </c>
      <c r="F320" s="19"/>
    </row>
    <row r="321" ht="15.75" customHeight="1">
      <c r="A321" s="1">
        <v>4.6289453E7</v>
      </c>
      <c r="B321" s="2" t="s">
        <v>1736</v>
      </c>
      <c r="C321" s="19" t="s">
        <v>4104</v>
      </c>
      <c r="D321" s="19"/>
      <c r="E321" s="2" t="s">
        <v>11</v>
      </c>
      <c r="F321" s="19"/>
    </row>
    <row r="322" ht="15.75" customHeight="1">
      <c r="A322" s="1">
        <v>4.6295367E7</v>
      </c>
      <c r="B322" s="2" t="s">
        <v>1016</v>
      </c>
      <c r="C322" s="19" t="s">
        <v>4105</v>
      </c>
      <c r="D322" s="19"/>
      <c r="E322" s="2" t="s">
        <v>11</v>
      </c>
      <c r="F322" s="19"/>
    </row>
    <row r="323" ht="15.75" customHeight="1">
      <c r="A323" s="1">
        <v>4.630337E7</v>
      </c>
      <c r="B323" s="2" t="s">
        <v>156</v>
      </c>
      <c r="C323" s="19" t="s">
        <v>4106</v>
      </c>
      <c r="D323" s="19"/>
      <c r="E323" s="2" t="s">
        <v>11</v>
      </c>
      <c r="F323" s="19"/>
    </row>
    <row r="324" ht="15.75" customHeight="1">
      <c r="A324" s="1">
        <v>4.6321865E7</v>
      </c>
      <c r="B324" s="2" t="s">
        <v>664</v>
      </c>
      <c r="C324" s="19" t="s">
        <v>4107</v>
      </c>
      <c r="D324" s="19" t="s">
        <v>4108</v>
      </c>
      <c r="E324" s="2" t="s">
        <v>11</v>
      </c>
      <c r="F324" s="19"/>
    </row>
    <row r="325" ht="15.75" customHeight="1">
      <c r="A325" s="1">
        <v>4.6330301E7</v>
      </c>
      <c r="B325" s="2" t="s">
        <v>1766</v>
      </c>
      <c r="C325" s="19" t="s">
        <v>4109</v>
      </c>
      <c r="D325" s="19" t="s">
        <v>4110</v>
      </c>
      <c r="E325" s="2" t="s">
        <v>11</v>
      </c>
      <c r="F325" s="19"/>
    </row>
    <row r="326" ht="15.75" customHeight="1">
      <c r="A326" s="1">
        <v>4.6336305E7</v>
      </c>
      <c r="B326" s="2" t="s">
        <v>2242</v>
      </c>
      <c r="C326" s="19" t="s">
        <v>4111</v>
      </c>
      <c r="D326" s="19"/>
      <c r="E326" s="2" t="s">
        <v>11</v>
      </c>
      <c r="F326" s="19"/>
    </row>
    <row r="327" ht="15.75" customHeight="1">
      <c r="A327" s="1">
        <v>4.6340789E7</v>
      </c>
      <c r="B327" s="2" t="s">
        <v>2356</v>
      </c>
      <c r="C327" s="19" t="s">
        <v>4112</v>
      </c>
      <c r="D327" s="19"/>
      <c r="E327" s="9" t="s">
        <v>11</v>
      </c>
      <c r="F327" s="19"/>
    </row>
    <row r="328" ht="15.75" customHeight="1">
      <c r="A328" s="1">
        <v>4.6362311E7</v>
      </c>
      <c r="B328" s="2" t="s">
        <v>1031</v>
      </c>
      <c r="C328" s="19" t="s">
        <v>4113</v>
      </c>
      <c r="D328" s="19" t="s">
        <v>4114</v>
      </c>
      <c r="E328" s="2" t="s">
        <v>11</v>
      </c>
      <c r="F328" s="19"/>
    </row>
    <row r="329" ht="15.75" customHeight="1">
      <c r="A329" s="1">
        <v>4.6378576E7</v>
      </c>
      <c r="B329" s="2" t="s">
        <v>2148</v>
      </c>
      <c r="C329" s="19" t="s">
        <v>4115</v>
      </c>
      <c r="D329" s="19" t="s">
        <v>4116</v>
      </c>
      <c r="E329" s="2" t="s">
        <v>11</v>
      </c>
      <c r="F329" s="19"/>
    </row>
    <row r="330" ht="15.75" customHeight="1">
      <c r="A330" s="1">
        <v>4.6382002E7</v>
      </c>
      <c r="B330" s="2" t="s">
        <v>2131</v>
      </c>
      <c r="C330" s="19" t="s">
        <v>4117</v>
      </c>
      <c r="D330" s="19"/>
      <c r="E330" s="2" t="s">
        <v>11</v>
      </c>
      <c r="F330" s="19"/>
    </row>
    <row r="331" ht="15.75" customHeight="1">
      <c r="A331" s="1">
        <v>4.63872E7</v>
      </c>
      <c r="B331" s="2" t="s">
        <v>919</v>
      </c>
      <c r="C331" s="19" t="s">
        <v>4118</v>
      </c>
      <c r="D331" s="19"/>
      <c r="E331" s="2" t="s">
        <v>11</v>
      </c>
      <c r="F331" s="19"/>
    </row>
    <row r="332" ht="15.75" customHeight="1">
      <c r="A332" s="1">
        <v>4.6417978E7</v>
      </c>
      <c r="B332" s="2" t="s">
        <v>1173</v>
      </c>
      <c r="C332" s="19" t="s">
        <v>4119</v>
      </c>
      <c r="D332" s="19"/>
      <c r="E332" s="9" t="s">
        <v>11</v>
      </c>
      <c r="F332" s="19"/>
    </row>
    <row r="333" ht="15.75" customHeight="1">
      <c r="A333" s="1">
        <v>4.6422037E7</v>
      </c>
      <c r="B333" s="2" t="s">
        <v>282</v>
      </c>
      <c r="C333" s="19" t="s">
        <v>4120</v>
      </c>
      <c r="D333" s="19" t="s">
        <v>4121</v>
      </c>
      <c r="E333" s="9" t="s">
        <v>11</v>
      </c>
      <c r="F333" s="19"/>
    </row>
    <row r="334" ht="15.75" customHeight="1">
      <c r="A334" s="1">
        <v>4.6429884E7</v>
      </c>
      <c r="B334" s="2" t="s">
        <v>2509</v>
      </c>
      <c r="C334" s="19" t="s">
        <v>4122</v>
      </c>
      <c r="D334" s="19"/>
      <c r="E334" s="9" t="s">
        <v>11</v>
      </c>
      <c r="F334" s="19"/>
    </row>
    <row r="335" ht="15.75" customHeight="1">
      <c r="A335" s="1">
        <v>4.6447525E7</v>
      </c>
      <c r="B335" s="2" t="s">
        <v>2331</v>
      </c>
      <c r="C335" s="19" t="s">
        <v>4123</v>
      </c>
      <c r="D335" s="19"/>
      <c r="E335" s="2" t="s">
        <v>11</v>
      </c>
      <c r="F335" s="19"/>
    </row>
    <row r="336" ht="15.75" customHeight="1">
      <c r="A336" s="1">
        <v>4.6482177E7</v>
      </c>
      <c r="B336" s="2" t="s">
        <v>569</v>
      </c>
      <c r="C336" s="19" t="s">
        <v>4124</v>
      </c>
      <c r="D336" s="19"/>
      <c r="E336" s="2" t="s">
        <v>11</v>
      </c>
      <c r="F336" s="19"/>
    </row>
    <row r="337" ht="15.75" customHeight="1">
      <c r="A337" s="1">
        <v>4.6483388E7</v>
      </c>
      <c r="B337" s="2" t="s">
        <v>1478</v>
      </c>
      <c r="C337" s="19" t="s">
        <v>4125</v>
      </c>
      <c r="D337" s="19"/>
      <c r="E337" s="2" t="s">
        <v>11</v>
      </c>
      <c r="F337" s="19"/>
    </row>
    <row r="338" ht="15.75" customHeight="1">
      <c r="A338" s="1">
        <v>4.6492413E7</v>
      </c>
      <c r="B338" s="2" t="s">
        <v>899</v>
      </c>
      <c r="C338" s="19" t="s">
        <v>4126</v>
      </c>
      <c r="D338" s="19" t="s">
        <v>4127</v>
      </c>
      <c r="E338" s="9" t="s">
        <v>11</v>
      </c>
      <c r="F338" s="19"/>
    </row>
    <row r="339" ht="15.75" customHeight="1">
      <c r="A339" s="1">
        <v>4.653744E7</v>
      </c>
      <c r="B339" s="2" t="s">
        <v>1869</v>
      </c>
      <c r="C339" s="19" t="s">
        <v>4128</v>
      </c>
      <c r="D339" s="19"/>
      <c r="E339" s="9" t="s">
        <v>11</v>
      </c>
      <c r="F339" s="19"/>
    </row>
    <row r="340" ht="15.75" customHeight="1">
      <c r="A340" s="1">
        <v>4.6541679E7</v>
      </c>
      <c r="B340" s="2" t="s">
        <v>2100</v>
      </c>
      <c r="C340" s="19" t="s">
        <v>4129</v>
      </c>
      <c r="D340" s="19"/>
      <c r="E340" s="2" t="s">
        <v>11</v>
      </c>
      <c r="F340" s="19"/>
    </row>
    <row r="341" ht="15.75" customHeight="1">
      <c r="A341" s="1">
        <v>4.6550925E7</v>
      </c>
      <c r="B341" s="2" t="s">
        <v>2581</v>
      </c>
      <c r="C341" s="19" t="s">
        <v>4130</v>
      </c>
      <c r="D341" s="19"/>
      <c r="E341" s="2" t="s">
        <v>11</v>
      </c>
      <c r="F341" s="19"/>
    </row>
    <row r="342" ht="15.75" customHeight="1">
      <c r="A342" s="1">
        <v>4.655851E7</v>
      </c>
      <c r="B342" s="2" t="s">
        <v>1480</v>
      </c>
      <c r="C342" s="19" t="s">
        <v>4131</v>
      </c>
      <c r="D342" s="19"/>
      <c r="E342" s="2" t="s">
        <v>11</v>
      </c>
      <c r="F342" s="19"/>
    </row>
    <row r="343" ht="15.75" customHeight="1">
      <c r="A343" s="1">
        <v>4.6574894E7</v>
      </c>
      <c r="B343" s="2" t="s">
        <v>2149</v>
      </c>
      <c r="C343" s="19" t="s">
        <v>4132</v>
      </c>
      <c r="D343" s="19"/>
      <c r="E343" s="2" t="s">
        <v>11</v>
      </c>
      <c r="F343" s="19"/>
    </row>
    <row r="344" ht="15.75" customHeight="1">
      <c r="A344" s="1">
        <v>4.6595947E7</v>
      </c>
      <c r="B344" s="2" t="s">
        <v>2193</v>
      </c>
      <c r="C344" s="19" t="s">
        <v>4133</v>
      </c>
      <c r="D344" s="19"/>
      <c r="E344" s="2" t="s">
        <v>11</v>
      </c>
      <c r="F344" s="19"/>
    </row>
    <row r="345" ht="15.75" customHeight="1">
      <c r="A345" s="1">
        <v>4.6600731E7</v>
      </c>
      <c r="B345" s="2" t="s">
        <v>2279</v>
      </c>
      <c r="C345" s="19" t="s">
        <v>4134</v>
      </c>
      <c r="D345" s="19" t="s">
        <v>4135</v>
      </c>
      <c r="E345" s="2" t="s">
        <v>11</v>
      </c>
      <c r="F345" s="19"/>
    </row>
    <row r="346" ht="15.75" customHeight="1">
      <c r="A346" s="1">
        <v>4.6606062E7</v>
      </c>
      <c r="B346" s="2" t="s">
        <v>390</v>
      </c>
      <c r="C346" s="19" t="s">
        <v>4136</v>
      </c>
      <c r="D346" s="19"/>
      <c r="E346" s="2" t="s">
        <v>11</v>
      </c>
      <c r="F346" s="19"/>
    </row>
    <row r="347" ht="15.75" customHeight="1">
      <c r="A347" s="1">
        <v>4.6608926E7</v>
      </c>
      <c r="B347" s="2" t="s">
        <v>2492</v>
      </c>
      <c r="C347" s="19" t="s">
        <v>4137</v>
      </c>
      <c r="D347" s="19" t="s">
        <v>4138</v>
      </c>
      <c r="E347" s="2" t="s">
        <v>11</v>
      </c>
      <c r="F347" s="19"/>
    </row>
    <row r="348" ht="15.75" customHeight="1">
      <c r="A348" s="1">
        <v>4.6612266E7</v>
      </c>
      <c r="B348" s="2" t="s">
        <v>318</v>
      </c>
      <c r="C348" s="19" t="s">
        <v>4139</v>
      </c>
      <c r="D348" s="19"/>
      <c r="E348" s="2" t="s">
        <v>11</v>
      </c>
      <c r="F348" s="19"/>
    </row>
    <row r="349" ht="15.75" customHeight="1">
      <c r="A349" s="1">
        <v>4.6627009E7</v>
      </c>
      <c r="B349" s="2" t="s">
        <v>442</v>
      </c>
      <c r="C349" s="19" t="s">
        <v>4140</v>
      </c>
      <c r="D349" s="19" t="s">
        <v>4141</v>
      </c>
      <c r="E349" s="2" t="s">
        <v>11</v>
      </c>
      <c r="F349" s="19"/>
    </row>
    <row r="350" ht="15.75" customHeight="1">
      <c r="A350" s="1">
        <v>4.6636237E7</v>
      </c>
      <c r="B350" s="2" t="s">
        <v>50</v>
      </c>
      <c r="C350" s="19" t="s">
        <v>4142</v>
      </c>
      <c r="D350" s="19"/>
      <c r="E350" s="2" t="s">
        <v>11</v>
      </c>
      <c r="F350" s="19"/>
    </row>
    <row r="351" ht="15.75" customHeight="1">
      <c r="A351" s="1">
        <v>4.6647666E7</v>
      </c>
      <c r="B351" s="2" t="s">
        <v>2450</v>
      </c>
      <c r="C351" s="19" t="s">
        <v>4143</v>
      </c>
      <c r="D351" s="19"/>
      <c r="E351" s="2" t="s">
        <v>11</v>
      </c>
      <c r="F351" s="19"/>
    </row>
    <row r="352" ht="15.75" customHeight="1">
      <c r="A352" s="1">
        <v>4.6647682E7</v>
      </c>
      <c r="B352" s="2" t="s">
        <v>509</v>
      </c>
      <c r="C352" s="19" t="s">
        <v>4144</v>
      </c>
      <c r="D352" s="19"/>
      <c r="E352" s="2" t="s">
        <v>11</v>
      </c>
      <c r="F352" s="19"/>
    </row>
    <row r="353" ht="15.75" customHeight="1">
      <c r="A353" s="1">
        <v>4.6655042E7</v>
      </c>
      <c r="B353" s="2" t="s">
        <v>1970</v>
      </c>
      <c r="C353" s="19" t="s">
        <v>4145</v>
      </c>
      <c r="D353" s="19" t="s">
        <v>4146</v>
      </c>
      <c r="E353" s="2" t="s">
        <v>11</v>
      </c>
      <c r="F353" s="19"/>
    </row>
    <row r="354" ht="15.75" customHeight="1">
      <c r="A354" s="1">
        <v>4.6681967E7</v>
      </c>
      <c r="B354" s="2" t="s">
        <v>1631</v>
      </c>
      <c r="C354" s="19" t="s">
        <v>4147</v>
      </c>
      <c r="D354" s="19"/>
      <c r="E354" s="2" t="s">
        <v>11</v>
      </c>
      <c r="F354" s="19"/>
    </row>
    <row r="355" ht="15.75" customHeight="1">
      <c r="A355" s="1">
        <v>4.6703013E7</v>
      </c>
      <c r="B355" s="2" t="s">
        <v>264</v>
      </c>
      <c r="C355" s="19" t="s">
        <v>4148</v>
      </c>
      <c r="D355" s="19"/>
      <c r="E355" s="2" t="s">
        <v>11</v>
      </c>
      <c r="F355" s="19"/>
    </row>
    <row r="356" ht="15.75" customHeight="1">
      <c r="A356" s="1">
        <v>4.6717398E7</v>
      </c>
      <c r="B356" s="2" t="s">
        <v>2243</v>
      </c>
      <c r="C356" s="19" t="s">
        <v>4149</v>
      </c>
      <c r="D356" s="19" t="s">
        <v>4150</v>
      </c>
      <c r="E356" s="2" t="s">
        <v>11</v>
      </c>
      <c r="F356" s="19"/>
    </row>
    <row r="357" ht="15.75" customHeight="1">
      <c r="A357" s="1">
        <v>4.6733068E7</v>
      </c>
      <c r="B357" s="2" t="s">
        <v>542</v>
      </c>
      <c r="C357" s="19" t="s">
        <v>4151</v>
      </c>
      <c r="D357" s="19"/>
      <c r="E357" s="2" t="s">
        <v>11</v>
      </c>
      <c r="F357" s="19"/>
    </row>
    <row r="358" ht="15.75" customHeight="1">
      <c r="A358" s="1">
        <v>4.6738962E7</v>
      </c>
      <c r="B358" s="2" t="s">
        <v>1808</v>
      </c>
      <c r="C358" s="19" t="s">
        <v>4152</v>
      </c>
      <c r="D358" s="19"/>
      <c r="E358" s="2" t="s">
        <v>11</v>
      </c>
      <c r="F358" s="19"/>
    </row>
    <row r="359" ht="15.75" customHeight="1">
      <c r="A359" s="1">
        <v>4.6739891E7</v>
      </c>
      <c r="B359" s="2" t="s">
        <v>1663</v>
      </c>
      <c r="C359" s="19" t="s">
        <v>4153</v>
      </c>
      <c r="D359" s="19" t="s">
        <v>4154</v>
      </c>
      <c r="E359" s="2" t="s">
        <v>11</v>
      </c>
      <c r="F359" s="19"/>
    </row>
    <row r="360" ht="15.75" customHeight="1">
      <c r="A360" s="1">
        <v>4.6767048E7</v>
      </c>
      <c r="B360" s="2" t="s">
        <v>1681</v>
      </c>
      <c r="C360" s="19" t="s">
        <v>4155</v>
      </c>
      <c r="D360" s="19"/>
      <c r="E360" s="2" t="s">
        <v>11</v>
      </c>
      <c r="F360" s="19"/>
    </row>
    <row r="361" ht="15.75" customHeight="1">
      <c r="A361" s="1">
        <v>4.6776819E7</v>
      </c>
      <c r="B361" s="2" t="s">
        <v>1573</v>
      </c>
      <c r="C361" s="19" t="s">
        <v>4156</v>
      </c>
      <c r="D361" s="19"/>
      <c r="E361" s="2" t="s">
        <v>11</v>
      </c>
      <c r="F361" s="19"/>
    </row>
    <row r="362" ht="15.75" customHeight="1">
      <c r="A362" s="1">
        <v>4.6776955E7</v>
      </c>
      <c r="B362" s="2" t="s">
        <v>1244</v>
      </c>
      <c r="C362" s="19" t="s">
        <v>4157</v>
      </c>
      <c r="D362" s="19" t="s">
        <v>4158</v>
      </c>
      <c r="E362" s="2" t="s">
        <v>11</v>
      </c>
      <c r="F362" s="19"/>
    </row>
    <row r="363" ht="15.75" customHeight="1">
      <c r="A363" s="1">
        <v>4.6779664E7</v>
      </c>
      <c r="B363" s="2" t="s">
        <v>982</v>
      </c>
      <c r="C363" s="19" t="s">
        <v>4159</v>
      </c>
      <c r="D363" s="19"/>
      <c r="E363" s="9" t="s">
        <v>11</v>
      </c>
      <c r="F363" s="19"/>
    </row>
    <row r="364" ht="15.75" customHeight="1">
      <c r="A364" s="1">
        <v>4.6798235E7</v>
      </c>
      <c r="B364" s="2" t="s">
        <v>722</v>
      </c>
      <c r="C364" s="19" t="s">
        <v>4160</v>
      </c>
      <c r="D364" s="19"/>
      <c r="E364" s="2" t="s">
        <v>11</v>
      </c>
      <c r="F364" s="19"/>
    </row>
    <row r="365" ht="15.75" customHeight="1">
      <c r="A365" s="1">
        <v>4.6798556E7</v>
      </c>
      <c r="B365" s="2" t="s">
        <v>2422</v>
      </c>
      <c r="C365" s="19" t="s">
        <v>4161</v>
      </c>
      <c r="D365" s="19"/>
      <c r="E365" s="2" t="s">
        <v>11</v>
      </c>
      <c r="F365" s="19"/>
    </row>
    <row r="366" ht="15.75" customHeight="1">
      <c r="A366" s="1">
        <v>4.68014E7</v>
      </c>
      <c r="B366" s="2" t="s">
        <v>1122</v>
      </c>
      <c r="C366" s="19" t="s">
        <v>4162</v>
      </c>
      <c r="D366" s="19" t="s">
        <v>4163</v>
      </c>
      <c r="E366" s="2" t="s">
        <v>11</v>
      </c>
      <c r="F366" s="19"/>
    </row>
    <row r="367" ht="15.75" customHeight="1">
      <c r="A367" s="1">
        <v>4.6803436E7</v>
      </c>
      <c r="B367" s="2" t="s">
        <v>3167</v>
      </c>
      <c r="C367" s="19" t="s">
        <v>4164</v>
      </c>
      <c r="D367" s="19"/>
      <c r="E367" s="2" t="s">
        <v>11</v>
      </c>
      <c r="F367" s="19"/>
    </row>
    <row r="368" ht="15.75" customHeight="1">
      <c r="A368" s="1">
        <v>4.6837399E7</v>
      </c>
      <c r="B368" s="2" t="s">
        <v>1835</v>
      </c>
      <c r="C368" s="19" t="s">
        <v>4165</v>
      </c>
      <c r="D368" s="19"/>
      <c r="E368" s="2" t="s">
        <v>11</v>
      </c>
      <c r="F368" s="19"/>
    </row>
    <row r="369" ht="15.75" customHeight="1">
      <c r="A369" s="1">
        <v>4.6874301E7</v>
      </c>
      <c r="B369" s="2" t="s">
        <v>2755</v>
      </c>
      <c r="C369" s="19" t="s">
        <v>4166</v>
      </c>
      <c r="D369" s="19"/>
      <c r="E369" s="9" t="s">
        <v>11</v>
      </c>
      <c r="F369" s="19"/>
    </row>
    <row r="370" ht="15.75" customHeight="1">
      <c r="A370" s="1">
        <v>4.6882235E7</v>
      </c>
      <c r="B370" s="2" t="s">
        <v>756</v>
      </c>
      <c r="C370" s="19" t="s">
        <v>4167</v>
      </c>
      <c r="D370" s="19" t="s">
        <v>4168</v>
      </c>
      <c r="E370" s="2" t="s">
        <v>11</v>
      </c>
      <c r="F370" s="19"/>
    </row>
    <row r="371" ht="15.75" customHeight="1">
      <c r="A371" s="1">
        <v>4.6894604E7</v>
      </c>
      <c r="B371" s="2" t="s">
        <v>1814</v>
      </c>
      <c r="C371" s="19" t="s">
        <v>4169</v>
      </c>
      <c r="D371" s="19"/>
      <c r="E371" s="2" t="s">
        <v>11</v>
      </c>
      <c r="F371" s="19"/>
    </row>
    <row r="372" ht="15.75" customHeight="1">
      <c r="A372" s="1">
        <v>4.6921029E7</v>
      </c>
      <c r="B372" s="2" t="s">
        <v>1328</v>
      </c>
      <c r="C372" s="19" t="s">
        <v>4170</v>
      </c>
      <c r="D372" s="19" t="s">
        <v>4171</v>
      </c>
      <c r="E372" s="9" t="s">
        <v>11</v>
      </c>
      <c r="F372" s="19"/>
    </row>
    <row r="373" ht="15.75" customHeight="1">
      <c r="A373" s="1">
        <v>4.6945536E7</v>
      </c>
      <c r="B373" s="2" t="s">
        <v>387</v>
      </c>
      <c r="C373" s="19" t="s">
        <v>4172</v>
      </c>
      <c r="D373" s="19"/>
      <c r="E373" s="2" t="s">
        <v>11</v>
      </c>
      <c r="F373" s="19"/>
    </row>
    <row r="374" ht="15.75" customHeight="1">
      <c r="A374" s="1">
        <v>4.6970906E7</v>
      </c>
      <c r="B374" s="2" t="s">
        <v>1879</v>
      </c>
      <c r="C374" s="19" t="s">
        <v>4173</v>
      </c>
      <c r="D374" s="19"/>
      <c r="E374" s="2" t="s">
        <v>11</v>
      </c>
      <c r="F374" s="19"/>
    </row>
    <row r="375" ht="15.75" customHeight="1">
      <c r="A375" s="1">
        <v>4.697448E7</v>
      </c>
      <c r="B375" s="2" t="s">
        <v>219</v>
      </c>
      <c r="C375" s="19" t="s">
        <v>4174</v>
      </c>
      <c r="D375" s="19"/>
      <c r="E375" s="9" t="s">
        <v>11</v>
      </c>
      <c r="F375" s="19"/>
    </row>
    <row r="376" ht="15.75" customHeight="1">
      <c r="A376" s="1">
        <v>4.6976184E7</v>
      </c>
      <c r="B376" s="2" t="s">
        <v>1640</v>
      </c>
      <c r="C376" s="19" t="s">
        <v>4175</v>
      </c>
      <c r="D376" s="19"/>
      <c r="E376" s="2" t="s">
        <v>11</v>
      </c>
      <c r="F376" s="19"/>
    </row>
    <row r="377" ht="15.75" customHeight="1">
      <c r="A377" s="1">
        <v>4.6978495E7</v>
      </c>
      <c r="B377" s="2" t="s">
        <v>1367</v>
      </c>
      <c r="C377" s="19" t="s">
        <v>4176</v>
      </c>
      <c r="D377" s="19" t="s">
        <v>4177</v>
      </c>
      <c r="E377" s="2" t="s">
        <v>11</v>
      </c>
      <c r="F377" s="19"/>
    </row>
    <row r="378" ht="15.75" customHeight="1">
      <c r="A378" s="1">
        <v>4.6978829E7</v>
      </c>
      <c r="B378" s="2" t="s">
        <v>617</v>
      </c>
      <c r="C378" s="19" t="s">
        <v>4178</v>
      </c>
      <c r="D378" s="19"/>
      <c r="E378" s="2" t="s">
        <v>11</v>
      </c>
      <c r="F378" s="19"/>
    </row>
    <row r="379" ht="15.75" customHeight="1">
      <c r="A379" s="1">
        <v>4.6989444E7</v>
      </c>
      <c r="B379" s="2" t="s">
        <v>549</v>
      </c>
      <c r="C379" s="19" t="s">
        <v>4179</v>
      </c>
      <c r="D379" s="19"/>
      <c r="E379" s="2" t="s">
        <v>11</v>
      </c>
      <c r="F379" s="19"/>
    </row>
    <row r="380" ht="15.75" customHeight="1">
      <c r="A380" s="1">
        <v>4.7005811E7</v>
      </c>
      <c r="B380" s="2" t="s">
        <v>2032</v>
      </c>
      <c r="C380" s="19" t="s">
        <v>4180</v>
      </c>
      <c r="D380" s="19"/>
      <c r="E380" s="2" t="s">
        <v>11</v>
      </c>
      <c r="F380" s="19"/>
    </row>
    <row r="381" ht="15.75" customHeight="1">
      <c r="A381" s="1">
        <v>4.7013133E7</v>
      </c>
      <c r="B381" s="2" t="s">
        <v>1292</v>
      </c>
      <c r="C381" s="19" t="s">
        <v>4181</v>
      </c>
      <c r="D381" s="19"/>
      <c r="E381" s="9" t="s">
        <v>11</v>
      </c>
      <c r="F381" s="19"/>
    </row>
    <row r="382" ht="15.75" customHeight="1">
      <c r="A382" s="1">
        <v>4.7025667E7</v>
      </c>
      <c r="B382" s="2" t="s">
        <v>1927</v>
      </c>
      <c r="C382" s="19" t="s">
        <v>4182</v>
      </c>
      <c r="D382" s="19" t="s">
        <v>4183</v>
      </c>
      <c r="E382" s="9" t="s">
        <v>11</v>
      </c>
      <c r="F382" s="19"/>
    </row>
    <row r="383" ht="15.75" customHeight="1">
      <c r="A383" s="1">
        <v>4.7048165E7</v>
      </c>
      <c r="B383" s="2" t="s">
        <v>836</v>
      </c>
      <c r="C383" s="19" t="s">
        <v>4184</v>
      </c>
      <c r="D383" s="19"/>
      <c r="E383" s="9" t="s">
        <v>11</v>
      </c>
      <c r="F383" s="19"/>
    </row>
    <row r="384" ht="15.75" customHeight="1">
      <c r="A384" s="1">
        <v>4.7057239E7</v>
      </c>
      <c r="B384" s="2" t="s">
        <v>1994</v>
      </c>
      <c r="C384" s="19" t="s">
        <v>4185</v>
      </c>
      <c r="D384" s="19"/>
      <c r="E384" s="2" t="s">
        <v>11</v>
      </c>
      <c r="F384" s="19"/>
    </row>
    <row r="385" ht="15.75" customHeight="1">
      <c r="A385" s="1">
        <v>4.7060216E7</v>
      </c>
      <c r="B385" s="2" t="s">
        <v>934</v>
      </c>
      <c r="C385" s="19" t="s">
        <v>4186</v>
      </c>
      <c r="D385" s="19" t="s">
        <v>4187</v>
      </c>
      <c r="E385" s="2" t="s">
        <v>11</v>
      </c>
      <c r="F385" s="19"/>
    </row>
    <row r="386" ht="15.75" customHeight="1">
      <c r="A386" s="1">
        <v>4.7084869E7</v>
      </c>
      <c r="B386" s="2" t="s">
        <v>287</v>
      </c>
      <c r="C386" s="19" t="s">
        <v>4188</v>
      </c>
      <c r="D386" s="19"/>
      <c r="E386" s="2" t="s">
        <v>11</v>
      </c>
      <c r="F386" s="19"/>
    </row>
    <row r="387" ht="15.75" customHeight="1">
      <c r="A387" s="1">
        <v>4.7087186E7</v>
      </c>
      <c r="B387" s="2" t="s">
        <v>1551</v>
      </c>
      <c r="C387" s="19" t="s">
        <v>4189</v>
      </c>
      <c r="D387" s="19" t="s">
        <v>4190</v>
      </c>
      <c r="E387" s="2" t="s">
        <v>11</v>
      </c>
      <c r="F387" s="19"/>
    </row>
    <row r="388" ht="15.75" customHeight="1">
      <c r="A388" s="1">
        <v>4.7104623E7</v>
      </c>
      <c r="B388" s="2" t="s">
        <v>950</v>
      </c>
      <c r="C388" s="19" t="s">
        <v>4191</v>
      </c>
      <c r="D388" s="19"/>
      <c r="E388" s="2" t="s">
        <v>11</v>
      </c>
      <c r="F388" s="19"/>
    </row>
    <row r="389" ht="15.75" customHeight="1">
      <c r="A389" s="1">
        <v>4.7107774E7</v>
      </c>
      <c r="B389" s="2" t="s">
        <v>761</v>
      </c>
      <c r="C389" s="19" t="s">
        <v>4192</v>
      </c>
      <c r="D389" s="19"/>
      <c r="E389" s="2" t="s">
        <v>11</v>
      </c>
      <c r="F389" s="19"/>
    </row>
    <row r="390" ht="15.75" customHeight="1">
      <c r="A390" s="1">
        <v>4.7174045E7</v>
      </c>
      <c r="B390" s="2" t="s">
        <v>1304</v>
      </c>
      <c r="C390" s="19" t="s">
        <v>4193</v>
      </c>
      <c r="D390" s="19"/>
      <c r="E390" s="2" t="s">
        <v>11</v>
      </c>
      <c r="F390" s="19"/>
    </row>
    <row r="391" ht="15.75" customHeight="1">
      <c r="A391" s="1">
        <v>4.7178776E7</v>
      </c>
      <c r="B391" s="2" t="s">
        <v>1167</v>
      </c>
      <c r="C391" s="19" t="s">
        <v>4194</v>
      </c>
      <c r="D391" s="19" t="s">
        <v>4195</v>
      </c>
      <c r="E391" s="2" t="s">
        <v>11</v>
      </c>
      <c r="F391" s="19"/>
    </row>
    <row r="392" ht="15.75" customHeight="1">
      <c r="A392" s="1">
        <v>4.7178968E7</v>
      </c>
      <c r="B392" s="2" t="s">
        <v>763</v>
      </c>
      <c r="C392" s="19" t="s">
        <v>4196</v>
      </c>
      <c r="D392" s="19" t="s">
        <v>4197</v>
      </c>
      <c r="E392" s="2" t="s">
        <v>11</v>
      </c>
      <c r="F392" s="19"/>
    </row>
    <row r="393" ht="15.75" customHeight="1">
      <c r="A393" s="1">
        <v>4.7189669E7</v>
      </c>
      <c r="B393" s="2" t="s">
        <v>96</v>
      </c>
      <c r="C393" s="19" t="s">
        <v>4198</v>
      </c>
      <c r="D393" s="19" t="s">
        <v>4199</v>
      </c>
      <c r="E393" s="2" t="s">
        <v>11</v>
      </c>
      <c r="F393" s="19"/>
    </row>
    <row r="394" ht="15.75" customHeight="1">
      <c r="A394" s="1">
        <v>4.7194805E7</v>
      </c>
      <c r="B394" s="2" t="s">
        <v>665</v>
      </c>
      <c r="C394" s="19" t="s">
        <v>4200</v>
      </c>
      <c r="D394" s="19" t="s">
        <v>4201</v>
      </c>
      <c r="E394" s="2" t="s">
        <v>11</v>
      </c>
      <c r="F394" s="19"/>
    </row>
    <row r="395" ht="15.75" customHeight="1">
      <c r="A395" s="1">
        <v>4.7213805E7</v>
      </c>
      <c r="B395" s="2" t="s">
        <v>1076</v>
      </c>
      <c r="C395" s="19" t="s">
        <v>4202</v>
      </c>
      <c r="D395" s="19"/>
      <c r="E395" s="2" t="s">
        <v>11</v>
      </c>
      <c r="F395" s="19"/>
    </row>
    <row r="396" ht="15.75" customHeight="1">
      <c r="A396" s="1">
        <v>4.7236477E7</v>
      </c>
      <c r="B396" s="2" t="s">
        <v>754</v>
      </c>
      <c r="C396" s="19" t="s">
        <v>4203</v>
      </c>
      <c r="D396" s="19"/>
      <c r="E396" s="2" t="s">
        <v>11</v>
      </c>
      <c r="F396" s="19"/>
    </row>
    <row r="397" ht="15.75" customHeight="1">
      <c r="A397" s="1">
        <v>4.7258597E7</v>
      </c>
      <c r="B397" s="2" t="s">
        <v>913</v>
      </c>
      <c r="C397" s="19" t="s">
        <v>4204</v>
      </c>
      <c r="D397" s="19"/>
      <c r="E397" s="2" t="s">
        <v>11</v>
      </c>
      <c r="F397" s="19"/>
    </row>
    <row r="398" ht="15.75" customHeight="1">
      <c r="A398" s="1">
        <v>4.7293778E7</v>
      </c>
      <c r="B398" s="2" t="s">
        <v>742</v>
      </c>
      <c r="C398" s="19" t="s">
        <v>4205</v>
      </c>
      <c r="D398" s="19"/>
      <c r="E398" s="2" t="s">
        <v>11</v>
      </c>
      <c r="F398" s="19"/>
    </row>
    <row r="399" ht="15.75" customHeight="1">
      <c r="A399" s="1">
        <v>4.72963E7</v>
      </c>
      <c r="B399" s="2" t="s">
        <v>757</v>
      </c>
      <c r="C399" s="19" t="s">
        <v>4206</v>
      </c>
      <c r="D399" s="19"/>
      <c r="E399" s="2" t="s">
        <v>11</v>
      </c>
      <c r="F399" s="19"/>
    </row>
    <row r="400" ht="15.75" customHeight="1">
      <c r="A400" s="1">
        <v>4.730563E7</v>
      </c>
      <c r="B400" s="2" t="s">
        <v>1597</v>
      </c>
      <c r="C400" s="19" t="s">
        <v>4207</v>
      </c>
      <c r="D400" s="19" t="s">
        <v>4208</v>
      </c>
      <c r="E400" s="9" t="s">
        <v>11</v>
      </c>
      <c r="F400" s="19"/>
    </row>
    <row r="401" ht="15.75" customHeight="1">
      <c r="A401" s="1">
        <v>4.7317006E7</v>
      </c>
      <c r="B401" s="2" t="s">
        <v>1274</v>
      </c>
      <c r="C401" s="19" t="s">
        <v>4209</v>
      </c>
      <c r="D401" s="19" t="s">
        <v>4210</v>
      </c>
      <c r="E401" s="2" t="s">
        <v>11</v>
      </c>
      <c r="F401" s="19"/>
    </row>
    <row r="402" ht="15.75" customHeight="1">
      <c r="A402" s="1">
        <v>4.7336062E7</v>
      </c>
      <c r="B402" s="2" t="s">
        <v>348</v>
      </c>
      <c r="C402" s="19" t="s">
        <v>4211</v>
      </c>
      <c r="D402" s="19"/>
      <c r="E402" s="2" t="s">
        <v>11</v>
      </c>
      <c r="F402" s="19"/>
    </row>
    <row r="403" ht="15.75" customHeight="1">
      <c r="A403" s="1">
        <v>4.7345382E7</v>
      </c>
      <c r="B403" s="2" t="s">
        <v>688</v>
      </c>
      <c r="C403" s="19" t="s">
        <v>4212</v>
      </c>
      <c r="D403" s="19" t="s">
        <v>4213</v>
      </c>
      <c r="E403" s="2" t="s">
        <v>11</v>
      </c>
      <c r="F403" s="19"/>
    </row>
    <row r="404" ht="15.75" customHeight="1">
      <c r="A404" s="1">
        <v>4.7358219E7</v>
      </c>
      <c r="B404" s="2" t="s">
        <v>935</v>
      </c>
      <c r="C404" s="19" t="s">
        <v>4214</v>
      </c>
      <c r="D404" s="19" t="s">
        <v>4215</v>
      </c>
      <c r="E404" s="2" t="s">
        <v>11</v>
      </c>
      <c r="F404" s="19"/>
    </row>
    <row r="405" ht="15.75" customHeight="1">
      <c r="A405" s="1">
        <v>4.7378071E7</v>
      </c>
      <c r="B405" s="2" t="s">
        <v>939</v>
      </c>
      <c r="C405" s="19" t="s">
        <v>4216</v>
      </c>
      <c r="D405" s="19"/>
      <c r="E405" s="2" t="s">
        <v>11</v>
      </c>
      <c r="F405" s="19"/>
    </row>
    <row r="406" ht="15.75" customHeight="1">
      <c r="A406" s="1">
        <v>4.7388164E7</v>
      </c>
      <c r="B406" s="2" t="s">
        <v>852</v>
      </c>
      <c r="C406" s="19" t="s">
        <v>4217</v>
      </c>
      <c r="D406" s="19"/>
      <c r="E406" s="2" t="s">
        <v>11</v>
      </c>
      <c r="F406" s="19"/>
    </row>
    <row r="407" ht="15.75" customHeight="1">
      <c r="A407" s="1">
        <v>4.7393775E7</v>
      </c>
      <c r="B407" s="2" t="s">
        <v>812</v>
      </c>
      <c r="C407" s="19" t="s">
        <v>4218</v>
      </c>
      <c r="D407" s="19"/>
      <c r="E407" s="2" t="s">
        <v>11</v>
      </c>
      <c r="F407" s="19"/>
    </row>
    <row r="408" ht="15.75" customHeight="1">
      <c r="A408" s="1">
        <v>4.7430596E7</v>
      </c>
      <c r="B408" s="2" t="s">
        <v>658</v>
      </c>
      <c r="C408" s="19" t="s">
        <v>4219</v>
      </c>
      <c r="D408" s="19"/>
      <c r="E408" s="2" t="s">
        <v>11</v>
      </c>
      <c r="F408" s="19"/>
    </row>
    <row r="409" ht="15.75" customHeight="1">
      <c r="A409" s="1">
        <v>4.7432384E7</v>
      </c>
      <c r="B409" s="2" t="s">
        <v>315</v>
      </c>
      <c r="C409" s="19" t="s">
        <v>4220</v>
      </c>
      <c r="D409" s="19" t="s">
        <v>4221</v>
      </c>
      <c r="E409" s="9" t="s">
        <v>11</v>
      </c>
      <c r="F409" s="19"/>
    </row>
    <row r="410" ht="15.75" customHeight="1">
      <c r="A410" s="1">
        <v>4.7437912E7</v>
      </c>
      <c r="B410" s="2" t="s">
        <v>340</v>
      </c>
      <c r="C410" s="19" t="s">
        <v>4222</v>
      </c>
      <c r="D410" s="19" t="s">
        <v>4223</v>
      </c>
      <c r="E410" s="2" t="s">
        <v>11</v>
      </c>
      <c r="F410" s="19"/>
    </row>
    <row r="411" ht="15.75" customHeight="1">
      <c r="A411" s="1">
        <v>4.7442099E7</v>
      </c>
      <c r="B411" s="2" t="s">
        <v>1505</v>
      </c>
      <c r="C411" s="19" t="s">
        <v>4224</v>
      </c>
      <c r="D411" s="19" t="s">
        <v>4225</v>
      </c>
      <c r="E411" s="2" t="s">
        <v>11</v>
      </c>
      <c r="F411" s="19"/>
    </row>
    <row r="412" ht="15.75" customHeight="1">
      <c r="A412" s="1">
        <v>4.7451392E7</v>
      </c>
      <c r="B412" s="2" t="s">
        <v>1588</v>
      </c>
      <c r="C412" s="19" t="s">
        <v>4226</v>
      </c>
      <c r="D412" s="19" t="s">
        <v>4227</v>
      </c>
      <c r="E412" s="9" t="s">
        <v>11</v>
      </c>
      <c r="F412" s="19"/>
    </row>
    <row r="413" ht="15.75" customHeight="1">
      <c r="A413" s="1">
        <v>4.7497901E7</v>
      </c>
      <c r="B413" s="2" t="s">
        <v>2756</v>
      </c>
      <c r="C413" s="19" t="s">
        <v>4228</v>
      </c>
      <c r="D413" s="19"/>
      <c r="E413" s="2" t="s">
        <v>11</v>
      </c>
      <c r="F413" s="19"/>
    </row>
    <row r="414" ht="15.75" customHeight="1">
      <c r="A414" s="1">
        <v>4.7505898E7</v>
      </c>
      <c r="B414" s="2" t="s">
        <v>3404</v>
      </c>
      <c r="C414" s="19" t="s">
        <v>4229</v>
      </c>
      <c r="D414" s="19"/>
      <c r="E414" s="2" t="s">
        <v>11</v>
      </c>
      <c r="F414" s="19"/>
    </row>
    <row r="415" ht="15.75" customHeight="1">
      <c r="A415" s="1">
        <v>4.7515082E7</v>
      </c>
      <c r="B415" s="2" t="s">
        <v>708</v>
      </c>
      <c r="C415" s="19" t="s">
        <v>4230</v>
      </c>
      <c r="D415" s="19"/>
      <c r="E415" s="2" t="s">
        <v>11</v>
      </c>
      <c r="F415" s="19"/>
    </row>
    <row r="416" ht="15.75" customHeight="1">
      <c r="A416" s="1">
        <v>4.7518599E7</v>
      </c>
      <c r="B416" s="2" t="s">
        <v>1129</v>
      </c>
      <c r="C416" s="19" t="s">
        <v>4231</v>
      </c>
      <c r="D416" s="19" t="s">
        <v>4232</v>
      </c>
      <c r="E416" s="2" t="s">
        <v>11</v>
      </c>
      <c r="F416" s="19"/>
    </row>
    <row r="417" ht="15.75" customHeight="1">
      <c r="A417" s="1">
        <v>4.7520197E7</v>
      </c>
      <c r="B417" s="2" t="s">
        <v>1095</v>
      </c>
      <c r="C417" s="19" t="s">
        <v>4233</v>
      </c>
      <c r="D417" s="19" t="s">
        <v>4234</v>
      </c>
      <c r="E417" s="2" t="s">
        <v>11</v>
      </c>
      <c r="F417" s="19"/>
    </row>
    <row r="418" ht="15.75" customHeight="1">
      <c r="A418" s="1">
        <v>4.7522277E7</v>
      </c>
      <c r="B418" s="2" t="s">
        <v>1372</v>
      </c>
      <c r="C418" s="19" t="s">
        <v>4235</v>
      </c>
      <c r="D418" s="19"/>
      <c r="E418" s="2" t="s">
        <v>11</v>
      </c>
      <c r="F418" s="19"/>
    </row>
    <row r="419" ht="15.75" customHeight="1">
      <c r="A419" s="1">
        <v>4.7564757E7</v>
      </c>
      <c r="B419" s="2" t="s">
        <v>2083</v>
      </c>
      <c r="C419" s="19" t="s">
        <v>4236</v>
      </c>
      <c r="D419" s="19" t="s">
        <v>4237</v>
      </c>
      <c r="E419" s="2" t="s">
        <v>11</v>
      </c>
      <c r="F419" s="19"/>
    </row>
    <row r="420" ht="15.75" customHeight="1">
      <c r="A420" s="1">
        <v>4.7617463E7</v>
      </c>
      <c r="B420" s="2" t="s">
        <v>591</v>
      </c>
      <c r="C420" s="19" t="s">
        <v>4238</v>
      </c>
      <c r="D420" s="19"/>
      <c r="E420" s="2" t="s">
        <v>11</v>
      </c>
      <c r="F420" s="19"/>
    </row>
    <row r="421" ht="15.75" customHeight="1">
      <c r="A421" s="1">
        <v>4.7628734E7</v>
      </c>
      <c r="B421" s="2" t="s">
        <v>3315</v>
      </c>
      <c r="C421" s="19" t="s">
        <v>4239</v>
      </c>
      <c r="D421" s="19"/>
      <c r="E421" s="2" t="s">
        <v>11</v>
      </c>
      <c r="F421" s="19"/>
    </row>
    <row r="422" ht="15.75" customHeight="1">
      <c r="A422" s="1">
        <v>4.7688993E7</v>
      </c>
      <c r="B422" s="2" t="s">
        <v>1851</v>
      </c>
      <c r="C422" s="19" t="s">
        <v>4240</v>
      </c>
      <c r="D422" s="19"/>
      <c r="E422" s="2" t="s">
        <v>11</v>
      </c>
      <c r="F422" s="19"/>
    </row>
    <row r="423" ht="15.75" customHeight="1">
      <c r="A423" s="1">
        <v>4.7705174E7</v>
      </c>
      <c r="B423" s="2" t="s">
        <v>955</v>
      </c>
      <c r="C423" s="19" t="s">
        <v>4241</v>
      </c>
      <c r="D423" s="19"/>
      <c r="E423" s="2" t="s">
        <v>11</v>
      </c>
      <c r="F423" s="19"/>
    </row>
    <row r="424" ht="15.75" customHeight="1">
      <c r="A424" s="1">
        <v>4.7706182E7</v>
      </c>
      <c r="B424" s="2" t="s">
        <v>649</v>
      </c>
      <c r="C424" s="19" t="s">
        <v>4242</v>
      </c>
      <c r="D424" s="19"/>
      <c r="E424" s="9" t="s">
        <v>11</v>
      </c>
      <c r="F424" s="19"/>
    </row>
    <row r="425" ht="15.75" customHeight="1">
      <c r="A425" s="1">
        <v>4.7731051E7</v>
      </c>
      <c r="B425" s="2" t="s">
        <v>1296</v>
      </c>
      <c r="C425" s="19" t="s">
        <v>4243</v>
      </c>
      <c r="D425" s="19" t="s">
        <v>4244</v>
      </c>
      <c r="E425" s="2" t="s">
        <v>11</v>
      </c>
      <c r="F425" s="19"/>
    </row>
    <row r="426" ht="15.75" customHeight="1">
      <c r="A426" s="1">
        <v>4.7732539E7</v>
      </c>
      <c r="B426" s="2" t="s">
        <v>266</v>
      </c>
      <c r="C426" s="19" t="s">
        <v>4245</v>
      </c>
      <c r="D426" s="19" t="s">
        <v>4246</v>
      </c>
      <c r="E426" s="2" t="s">
        <v>11</v>
      </c>
      <c r="F426" s="19"/>
    </row>
    <row r="427" ht="15.75" customHeight="1">
      <c r="A427" s="1">
        <v>4.7737631E7</v>
      </c>
      <c r="B427" s="2" t="s">
        <v>375</v>
      </c>
      <c r="C427" s="19" t="s">
        <v>4247</v>
      </c>
      <c r="D427" s="19" t="s">
        <v>4248</v>
      </c>
      <c r="E427" s="2" t="s">
        <v>11</v>
      </c>
      <c r="F427" s="19"/>
    </row>
    <row r="428" ht="15.75" customHeight="1">
      <c r="A428" s="1">
        <v>4.7742984E7</v>
      </c>
      <c r="B428" s="2" t="s">
        <v>864</v>
      </c>
      <c r="C428" s="19" t="s">
        <v>4249</v>
      </c>
      <c r="D428" s="19"/>
      <c r="E428" s="2" t="s">
        <v>11</v>
      </c>
      <c r="F428" s="19"/>
    </row>
    <row r="429" ht="15.75" customHeight="1">
      <c r="A429" s="1">
        <v>4.7749485E7</v>
      </c>
      <c r="B429" s="2" t="s">
        <v>1793</v>
      </c>
      <c r="C429" s="19" t="s">
        <v>4250</v>
      </c>
      <c r="D429" s="19"/>
      <c r="E429" s="2" t="s">
        <v>11</v>
      </c>
      <c r="F429" s="19"/>
    </row>
    <row r="430" ht="15.75" customHeight="1">
      <c r="A430" s="1">
        <v>4.77627E7</v>
      </c>
      <c r="B430" s="2" t="s">
        <v>1231</v>
      </c>
      <c r="C430" s="19" t="s">
        <v>4251</v>
      </c>
      <c r="D430" s="19"/>
      <c r="E430" s="2" t="s">
        <v>11</v>
      </c>
      <c r="F430" s="19"/>
    </row>
    <row r="431" ht="15.75" customHeight="1">
      <c r="A431" s="1">
        <v>4.77642E7</v>
      </c>
      <c r="B431" s="2" t="s">
        <v>882</v>
      </c>
      <c r="C431" s="19" t="s">
        <v>4252</v>
      </c>
      <c r="D431" s="19" t="s">
        <v>4253</v>
      </c>
      <c r="E431" s="2" t="s">
        <v>11</v>
      </c>
      <c r="F431" s="19"/>
    </row>
    <row r="432" ht="15.75" customHeight="1">
      <c r="A432" s="1">
        <v>4.7772835E7</v>
      </c>
      <c r="B432" s="2" t="s">
        <v>1424</v>
      </c>
      <c r="C432" s="19" t="s">
        <v>4254</v>
      </c>
      <c r="D432" s="19"/>
      <c r="E432" s="9" t="s">
        <v>11</v>
      </c>
      <c r="F432" s="19"/>
    </row>
    <row r="433" ht="15.75" customHeight="1">
      <c r="A433" s="1">
        <v>4.7800766E7</v>
      </c>
      <c r="B433" s="2" t="s">
        <v>2175</v>
      </c>
      <c r="C433" s="19" t="s">
        <v>4255</v>
      </c>
      <c r="D433" s="19"/>
      <c r="E433" s="9" t="s">
        <v>11</v>
      </c>
      <c r="F433" s="19"/>
    </row>
    <row r="434" ht="15.75" customHeight="1">
      <c r="A434" s="1">
        <v>4.7801654E7</v>
      </c>
      <c r="B434" s="2" t="s">
        <v>796</v>
      </c>
      <c r="C434" s="19" t="s">
        <v>4256</v>
      </c>
      <c r="D434" s="19"/>
      <c r="E434" s="2" t="s">
        <v>11</v>
      </c>
      <c r="F434" s="19"/>
    </row>
    <row r="435" ht="15.75" customHeight="1">
      <c r="A435" s="1">
        <v>4.7802967E7</v>
      </c>
      <c r="B435" s="2" t="s">
        <v>431</v>
      </c>
      <c r="C435" s="19" t="s">
        <v>4257</v>
      </c>
      <c r="D435" s="19" t="s">
        <v>4258</v>
      </c>
      <c r="E435" s="2" t="s">
        <v>11</v>
      </c>
      <c r="F435" s="19"/>
    </row>
    <row r="436" ht="15.75" customHeight="1">
      <c r="A436" s="1">
        <v>4.7803698E7</v>
      </c>
      <c r="B436" s="2" t="s">
        <v>82</v>
      </c>
      <c r="C436" s="19" t="s">
        <v>4259</v>
      </c>
      <c r="D436" s="19"/>
      <c r="E436" s="2" t="s">
        <v>11</v>
      </c>
      <c r="F436" s="19"/>
    </row>
    <row r="437" ht="15.75" customHeight="1">
      <c r="A437" s="1">
        <v>4.7817723E7</v>
      </c>
      <c r="B437" s="2" t="s">
        <v>672</v>
      </c>
      <c r="C437" s="19" t="s">
        <v>4260</v>
      </c>
      <c r="D437" s="19" t="s">
        <v>4261</v>
      </c>
      <c r="E437" s="2" t="s">
        <v>11</v>
      </c>
      <c r="F437" s="19"/>
    </row>
    <row r="438" ht="15.75" customHeight="1">
      <c r="A438" s="1">
        <v>4.7820479E7</v>
      </c>
      <c r="B438" s="2" t="s">
        <v>1602</v>
      </c>
      <c r="C438" s="19" t="s">
        <v>4262</v>
      </c>
      <c r="D438" s="19" t="s">
        <v>4263</v>
      </c>
      <c r="E438" s="2" t="s">
        <v>11</v>
      </c>
      <c r="F438" s="19"/>
    </row>
    <row r="439" ht="15.75" customHeight="1">
      <c r="A439" s="1">
        <v>4.7830107E7</v>
      </c>
      <c r="B439" s="2" t="s">
        <v>693</v>
      </c>
      <c r="C439" s="19" t="s">
        <v>4264</v>
      </c>
      <c r="D439" s="19" t="s">
        <v>4265</v>
      </c>
      <c r="E439" s="2" t="s">
        <v>11</v>
      </c>
      <c r="F439" s="19"/>
    </row>
    <row r="440" ht="15.75" customHeight="1">
      <c r="A440" s="1">
        <v>4.7886587E7</v>
      </c>
      <c r="B440" s="2" t="s">
        <v>896</v>
      </c>
      <c r="C440" s="19" t="s">
        <v>4266</v>
      </c>
      <c r="D440" s="19" t="s">
        <v>4267</v>
      </c>
      <c r="E440" s="2" t="s">
        <v>11</v>
      </c>
      <c r="F440" s="19"/>
    </row>
    <row r="441" ht="15.75" customHeight="1">
      <c r="A441" s="1">
        <v>4.7910518E7</v>
      </c>
      <c r="B441" s="2" t="s">
        <v>1481</v>
      </c>
      <c r="C441" s="19" t="s">
        <v>4268</v>
      </c>
      <c r="D441" s="19" t="s">
        <v>4269</v>
      </c>
      <c r="E441" s="2" t="s">
        <v>11</v>
      </c>
      <c r="F441" s="19"/>
    </row>
    <row r="442" ht="15.75" customHeight="1">
      <c r="A442" s="1">
        <v>4.7943399E7</v>
      </c>
      <c r="B442" s="2" t="s">
        <v>1198</v>
      </c>
      <c r="C442" s="19" t="s">
        <v>4270</v>
      </c>
      <c r="D442" s="19"/>
      <c r="E442" s="2" t="s">
        <v>11</v>
      </c>
      <c r="F442" s="19"/>
    </row>
    <row r="443" ht="15.75" customHeight="1">
      <c r="A443" s="1">
        <v>4.8026832E7</v>
      </c>
      <c r="B443" s="2" t="s">
        <v>1556</v>
      </c>
      <c r="C443" s="19" t="s">
        <v>4271</v>
      </c>
      <c r="D443" s="19"/>
      <c r="E443" s="2" t="s">
        <v>11</v>
      </c>
      <c r="F443" s="19"/>
    </row>
    <row r="444" ht="15.75" customHeight="1">
      <c r="A444" s="1">
        <v>4.8082476E7</v>
      </c>
      <c r="B444" s="2" t="s">
        <v>2216</v>
      </c>
      <c r="C444" s="19" t="s">
        <v>4272</v>
      </c>
      <c r="D444" s="19"/>
      <c r="E444" s="2" t="s">
        <v>11</v>
      </c>
      <c r="F444" s="19"/>
    </row>
    <row r="445" ht="15.75" customHeight="1">
      <c r="A445" s="1">
        <v>4.808986E7</v>
      </c>
      <c r="B445" s="2" t="s">
        <v>364</v>
      </c>
      <c r="C445" s="19" t="s">
        <v>4273</v>
      </c>
      <c r="D445" s="19"/>
      <c r="E445" s="2" t="s">
        <v>11</v>
      </c>
      <c r="F445" s="19"/>
    </row>
    <row r="446" ht="15.75" customHeight="1">
      <c r="A446" s="1">
        <v>4.8091397E7</v>
      </c>
      <c r="B446" s="2" t="s">
        <v>1740</v>
      </c>
      <c r="C446" s="19" t="s">
        <v>4274</v>
      </c>
      <c r="D446" s="19"/>
      <c r="E446" s="9" t="s">
        <v>11</v>
      </c>
      <c r="F446" s="19"/>
    </row>
    <row r="447" ht="15.75" customHeight="1">
      <c r="A447" s="1">
        <v>4.810588E7</v>
      </c>
      <c r="B447" s="2" t="s">
        <v>1293</v>
      </c>
      <c r="C447" s="19" t="s">
        <v>4275</v>
      </c>
      <c r="D447" s="19"/>
      <c r="E447" s="9" t="s">
        <v>11</v>
      </c>
      <c r="F447" s="19"/>
    </row>
    <row r="448" ht="15.75" customHeight="1">
      <c r="A448" s="1">
        <v>4.8119162E7</v>
      </c>
      <c r="B448" s="2" t="s">
        <v>101</v>
      </c>
      <c r="C448" s="19" t="s">
        <v>4276</v>
      </c>
      <c r="D448" s="19" t="s">
        <v>4277</v>
      </c>
      <c r="E448" s="2" t="s">
        <v>11</v>
      </c>
      <c r="F448" s="19"/>
    </row>
    <row r="449" ht="15.75" customHeight="1">
      <c r="A449" s="1">
        <v>4.8158928E7</v>
      </c>
      <c r="B449" s="2" t="s">
        <v>332</v>
      </c>
      <c r="C449" s="19" t="s">
        <v>4278</v>
      </c>
      <c r="D449" s="19"/>
      <c r="E449" s="2" t="s">
        <v>11</v>
      </c>
      <c r="F449" s="19"/>
    </row>
    <row r="450" ht="15.75" customHeight="1">
      <c r="A450" s="1">
        <v>4.8168891E7</v>
      </c>
      <c r="B450" s="2" t="s">
        <v>3270</v>
      </c>
      <c r="C450" s="19" t="s">
        <v>4279</v>
      </c>
      <c r="D450" s="19"/>
      <c r="E450" s="9" t="s">
        <v>11</v>
      </c>
      <c r="F450" s="19"/>
    </row>
    <row r="451" ht="15.75" customHeight="1">
      <c r="A451" s="1">
        <v>4.8185677E7</v>
      </c>
      <c r="B451" s="2" t="s">
        <v>3271</v>
      </c>
      <c r="C451" s="19" t="s">
        <v>4280</v>
      </c>
      <c r="D451" s="19"/>
      <c r="E451" s="2" t="s">
        <v>11</v>
      </c>
      <c r="F451" s="19"/>
    </row>
    <row r="452" ht="15.75" customHeight="1">
      <c r="A452" s="1">
        <v>4.8190454E7</v>
      </c>
      <c r="B452" s="2" t="s">
        <v>2359</v>
      </c>
      <c r="C452" s="19" t="s">
        <v>4281</v>
      </c>
      <c r="D452" s="19"/>
      <c r="E452" s="2" t="s">
        <v>11</v>
      </c>
      <c r="F452" s="19"/>
    </row>
    <row r="453" ht="15.75" customHeight="1">
      <c r="A453" s="1">
        <v>4.8267239E7</v>
      </c>
      <c r="B453" s="2" t="s">
        <v>1013</v>
      </c>
      <c r="C453" s="19" t="s">
        <v>4282</v>
      </c>
      <c r="D453" s="19"/>
      <c r="E453" s="2" t="s">
        <v>11</v>
      </c>
      <c r="F453" s="19"/>
    </row>
    <row r="454" ht="15.75" customHeight="1">
      <c r="A454" s="1">
        <v>4.8279047E7</v>
      </c>
      <c r="B454" s="2" t="s">
        <v>2247</v>
      </c>
      <c r="C454" s="19" t="s">
        <v>4283</v>
      </c>
      <c r="D454" s="19" t="s">
        <v>4284</v>
      </c>
      <c r="E454" s="2" t="s">
        <v>11</v>
      </c>
      <c r="F454" s="19"/>
    </row>
    <row r="455" ht="15.75" customHeight="1">
      <c r="A455" s="1">
        <v>4.8439073E7</v>
      </c>
      <c r="B455" s="2" t="s">
        <v>60</v>
      </c>
      <c r="C455" s="19" t="s">
        <v>4285</v>
      </c>
      <c r="D455" s="19" t="s">
        <v>4286</v>
      </c>
      <c r="E455" s="2" t="s">
        <v>11</v>
      </c>
      <c r="F455" s="19"/>
    </row>
    <row r="456" ht="15.75" customHeight="1">
      <c r="A456" s="1">
        <v>4.8611208E7</v>
      </c>
      <c r="B456" s="2" t="s">
        <v>88</v>
      </c>
      <c r="C456" s="19" t="s">
        <v>4287</v>
      </c>
      <c r="D456" s="19" t="s">
        <v>4288</v>
      </c>
      <c r="E456" s="2" t="s">
        <v>11</v>
      </c>
      <c r="F456" s="19"/>
    </row>
    <row r="457" ht="15.75" customHeight="1">
      <c r="A457" s="1">
        <v>4.8646795E7</v>
      </c>
      <c r="B457" s="2" t="s">
        <v>98</v>
      </c>
      <c r="C457" s="19" t="s">
        <v>4289</v>
      </c>
      <c r="D457" s="19" t="s">
        <v>4290</v>
      </c>
      <c r="E457" s="2" t="s">
        <v>11</v>
      </c>
      <c r="F457" s="19"/>
    </row>
    <row r="458" ht="15.75" customHeight="1">
      <c r="A458" s="1">
        <v>4.9006215E7</v>
      </c>
      <c r="B458" s="2" t="s">
        <v>66</v>
      </c>
      <c r="C458" s="19" t="s">
        <v>4291</v>
      </c>
      <c r="D458" s="19" t="s">
        <v>4292</v>
      </c>
      <c r="E458" s="2" t="s">
        <v>11</v>
      </c>
      <c r="F458" s="19"/>
    </row>
    <row r="459" ht="15.75" customHeight="1">
      <c r="A459" s="1">
        <v>4.9033921E7</v>
      </c>
      <c r="B459" s="2" t="s">
        <v>54</v>
      </c>
      <c r="C459" s="19" t="s">
        <v>4293</v>
      </c>
      <c r="D459" s="19"/>
      <c r="E459" s="2" t="s">
        <v>11</v>
      </c>
      <c r="F459" s="19"/>
    </row>
    <row r="460" ht="15.75" customHeight="1">
      <c r="A460" s="1">
        <v>4.9419372E7</v>
      </c>
      <c r="B460" s="2" t="s">
        <v>2116</v>
      </c>
      <c r="C460" s="19" t="s">
        <v>4294</v>
      </c>
      <c r="D460" s="19"/>
      <c r="E460" s="2" t="s">
        <v>11</v>
      </c>
      <c r="F460" s="19"/>
    </row>
    <row r="461" ht="15.75" customHeight="1">
      <c r="A461" s="1">
        <v>4.9424033E7</v>
      </c>
      <c r="B461" s="2" t="s">
        <v>830</v>
      </c>
      <c r="C461" s="19" t="s">
        <v>4295</v>
      </c>
      <c r="D461" s="19" t="s">
        <v>4296</v>
      </c>
      <c r="E461" s="2" t="s">
        <v>11</v>
      </c>
      <c r="F461" s="19"/>
    </row>
    <row r="462" ht="15.75" customHeight="1">
      <c r="A462" s="1">
        <v>4.966694E7</v>
      </c>
      <c r="B462" s="2" t="s">
        <v>594</v>
      </c>
      <c r="C462" s="19" t="s">
        <v>4297</v>
      </c>
      <c r="D462" s="19" t="s">
        <v>4298</v>
      </c>
      <c r="E462" s="2" t="s">
        <v>11</v>
      </c>
      <c r="F462" s="19"/>
    </row>
    <row r="463" ht="15.75" customHeight="1">
      <c r="A463" s="1">
        <v>5.0415065E7</v>
      </c>
      <c r="B463" s="2" t="s">
        <v>92</v>
      </c>
      <c r="C463" s="19" t="s">
        <v>4299</v>
      </c>
      <c r="D463" s="19"/>
      <c r="E463" s="2" t="s">
        <v>11</v>
      </c>
      <c r="F463" s="19"/>
    </row>
    <row r="464" ht="15.75" customHeight="1">
      <c r="A464" s="1">
        <v>5.0444796E7</v>
      </c>
      <c r="B464" s="2" t="s">
        <v>57</v>
      </c>
      <c r="C464" s="19" t="s">
        <v>4300</v>
      </c>
      <c r="D464" s="19" t="s">
        <v>4301</v>
      </c>
      <c r="E464" s="2" t="s">
        <v>11</v>
      </c>
      <c r="F464" s="19"/>
    </row>
    <row r="465" ht="15.75" customHeight="1">
      <c r="A465" s="1">
        <v>5.0447594E7</v>
      </c>
      <c r="B465" s="2" t="s">
        <v>41</v>
      </c>
      <c r="C465" s="19" t="s">
        <v>4302</v>
      </c>
      <c r="D465" s="19"/>
      <c r="E465" s="2" t="s">
        <v>11</v>
      </c>
      <c r="F465" s="19"/>
    </row>
    <row r="466" ht="15.75" customHeight="1">
      <c r="A466" s="1">
        <v>5.0775621E7</v>
      </c>
      <c r="B466" s="2" t="s">
        <v>83</v>
      </c>
      <c r="C466" s="19" t="s">
        <v>4303</v>
      </c>
      <c r="D466" s="19"/>
      <c r="E466" s="2" t="s">
        <v>11</v>
      </c>
      <c r="F466" s="19"/>
    </row>
    <row r="467" ht="15.75" customHeight="1">
      <c r="A467" s="1">
        <v>5.1050661E7</v>
      </c>
      <c r="B467" s="2" t="s">
        <v>93</v>
      </c>
      <c r="C467" s="19" t="s">
        <v>4304</v>
      </c>
      <c r="D467" s="19"/>
      <c r="E467" s="2" t="s">
        <v>11</v>
      </c>
      <c r="F467" s="19"/>
    </row>
    <row r="468" ht="15.75" customHeight="1">
      <c r="A468" s="1">
        <v>5.1171853E7</v>
      </c>
      <c r="B468" s="2" t="s">
        <v>99</v>
      </c>
      <c r="C468" s="19" t="s">
        <v>4305</v>
      </c>
      <c r="D468" s="19" t="s">
        <v>4306</v>
      </c>
      <c r="E468" s="2" t="s">
        <v>11</v>
      </c>
      <c r="F468" s="19"/>
    </row>
    <row r="469" ht="15.75" customHeight="1">
      <c r="A469" s="1">
        <v>5.1308896E7</v>
      </c>
      <c r="B469" s="2" t="s">
        <v>1637</v>
      </c>
      <c r="C469" s="19" t="s">
        <v>4307</v>
      </c>
      <c r="D469" s="19"/>
      <c r="E469" s="2" t="s">
        <v>11</v>
      </c>
      <c r="F469" s="19"/>
    </row>
    <row r="470" ht="15.75" customHeight="1">
      <c r="A470" s="1">
        <v>5.1312073E7</v>
      </c>
      <c r="B470" s="2" t="s">
        <v>900</v>
      </c>
      <c r="C470" s="19" t="s">
        <v>4308</v>
      </c>
      <c r="D470" s="19" t="s">
        <v>4309</v>
      </c>
      <c r="E470" s="2" t="s">
        <v>11</v>
      </c>
      <c r="F470" s="19"/>
    </row>
    <row r="471" ht="15.75" customHeight="1">
      <c r="A471" s="1">
        <v>5.1324328E7</v>
      </c>
      <c r="B471" s="2" t="s">
        <v>1322</v>
      </c>
      <c r="C471" s="19" t="s">
        <v>4310</v>
      </c>
      <c r="D471" s="19"/>
      <c r="E471" s="2" t="s">
        <v>11</v>
      </c>
      <c r="F471" s="19"/>
    </row>
    <row r="472" ht="15.75" customHeight="1">
      <c r="A472" s="1">
        <v>5.1351353E7</v>
      </c>
      <c r="B472" s="2" t="s">
        <v>279</v>
      </c>
      <c r="C472" s="19" t="s">
        <v>4311</v>
      </c>
      <c r="D472" s="19" t="s">
        <v>4312</v>
      </c>
      <c r="E472" s="2" t="s">
        <v>11</v>
      </c>
      <c r="F472" s="19"/>
    </row>
    <row r="473" ht="15.75" customHeight="1">
      <c r="A473" s="1">
        <v>5.1352265E7</v>
      </c>
      <c r="B473" s="2" t="s">
        <v>168</v>
      </c>
      <c r="C473" s="19" t="s">
        <v>4313</v>
      </c>
      <c r="D473" s="19" t="s">
        <v>4314</v>
      </c>
      <c r="E473" s="2" t="s">
        <v>11</v>
      </c>
      <c r="F473" s="19"/>
    </row>
    <row r="474" ht="15.75" customHeight="1">
      <c r="A474" s="1">
        <v>5.1352351E7</v>
      </c>
      <c r="B474" s="2" t="s">
        <v>1852</v>
      </c>
      <c r="C474" s="19" t="s">
        <v>4315</v>
      </c>
      <c r="D474" s="19" t="s">
        <v>4316</v>
      </c>
      <c r="E474" s="2" t="s">
        <v>11</v>
      </c>
      <c r="F474" s="19"/>
    </row>
    <row r="475" ht="15.75" customHeight="1">
      <c r="A475" s="1">
        <v>5.13527E7</v>
      </c>
      <c r="B475" s="2" t="s">
        <v>1829</v>
      </c>
      <c r="C475" s="19" t="s">
        <v>4317</v>
      </c>
      <c r="D475" s="19" t="s">
        <v>4318</v>
      </c>
      <c r="E475" s="2" t="s">
        <v>11</v>
      </c>
      <c r="F475" s="19"/>
    </row>
    <row r="476" ht="15.75" customHeight="1">
      <c r="A476" s="1">
        <v>5.1360587E7</v>
      </c>
      <c r="B476" s="2" t="s">
        <v>1101</v>
      </c>
      <c r="C476" s="19" t="s">
        <v>4319</v>
      </c>
      <c r="D476" s="19" t="s">
        <v>4320</v>
      </c>
      <c r="E476" s="2" t="s">
        <v>11</v>
      </c>
      <c r="F476" s="19"/>
    </row>
    <row r="477" ht="15.75" customHeight="1">
      <c r="A477" s="1">
        <v>5.1364441E7</v>
      </c>
      <c r="B477" s="2" t="s">
        <v>1350</v>
      </c>
      <c r="C477" s="19" t="s">
        <v>4321</v>
      </c>
      <c r="D477" s="19" t="s">
        <v>4322</v>
      </c>
      <c r="E477" s="9" t="s">
        <v>11</v>
      </c>
      <c r="F477" s="19"/>
    </row>
    <row r="478" ht="15.75" customHeight="1">
      <c r="A478" s="1">
        <v>5.1364575E7</v>
      </c>
      <c r="B478" s="2" t="s">
        <v>1599</v>
      </c>
      <c r="C478" s="19" t="s">
        <v>4323</v>
      </c>
      <c r="D478" s="19"/>
      <c r="E478" s="9" t="s">
        <v>11</v>
      </c>
      <c r="F478" s="19"/>
    </row>
    <row r="479" ht="15.75" customHeight="1">
      <c r="A479" s="1">
        <v>5.1369708E7</v>
      </c>
      <c r="B479" s="2" t="s">
        <v>1398</v>
      </c>
      <c r="C479" s="19" t="s">
        <v>4324</v>
      </c>
      <c r="D479" s="19"/>
      <c r="E479" s="2" t="s">
        <v>11</v>
      </c>
      <c r="F479" s="19"/>
    </row>
    <row r="480" ht="15.75" customHeight="1">
      <c r="A480" s="1">
        <v>5.1380757E7</v>
      </c>
      <c r="B480" s="2" t="s">
        <v>2107</v>
      </c>
      <c r="C480" s="19" t="s">
        <v>4325</v>
      </c>
      <c r="D480" s="19"/>
      <c r="E480" s="2" t="s">
        <v>11</v>
      </c>
      <c r="F480" s="19"/>
    </row>
    <row r="481" ht="15.75" customHeight="1">
      <c r="A481" s="1">
        <v>5.1381243E7</v>
      </c>
      <c r="B481" s="2" t="s">
        <v>1032</v>
      </c>
      <c r="C481" s="19" t="s">
        <v>4326</v>
      </c>
      <c r="D481" s="19" t="s">
        <v>4327</v>
      </c>
      <c r="E481" s="2" t="s">
        <v>11</v>
      </c>
      <c r="F481" s="19"/>
    </row>
    <row r="482" ht="15.75" customHeight="1">
      <c r="A482" s="1">
        <v>5.1383918E7</v>
      </c>
      <c r="B482" s="2" t="s">
        <v>515</v>
      </c>
      <c r="C482" s="19" t="s">
        <v>4328</v>
      </c>
      <c r="D482" s="19" t="s">
        <v>4329</v>
      </c>
      <c r="E482" s="2" t="s">
        <v>11</v>
      </c>
      <c r="F482" s="19"/>
    </row>
    <row r="483" ht="15.75" customHeight="1">
      <c r="A483" s="1">
        <v>5.1384016E7</v>
      </c>
      <c r="B483" s="2" t="s">
        <v>1468</v>
      </c>
      <c r="C483" s="19" t="s">
        <v>4330</v>
      </c>
      <c r="D483" s="19" t="s">
        <v>4331</v>
      </c>
      <c r="E483" s="9" t="s">
        <v>11</v>
      </c>
      <c r="F483" s="19"/>
    </row>
    <row r="484" ht="15.75" customHeight="1">
      <c r="A484" s="1">
        <v>5.1389551E7</v>
      </c>
      <c r="B484" s="2" t="s">
        <v>1581</v>
      </c>
      <c r="C484" s="19" t="s">
        <v>4332</v>
      </c>
      <c r="D484" s="19"/>
      <c r="E484" s="2" t="s">
        <v>11</v>
      </c>
      <c r="F484" s="19"/>
    </row>
    <row r="485" ht="15.75" customHeight="1">
      <c r="A485" s="1">
        <v>5.1432021E7</v>
      </c>
      <c r="B485" s="2" t="s">
        <v>2479</v>
      </c>
      <c r="C485" s="19" t="s">
        <v>4333</v>
      </c>
      <c r="D485" s="19"/>
      <c r="E485" s="2" t="s">
        <v>11</v>
      </c>
      <c r="F485" s="19"/>
    </row>
    <row r="486" ht="15.75" customHeight="1">
      <c r="A486" s="1">
        <v>5.1443599E7</v>
      </c>
      <c r="B486" s="2" t="s">
        <v>42</v>
      </c>
      <c r="C486" s="19" t="s">
        <v>4334</v>
      </c>
      <c r="D486" s="19"/>
      <c r="E486" s="2" t="s">
        <v>11</v>
      </c>
      <c r="F486" s="19"/>
    </row>
    <row r="487" ht="15.75" customHeight="1">
      <c r="A487" s="1">
        <v>5.1580416E7</v>
      </c>
      <c r="B487" s="2" t="s">
        <v>283</v>
      </c>
      <c r="C487" s="19" t="s">
        <v>4335</v>
      </c>
      <c r="D487" s="19"/>
      <c r="E487" s="2" t="s">
        <v>11</v>
      </c>
      <c r="F487" s="19"/>
    </row>
    <row r="488" ht="15.75" customHeight="1">
      <c r="A488" s="1">
        <v>5.1737007E7</v>
      </c>
      <c r="B488" s="2" t="s">
        <v>269</v>
      </c>
      <c r="C488" s="19" t="s">
        <v>4336</v>
      </c>
      <c r="D488" s="19"/>
      <c r="E488" s="2" t="s">
        <v>11</v>
      </c>
      <c r="F488" s="19"/>
    </row>
    <row r="489" ht="15.75" customHeight="1">
      <c r="A489" s="1">
        <v>5.2704291E7</v>
      </c>
      <c r="B489" s="2" t="s">
        <v>37</v>
      </c>
      <c r="C489" s="19" t="s">
        <v>4337</v>
      </c>
      <c r="D489" s="19" t="s">
        <v>4338</v>
      </c>
      <c r="E489" s="2" t="s">
        <v>11</v>
      </c>
      <c r="F489" s="19"/>
    </row>
    <row r="490" ht="15.75" customHeight="1">
      <c r="A490" s="1">
        <v>5.2744026E7</v>
      </c>
      <c r="B490" s="2" t="s">
        <v>1156</v>
      </c>
      <c r="C490" s="19" t="s">
        <v>4339</v>
      </c>
      <c r="D490" s="19"/>
      <c r="E490" s="2" t="s">
        <v>11</v>
      </c>
      <c r="F490" s="19"/>
    </row>
    <row r="491" ht="15.75" customHeight="1">
      <c r="A491" s="1">
        <v>5.27644E7</v>
      </c>
      <c r="B491" s="2" t="s">
        <v>89</v>
      </c>
      <c r="C491" s="19" t="s">
        <v>4340</v>
      </c>
      <c r="D491" s="19"/>
      <c r="E491" s="2" t="s">
        <v>11</v>
      </c>
      <c r="F491" s="19"/>
    </row>
    <row r="492" ht="15.75" customHeight="1">
      <c r="A492" s="1">
        <v>5.2831801E7</v>
      </c>
      <c r="B492" s="2" t="s">
        <v>1959</v>
      </c>
      <c r="C492" s="19" t="s">
        <v>4341</v>
      </c>
      <c r="D492" s="19" t="s">
        <v>4342</v>
      </c>
      <c r="E492" s="9" t="s">
        <v>11</v>
      </c>
      <c r="F492" s="19"/>
    </row>
    <row r="493" ht="15.75" customHeight="1">
      <c r="A493" s="1">
        <v>5.2836878E7</v>
      </c>
      <c r="B493" s="2" t="s">
        <v>3058</v>
      </c>
      <c r="C493" s="19" t="s">
        <v>4343</v>
      </c>
      <c r="D493" s="19"/>
      <c r="E493" s="2" t="s">
        <v>11</v>
      </c>
      <c r="F493" s="19"/>
    </row>
    <row r="494" ht="15.75" customHeight="1">
      <c r="A494" s="1">
        <v>5.3286917E7</v>
      </c>
      <c r="B494" s="2" t="s">
        <v>102</v>
      </c>
      <c r="C494" s="19" t="s">
        <v>4344</v>
      </c>
      <c r="D494" s="19"/>
      <c r="E494" s="2" t="s">
        <v>11</v>
      </c>
      <c r="F494" s="19"/>
    </row>
    <row r="495" ht="15.75" customHeight="1">
      <c r="A495" s="1">
        <v>5.3838659E7</v>
      </c>
      <c r="B495" s="2" t="s">
        <v>2440</v>
      </c>
      <c r="C495" s="19" t="s">
        <v>4345</v>
      </c>
      <c r="D495" s="19"/>
      <c r="E495" s="2" t="s">
        <v>11</v>
      </c>
      <c r="F495" s="19"/>
    </row>
    <row r="496" ht="15.75" customHeight="1">
      <c r="A496" s="1">
        <v>5.3843335E7</v>
      </c>
      <c r="B496" s="2" t="s">
        <v>2033</v>
      </c>
      <c r="C496" s="19" t="s">
        <v>4346</v>
      </c>
      <c r="D496" s="19"/>
      <c r="E496" s="2" t="s">
        <v>11</v>
      </c>
      <c r="F496" s="19"/>
    </row>
    <row r="497" ht="15.75" customHeight="1">
      <c r="A497" s="1">
        <v>5.3843585E7</v>
      </c>
      <c r="B497" s="2" t="s">
        <v>313</v>
      </c>
      <c r="C497" s="19" t="s">
        <v>4347</v>
      </c>
      <c r="D497" s="19"/>
      <c r="E497" s="2" t="s">
        <v>11</v>
      </c>
      <c r="F497" s="19"/>
    </row>
    <row r="498" ht="15.75" customHeight="1">
      <c r="A498" s="1">
        <v>5.3843783E7</v>
      </c>
      <c r="B498" s="2" t="s">
        <v>2451</v>
      </c>
      <c r="C498" s="19" t="s">
        <v>4348</v>
      </c>
      <c r="D498" s="19"/>
      <c r="E498" s="2" t="s">
        <v>11</v>
      </c>
      <c r="F498" s="19"/>
    </row>
    <row r="499" ht="15.75" customHeight="1">
      <c r="A499" s="1">
        <v>5.3862192E7</v>
      </c>
      <c r="B499" s="2" t="s">
        <v>2480</v>
      </c>
      <c r="C499" s="19" t="s">
        <v>4349</v>
      </c>
      <c r="D499" s="19" t="s">
        <v>4350</v>
      </c>
      <c r="E499" s="2" t="s">
        <v>11</v>
      </c>
      <c r="F499" s="19"/>
    </row>
    <row r="500" ht="15.75" customHeight="1">
      <c r="A500" s="1">
        <v>5.3874059E7</v>
      </c>
      <c r="B500" s="2" t="s">
        <v>2044</v>
      </c>
      <c r="C500" s="19" t="s">
        <v>4351</v>
      </c>
      <c r="D500" s="19" t="s">
        <v>4352</v>
      </c>
      <c r="E500" s="2" t="s">
        <v>11</v>
      </c>
      <c r="F500" s="19"/>
    </row>
    <row r="501" ht="15.75" customHeight="1">
      <c r="A501" s="1">
        <v>5.3887719E7</v>
      </c>
      <c r="B501" s="2" t="s">
        <v>2150</v>
      </c>
      <c r="C501" s="19" t="s">
        <v>4353</v>
      </c>
      <c r="D501" s="19"/>
      <c r="E501" s="2" t="s">
        <v>11</v>
      </c>
      <c r="F501" s="19"/>
    </row>
    <row r="502" ht="15.75" customHeight="1">
      <c r="A502" s="1">
        <v>5.3891777E7</v>
      </c>
      <c r="B502" s="2" t="s">
        <v>2558</v>
      </c>
      <c r="C502" s="19" t="s">
        <v>4354</v>
      </c>
      <c r="D502" s="19"/>
      <c r="E502" s="9" t="s">
        <v>11</v>
      </c>
      <c r="F502" s="19"/>
    </row>
    <row r="503" ht="15.75" customHeight="1">
      <c r="A503" s="1">
        <v>5.3916396E7</v>
      </c>
      <c r="B503" s="2" t="s">
        <v>1165</v>
      </c>
      <c r="C503" s="19" t="s">
        <v>4355</v>
      </c>
      <c r="D503" s="19" t="s">
        <v>4356</v>
      </c>
      <c r="E503" s="2" t="s">
        <v>11</v>
      </c>
      <c r="F503" s="19"/>
    </row>
    <row r="504" ht="15.75" customHeight="1">
      <c r="A504" s="1">
        <v>5.3937189E7</v>
      </c>
      <c r="B504" s="2" t="s">
        <v>1756</v>
      </c>
      <c r="C504" s="19" t="s">
        <v>4357</v>
      </c>
      <c r="D504" s="19" t="s">
        <v>4358</v>
      </c>
      <c r="E504" s="2" t="s">
        <v>11</v>
      </c>
      <c r="F504" s="19"/>
    </row>
    <row r="505" ht="15.75" customHeight="1">
      <c r="A505" s="1">
        <v>5.3942601E7</v>
      </c>
      <c r="B505" s="2" t="s">
        <v>1899</v>
      </c>
      <c r="C505" s="19" t="s">
        <v>4359</v>
      </c>
      <c r="D505" s="19"/>
      <c r="E505" s="2" t="s">
        <v>11</v>
      </c>
      <c r="F505" s="19"/>
    </row>
    <row r="506" ht="15.75" customHeight="1">
      <c r="A506" s="1">
        <v>5.3944354E7</v>
      </c>
      <c r="B506" s="2" t="s">
        <v>1860</v>
      </c>
      <c r="C506" s="19" t="s">
        <v>4360</v>
      </c>
      <c r="D506" s="19" t="s">
        <v>4361</v>
      </c>
      <c r="E506" s="2" t="s">
        <v>11</v>
      </c>
      <c r="F506" s="19"/>
    </row>
    <row r="507" ht="15.75" customHeight="1">
      <c r="A507" s="1">
        <v>5.3961151E7</v>
      </c>
      <c r="B507" s="2" t="s">
        <v>2776</v>
      </c>
      <c r="C507" s="19" t="s">
        <v>4362</v>
      </c>
      <c r="D507" s="19"/>
      <c r="E507" s="2" t="s">
        <v>11</v>
      </c>
      <c r="F507" s="19"/>
    </row>
    <row r="508" ht="15.75" customHeight="1">
      <c r="A508" s="1">
        <v>5.3966488E7</v>
      </c>
      <c r="B508" s="2" t="s">
        <v>3208</v>
      </c>
      <c r="C508" s="19" t="s">
        <v>4363</v>
      </c>
      <c r="D508" s="19"/>
      <c r="E508" s="9" t="s">
        <v>11</v>
      </c>
      <c r="F508" s="19"/>
    </row>
    <row r="509" ht="15.75" customHeight="1">
      <c r="A509" s="1">
        <v>5.3970869E7</v>
      </c>
      <c r="B509" s="2" t="s">
        <v>585</v>
      </c>
      <c r="C509" s="19" t="s">
        <v>4364</v>
      </c>
      <c r="D509" s="19"/>
      <c r="E509" s="2" t="s">
        <v>11</v>
      </c>
      <c r="F509" s="19"/>
    </row>
    <row r="510" ht="15.75" customHeight="1">
      <c r="A510" s="1">
        <v>5.3990868E7</v>
      </c>
      <c r="B510" s="2" t="s">
        <v>2684</v>
      </c>
      <c r="C510" s="19" t="s">
        <v>4365</v>
      </c>
      <c r="D510" s="19"/>
      <c r="E510" s="2" t="s">
        <v>11</v>
      </c>
      <c r="F510" s="19"/>
    </row>
    <row r="511" ht="15.75" customHeight="1">
      <c r="A511" s="1">
        <v>5.4005457E7</v>
      </c>
      <c r="B511" s="2" t="s">
        <v>2389</v>
      </c>
      <c r="C511" s="19" t="s">
        <v>4366</v>
      </c>
      <c r="D511" s="19"/>
      <c r="E511" s="9" t="s">
        <v>11</v>
      </c>
      <c r="F511" s="19"/>
    </row>
    <row r="512" ht="15.75" customHeight="1">
      <c r="A512" s="1">
        <v>5.4011731E7</v>
      </c>
      <c r="B512" s="2" t="s">
        <v>2158</v>
      </c>
      <c r="C512" s="19" t="s">
        <v>4367</v>
      </c>
      <c r="D512" s="19"/>
      <c r="E512" s="9" t="s">
        <v>11</v>
      </c>
      <c r="F512" s="19"/>
    </row>
    <row r="513" ht="15.75" customHeight="1">
      <c r="A513" s="1">
        <v>5.4011765E7</v>
      </c>
      <c r="B513" s="2" t="s">
        <v>2527</v>
      </c>
      <c r="C513" s="19" t="s">
        <v>4368</v>
      </c>
      <c r="D513" s="19"/>
      <c r="E513" s="2" t="s">
        <v>11</v>
      </c>
      <c r="F513" s="19"/>
    </row>
    <row r="514" ht="15.75" customHeight="1">
      <c r="A514" s="1">
        <v>5.4042741E7</v>
      </c>
      <c r="B514" s="2" t="s">
        <v>2248</v>
      </c>
      <c r="C514" s="19" t="s">
        <v>4369</v>
      </c>
      <c r="D514" s="19" t="s">
        <v>4370</v>
      </c>
      <c r="E514" s="9" t="s">
        <v>11</v>
      </c>
      <c r="F514" s="19"/>
    </row>
    <row r="515" ht="15.75" customHeight="1">
      <c r="A515" s="1">
        <v>5.4045187E7</v>
      </c>
      <c r="B515" s="2" t="s">
        <v>1720</v>
      </c>
      <c r="C515" s="19" t="s">
        <v>4371</v>
      </c>
      <c r="D515" s="19"/>
      <c r="E515" s="9" t="s">
        <v>11</v>
      </c>
      <c r="F515" s="19"/>
    </row>
    <row r="516" ht="15.75" customHeight="1">
      <c r="A516" s="1">
        <v>5.4049205E7</v>
      </c>
      <c r="B516" s="2" t="s">
        <v>1892</v>
      </c>
      <c r="C516" s="19" t="s">
        <v>4372</v>
      </c>
      <c r="D516" s="19"/>
      <c r="E516" s="2" t="s">
        <v>11</v>
      </c>
      <c r="F516" s="19"/>
    </row>
    <row r="517" ht="15.75" customHeight="1">
      <c r="A517" s="1">
        <v>5.4060551E7</v>
      </c>
      <c r="B517" s="2" t="s">
        <v>2090</v>
      </c>
      <c r="C517" s="19" t="s">
        <v>4373</v>
      </c>
      <c r="D517" s="19"/>
      <c r="E517" s="2" t="s">
        <v>11</v>
      </c>
      <c r="F517" s="19"/>
    </row>
    <row r="518" ht="15.75" customHeight="1">
      <c r="A518" s="1">
        <v>5.4060686E7</v>
      </c>
      <c r="B518" s="2" t="s">
        <v>1943</v>
      </c>
      <c r="C518" s="19" t="s">
        <v>4374</v>
      </c>
      <c r="D518" s="19"/>
      <c r="E518" s="2" t="s">
        <v>11</v>
      </c>
      <c r="F518" s="19"/>
    </row>
    <row r="519" ht="15.75" customHeight="1">
      <c r="A519" s="1">
        <v>5.4066925E7</v>
      </c>
      <c r="B519" s="2" t="s">
        <v>543</v>
      </c>
      <c r="C519" s="19" t="s">
        <v>4375</v>
      </c>
      <c r="D519" s="19"/>
      <c r="E519" s="9" t="s">
        <v>11</v>
      </c>
      <c r="F519" s="19"/>
    </row>
    <row r="520" ht="15.75" customHeight="1">
      <c r="A520" s="1">
        <v>5.4068351E7</v>
      </c>
      <c r="B520" s="2" t="s">
        <v>3091</v>
      </c>
      <c r="C520" s="19" t="s">
        <v>4376</v>
      </c>
      <c r="D520" s="19"/>
      <c r="E520" s="2" t="s">
        <v>11</v>
      </c>
      <c r="F520" s="19"/>
    </row>
    <row r="521" ht="15.75" customHeight="1">
      <c r="A521" s="1">
        <v>5.4069553E7</v>
      </c>
      <c r="B521" s="2" t="s">
        <v>2599</v>
      </c>
      <c r="C521" s="19" t="s">
        <v>4377</v>
      </c>
      <c r="D521" s="19"/>
      <c r="E521" s="2" t="s">
        <v>11</v>
      </c>
      <c r="F521" s="19"/>
    </row>
    <row r="522" ht="15.75" customHeight="1">
      <c r="A522" s="1">
        <v>5.4079576E7</v>
      </c>
      <c r="B522" s="2" t="s">
        <v>596</v>
      </c>
      <c r="C522" s="19" t="s">
        <v>4378</v>
      </c>
      <c r="D522" s="19" t="s">
        <v>4379</v>
      </c>
      <c r="E522" s="2" t="s">
        <v>11</v>
      </c>
      <c r="F522" s="19"/>
    </row>
    <row r="523" ht="15.75" customHeight="1">
      <c r="A523" s="1">
        <v>5.4105367E7</v>
      </c>
      <c r="B523" s="2" t="s">
        <v>635</v>
      </c>
      <c r="C523" s="19" t="s">
        <v>4380</v>
      </c>
      <c r="D523" s="19" t="s">
        <v>4381</v>
      </c>
      <c r="E523" s="2" t="s">
        <v>11</v>
      </c>
      <c r="F523" s="19"/>
    </row>
    <row r="524" ht="15.75" customHeight="1">
      <c r="A524" s="1">
        <v>5.411448E7</v>
      </c>
      <c r="B524" s="2" t="s">
        <v>3293</v>
      </c>
      <c r="C524" s="19" t="s">
        <v>4382</v>
      </c>
      <c r="D524" s="19"/>
      <c r="E524" s="2" t="s">
        <v>11</v>
      </c>
      <c r="F524" s="19"/>
    </row>
    <row r="525" ht="15.75" customHeight="1">
      <c r="A525" s="1">
        <v>5.4118895E7</v>
      </c>
      <c r="B525" s="2" t="s">
        <v>3059</v>
      </c>
      <c r="C525" s="19" t="s">
        <v>4383</v>
      </c>
      <c r="D525" s="19" t="s">
        <v>4384</v>
      </c>
      <c r="E525" s="2" t="s">
        <v>11</v>
      </c>
      <c r="F525" s="19"/>
    </row>
    <row r="526" ht="15.75" customHeight="1">
      <c r="A526" s="1">
        <v>5.417805E7</v>
      </c>
      <c r="B526" s="2" t="s">
        <v>1497</v>
      </c>
      <c r="C526" s="19" t="s">
        <v>4385</v>
      </c>
      <c r="D526" s="19"/>
      <c r="E526" s="9" t="s">
        <v>11</v>
      </c>
      <c r="F526" s="19"/>
    </row>
    <row r="527" ht="15.75" customHeight="1">
      <c r="A527" s="1">
        <v>5.4186801E7</v>
      </c>
      <c r="B527" s="2" t="s">
        <v>2737</v>
      </c>
      <c r="C527" s="19" t="s">
        <v>4386</v>
      </c>
      <c r="D527" s="19"/>
      <c r="E527" s="2" t="s">
        <v>11</v>
      </c>
      <c r="F527" s="19"/>
    </row>
    <row r="528" ht="15.75" customHeight="1">
      <c r="A528" s="1">
        <v>5.4192453E7</v>
      </c>
      <c r="B528" s="2" t="s">
        <v>1815</v>
      </c>
      <c r="C528" s="19" t="s">
        <v>4387</v>
      </c>
      <c r="D528" s="19"/>
      <c r="E528" s="2" t="s">
        <v>11</v>
      </c>
      <c r="F528" s="19"/>
    </row>
    <row r="529" ht="15.75" customHeight="1">
      <c r="A529" s="1">
        <v>5.4216119E7</v>
      </c>
      <c r="B529" s="2" t="s">
        <v>1130</v>
      </c>
      <c r="C529" s="19" t="s">
        <v>4388</v>
      </c>
      <c r="D529" s="19"/>
      <c r="E529" s="2" t="s">
        <v>11</v>
      </c>
      <c r="F529" s="19"/>
    </row>
    <row r="530" ht="15.75" customHeight="1">
      <c r="A530" s="1">
        <v>5.4235734E7</v>
      </c>
      <c r="B530" s="2" t="s">
        <v>2757</v>
      </c>
      <c r="C530" s="19" t="s">
        <v>4389</v>
      </c>
      <c r="D530" s="19" t="s">
        <v>4390</v>
      </c>
      <c r="E530" s="9" t="s">
        <v>11</v>
      </c>
      <c r="F530" s="19"/>
    </row>
    <row r="531" ht="15.75" customHeight="1">
      <c r="A531" s="1">
        <v>5.4241538E7</v>
      </c>
      <c r="B531" s="2" t="s">
        <v>1383</v>
      </c>
      <c r="C531" s="19" t="s">
        <v>4391</v>
      </c>
      <c r="D531" s="19"/>
      <c r="E531" s="2" t="s">
        <v>11</v>
      </c>
      <c r="F531" s="19"/>
    </row>
    <row r="532" ht="15.75" customHeight="1">
      <c r="A532" s="1">
        <v>5.424877E7</v>
      </c>
      <c r="B532" s="2" t="s">
        <v>2367</v>
      </c>
      <c r="C532" s="19" t="s">
        <v>4392</v>
      </c>
      <c r="D532" s="19"/>
      <c r="E532" s="2" t="s">
        <v>11</v>
      </c>
      <c r="F532" s="19"/>
    </row>
    <row r="533" ht="15.75" customHeight="1">
      <c r="A533" s="1">
        <v>5.4270158E7</v>
      </c>
      <c r="B533" s="2" t="s">
        <v>683</v>
      </c>
      <c r="C533" s="19" t="s">
        <v>4393</v>
      </c>
      <c r="D533" s="19" t="s">
        <v>4394</v>
      </c>
      <c r="E533" s="2" t="s">
        <v>11</v>
      </c>
      <c r="F533" s="19"/>
    </row>
    <row r="534" ht="15.75" customHeight="1">
      <c r="A534" s="1">
        <v>5.427151E7</v>
      </c>
      <c r="B534" s="2" t="s">
        <v>1440</v>
      </c>
      <c r="C534" s="19" t="s">
        <v>4395</v>
      </c>
      <c r="D534" s="19"/>
      <c r="E534" s="9" t="s">
        <v>11</v>
      </c>
      <c r="F534" s="19"/>
    </row>
    <row r="535" ht="15.75" customHeight="1">
      <c r="A535" s="1">
        <v>5.4285728E7</v>
      </c>
      <c r="B535" s="2" t="s">
        <v>2912</v>
      </c>
      <c r="C535" s="19" t="s">
        <v>4396</v>
      </c>
      <c r="D535" s="19"/>
      <c r="E535" s="2" t="s">
        <v>11</v>
      </c>
      <c r="F535" s="19"/>
    </row>
    <row r="536" ht="15.75" customHeight="1">
      <c r="A536" s="1">
        <v>5.4288494E7</v>
      </c>
      <c r="B536" s="2" t="s">
        <v>2420</v>
      </c>
      <c r="C536" s="19" t="s">
        <v>4397</v>
      </c>
      <c r="D536" s="19"/>
      <c r="E536" s="2" t="s">
        <v>11</v>
      </c>
      <c r="F536" s="19"/>
    </row>
    <row r="537" ht="15.75" customHeight="1">
      <c r="A537" s="1">
        <v>5.4291354E7</v>
      </c>
      <c r="B537" s="2" t="s">
        <v>789</v>
      </c>
      <c r="C537" s="19" t="s">
        <v>4398</v>
      </c>
      <c r="D537" s="19"/>
      <c r="E537" s="2" t="s">
        <v>11</v>
      </c>
      <c r="F537" s="19"/>
    </row>
    <row r="538" ht="15.75" customHeight="1">
      <c r="A538" s="1">
        <v>5.4291428E7</v>
      </c>
      <c r="B538" s="2" t="s">
        <v>1717</v>
      </c>
      <c r="C538" s="19" t="s">
        <v>4399</v>
      </c>
      <c r="D538" s="19"/>
      <c r="E538" s="2" t="s">
        <v>11</v>
      </c>
      <c r="F538" s="19"/>
    </row>
    <row r="539" ht="15.75" customHeight="1">
      <c r="A539" s="1">
        <v>5.4316826E7</v>
      </c>
      <c r="B539" s="2" t="s">
        <v>1661</v>
      </c>
      <c r="C539" s="19" t="s">
        <v>4400</v>
      </c>
      <c r="D539" s="19"/>
      <c r="E539" s="2" t="s">
        <v>11</v>
      </c>
      <c r="F539" s="19"/>
    </row>
    <row r="540" ht="15.75" customHeight="1">
      <c r="A540" s="1">
        <v>5.4321038E7</v>
      </c>
      <c r="B540" s="2" t="s">
        <v>2685</v>
      </c>
      <c r="C540" s="19" t="s">
        <v>4401</v>
      </c>
      <c r="D540" s="19"/>
      <c r="E540" s="2" t="s">
        <v>11</v>
      </c>
      <c r="F540" s="19"/>
    </row>
    <row r="541" ht="15.75" customHeight="1">
      <c r="A541" s="1">
        <v>5.432376E7</v>
      </c>
      <c r="B541" s="2" t="s">
        <v>1400</v>
      </c>
      <c r="C541" s="19" t="s">
        <v>4402</v>
      </c>
      <c r="D541" s="19" t="s">
        <v>4403</v>
      </c>
      <c r="E541" s="2" t="s">
        <v>11</v>
      </c>
      <c r="F541" s="19"/>
    </row>
    <row r="542" ht="15.75" customHeight="1">
      <c r="A542" s="1">
        <v>5.4346725E7</v>
      </c>
      <c r="B542" s="2" t="s">
        <v>351</v>
      </c>
      <c r="C542" s="19" t="s">
        <v>4404</v>
      </c>
      <c r="D542" s="19"/>
      <c r="E542" s="2" t="s">
        <v>11</v>
      </c>
      <c r="F542" s="19"/>
    </row>
    <row r="543" ht="15.75" customHeight="1">
      <c r="A543" s="1">
        <v>5.435232E7</v>
      </c>
      <c r="B543" s="2" t="s">
        <v>1888</v>
      </c>
      <c r="C543" s="19" t="s">
        <v>4405</v>
      </c>
      <c r="D543" s="19" t="s">
        <v>4406</v>
      </c>
      <c r="E543" s="2" t="s">
        <v>11</v>
      </c>
      <c r="F543" s="19"/>
    </row>
    <row r="544" ht="15.75" customHeight="1">
      <c r="A544" s="1">
        <v>5.436395E7</v>
      </c>
      <c r="B544" s="2" t="s">
        <v>1741</v>
      </c>
      <c r="C544" s="19" t="s">
        <v>4407</v>
      </c>
      <c r="D544" s="19"/>
      <c r="E544" s="9" t="s">
        <v>11</v>
      </c>
      <c r="F544" s="19"/>
    </row>
    <row r="545" ht="15.75" customHeight="1">
      <c r="A545" s="1">
        <v>5.4365658E7</v>
      </c>
      <c r="B545" s="2" t="s">
        <v>2390</v>
      </c>
      <c r="C545" s="19" t="s">
        <v>4408</v>
      </c>
      <c r="D545" s="19"/>
      <c r="E545" s="2" t="s">
        <v>11</v>
      </c>
      <c r="F545" s="19"/>
    </row>
    <row r="546" ht="15.75" customHeight="1">
      <c r="A546" s="1">
        <v>5.4372408E7</v>
      </c>
      <c r="B546" s="2" t="s">
        <v>684</v>
      </c>
      <c r="C546" s="19" t="s">
        <v>4409</v>
      </c>
      <c r="D546" s="19"/>
      <c r="E546" s="2" t="s">
        <v>11</v>
      </c>
      <c r="F546" s="19"/>
    </row>
    <row r="547" ht="15.75" customHeight="1">
      <c r="A547" s="1">
        <v>5.437379E7</v>
      </c>
      <c r="B547" s="2" t="s">
        <v>2075</v>
      </c>
      <c r="C547" s="19" t="s">
        <v>4410</v>
      </c>
      <c r="D547" s="19" t="s">
        <v>4411</v>
      </c>
      <c r="E547" s="9" t="s">
        <v>11</v>
      </c>
      <c r="F547" s="19"/>
    </row>
    <row r="548" ht="15.75" customHeight="1">
      <c r="A548" s="1">
        <v>5.4392707E7</v>
      </c>
      <c r="B548" s="2" t="s">
        <v>2656</v>
      </c>
      <c r="C548" s="19" t="s">
        <v>4412</v>
      </c>
      <c r="D548" s="19"/>
      <c r="E548" s="2" t="s">
        <v>11</v>
      </c>
      <c r="F548" s="19"/>
    </row>
    <row r="549" ht="15.75" customHeight="1">
      <c r="A549" s="1">
        <v>5.4396214E7</v>
      </c>
      <c r="B549" s="2" t="s">
        <v>970</v>
      </c>
      <c r="C549" s="19" t="s">
        <v>4413</v>
      </c>
      <c r="D549" s="19" t="s">
        <v>4414</v>
      </c>
      <c r="E549" s="9" t="s">
        <v>11</v>
      </c>
      <c r="F549" s="19"/>
    </row>
    <row r="550" ht="15.75" customHeight="1">
      <c r="A550" s="1">
        <v>5.4398761E7</v>
      </c>
      <c r="B550" s="2" t="s">
        <v>2176</v>
      </c>
      <c r="C550" s="19" t="s">
        <v>4415</v>
      </c>
      <c r="D550" s="19"/>
      <c r="E550" s="2" t="s">
        <v>11</v>
      </c>
      <c r="F550" s="19"/>
    </row>
    <row r="551" ht="15.75" customHeight="1">
      <c r="A551" s="1">
        <v>5.440349E7</v>
      </c>
      <c r="B551" s="2" t="s">
        <v>690</v>
      </c>
      <c r="C551" s="19" t="s">
        <v>4416</v>
      </c>
      <c r="D551" s="19"/>
      <c r="E551" s="2" t="s">
        <v>11</v>
      </c>
      <c r="F551" s="19"/>
    </row>
    <row r="552" ht="15.75" customHeight="1">
      <c r="A552" s="1">
        <v>5.4406837E7</v>
      </c>
      <c r="B552" s="2" t="s">
        <v>1934</v>
      </c>
      <c r="C552" s="19" t="s">
        <v>4417</v>
      </c>
      <c r="D552" s="19"/>
      <c r="E552" s="2" t="s">
        <v>11</v>
      </c>
      <c r="F552" s="19"/>
    </row>
    <row r="553" ht="15.75" customHeight="1">
      <c r="A553" s="1">
        <v>5.4446152E7</v>
      </c>
      <c r="B553" s="2" t="s">
        <v>1616</v>
      </c>
      <c r="C553" s="19" t="s">
        <v>4418</v>
      </c>
      <c r="D553" s="19" t="s">
        <v>4419</v>
      </c>
      <c r="E553" s="2" t="s">
        <v>11</v>
      </c>
      <c r="F553" s="19"/>
    </row>
    <row r="554" ht="15.75" customHeight="1">
      <c r="A554" s="1">
        <v>5.4446465E7</v>
      </c>
      <c r="B554" s="2" t="s">
        <v>2024</v>
      </c>
      <c r="C554" s="19" t="s">
        <v>4420</v>
      </c>
      <c r="D554" s="19"/>
      <c r="E554" s="2" t="s">
        <v>11</v>
      </c>
      <c r="F554" s="19"/>
    </row>
    <row r="555" ht="15.75" customHeight="1">
      <c r="A555" s="1">
        <v>5.4462153E7</v>
      </c>
      <c r="B555" s="2" t="s">
        <v>2857</v>
      </c>
      <c r="C555" s="19" t="s">
        <v>4421</v>
      </c>
      <c r="D555" s="19"/>
      <c r="E555" s="2" t="s">
        <v>11</v>
      </c>
      <c r="F555" s="19"/>
    </row>
    <row r="556" ht="15.75" customHeight="1">
      <c r="A556" s="1">
        <v>5.4468229E7</v>
      </c>
      <c r="B556" s="2" t="s">
        <v>1310</v>
      </c>
      <c r="C556" s="19" t="s">
        <v>4422</v>
      </c>
      <c r="D556" s="19"/>
      <c r="E556" s="2" t="s">
        <v>11</v>
      </c>
      <c r="F556" s="19"/>
    </row>
    <row r="557" ht="15.75" customHeight="1">
      <c r="A557" s="1">
        <v>5.4472908E7</v>
      </c>
      <c r="B557" s="2" t="s">
        <v>2007</v>
      </c>
      <c r="C557" s="19" t="s">
        <v>4423</v>
      </c>
      <c r="D557" s="19"/>
      <c r="E557" s="2" t="s">
        <v>11</v>
      </c>
      <c r="F557" s="19"/>
    </row>
    <row r="558" ht="15.75" customHeight="1">
      <c r="A558" s="1">
        <v>5.4473192E7</v>
      </c>
      <c r="B558" s="2" t="s">
        <v>2091</v>
      </c>
      <c r="C558" s="19" t="s">
        <v>4424</v>
      </c>
      <c r="D558" s="19" t="s">
        <v>4425</v>
      </c>
      <c r="E558" s="2" t="s">
        <v>11</v>
      </c>
      <c r="F558" s="19"/>
    </row>
    <row r="559" ht="15.75" customHeight="1">
      <c r="A559" s="1">
        <v>5.4475094E7</v>
      </c>
      <c r="B559" s="2" t="s">
        <v>1816</v>
      </c>
      <c r="C559" s="19" t="s">
        <v>4426</v>
      </c>
      <c r="D559" s="19"/>
      <c r="E559" s="2" t="s">
        <v>11</v>
      </c>
      <c r="F559" s="19"/>
    </row>
    <row r="560" ht="15.75" customHeight="1">
      <c r="A560" s="1">
        <v>5.4477736E7</v>
      </c>
      <c r="B560" s="2" t="s">
        <v>746</v>
      </c>
      <c r="C560" s="19" t="s">
        <v>4427</v>
      </c>
      <c r="D560" s="19" t="s">
        <v>4428</v>
      </c>
      <c r="E560" s="2" t="s">
        <v>11</v>
      </c>
      <c r="F560" s="19"/>
    </row>
    <row r="561" ht="15.75" customHeight="1">
      <c r="A561" s="1">
        <v>5.4478438E7</v>
      </c>
      <c r="B561" s="2" t="s">
        <v>1738</v>
      </c>
      <c r="C561" s="19" t="s">
        <v>4429</v>
      </c>
      <c r="D561" s="19"/>
      <c r="E561" s="2" t="s">
        <v>11</v>
      </c>
      <c r="F561" s="19"/>
    </row>
    <row r="562" ht="15.75" customHeight="1">
      <c r="A562" s="1">
        <v>5.4484732E7</v>
      </c>
      <c r="B562" s="2" t="s">
        <v>701</v>
      </c>
      <c r="C562" s="19" t="s">
        <v>4430</v>
      </c>
      <c r="D562" s="19"/>
      <c r="E562" s="2" t="s">
        <v>11</v>
      </c>
      <c r="F562" s="19"/>
    </row>
    <row r="563" ht="15.75" customHeight="1">
      <c r="A563" s="1">
        <v>5.4515593E7</v>
      </c>
      <c r="B563" s="2" t="s">
        <v>1390</v>
      </c>
      <c r="C563" s="19" t="s">
        <v>4431</v>
      </c>
      <c r="D563" s="19" t="s">
        <v>4432</v>
      </c>
      <c r="E563" s="2" t="s">
        <v>11</v>
      </c>
      <c r="F563" s="19"/>
    </row>
    <row r="564" ht="15.75" customHeight="1">
      <c r="A564" s="1">
        <v>5.4520497E7</v>
      </c>
      <c r="B564" s="2" t="s">
        <v>736</v>
      </c>
      <c r="C564" s="19" t="s">
        <v>4433</v>
      </c>
      <c r="D564" s="19"/>
      <c r="E564" s="9" t="s">
        <v>11</v>
      </c>
      <c r="F564" s="19"/>
    </row>
    <row r="565" ht="15.75" customHeight="1">
      <c r="A565" s="1">
        <v>5.4521407E7</v>
      </c>
      <c r="B565" s="2" t="s">
        <v>2738</v>
      </c>
      <c r="C565" s="19" t="s">
        <v>4434</v>
      </c>
      <c r="D565" s="19" t="s">
        <v>4435</v>
      </c>
      <c r="E565" s="2" t="s">
        <v>11</v>
      </c>
      <c r="F565" s="19"/>
    </row>
    <row r="566" ht="15.75" customHeight="1">
      <c r="A566" s="1">
        <v>5.45228E7</v>
      </c>
      <c r="B566" s="2" t="s">
        <v>965</v>
      </c>
      <c r="C566" s="19" t="s">
        <v>4436</v>
      </c>
      <c r="D566" s="19" t="s">
        <v>4437</v>
      </c>
      <c r="E566" s="2" t="s">
        <v>11</v>
      </c>
      <c r="F566" s="19"/>
    </row>
    <row r="567" ht="15.75" customHeight="1">
      <c r="A567" s="1">
        <v>5.4526634E7</v>
      </c>
      <c r="B567" s="2" t="s">
        <v>1617</v>
      </c>
      <c r="C567" s="19" t="s">
        <v>4438</v>
      </c>
      <c r="D567" s="19"/>
      <c r="E567" s="2" t="s">
        <v>11</v>
      </c>
      <c r="F567" s="19"/>
    </row>
    <row r="568" ht="15.75" customHeight="1">
      <c r="A568" s="1">
        <v>5.4531836E7</v>
      </c>
      <c r="B568" s="2" t="s">
        <v>2713</v>
      </c>
      <c r="C568" s="19" t="s">
        <v>4439</v>
      </c>
      <c r="D568" s="19"/>
      <c r="E568" s="2" t="s">
        <v>11</v>
      </c>
      <c r="F568" s="19"/>
    </row>
    <row r="569" ht="15.75" customHeight="1">
      <c r="A569" s="1">
        <v>5.4532079E7</v>
      </c>
      <c r="B569" s="2" t="s">
        <v>1092</v>
      </c>
      <c r="C569" s="19" t="s">
        <v>4440</v>
      </c>
      <c r="D569" s="19"/>
      <c r="E569" s="2" t="s">
        <v>11</v>
      </c>
      <c r="F569" s="19"/>
    </row>
    <row r="570" ht="15.75" customHeight="1">
      <c r="A570" s="1">
        <v>5.4548422E7</v>
      </c>
      <c r="B570" s="2" t="s">
        <v>1351</v>
      </c>
      <c r="C570" s="19" t="s">
        <v>4441</v>
      </c>
      <c r="D570" s="19"/>
      <c r="E570" s="2" t="s">
        <v>11</v>
      </c>
      <c r="F570" s="19"/>
    </row>
    <row r="571" ht="15.75" customHeight="1">
      <c r="A571" s="1">
        <v>5.454849E7</v>
      </c>
      <c r="B571" s="2" t="s">
        <v>1817</v>
      </c>
      <c r="C571" s="19" t="s">
        <v>4442</v>
      </c>
      <c r="D571" s="19" t="s">
        <v>4443</v>
      </c>
      <c r="E571" s="2" t="s">
        <v>11</v>
      </c>
      <c r="F571" s="19"/>
    </row>
    <row r="572" ht="15.75" customHeight="1">
      <c r="A572" s="1">
        <v>5.4563348E7</v>
      </c>
      <c r="B572" s="2" t="s">
        <v>854</v>
      </c>
      <c r="C572" s="19" t="s">
        <v>4444</v>
      </c>
      <c r="D572" s="19"/>
      <c r="E572" s="2" t="s">
        <v>11</v>
      </c>
      <c r="F572" s="19"/>
    </row>
    <row r="573" ht="15.75" customHeight="1">
      <c r="A573" s="1">
        <v>5.4574451E7</v>
      </c>
      <c r="B573" s="2" t="s">
        <v>1750</v>
      </c>
      <c r="C573" s="19" t="s">
        <v>4445</v>
      </c>
      <c r="D573" s="19" t="s">
        <v>4446</v>
      </c>
      <c r="E573" s="2" t="s">
        <v>11</v>
      </c>
      <c r="F573" s="19"/>
    </row>
    <row r="574" ht="15.75" customHeight="1">
      <c r="A574" s="1">
        <v>5.4574872E7</v>
      </c>
      <c r="B574" s="2" t="s">
        <v>2202</v>
      </c>
      <c r="C574" s="19" t="s">
        <v>4447</v>
      </c>
      <c r="D574" s="19"/>
      <c r="E574" s="9" t="s">
        <v>11</v>
      </c>
      <c r="F574" s="19"/>
    </row>
    <row r="575" ht="15.75" customHeight="1">
      <c r="A575" s="1">
        <v>5.4575273E7</v>
      </c>
      <c r="B575" s="2" t="s">
        <v>2002</v>
      </c>
      <c r="C575" s="19" t="s">
        <v>4448</v>
      </c>
      <c r="D575" s="19"/>
      <c r="E575" s="2" t="s">
        <v>11</v>
      </c>
      <c r="F575" s="19"/>
    </row>
    <row r="576" ht="15.75" customHeight="1">
      <c r="A576" s="1">
        <v>5.4577461E7</v>
      </c>
      <c r="B576" s="2" t="s">
        <v>2401</v>
      </c>
      <c r="C576" s="19" t="s">
        <v>4449</v>
      </c>
      <c r="D576" s="19"/>
      <c r="E576" s="2" t="s">
        <v>11</v>
      </c>
      <c r="F576" s="19"/>
    </row>
    <row r="577" ht="15.75" customHeight="1">
      <c r="A577" s="1">
        <v>5.4603982E7</v>
      </c>
      <c r="B577" s="2" t="s">
        <v>1413</v>
      </c>
      <c r="C577" s="19" t="s">
        <v>4450</v>
      </c>
      <c r="D577" s="19"/>
      <c r="E577" s="2" t="s">
        <v>11</v>
      </c>
      <c r="F577" s="19"/>
    </row>
    <row r="578" ht="15.75" customHeight="1">
      <c r="A578" s="1">
        <v>5.4604041E7</v>
      </c>
      <c r="B578" s="2" t="s">
        <v>769</v>
      </c>
      <c r="C578" s="19" t="s">
        <v>4451</v>
      </c>
      <c r="D578" s="19"/>
      <c r="E578" s="2" t="s">
        <v>11</v>
      </c>
      <c r="F578" s="19"/>
    </row>
    <row r="579" ht="15.75" customHeight="1">
      <c r="A579" s="1">
        <v>5.4618164E7</v>
      </c>
      <c r="B579" s="2" t="s">
        <v>2402</v>
      </c>
      <c r="C579" s="19" t="s">
        <v>4452</v>
      </c>
      <c r="D579" s="19"/>
      <c r="E579" s="9" t="s">
        <v>11</v>
      </c>
      <c r="F579" s="19"/>
    </row>
    <row r="580" ht="15.75" customHeight="1">
      <c r="A580" s="1">
        <v>5.4622703E7</v>
      </c>
      <c r="B580" s="2" t="s">
        <v>3186</v>
      </c>
      <c r="C580" s="19" t="s">
        <v>4453</v>
      </c>
      <c r="D580" s="19"/>
      <c r="E580" s="2" t="s">
        <v>11</v>
      </c>
      <c r="F580" s="19"/>
    </row>
    <row r="581" ht="15.75" customHeight="1">
      <c r="A581" s="1">
        <v>5.4639927E7</v>
      </c>
      <c r="B581" s="2" t="s">
        <v>801</v>
      </c>
      <c r="C581" s="19" t="s">
        <v>4454</v>
      </c>
      <c r="D581" s="19"/>
      <c r="E581" s="2" t="s">
        <v>11</v>
      </c>
      <c r="F581" s="19"/>
    </row>
    <row r="582" ht="15.75" customHeight="1">
      <c r="A582" s="1">
        <v>5.4646038E7</v>
      </c>
      <c r="B582" s="2" t="s">
        <v>3294</v>
      </c>
      <c r="C582" s="19" t="s">
        <v>4455</v>
      </c>
      <c r="D582" s="19"/>
      <c r="E582" s="2" t="s">
        <v>11</v>
      </c>
      <c r="F582" s="19"/>
    </row>
    <row r="583" ht="15.75" customHeight="1">
      <c r="A583" s="1">
        <v>5.4662808E7</v>
      </c>
      <c r="B583" s="2" t="s">
        <v>2452</v>
      </c>
      <c r="C583" s="19" t="s">
        <v>4456</v>
      </c>
      <c r="D583" s="19"/>
      <c r="E583" s="2" t="s">
        <v>11</v>
      </c>
      <c r="F583" s="19"/>
    </row>
    <row r="584" ht="15.75" customHeight="1">
      <c r="A584" s="1">
        <v>5.4666018E7</v>
      </c>
      <c r="B584" s="2" t="s">
        <v>2701</v>
      </c>
      <c r="C584" s="19" t="s">
        <v>4457</v>
      </c>
      <c r="D584" s="19" t="s">
        <v>4458</v>
      </c>
      <c r="E584" s="2" t="s">
        <v>11</v>
      </c>
      <c r="F584" s="19"/>
    </row>
    <row r="585" ht="15.75" customHeight="1">
      <c r="A585" s="1">
        <v>5.4666876E7</v>
      </c>
      <c r="B585" s="2" t="s">
        <v>971</v>
      </c>
      <c r="C585" s="19" t="s">
        <v>4459</v>
      </c>
      <c r="D585" s="19" t="s">
        <v>4460</v>
      </c>
      <c r="E585" s="2" t="s">
        <v>11</v>
      </c>
      <c r="F585" s="19"/>
    </row>
    <row r="586" ht="15.75" customHeight="1">
      <c r="A586" s="1">
        <v>5.4678756E7</v>
      </c>
      <c r="B586" s="2" t="s">
        <v>2944</v>
      </c>
      <c r="C586" s="19" t="s">
        <v>4461</v>
      </c>
      <c r="D586" s="19" t="s">
        <v>4462</v>
      </c>
      <c r="E586" s="2" t="s">
        <v>11</v>
      </c>
      <c r="F586" s="19"/>
    </row>
    <row r="587" ht="15.75" customHeight="1">
      <c r="A587" s="1">
        <v>5.4688078E7</v>
      </c>
      <c r="B587" s="2" t="s">
        <v>1983</v>
      </c>
      <c r="C587" s="19" t="s">
        <v>4463</v>
      </c>
      <c r="D587" s="19" t="s">
        <v>4464</v>
      </c>
      <c r="E587" s="2" t="s">
        <v>11</v>
      </c>
      <c r="F587" s="19"/>
    </row>
    <row r="588" ht="15.75" customHeight="1">
      <c r="A588" s="1">
        <v>5.4695712E7</v>
      </c>
      <c r="B588" s="2" t="s">
        <v>2332</v>
      </c>
      <c r="C588" s="19" t="s">
        <v>4465</v>
      </c>
      <c r="D588" s="19" t="s">
        <v>4466</v>
      </c>
      <c r="E588" s="2" t="s">
        <v>11</v>
      </c>
      <c r="F588" s="19"/>
    </row>
    <row r="589" ht="15.75" customHeight="1">
      <c r="A589" s="1">
        <v>5.4700894E7</v>
      </c>
      <c r="B589" s="2" t="s">
        <v>1245</v>
      </c>
      <c r="C589" s="19" t="s">
        <v>4467</v>
      </c>
      <c r="D589" s="19"/>
      <c r="E589" s="2" t="s">
        <v>11</v>
      </c>
      <c r="F589" s="19"/>
    </row>
    <row r="590" ht="15.75" customHeight="1">
      <c r="A590" s="1">
        <v>5.4714252E7</v>
      </c>
      <c r="B590" s="2" t="s">
        <v>582</v>
      </c>
      <c r="C590" s="19" t="s">
        <v>4468</v>
      </c>
      <c r="D590" s="19" t="s">
        <v>4469</v>
      </c>
      <c r="E590" s="2" t="s">
        <v>11</v>
      </c>
      <c r="F590" s="19"/>
    </row>
    <row r="591" ht="15.75" customHeight="1">
      <c r="A591" s="1">
        <v>5.4734086E7</v>
      </c>
      <c r="B591" s="2" t="s">
        <v>2266</v>
      </c>
      <c r="C591" s="19" t="s">
        <v>4470</v>
      </c>
      <c r="D591" s="19"/>
      <c r="E591" s="2" t="s">
        <v>11</v>
      </c>
      <c r="F591" s="19"/>
    </row>
    <row r="592" ht="15.75" customHeight="1">
      <c r="A592" s="1">
        <v>5.4741436E7</v>
      </c>
      <c r="B592" s="2" t="s">
        <v>1574</v>
      </c>
      <c r="C592" s="19" t="s">
        <v>4471</v>
      </c>
      <c r="D592" s="19"/>
      <c r="E592" s="2" t="s">
        <v>11</v>
      </c>
      <c r="F592" s="19"/>
    </row>
    <row r="593" ht="15.75" customHeight="1">
      <c r="A593" s="1">
        <v>5.4747323E7</v>
      </c>
      <c r="B593" s="2" t="s">
        <v>1589</v>
      </c>
      <c r="C593" s="19" t="s">
        <v>4472</v>
      </c>
      <c r="D593" s="19"/>
      <c r="E593" s="9" t="s">
        <v>11</v>
      </c>
      <c r="F593" s="19"/>
    </row>
    <row r="594" ht="15.75" customHeight="1">
      <c r="A594" s="1">
        <v>5.4751381E7</v>
      </c>
      <c r="B594" s="2" t="s">
        <v>339</v>
      </c>
      <c r="C594" s="19" t="s">
        <v>4473</v>
      </c>
      <c r="D594" s="19" t="s">
        <v>4474</v>
      </c>
      <c r="E594" s="2" t="s">
        <v>11</v>
      </c>
      <c r="F594" s="19"/>
    </row>
    <row r="595" ht="15.75" customHeight="1">
      <c r="A595" s="1">
        <v>5.4754818E7</v>
      </c>
      <c r="B595" s="2" t="s">
        <v>1455</v>
      </c>
      <c r="C595" s="19" t="s">
        <v>4475</v>
      </c>
      <c r="D595" s="19"/>
      <c r="E595" s="2" t="s">
        <v>11</v>
      </c>
      <c r="F595" s="19"/>
    </row>
    <row r="596" ht="15.75" customHeight="1">
      <c r="A596" s="1">
        <v>5.4757002E7</v>
      </c>
      <c r="B596" s="2" t="s">
        <v>2894</v>
      </c>
      <c r="C596" s="19" t="s">
        <v>4476</v>
      </c>
      <c r="D596" s="19" t="s">
        <v>4477</v>
      </c>
      <c r="E596" s="2" t="s">
        <v>11</v>
      </c>
      <c r="F596" s="19"/>
    </row>
    <row r="597" ht="15.75" customHeight="1">
      <c r="A597" s="1">
        <v>5.4760591E7</v>
      </c>
      <c r="B597" s="2" t="s">
        <v>1798</v>
      </c>
      <c r="C597" s="19" t="s">
        <v>4478</v>
      </c>
      <c r="D597" s="19"/>
      <c r="E597" s="2" t="s">
        <v>11</v>
      </c>
      <c r="F597" s="19"/>
    </row>
    <row r="598" ht="15.75" customHeight="1">
      <c r="A598" s="1">
        <v>5.4773028E7</v>
      </c>
      <c r="B598" s="2" t="s">
        <v>3138</v>
      </c>
      <c r="C598" s="19" t="s">
        <v>4479</v>
      </c>
      <c r="D598" s="19"/>
      <c r="E598" s="2" t="s">
        <v>11</v>
      </c>
      <c r="F598" s="19"/>
    </row>
    <row r="599" ht="15.75" customHeight="1">
      <c r="A599" s="1">
        <v>5.4790585E7</v>
      </c>
      <c r="B599" s="2" t="s">
        <v>2465</v>
      </c>
      <c r="C599" s="19" t="s">
        <v>4480</v>
      </c>
      <c r="D599" s="19"/>
      <c r="E599" s="2" t="s">
        <v>11</v>
      </c>
      <c r="F599" s="19"/>
    </row>
    <row r="600" ht="15.75" customHeight="1">
      <c r="A600" s="1">
        <v>5.4800171E7</v>
      </c>
      <c r="B600" s="2" t="s">
        <v>2840</v>
      </c>
      <c r="C600" s="19" t="s">
        <v>4481</v>
      </c>
      <c r="D600" s="19" t="s">
        <v>4482</v>
      </c>
      <c r="E600" s="2" t="s">
        <v>11</v>
      </c>
      <c r="F600" s="19"/>
    </row>
    <row r="601" ht="15.75" customHeight="1">
      <c r="A601" s="1">
        <v>5.4822913E7</v>
      </c>
      <c r="B601" s="2" t="s">
        <v>1145</v>
      </c>
      <c r="C601" s="19" t="s">
        <v>4483</v>
      </c>
      <c r="D601" s="19" t="s">
        <v>4484</v>
      </c>
      <c r="E601" s="2" t="s">
        <v>11</v>
      </c>
      <c r="F601" s="19"/>
    </row>
    <row r="602" ht="15.75" customHeight="1">
      <c r="A602" s="1">
        <v>5.4828156E7</v>
      </c>
      <c r="B602" s="2" t="s">
        <v>3187</v>
      </c>
      <c r="C602" s="19" t="s">
        <v>4485</v>
      </c>
      <c r="D602" s="19"/>
      <c r="E602" s="2" t="s">
        <v>11</v>
      </c>
      <c r="F602" s="19"/>
    </row>
    <row r="603" ht="15.75" customHeight="1">
      <c r="A603" s="1">
        <v>5.4829314E7</v>
      </c>
      <c r="B603" s="2" t="s">
        <v>1704</v>
      </c>
      <c r="C603" s="19" t="s">
        <v>4486</v>
      </c>
      <c r="D603" s="19" t="s">
        <v>4487</v>
      </c>
      <c r="E603" s="9" t="s">
        <v>11</v>
      </c>
      <c r="F603" s="19"/>
    </row>
    <row r="604" ht="15.75" customHeight="1">
      <c r="A604" s="1">
        <v>5.4848296E7</v>
      </c>
      <c r="B604" s="2" t="s">
        <v>1514</v>
      </c>
      <c r="C604" s="19" t="s">
        <v>4488</v>
      </c>
      <c r="D604" s="19"/>
      <c r="E604" s="2" t="s">
        <v>11</v>
      </c>
      <c r="F604" s="19"/>
    </row>
    <row r="605" ht="15.75" customHeight="1">
      <c r="A605" s="1">
        <v>5.4857737E7</v>
      </c>
      <c r="B605" s="2" t="s">
        <v>2375</v>
      </c>
      <c r="C605" s="19" t="s">
        <v>4489</v>
      </c>
      <c r="D605" s="19"/>
      <c r="E605" s="2" t="s">
        <v>11</v>
      </c>
      <c r="F605" s="19"/>
    </row>
    <row r="606" ht="15.75" customHeight="1">
      <c r="A606" s="1">
        <v>5.4868399E7</v>
      </c>
      <c r="B606" s="2" t="s">
        <v>284</v>
      </c>
      <c r="C606" s="19" t="s">
        <v>4490</v>
      </c>
      <c r="D606" s="19" t="s">
        <v>4491</v>
      </c>
      <c r="E606" s="2" t="s">
        <v>11</v>
      </c>
      <c r="F606" s="19"/>
    </row>
    <row r="607" ht="15.75" customHeight="1">
      <c r="A607" s="1">
        <v>5.4881057E7</v>
      </c>
      <c r="B607" s="2" t="s">
        <v>2453</v>
      </c>
      <c r="C607" s="19" t="s">
        <v>4492</v>
      </c>
      <c r="D607" s="19"/>
      <c r="E607" s="2" t="s">
        <v>11</v>
      </c>
      <c r="F607" s="19"/>
    </row>
    <row r="608" ht="15.75" customHeight="1">
      <c r="A608" s="1">
        <v>5.4884332E7</v>
      </c>
      <c r="B608" s="2" t="s">
        <v>1493</v>
      </c>
      <c r="C608" s="19" t="s">
        <v>4493</v>
      </c>
      <c r="D608" s="19"/>
      <c r="E608" s="2" t="s">
        <v>11</v>
      </c>
      <c r="F608" s="19"/>
    </row>
    <row r="609" ht="15.75" customHeight="1">
      <c r="A609" s="1">
        <v>5.4894563E7</v>
      </c>
      <c r="B609" s="2" t="s">
        <v>2267</v>
      </c>
      <c r="C609" s="19" t="s">
        <v>4494</v>
      </c>
      <c r="D609" s="19"/>
      <c r="E609" s="2" t="s">
        <v>11</v>
      </c>
      <c r="F609" s="19"/>
    </row>
    <row r="610" ht="15.75" customHeight="1">
      <c r="A610" s="1">
        <v>5.4900592E7</v>
      </c>
      <c r="B610" s="2" t="s">
        <v>2777</v>
      </c>
      <c r="C610" s="19" t="s">
        <v>4495</v>
      </c>
      <c r="D610" s="19"/>
      <c r="E610" s="2" t="s">
        <v>11</v>
      </c>
      <c r="F610" s="19"/>
    </row>
    <row r="611" ht="15.75" customHeight="1">
      <c r="A611" s="1">
        <v>5.4902191E7</v>
      </c>
      <c r="B611" s="2" t="s">
        <v>1080</v>
      </c>
      <c r="C611" s="19" t="s">
        <v>4496</v>
      </c>
      <c r="D611" s="19"/>
      <c r="E611" s="2" t="s">
        <v>11</v>
      </c>
      <c r="F611" s="19"/>
    </row>
    <row r="612" ht="15.75" customHeight="1">
      <c r="A612" s="1">
        <v>5.4902614E7</v>
      </c>
      <c r="B612" s="2" t="s">
        <v>2686</v>
      </c>
      <c r="C612" s="19" t="s">
        <v>4497</v>
      </c>
      <c r="D612" s="19" t="s">
        <v>4498</v>
      </c>
      <c r="E612" s="2" t="s">
        <v>11</v>
      </c>
      <c r="F612" s="19"/>
    </row>
    <row r="613" ht="15.75" customHeight="1">
      <c r="A613" s="1">
        <v>5.4906258E7</v>
      </c>
      <c r="B613" s="2" t="s">
        <v>275</v>
      </c>
      <c r="C613" s="19" t="s">
        <v>4499</v>
      </c>
      <c r="D613" s="19" t="s">
        <v>4500</v>
      </c>
      <c r="E613" s="2" t="s">
        <v>11</v>
      </c>
      <c r="F613" s="19"/>
    </row>
    <row r="614" ht="15.75" customHeight="1">
      <c r="A614" s="1">
        <v>5.4910488E7</v>
      </c>
      <c r="B614" s="2" t="s">
        <v>1903</v>
      </c>
      <c r="C614" s="19" t="s">
        <v>4501</v>
      </c>
      <c r="D614" s="19"/>
      <c r="E614" s="2" t="s">
        <v>11</v>
      </c>
      <c r="F614" s="19"/>
    </row>
    <row r="615" ht="15.75" customHeight="1">
      <c r="A615" s="1">
        <v>5.4920348E7</v>
      </c>
      <c r="B615" s="2" t="s">
        <v>1710</v>
      </c>
      <c r="C615" s="19" t="s">
        <v>4502</v>
      </c>
      <c r="D615" s="19" t="s">
        <v>4503</v>
      </c>
      <c r="E615" s="2" t="s">
        <v>11</v>
      </c>
      <c r="F615" s="19"/>
    </row>
    <row r="616" ht="15.75" customHeight="1">
      <c r="A616" s="1">
        <v>5.4925179E7</v>
      </c>
      <c r="B616" s="2" t="s">
        <v>62</v>
      </c>
      <c r="C616" s="19" t="s">
        <v>4504</v>
      </c>
      <c r="D616" s="19"/>
      <c r="E616" s="2" t="s">
        <v>11</v>
      </c>
      <c r="F616" s="19"/>
    </row>
    <row r="617" ht="15.75" customHeight="1">
      <c r="A617" s="1">
        <v>5.4935102E7</v>
      </c>
      <c r="B617" s="2" t="s">
        <v>1609</v>
      </c>
      <c r="C617" s="19" t="s">
        <v>4505</v>
      </c>
      <c r="D617" s="19" t="s">
        <v>4506</v>
      </c>
      <c r="E617" s="2" t="s">
        <v>11</v>
      </c>
      <c r="F617" s="19"/>
    </row>
    <row r="618" ht="15.75" customHeight="1">
      <c r="A618" s="1">
        <v>5.4936924E7</v>
      </c>
      <c r="B618" s="2" t="s">
        <v>2567</v>
      </c>
      <c r="C618" s="19" t="s">
        <v>4507</v>
      </c>
      <c r="D618" s="19"/>
      <c r="E618" s="2" t="s">
        <v>11</v>
      </c>
      <c r="F618" s="19"/>
    </row>
    <row r="619" ht="15.75" customHeight="1">
      <c r="A619" s="1">
        <v>5.4937175E7</v>
      </c>
      <c r="B619" s="2" t="s">
        <v>1012</v>
      </c>
      <c r="C619" s="19" t="s">
        <v>4508</v>
      </c>
      <c r="D619" s="19" t="s">
        <v>4509</v>
      </c>
      <c r="E619" s="9" t="s">
        <v>11</v>
      </c>
      <c r="F619" s="19"/>
    </row>
    <row r="620" ht="15.75" customHeight="1">
      <c r="A620" s="1">
        <v>5.4945975E7</v>
      </c>
      <c r="B620" s="2" t="s">
        <v>1977</v>
      </c>
      <c r="C620" s="19" t="s">
        <v>4510</v>
      </c>
      <c r="D620" s="19"/>
      <c r="E620" s="9" t="s">
        <v>11</v>
      </c>
      <c r="F620" s="19"/>
    </row>
    <row r="621" ht="15.75" customHeight="1">
      <c r="A621" s="1">
        <v>5.4951696E7</v>
      </c>
      <c r="B621" s="2" t="s">
        <v>2818</v>
      </c>
      <c r="C621" s="19" t="s">
        <v>4511</v>
      </c>
      <c r="D621" s="19" t="s">
        <v>4512</v>
      </c>
      <c r="E621" s="2" t="s">
        <v>11</v>
      </c>
      <c r="F621" s="19"/>
    </row>
    <row r="622" ht="15.75" customHeight="1">
      <c r="A622" s="1">
        <v>5.496011E7</v>
      </c>
      <c r="B622" s="2" t="s">
        <v>2913</v>
      </c>
      <c r="C622" s="19" t="s">
        <v>4513</v>
      </c>
      <c r="D622" s="19"/>
      <c r="E622" s="2" t="s">
        <v>11</v>
      </c>
      <c r="F622" s="19"/>
    </row>
    <row r="623" ht="15.75" customHeight="1">
      <c r="A623" s="1">
        <v>5.4967399E7</v>
      </c>
      <c r="B623" s="2" t="s">
        <v>1174</v>
      </c>
      <c r="C623" s="19" t="s">
        <v>4514</v>
      </c>
      <c r="D623" s="19"/>
      <c r="E623" s="2" t="s">
        <v>11</v>
      </c>
      <c r="F623" s="19"/>
    </row>
    <row r="624" ht="15.75" customHeight="1">
      <c r="A624" s="1">
        <v>5.4980076E7</v>
      </c>
      <c r="B624" s="2" t="s">
        <v>2982</v>
      </c>
      <c r="C624" s="19" t="s">
        <v>4515</v>
      </c>
      <c r="D624" s="19"/>
      <c r="E624" s="2" t="s">
        <v>11</v>
      </c>
      <c r="F624" s="19"/>
    </row>
    <row r="625" ht="15.75" customHeight="1">
      <c r="A625" s="1">
        <v>5.4987992E7</v>
      </c>
      <c r="B625" s="2" t="s">
        <v>1559</v>
      </c>
      <c r="C625" s="19" t="s">
        <v>4516</v>
      </c>
      <c r="D625" s="19" t="s">
        <v>4517</v>
      </c>
      <c r="E625" s="2" t="s">
        <v>11</v>
      </c>
      <c r="F625" s="19"/>
    </row>
    <row r="626" ht="15.75" customHeight="1">
      <c r="A626" s="1">
        <v>5.4991854E7</v>
      </c>
      <c r="B626" s="2" t="s">
        <v>958</v>
      </c>
      <c r="C626" s="19" t="s">
        <v>4518</v>
      </c>
      <c r="D626" s="19"/>
      <c r="E626" s="2" t="s">
        <v>11</v>
      </c>
      <c r="F626" s="19"/>
    </row>
    <row r="627" ht="15.75" customHeight="1">
      <c r="A627" s="1">
        <v>5.4995158E7</v>
      </c>
      <c r="B627" s="2" t="s">
        <v>1528</v>
      </c>
      <c r="C627" s="19" t="s">
        <v>4519</v>
      </c>
      <c r="D627" s="19"/>
      <c r="E627" s="2" t="s">
        <v>11</v>
      </c>
      <c r="F627" s="19"/>
    </row>
    <row r="628" ht="15.75" customHeight="1">
      <c r="A628" s="1">
        <v>5.5000264E7</v>
      </c>
      <c r="B628" s="2" t="s">
        <v>489</v>
      </c>
      <c r="C628" s="19" t="s">
        <v>4520</v>
      </c>
      <c r="D628" s="19"/>
      <c r="E628" s="2" t="s">
        <v>11</v>
      </c>
      <c r="F628" s="19"/>
    </row>
    <row r="629" ht="15.75" customHeight="1">
      <c r="A629" s="1">
        <v>5.5006077E7</v>
      </c>
      <c r="B629" s="2" t="s">
        <v>2177</v>
      </c>
      <c r="C629" s="19" t="s">
        <v>4521</v>
      </c>
      <c r="D629" s="19"/>
      <c r="E629" s="9" t="s">
        <v>11</v>
      </c>
      <c r="F629" s="19"/>
    </row>
    <row r="630" ht="15.75" customHeight="1">
      <c r="A630" s="1">
        <v>5.5009565E7</v>
      </c>
      <c r="B630" s="2" t="s">
        <v>198</v>
      </c>
      <c r="C630" s="19" t="s">
        <v>4522</v>
      </c>
      <c r="D630" s="19"/>
      <c r="E630" s="2" t="s">
        <v>11</v>
      </c>
      <c r="F630" s="19"/>
    </row>
    <row r="631" ht="15.75" customHeight="1">
      <c r="A631" s="1">
        <v>5.5010103E7</v>
      </c>
      <c r="B631" s="2" t="s">
        <v>2615</v>
      </c>
      <c r="C631" s="19" t="s">
        <v>4523</v>
      </c>
      <c r="D631" s="19"/>
      <c r="E631" s="9" t="s">
        <v>11</v>
      </c>
      <c r="F631" s="19"/>
    </row>
    <row r="632" ht="15.75" customHeight="1">
      <c r="A632" s="1">
        <v>5.5010153E7</v>
      </c>
      <c r="B632" s="2" t="s">
        <v>2687</v>
      </c>
      <c r="C632" s="19" t="s">
        <v>4524</v>
      </c>
      <c r="D632" s="19"/>
      <c r="E632" s="2" t="s">
        <v>11</v>
      </c>
      <c r="F632" s="19"/>
    </row>
    <row r="633" ht="15.75" customHeight="1">
      <c r="A633" s="1">
        <v>5.5024778E7</v>
      </c>
      <c r="B633" s="2" t="s">
        <v>1940</v>
      </c>
      <c r="C633" s="19" t="s">
        <v>4525</v>
      </c>
      <c r="D633" s="19"/>
      <c r="E633" s="2" t="s">
        <v>11</v>
      </c>
      <c r="F633" s="19"/>
    </row>
    <row r="634" ht="15.75" customHeight="1">
      <c r="A634" s="1">
        <v>5.5026722E7</v>
      </c>
      <c r="B634" s="2" t="s">
        <v>1780</v>
      </c>
      <c r="C634" s="19" t="s">
        <v>4526</v>
      </c>
      <c r="D634" s="19" t="s">
        <v>4527</v>
      </c>
      <c r="E634" s="2" t="s">
        <v>11</v>
      </c>
      <c r="F634" s="19"/>
    </row>
    <row r="635" ht="15.75" customHeight="1">
      <c r="A635" s="1">
        <v>5.5048122E7</v>
      </c>
      <c r="B635" s="2" t="s">
        <v>1836</v>
      </c>
      <c r="C635" s="19" t="s">
        <v>4528</v>
      </c>
      <c r="D635" s="19"/>
      <c r="E635" s="2" t="s">
        <v>11</v>
      </c>
      <c r="F635" s="19"/>
    </row>
    <row r="636" ht="15.75" customHeight="1">
      <c r="A636" s="1">
        <v>5.5050411E7</v>
      </c>
      <c r="B636" s="2" t="s">
        <v>2841</v>
      </c>
      <c r="C636" s="19" t="s">
        <v>4529</v>
      </c>
      <c r="D636" s="19"/>
      <c r="E636" s="9" t="s">
        <v>11</v>
      </c>
      <c r="F636" s="19"/>
    </row>
    <row r="637" ht="15.75" customHeight="1">
      <c r="A637" s="1">
        <v>5.5064804E7</v>
      </c>
      <c r="B637" s="2" t="s">
        <v>1978</v>
      </c>
      <c r="C637" s="19" t="s">
        <v>4530</v>
      </c>
      <c r="D637" s="19"/>
      <c r="E637" s="2" t="s">
        <v>11</v>
      </c>
      <c r="F637" s="19"/>
    </row>
    <row r="638" ht="15.75" customHeight="1">
      <c r="A638" s="1">
        <v>5.5075917E7</v>
      </c>
      <c r="B638" s="2" t="s">
        <v>3354</v>
      </c>
      <c r="C638" s="19" t="s">
        <v>4531</v>
      </c>
      <c r="D638" s="19"/>
      <c r="E638" s="9" t="s">
        <v>11</v>
      </c>
      <c r="F638" s="19"/>
    </row>
    <row r="639" ht="15.75" customHeight="1">
      <c r="A639" s="1">
        <v>5.5090674E7</v>
      </c>
      <c r="B639" s="2" t="s">
        <v>3114</v>
      </c>
      <c r="C639" s="19" t="s">
        <v>4532</v>
      </c>
      <c r="D639" s="19"/>
      <c r="E639" s="9" t="s">
        <v>11</v>
      </c>
      <c r="F639" s="19"/>
    </row>
    <row r="640" ht="15.75" customHeight="1">
      <c r="A640" s="1">
        <v>5.5101284E7</v>
      </c>
      <c r="B640" s="2" t="s">
        <v>1395</v>
      </c>
      <c r="C640" s="19" t="s">
        <v>4533</v>
      </c>
      <c r="D640" s="19" t="s">
        <v>4534</v>
      </c>
      <c r="E640" s="2" t="s">
        <v>11</v>
      </c>
      <c r="F640" s="19"/>
    </row>
    <row r="641" ht="15.75" customHeight="1">
      <c r="A641" s="1">
        <v>5.510444E7</v>
      </c>
      <c r="B641" s="2" t="s">
        <v>2377</v>
      </c>
      <c r="C641" s="19" t="s">
        <v>4535</v>
      </c>
      <c r="D641" s="19"/>
      <c r="E641" s="9" t="s">
        <v>11</v>
      </c>
      <c r="F641" s="19"/>
    </row>
    <row r="642" ht="15.75" customHeight="1">
      <c r="A642" s="1">
        <v>5.5118699E7</v>
      </c>
      <c r="B642" s="2" t="s">
        <v>1097</v>
      </c>
      <c r="C642" s="19" t="s">
        <v>4536</v>
      </c>
      <c r="D642" s="19" t="s">
        <v>4537</v>
      </c>
      <c r="E642" s="9" t="s">
        <v>11</v>
      </c>
      <c r="F642" s="19"/>
    </row>
    <row r="643" ht="15.75" customHeight="1">
      <c r="A643" s="1">
        <v>5.5122901E7</v>
      </c>
      <c r="B643" s="2" t="s">
        <v>1099</v>
      </c>
      <c r="C643" s="19" t="s">
        <v>4538</v>
      </c>
      <c r="D643" s="19" t="s">
        <v>4539</v>
      </c>
      <c r="E643" s="2" t="s">
        <v>11</v>
      </c>
      <c r="F643" s="19"/>
    </row>
    <row r="644" ht="15.75" customHeight="1">
      <c r="A644" s="1">
        <v>5.512617E7</v>
      </c>
      <c r="B644" s="2" t="s">
        <v>1954</v>
      </c>
      <c r="C644" s="19" t="s">
        <v>4540</v>
      </c>
      <c r="D644" s="19" t="s">
        <v>4541</v>
      </c>
      <c r="E644" s="9" t="s">
        <v>11</v>
      </c>
      <c r="F644" s="19"/>
    </row>
    <row r="645" ht="15.75" customHeight="1">
      <c r="A645" s="1">
        <v>5.5136468E7</v>
      </c>
      <c r="B645" s="2" t="s">
        <v>1565</v>
      </c>
      <c r="C645" s="19" t="s">
        <v>4542</v>
      </c>
      <c r="D645" s="19"/>
      <c r="E645" s="9" t="s">
        <v>11</v>
      </c>
      <c r="F645" s="19"/>
    </row>
    <row r="646" ht="15.75" customHeight="1">
      <c r="A646" s="1">
        <v>5.5137884E7</v>
      </c>
      <c r="B646" s="2" t="s">
        <v>2378</v>
      </c>
      <c r="C646" s="19" t="s">
        <v>4543</v>
      </c>
      <c r="D646" s="19"/>
      <c r="E646" s="2" t="s">
        <v>11</v>
      </c>
      <c r="F646" s="19"/>
    </row>
    <row r="647" ht="15.75" customHeight="1">
      <c r="A647" s="1">
        <v>5.5143718E7</v>
      </c>
      <c r="B647" s="2" t="s">
        <v>2430</v>
      </c>
      <c r="C647" s="19" t="s">
        <v>4544</v>
      </c>
      <c r="D647" s="19"/>
      <c r="E647" s="2" t="s">
        <v>11</v>
      </c>
      <c r="F647" s="19"/>
    </row>
    <row r="648" ht="15.75" customHeight="1">
      <c r="A648" s="1">
        <v>5.5161617E7</v>
      </c>
      <c r="B648" s="2" t="s">
        <v>2403</v>
      </c>
      <c r="C648" s="19" t="s">
        <v>4545</v>
      </c>
      <c r="D648" s="19"/>
      <c r="E648" s="2" t="s">
        <v>11</v>
      </c>
      <c r="F648" s="19"/>
    </row>
    <row r="649" ht="15.75" customHeight="1">
      <c r="A649" s="1">
        <v>5.5164994E7</v>
      </c>
      <c r="B649" s="2" t="s">
        <v>2360</v>
      </c>
      <c r="C649" s="19" t="s">
        <v>4546</v>
      </c>
      <c r="D649" s="19"/>
      <c r="E649" s="2" t="s">
        <v>11</v>
      </c>
      <c r="F649" s="19"/>
    </row>
    <row r="650" ht="15.75" customHeight="1">
      <c r="A650" s="1">
        <v>5.5168898E7</v>
      </c>
      <c r="B650" s="2" t="s">
        <v>234</v>
      </c>
      <c r="C650" s="19" t="s">
        <v>4547</v>
      </c>
      <c r="D650" s="19" t="s">
        <v>4548</v>
      </c>
      <c r="E650" s="2" t="s">
        <v>11</v>
      </c>
      <c r="F650" s="19"/>
    </row>
    <row r="651" ht="15.75" customHeight="1">
      <c r="A651" s="1">
        <v>5.5176954E7</v>
      </c>
      <c r="B651" s="2" t="s">
        <v>2319</v>
      </c>
      <c r="C651" s="19" t="s">
        <v>4549</v>
      </c>
      <c r="D651" s="19"/>
      <c r="E651" s="2" t="s">
        <v>11</v>
      </c>
      <c r="F651" s="19"/>
    </row>
    <row r="652" ht="15.75" customHeight="1">
      <c r="A652" s="1">
        <v>5.5178584E7</v>
      </c>
      <c r="B652" s="2" t="s">
        <v>2683</v>
      </c>
      <c r="C652" s="19" t="s">
        <v>4550</v>
      </c>
      <c r="D652" s="19"/>
      <c r="E652" s="2" t="s">
        <v>11</v>
      </c>
      <c r="F652" s="19"/>
    </row>
    <row r="653" ht="15.75" customHeight="1">
      <c r="A653" s="1">
        <v>5.5179755E7</v>
      </c>
      <c r="B653" s="2" t="s">
        <v>2379</v>
      </c>
      <c r="C653" s="19" t="s">
        <v>4551</v>
      </c>
      <c r="D653" s="19"/>
      <c r="E653" s="9" t="s">
        <v>11</v>
      </c>
      <c r="F653" s="19"/>
    </row>
    <row r="654" ht="15.75" customHeight="1">
      <c r="A654" s="1">
        <v>5.5193693E7</v>
      </c>
      <c r="B654" s="2" t="s">
        <v>2673</v>
      </c>
      <c r="C654" s="19" t="s">
        <v>4552</v>
      </c>
      <c r="D654" s="19"/>
      <c r="E654" s="2" t="s">
        <v>11</v>
      </c>
      <c r="F654" s="19"/>
    </row>
    <row r="655" ht="15.75" customHeight="1">
      <c r="A655" s="1">
        <v>5.5196502E7</v>
      </c>
      <c r="B655" s="2" t="s">
        <v>2778</v>
      </c>
      <c r="C655" s="19" t="s">
        <v>4553</v>
      </c>
      <c r="D655" s="19"/>
      <c r="E655" s="9" t="s">
        <v>11</v>
      </c>
      <c r="F655" s="19"/>
    </row>
    <row r="656" ht="15.75" customHeight="1">
      <c r="A656" s="1">
        <v>5.5212167E7</v>
      </c>
      <c r="B656" s="2" t="s">
        <v>1802</v>
      </c>
      <c r="C656" s="19" t="s">
        <v>4554</v>
      </c>
      <c r="D656" s="19" t="s">
        <v>4555</v>
      </c>
      <c r="E656" s="2" t="s">
        <v>11</v>
      </c>
      <c r="F656" s="19"/>
    </row>
    <row r="657" ht="15.75" customHeight="1">
      <c r="A657" s="1">
        <v>5.5217961E7</v>
      </c>
      <c r="B657" s="2" t="s">
        <v>1345</v>
      </c>
      <c r="C657" s="19" t="s">
        <v>4556</v>
      </c>
      <c r="D657" s="19"/>
      <c r="E657" s="2" t="s">
        <v>11</v>
      </c>
      <c r="F657" s="19"/>
    </row>
    <row r="658" ht="15.75" customHeight="1">
      <c r="A658" s="1">
        <v>5.5219295E7</v>
      </c>
      <c r="B658" s="2" t="s">
        <v>3115</v>
      </c>
      <c r="C658" s="19" t="s">
        <v>4557</v>
      </c>
      <c r="D658" s="19"/>
      <c r="E658" s="2" t="s">
        <v>11</v>
      </c>
      <c r="F658" s="19"/>
    </row>
    <row r="659" ht="15.75" customHeight="1">
      <c r="A659" s="1">
        <v>5.5220739E7</v>
      </c>
      <c r="B659" s="2" t="s">
        <v>2657</v>
      </c>
      <c r="C659" s="19" t="s">
        <v>4558</v>
      </c>
      <c r="D659" s="19"/>
      <c r="E659" s="9" t="s">
        <v>11</v>
      </c>
      <c r="F659" s="19"/>
    </row>
    <row r="660" ht="15.75" customHeight="1">
      <c r="A660" s="1">
        <v>5.5240089E7</v>
      </c>
      <c r="B660" s="2" t="s">
        <v>2490</v>
      </c>
      <c r="C660" s="19" t="s">
        <v>4559</v>
      </c>
      <c r="D660" s="19"/>
      <c r="E660" s="2" t="s">
        <v>11</v>
      </c>
      <c r="F660" s="19"/>
    </row>
    <row r="661" ht="15.75" customHeight="1">
      <c r="A661" s="1">
        <v>5.5240373E7</v>
      </c>
      <c r="B661" s="2" t="s">
        <v>2842</v>
      </c>
      <c r="C661" s="19" t="s">
        <v>4560</v>
      </c>
      <c r="D661" s="19"/>
      <c r="E661" s="9" t="s">
        <v>11</v>
      </c>
      <c r="F661" s="19"/>
    </row>
    <row r="662" ht="15.75" customHeight="1">
      <c r="A662" s="1">
        <v>5.5242183E7</v>
      </c>
      <c r="B662" s="2" t="s">
        <v>807</v>
      </c>
      <c r="C662" s="19" t="s">
        <v>4561</v>
      </c>
      <c r="D662" s="19"/>
      <c r="E662" s="2" t="s">
        <v>11</v>
      </c>
      <c r="F662" s="19"/>
    </row>
    <row r="663" ht="15.75" customHeight="1">
      <c r="A663" s="1">
        <v>5.5269741E7</v>
      </c>
      <c r="B663" s="2" t="s">
        <v>1081</v>
      </c>
      <c r="C663" s="19" t="s">
        <v>4562</v>
      </c>
      <c r="D663" s="19"/>
      <c r="E663" s="2" t="s">
        <v>11</v>
      </c>
      <c r="F663" s="19"/>
    </row>
    <row r="664" ht="15.75" customHeight="1">
      <c r="A664" s="1">
        <v>5.5275485E7</v>
      </c>
      <c r="B664" s="2" t="s">
        <v>3243</v>
      </c>
      <c r="C664" s="19" t="s">
        <v>4563</v>
      </c>
      <c r="D664" s="19"/>
      <c r="E664" s="9" t="s">
        <v>11</v>
      </c>
      <c r="F664" s="19"/>
    </row>
    <row r="665" ht="15.75" customHeight="1">
      <c r="A665" s="1">
        <v>5.5283256E7</v>
      </c>
      <c r="B665" s="2" t="s">
        <v>805</v>
      </c>
      <c r="C665" s="19" t="s">
        <v>4564</v>
      </c>
      <c r="D665" s="19"/>
      <c r="E665" s="9" t="s">
        <v>11</v>
      </c>
      <c r="F665" s="19"/>
    </row>
    <row r="666" ht="15.75" customHeight="1">
      <c r="A666" s="1">
        <v>5.5283966E7</v>
      </c>
      <c r="B666" s="2" t="s">
        <v>2012</v>
      </c>
      <c r="C666" s="19" t="s">
        <v>4565</v>
      </c>
      <c r="D666" s="19"/>
      <c r="E666" s="9" t="s">
        <v>11</v>
      </c>
      <c r="F666" s="19"/>
    </row>
    <row r="667" ht="15.75" customHeight="1">
      <c r="A667" s="1">
        <v>5.528604E7</v>
      </c>
      <c r="B667" s="2" t="s">
        <v>2045</v>
      </c>
      <c r="C667" s="19" t="s">
        <v>4566</v>
      </c>
      <c r="D667" s="19" t="s">
        <v>4567</v>
      </c>
      <c r="E667" s="9" t="s">
        <v>11</v>
      </c>
      <c r="F667" s="19"/>
    </row>
    <row r="668" ht="15.75" customHeight="1">
      <c r="A668" s="1">
        <v>5.5297256E7</v>
      </c>
      <c r="B668" s="2" t="s">
        <v>2025</v>
      </c>
      <c r="C668" s="19" t="s">
        <v>4568</v>
      </c>
      <c r="D668" s="19" t="s">
        <v>4569</v>
      </c>
      <c r="E668" s="2" t="s">
        <v>11</v>
      </c>
      <c r="F668" s="19"/>
    </row>
    <row r="669" ht="15.75" customHeight="1">
      <c r="A669" s="1">
        <v>5.5299725E7</v>
      </c>
      <c r="B669" s="2" t="s">
        <v>924</v>
      </c>
      <c r="C669" s="19" t="s">
        <v>4570</v>
      </c>
      <c r="D669" s="19" t="s">
        <v>4571</v>
      </c>
      <c r="E669" s="2" t="s">
        <v>11</v>
      </c>
      <c r="F669" s="19"/>
    </row>
    <row r="670" ht="15.75" customHeight="1">
      <c r="A670" s="1">
        <v>5.5300016E7</v>
      </c>
      <c r="B670" s="2" t="s">
        <v>3060</v>
      </c>
      <c r="C670" s="19" t="s">
        <v>4572</v>
      </c>
      <c r="D670" s="19"/>
      <c r="E670" s="2" t="s">
        <v>11</v>
      </c>
      <c r="F670" s="19"/>
    </row>
    <row r="671" ht="15.75" customHeight="1">
      <c r="A671" s="1">
        <v>5.5308559E7</v>
      </c>
      <c r="B671" s="2" t="s">
        <v>2799</v>
      </c>
      <c r="C671" s="19" t="s">
        <v>4573</v>
      </c>
      <c r="D671" s="19"/>
      <c r="E671" s="2" t="s">
        <v>11</v>
      </c>
      <c r="F671" s="19"/>
    </row>
    <row r="672" ht="15.75" customHeight="1">
      <c r="A672" s="1">
        <v>5.5312355E7</v>
      </c>
      <c r="B672" s="2" t="s">
        <v>1866</v>
      </c>
      <c r="C672" s="19" t="s">
        <v>4574</v>
      </c>
      <c r="D672" s="19" t="s">
        <v>4575</v>
      </c>
      <c r="E672" s="9" t="s">
        <v>11</v>
      </c>
      <c r="F672" s="19"/>
    </row>
    <row r="673" ht="15.75" customHeight="1">
      <c r="A673" s="1">
        <v>5.5350422E7</v>
      </c>
      <c r="B673" s="2" t="s">
        <v>814</v>
      </c>
      <c r="C673" s="19" t="s">
        <v>4576</v>
      </c>
      <c r="D673" s="19"/>
      <c r="E673" s="2" t="s">
        <v>11</v>
      </c>
      <c r="F673" s="19"/>
    </row>
    <row r="674" ht="15.75" customHeight="1">
      <c r="A674" s="1">
        <v>5.5366951E7</v>
      </c>
      <c r="B674" s="2" t="s">
        <v>115</v>
      </c>
      <c r="C674" s="19" t="s">
        <v>4577</v>
      </c>
      <c r="D674" s="19"/>
      <c r="E674" s="2" t="s">
        <v>11</v>
      </c>
      <c r="F674" s="19"/>
    </row>
    <row r="675" ht="15.75" customHeight="1">
      <c r="A675" s="1">
        <v>5.5384701E7</v>
      </c>
      <c r="B675" s="2" t="s">
        <v>689</v>
      </c>
      <c r="C675" s="19" t="s">
        <v>4578</v>
      </c>
      <c r="D675" s="19" t="s">
        <v>4579</v>
      </c>
      <c r="E675" s="2" t="s">
        <v>11</v>
      </c>
      <c r="F675" s="19"/>
    </row>
    <row r="676" ht="15.75" customHeight="1">
      <c r="A676" s="1">
        <v>5.540512E7</v>
      </c>
      <c r="B676" s="2" t="s">
        <v>2244</v>
      </c>
      <c r="C676" s="19" t="s">
        <v>4580</v>
      </c>
      <c r="D676" s="19"/>
      <c r="E676" s="2" t="s">
        <v>11</v>
      </c>
      <c r="F676" s="19"/>
    </row>
    <row r="677" ht="15.75" customHeight="1">
      <c r="A677" s="1">
        <v>5.5408264E7</v>
      </c>
      <c r="B677" s="2" t="s">
        <v>2391</v>
      </c>
      <c r="C677" s="19" t="s">
        <v>4581</v>
      </c>
      <c r="D677" s="19" t="s">
        <v>4582</v>
      </c>
      <c r="E677" s="9" t="s">
        <v>11</v>
      </c>
      <c r="F677" s="19"/>
    </row>
    <row r="678" ht="15.75" customHeight="1">
      <c r="A678" s="1">
        <v>5.5418261E7</v>
      </c>
      <c r="B678" s="2" t="s">
        <v>3537</v>
      </c>
      <c r="C678" s="19" t="s">
        <v>4583</v>
      </c>
      <c r="D678" s="19"/>
      <c r="E678" s="2" t="s">
        <v>11</v>
      </c>
      <c r="F678" s="19"/>
    </row>
    <row r="679" ht="15.75" customHeight="1">
      <c r="A679" s="1">
        <v>5.5419294E7</v>
      </c>
      <c r="B679" s="2" t="s">
        <v>1824</v>
      </c>
      <c r="C679" s="19" t="s">
        <v>4584</v>
      </c>
      <c r="D679" s="19" t="s">
        <v>4585</v>
      </c>
      <c r="E679" s="2" t="s">
        <v>11</v>
      </c>
      <c r="F679" s="19"/>
    </row>
    <row r="680" ht="15.75" customHeight="1">
      <c r="A680" s="1">
        <v>5.5426906E7</v>
      </c>
      <c r="B680" s="2" t="s">
        <v>2568</v>
      </c>
      <c r="C680" s="19" t="s">
        <v>4586</v>
      </c>
      <c r="D680" s="19"/>
      <c r="E680" s="2" t="s">
        <v>11</v>
      </c>
      <c r="F680" s="19"/>
    </row>
    <row r="681" ht="15.75" customHeight="1">
      <c r="A681" s="1">
        <v>5.543556E7</v>
      </c>
      <c r="B681" s="2" t="s">
        <v>2413</v>
      </c>
      <c r="C681" s="19" t="s">
        <v>4587</v>
      </c>
      <c r="D681" s="19"/>
      <c r="E681" s="2" t="s">
        <v>11</v>
      </c>
      <c r="F681" s="19"/>
    </row>
    <row r="682" ht="15.75" customHeight="1">
      <c r="A682" s="1">
        <v>5.5450821E7</v>
      </c>
      <c r="B682" s="2" t="s">
        <v>2034</v>
      </c>
      <c r="C682" s="19" t="s">
        <v>4588</v>
      </c>
      <c r="D682" s="19" t="s">
        <v>4589</v>
      </c>
      <c r="E682" s="9" t="s">
        <v>11</v>
      </c>
      <c r="F682" s="19"/>
    </row>
    <row r="683" ht="15.75" customHeight="1">
      <c r="A683" s="1">
        <v>5.5471101E7</v>
      </c>
      <c r="B683" s="2" t="s">
        <v>2101</v>
      </c>
      <c r="C683" s="19" t="s">
        <v>4590</v>
      </c>
      <c r="D683" s="19"/>
      <c r="E683" s="2" t="s">
        <v>11</v>
      </c>
      <c r="F683" s="19"/>
    </row>
    <row r="684" ht="15.75" customHeight="1">
      <c r="A684" s="1">
        <v>5.5471918E7</v>
      </c>
      <c r="B684" s="2" t="s">
        <v>2507</v>
      </c>
      <c r="C684" s="19" t="s">
        <v>4591</v>
      </c>
      <c r="D684" s="19"/>
      <c r="E684" s="2" t="s">
        <v>11</v>
      </c>
      <c r="F684" s="19"/>
    </row>
    <row r="685" ht="15.75" customHeight="1">
      <c r="A685" s="1">
        <v>5.5476156E7</v>
      </c>
      <c r="B685" s="2" t="s">
        <v>1788</v>
      </c>
      <c r="C685" s="19" t="s">
        <v>4592</v>
      </c>
      <c r="D685" s="19"/>
      <c r="E685" s="2" t="s">
        <v>11</v>
      </c>
      <c r="F685" s="19"/>
    </row>
    <row r="686" ht="15.75" customHeight="1">
      <c r="A686" s="1">
        <v>5.5484404E7</v>
      </c>
      <c r="B686" s="2" t="s">
        <v>2668</v>
      </c>
      <c r="C686" s="19" t="s">
        <v>4593</v>
      </c>
      <c r="D686" s="19"/>
      <c r="E686" s="2" t="s">
        <v>11</v>
      </c>
      <c r="F686" s="19"/>
    </row>
    <row r="687" ht="15.75" customHeight="1">
      <c r="A687" s="1">
        <v>5.5488988E7</v>
      </c>
      <c r="B687" s="2" t="s">
        <v>2348</v>
      </c>
      <c r="C687" s="19" t="s">
        <v>4594</v>
      </c>
      <c r="D687" s="19" t="s">
        <v>4595</v>
      </c>
      <c r="E687" s="2" t="s">
        <v>11</v>
      </c>
      <c r="F687" s="19"/>
    </row>
    <row r="688" ht="15.75" customHeight="1">
      <c r="A688" s="1">
        <v>5.5489868E7</v>
      </c>
      <c r="B688" s="2" t="s">
        <v>2167</v>
      </c>
      <c r="C688" s="19" t="s">
        <v>4596</v>
      </c>
      <c r="D688" s="19" t="s">
        <v>4597</v>
      </c>
      <c r="E688" s="9" t="s">
        <v>11</v>
      </c>
      <c r="F688" s="19"/>
    </row>
    <row r="689" ht="15.75" customHeight="1">
      <c r="A689" s="1">
        <v>5.5505857E7</v>
      </c>
      <c r="B689" s="2" t="s">
        <v>1633</v>
      </c>
      <c r="C689" s="19" t="s">
        <v>4598</v>
      </c>
      <c r="D689" s="19"/>
      <c r="E689" s="9" t="s">
        <v>11</v>
      </c>
      <c r="F689" s="19"/>
    </row>
    <row r="690" ht="15.75" customHeight="1">
      <c r="A690" s="1">
        <v>5.5511505E7</v>
      </c>
      <c r="B690" s="2" t="s">
        <v>2983</v>
      </c>
      <c r="C690" s="19" t="s">
        <v>4599</v>
      </c>
      <c r="D690" s="19"/>
      <c r="E690" s="2" t="s">
        <v>11</v>
      </c>
      <c r="F690" s="19"/>
    </row>
    <row r="691" ht="15.75" customHeight="1">
      <c r="A691" s="1">
        <v>5.5511963E7</v>
      </c>
      <c r="B691" s="2" t="s">
        <v>1127</v>
      </c>
      <c r="C691" s="19" t="s">
        <v>4600</v>
      </c>
      <c r="D691" s="19"/>
      <c r="E691" s="2" t="s">
        <v>11</v>
      </c>
      <c r="F691" s="19"/>
    </row>
    <row r="692" ht="15.75" customHeight="1">
      <c r="A692" s="1">
        <v>5.551482E7</v>
      </c>
      <c r="B692" s="2" t="s">
        <v>1641</v>
      </c>
      <c r="C692" s="19" t="s">
        <v>4601</v>
      </c>
      <c r="D692" s="19"/>
      <c r="E692" s="2" t="s">
        <v>11</v>
      </c>
      <c r="F692" s="19"/>
    </row>
    <row r="693" ht="15.75" customHeight="1">
      <c r="A693" s="1">
        <v>5.5520394E7</v>
      </c>
      <c r="B693" s="2" t="s">
        <v>2436</v>
      </c>
      <c r="C693" s="19" t="s">
        <v>4602</v>
      </c>
      <c r="D693" s="19" t="s">
        <v>4603</v>
      </c>
      <c r="E693" s="2" t="s">
        <v>11</v>
      </c>
      <c r="F693" s="19"/>
    </row>
    <row r="694" ht="15.75" customHeight="1">
      <c r="A694" s="1">
        <v>5.5525227E7</v>
      </c>
      <c r="B694" s="2" t="s">
        <v>1140</v>
      </c>
      <c r="C694" s="19" t="s">
        <v>4604</v>
      </c>
      <c r="D694" s="19"/>
      <c r="E694" s="2" t="s">
        <v>11</v>
      </c>
      <c r="F694" s="19"/>
    </row>
    <row r="695" ht="15.75" customHeight="1">
      <c r="A695" s="1">
        <v>5.553772E7</v>
      </c>
      <c r="B695" s="2" t="s">
        <v>428</v>
      </c>
      <c r="C695" s="19" t="s">
        <v>4605</v>
      </c>
      <c r="D695" s="19"/>
      <c r="E695" s="2" t="s">
        <v>11</v>
      </c>
      <c r="F695" s="19"/>
    </row>
    <row r="696" ht="15.75" customHeight="1">
      <c r="A696" s="1">
        <v>5.5542723E7</v>
      </c>
      <c r="B696" s="2" t="s">
        <v>661</v>
      </c>
      <c r="C696" s="19" t="s">
        <v>4606</v>
      </c>
      <c r="D696" s="19"/>
      <c r="E696" s="2" t="s">
        <v>11</v>
      </c>
      <c r="F696" s="19"/>
    </row>
    <row r="697" ht="15.75" customHeight="1">
      <c r="A697" s="1">
        <v>5.5549922E7</v>
      </c>
      <c r="B697" s="2" t="s">
        <v>2858</v>
      </c>
      <c r="C697" s="19" t="s">
        <v>4607</v>
      </c>
      <c r="D697" s="19"/>
      <c r="E697" s="2" t="s">
        <v>11</v>
      </c>
      <c r="F697" s="19"/>
    </row>
    <row r="698" ht="15.75" customHeight="1">
      <c r="A698" s="1">
        <v>5.5559831E7</v>
      </c>
      <c r="B698" s="2" t="s">
        <v>2174</v>
      </c>
      <c r="C698" s="19" t="s">
        <v>4608</v>
      </c>
      <c r="D698" s="19"/>
      <c r="E698" s="2" t="s">
        <v>11</v>
      </c>
      <c r="F698" s="19"/>
    </row>
    <row r="699" ht="15.75" customHeight="1">
      <c r="A699" s="1">
        <v>5.5571946E7</v>
      </c>
      <c r="B699" s="2" t="s">
        <v>2758</v>
      </c>
      <c r="C699" s="19" t="s">
        <v>4609</v>
      </c>
      <c r="D699" s="19"/>
      <c r="E699" s="2" t="s">
        <v>11</v>
      </c>
      <c r="F699" s="19"/>
    </row>
    <row r="700" ht="15.75" customHeight="1">
      <c r="A700" s="1">
        <v>5.557459E7</v>
      </c>
      <c r="B700" s="2" t="s">
        <v>1818</v>
      </c>
      <c r="C700" s="19" t="s">
        <v>4610</v>
      </c>
      <c r="D700" s="19"/>
      <c r="E700" s="2" t="s">
        <v>11</v>
      </c>
      <c r="F700" s="19"/>
    </row>
    <row r="701" ht="15.75" customHeight="1">
      <c r="A701" s="1">
        <v>5.5594848E7</v>
      </c>
      <c r="B701" s="2" t="s">
        <v>1154</v>
      </c>
      <c r="C701" s="19" t="s">
        <v>4611</v>
      </c>
      <c r="D701" s="19" t="s">
        <v>4612</v>
      </c>
      <c r="E701" s="2" t="s">
        <v>11</v>
      </c>
      <c r="F701" s="19"/>
    </row>
    <row r="702" ht="15.75" customHeight="1">
      <c r="A702" s="1">
        <v>5.5749828E7</v>
      </c>
      <c r="B702" s="2" t="s">
        <v>1767</v>
      </c>
      <c r="C702" s="19" t="s">
        <v>4613</v>
      </c>
      <c r="D702" s="19"/>
      <c r="E702" s="2" t="s">
        <v>11</v>
      </c>
      <c r="F702" s="19"/>
    </row>
    <row r="703" ht="15.75" customHeight="1">
      <c r="A703" s="1">
        <v>5.5935097E7</v>
      </c>
      <c r="B703" s="2" t="s">
        <v>2927</v>
      </c>
      <c r="C703" s="19" t="s">
        <v>4614</v>
      </c>
      <c r="D703" s="19"/>
      <c r="E703" s="2" t="s">
        <v>11</v>
      </c>
      <c r="F703" s="19"/>
    </row>
    <row r="704" ht="15.75" customHeight="1">
      <c r="A704" s="1">
        <v>5.6134883E7</v>
      </c>
      <c r="B704" s="2" t="s">
        <v>2289</v>
      </c>
      <c r="C704" s="19" t="s">
        <v>4615</v>
      </c>
      <c r="D704" s="19"/>
      <c r="E704" s="9" t="s">
        <v>11</v>
      </c>
      <c r="F704" s="19"/>
    </row>
    <row r="705" ht="15.75" customHeight="1">
      <c r="A705" s="1">
        <v>5.6717423E7</v>
      </c>
      <c r="B705" s="2" t="s">
        <v>270</v>
      </c>
      <c r="C705" s="19" t="s">
        <v>4616</v>
      </c>
      <c r="D705" s="19"/>
      <c r="E705" s="2" t="s">
        <v>11</v>
      </c>
      <c r="F705" s="19"/>
    </row>
    <row r="706" ht="15.75" customHeight="1">
      <c r="A706" s="1">
        <v>5.6796657E7</v>
      </c>
      <c r="B706" s="2" t="s">
        <v>48</v>
      </c>
      <c r="C706" s="19" t="s">
        <v>4617</v>
      </c>
      <c r="D706" s="19" t="s">
        <v>4618</v>
      </c>
      <c r="E706" s="2" t="s">
        <v>11</v>
      </c>
      <c r="F706" s="19"/>
    </row>
    <row r="707" ht="15.75" customHeight="1">
      <c r="A707" s="1">
        <v>5.7225559E7</v>
      </c>
      <c r="B707" s="2" t="s">
        <v>3092</v>
      </c>
      <c r="C707" s="19" t="s">
        <v>4619</v>
      </c>
      <c r="D707" s="19" t="s">
        <v>4620</v>
      </c>
      <c r="E707" s="2" t="s">
        <v>11</v>
      </c>
      <c r="F707" s="19"/>
    </row>
    <row r="708" ht="15.75" customHeight="1">
      <c r="A708" s="1">
        <v>5.765761E7</v>
      </c>
      <c r="B708" s="2" t="s">
        <v>3188</v>
      </c>
      <c r="C708" s="19" t="s">
        <v>4621</v>
      </c>
      <c r="D708" s="19" t="s">
        <v>4622</v>
      </c>
      <c r="E708" s="2" t="s">
        <v>11</v>
      </c>
      <c r="F708" s="19"/>
    </row>
    <row r="709" ht="15.75" customHeight="1">
      <c r="A709" s="1">
        <v>5.9524629E7</v>
      </c>
      <c r="B709" s="2" t="s">
        <v>1396</v>
      </c>
      <c r="C709" s="19" t="s">
        <v>4623</v>
      </c>
      <c r="D709" s="19"/>
      <c r="E709" s="2" t="s">
        <v>11</v>
      </c>
      <c r="F709" s="19"/>
    </row>
    <row r="710" ht="15.75" customHeight="1">
      <c r="A710" s="1">
        <v>5.952784E7</v>
      </c>
      <c r="B710" s="2" t="s">
        <v>2928</v>
      </c>
      <c r="C710" s="19" t="s">
        <v>4624</v>
      </c>
      <c r="D710" s="19"/>
      <c r="E710" s="2" t="s">
        <v>11</v>
      </c>
      <c r="F710" s="19"/>
    </row>
    <row r="711" ht="15.75" customHeight="1">
      <c r="A711" s="1">
        <v>6.1011463E7</v>
      </c>
      <c r="B711" s="2" t="s">
        <v>3621</v>
      </c>
      <c r="C711" s="19" t="s">
        <v>4625</v>
      </c>
      <c r="D711" s="19"/>
      <c r="E711" s="2" t="s">
        <v>11</v>
      </c>
      <c r="F711" s="19"/>
    </row>
    <row r="712" ht="15.75" customHeight="1">
      <c r="A712" s="1">
        <v>6.1112343E7</v>
      </c>
      <c r="B712" s="2" t="s">
        <v>3572</v>
      </c>
      <c r="C712" s="19" t="s">
        <v>4626</v>
      </c>
      <c r="D712" s="19"/>
      <c r="E712" s="2" t="s">
        <v>11</v>
      </c>
      <c r="F712" s="19"/>
    </row>
    <row r="713" ht="15.75" customHeight="1">
      <c r="A713" s="1">
        <v>6.11209E7</v>
      </c>
      <c r="B713" s="2" t="s">
        <v>3120</v>
      </c>
      <c r="C713" s="19" t="s">
        <v>4627</v>
      </c>
      <c r="D713" s="19"/>
      <c r="E713" s="2" t="s">
        <v>11</v>
      </c>
      <c r="F713" s="19"/>
    </row>
    <row r="714" ht="15.75" customHeight="1">
      <c r="A714" s="1">
        <v>6.1123415E7</v>
      </c>
      <c r="B714" s="2" t="s">
        <v>2729</v>
      </c>
      <c r="C714" s="19" t="s">
        <v>4628</v>
      </c>
      <c r="D714" s="19" t="s">
        <v>4629</v>
      </c>
      <c r="E714" s="9" t="s">
        <v>11</v>
      </c>
      <c r="F714" s="19"/>
    </row>
    <row r="715" ht="15.75" customHeight="1">
      <c r="A715" s="1">
        <v>6.1127025E7</v>
      </c>
      <c r="B715" s="2" t="s">
        <v>2730</v>
      </c>
      <c r="C715" s="19" t="s">
        <v>4630</v>
      </c>
      <c r="D715" s="19"/>
      <c r="E715" s="2" t="s">
        <v>11</v>
      </c>
      <c r="F715" s="19"/>
    </row>
    <row r="716" ht="15.75" customHeight="1">
      <c r="A716" s="1">
        <v>6.113114E7</v>
      </c>
      <c r="B716" s="2" t="s">
        <v>3005</v>
      </c>
      <c r="C716" s="19" t="s">
        <v>4631</v>
      </c>
      <c r="D716" s="19"/>
      <c r="E716" s="2" t="s">
        <v>11</v>
      </c>
      <c r="F716" s="19"/>
    </row>
    <row r="717" ht="15.75" customHeight="1">
      <c r="A717" s="1">
        <v>6.1143493E7</v>
      </c>
      <c r="B717" s="2" t="s">
        <v>2962</v>
      </c>
      <c r="C717" s="19" t="s">
        <v>4632</v>
      </c>
      <c r="D717" s="19" t="s">
        <v>4633</v>
      </c>
      <c r="E717" s="2" t="s">
        <v>11</v>
      </c>
      <c r="F717" s="19"/>
    </row>
    <row r="718" ht="15.75" customHeight="1">
      <c r="A718" s="1">
        <v>6.1153574E7</v>
      </c>
      <c r="B718" s="2" t="s">
        <v>3405</v>
      </c>
      <c r="C718" s="19" t="s">
        <v>4634</v>
      </c>
      <c r="D718" s="19"/>
      <c r="E718" s="2" t="s">
        <v>11</v>
      </c>
      <c r="F718" s="19"/>
    </row>
    <row r="719" ht="15.75" customHeight="1">
      <c r="A719" s="1">
        <v>6.1164244E7</v>
      </c>
      <c r="B719" s="2" t="s">
        <v>3383</v>
      </c>
      <c r="C719" s="19" t="s">
        <v>4635</v>
      </c>
      <c r="D719" s="19"/>
      <c r="E719" s="2" t="s">
        <v>11</v>
      </c>
      <c r="F719" s="19"/>
    </row>
    <row r="720" ht="15.75" customHeight="1">
      <c r="A720" s="1">
        <v>6.11691E7</v>
      </c>
      <c r="B720" s="2" t="s">
        <v>3472</v>
      </c>
      <c r="C720" s="19" t="s">
        <v>4636</v>
      </c>
      <c r="D720" s="19"/>
      <c r="E720" s="2" t="s">
        <v>11</v>
      </c>
      <c r="F720" s="19"/>
    </row>
    <row r="721" ht="15.75" customHeight="1">
      <c r="A721" s="1">
        <v>6.1186117E7</v>
      </c>
      <c r="B721" s="2" t="s">
        <v>3622</v>
      </c>
      <c r="C721" s="19" t="s">
        <v>4637</v>
      </c>
      <c r="D721" s="19"/>
      <c r="E721" s="2" t="s">
        <v>11</v>
      </c>
      <c r="F721" s="19"/>
    </row>
    <row r="722" ht="15.75" customHeight="1">
      <c r="A722" s="1">
        <v>6.1188935E7</v>
      </c>
      <c r="B722" s="2" t="s">
        <v>3511</v>
      </c>
      <c r="C722" s="19" t="s">
        <v>4638</v>
      </c>
      <c r="D722" s="19"/>
      <c r="E722" s="2" t="s">
        <v>11</v>
      </c>
      <c r="F722" s="19"/>
    </row>
    <row r="723" ht="15.75" customHeight="1">
      <c r="A723" s="1">
        <v>6.1191042E7</v>
      </c>
      <c r="B723" s="2" t="s">
        <v>3272</v>
      </c>
      <c r="C723" s="19" t="s">
        <v>4639</v>
      </c>
      <c r="D723" s="19"/>
      <c r="E723" s="2" t="s">
        <v>11</v>
      </c>
      <c r="F723" s="19"/>
    </row>
    <row r="724" ht="15.75" customHeight="1">
      <c r="A724" s="1">
        <v>6.1204978E7</v>
      </c>
      <c r="B724" s="2" t="s">
        <v>3341</v>
      </c>
      <c r="C724" s="19" t="s">
        <v>4640</v>
      </c>
      <c r="D724" s="19"/>
      <c r="E724" s="2" t="s">
        <v>11</v>
      </c>
      <c r="F724" s="19"/>
    </row>
    <row r="725" ht="15.75" customHeight="1">
      <c r="A725" s="1">
        <v>6.1206586E7</v>
      </c>
      <c r="B725" s="2" t="s">
        <v>3093</v>
      </c>
      <c r="C725" s="19" t="s">
        <v>4641</v>
      </c>
      <c r="D725" s="19"/>
      <c r="E725" s="9" t="s">
        <v>11</v>
      </c>
      <c r="F725" s="19"/>
    </row>
    <row r="726" ht="15.75" customHeight="1">
      <c r="A726" s="1">
        <v>6.1207974E7</v>
      </c>
      <c r="B726" s="2" t="s">
        <v>3512</v>
      </c>
      <c r="C726" s="19" t="s">
        <v>4642</v>
      </c>
      <c r="D726" s="19"/>
      <c r="E726" s="2" t="s">
        <v>11</v>
      </c>
      <c r="F726" s="19"/>
    </row>
    <row r="727" ht="15.75" customHeight="1">
      <c r="A727" s="1">
        <v>6.1208367E7</v>
      </c>
      <c r="B727" s="2" t="s">
        <v>2333</v>
      </c>
      <c r="C727" s="19" t="s">
        <v>4643</v>
      </c>
      <c r="D727" s="19"/>
      <c r="E727" s="2" t="s">
        <v>11</v>
      </c>
      <c r="F727" s="19"/>
    </row>
    <row r="728" ht="15.75" customHeight="1">
      <c r="A728" s="1">
        <v>6.121711E7</v>
      </c>
      <c r="B728" s="2" t="s">
        <v>2688</v>
      </c>
      <c r="C728" s="19" t="s">
        <v>4644</v>
      </c>
      <c r="D728" s="19"/>
      <c r="E728" s="2" t="s">
        <v>11</v>
      </c>
      <c r="F728" s="19"/>
    </row>
    <row r="729" ht="15.75" customHeight="1">
      <c r="A729" s="1">
        <v>6.1221088E7</v>
      </c>
      <c r="B729" s="2" t="s">
        <v>3406</v>
      </c>
      <c r="C729" s="19" t="s">
        <v>4645</v>
      </c>
      <c r="D729" s="19" t="s">
        <v>4646</v>
      </c>
      <c r="E729" s="2" t="s">
        <v>11</v>
      </c>
      <c r="F729" s="19"/>
    </row>
    <row r="730" ht="15.75" customHeight="1">
      <c r="A730" s="1">
        <v>6.1238595E7</v>
      </c>
      <c r="B730" s="2" t="s">
        <v>3355</v>
      </c>
      <c r="C730" s="19" t="s">
        <v>4647</v>
      </c>
      <c r="D730" s="19"/>
      <c r="E730" s="2" t="s">
        <v>11</v>
      </c>
      <c r="F730" s="19"/>
    </row>
    <row r="731" ht="15.75" customHeight="1">
      <c r="A731" s="1">
        <v>6.1242253E7</v>
      </c>
      <c r="B731" s="2" t="s">
        <v>3557</v>
      </c>
      <c r="C731" s="19" t="s">
        <v>4648</v>
      </c>
      <c r="D731" s="19"/>
      <c r="E731" s="2" t="s">
        <v>11</v>
      </c>
      <c r="F731" s="19"/>
    </row>
    <row r="732" ht="15.75" customHeight="1">
      <c r="A732" s="1">
        <v>6.1252925E7</v>
      </c>
      <c r="B732" s="2" t="s">
        <v>3573</v>
      </c>
      <c r="C732" s="19" t="s">
        <v>4649</v>
      </c>
      <c r="D732" s="19" t="s">
        <v>4650</v>
      </c>
      <c r="E732" s="9" t="s">
        <v>11</v>
      </c>
      <c r="F732" s="19"/>
    </row>
    <row r="733" ht="15.75" customHeight="1">
      <c r="A733" s="1">
        <v>6.1268147E7</v>
      </c>
      <c r="B733" s="2" t="s">
        <v>3209</v>
      </c>
      <c r="C733" s="19" t="s">
        <v>4651</v>
      </c>
      <c r="D733" s="19"/>
      <c r="E733" s="2" t="s">
        <v>11</v>
      </c>
      <c r="F733" s="19"/>
    </row>
    <row r="734" ht="15.75" customHeight="1">
      <c r="A734" s="1">
        <v>6.1282234E7</v>
      </c>
      <c r="B734" s="2" t="s">
        <v>3558</v>
      </c>
      <c r="C734" s="19" t="s">
        <v>4652</v>
      </c>
      <c r="D734" s="19"/>
      <c r="E734" s="2" t="s">
        <v>11</v>
      </c>
      <c r="F734" s="19"/>
    </row>
    <row r="735" ht="15.75" customHeight="1">
      <c r="A735" s="1">
        <v>6.1282976E7</v>
      </c>
      <c r="B735" s="2" t="s">
        <v>3295</v>
      </c>
      <c r="C735" s="19" t="s">
        <v>4653</v>
      </c>
      <c r="D735" s="19" t="s">
        <v>4654</v>
      </c>
      <c r="E735" s="2" t="s">
        <v>11</v>
      </c>
      <c r="F735" s="19"/>
    </row>
    <row r="736" ht="15.75" customHeight="1">
      <c r="A736" s="1">
        <v>6.1284724E7</v>
      </c>
      <c r="B736" s="2" t="s">
        <v>3601</v>
      </c>
      <c r="C736" s="19" t="s">
        <v>4655</v>
      </c>
      <c r="D736" s="19"/>
      <c r="E736" s="2" t="s">
        <v>11</v>
      </c>
      <c r="F736" s="19"/>
    </row>
    <row r="737" ht="15.75" customHeight="1">
      <c r="A737" s="1">
        <v>6.1287217E7</v>
      </c>
      <c r="B737" s="2" t="s">
        <v>3384</v>
      </c>
      <c r="C737" s="19" t="s">
        <v>4656</v>
      </c>
      <c r="D737" s="19"/>
      <c r="E737" s="2" t="s">
        <v>11</v>
      </c>
      <c r="F737" s="19"/>
    </row>
    <row r="738" ht="15.75" customHeight="1">
      <c r="A738" s="1">
        <v>6.130982E7</v>
      </c>
      <c r="B738" s="2" t="s">
        <v>3189</v>
      </c>
      <c r="C738" s="19" t="s">
        <v>4657</v>
      </c>
      <c r="D738" s="19"/>
      <c r="E738" s="2" t="s">
        <v>11</v>
      </c>
      <c r="F738" s="19"/>
    </row>
    <row r="739" ht="15.75" customHeight="1">
      <c r="A739" s="1">
        <v>6.1327724E7</v>
      </c>
      <c r="B739" s="2" t="s">
        <v>3559</v>
      </c>
      <c r="C739" s="19" t="s">
        <v>4658</v>
      </c>
      <c r="D739" s="19"/>
      <c r="E739" s="2" t="s">
        <v>11</v>
      </c>
      <c r="F739" s="19"/>
    </row>
    <row r="740" ht="15.75" customHeight="1">
      <c r="A740" s="1">
        <v>6.1329104E7</v>
      </c>
      <c r="B740" s="2" t="s">
        <v>3513</v>
      </c>
      <c r="C740" s="19" t="s">
        <v>4659</v>
      </c>
      <c r="D740" s="19"/>
      <c r="E740" s="2" t="s">
        <v>11</v>
      </c>
      <c r="F740" s="19"/>
    </row>
    <row r="741" ht="15.75" customHeight="1">
      <c r="A741" s="1">
        <v>6.1330666E7</v>
      </c>
      <c r="B741" s="2" t="s">
        <v>3426</v>
      </c>
      <c r="C741" s="19" t="s">
        <v>4660</v>
      </c>
      <c r="D741" s="19"/>
      <c r="E741" s="2" t="s">
        <v>11</v>
      </c>
      <c r="F741" s="19"/>
    </row>
    <row r="742" ht="15.75" customHeight="1">
      <c r="A742" s="1">
        <v>6.1331112E7</v>
      </c>
      <c r="B742" s="2" t="s">
        <v>2759</v>
      </c>
      <c r="C742" s="19" t="s">
        <v>4661</v>
      </c>
      <c r="D742" s="19" t="s">
        <v>4662</v>
      </c>
      <c r="E742" s="2" t="s">
        <v>11</v>
      </c>
      <c r="F742" s="19"/>
    </row>
    <row r="743" ht="15.75" customHeight="1">
      <c r="A743" s="1">
        <v>6.1332655E7</v>
      </c>
      <c r="B743" s="2" t="s">
        <v>2929</v>
      </c>
      <c r="C743" s="19" t="s">
        <v>4663</v>
      </c>
      <c r="D743" s="19"/>
      <c r="E743" s="2" t="s">
        <v>11</v>
      </c>
      <c r="F743" s="19"/>
    </row>
    <row r="744" ht="15.75" customHeight="1">
      <c r="A744" s="1">
        <v>6.1341097E7</v>
      </c>
      <c r="B744" s="2" t="s">
        <v>3427</v>
      </c>
      <c r="C744" s="19" t="s">
        <v>4664</v>
      </c>
      <c r="D744" s="19"/>
      <c r="E744" s="9" t="s">
        <v>11</v>
      </c>
      <c r="F744" s="19"/>
    </row>
    <row r="745" ht="15.75" customHeight="1">
      <c r="A745" s="1">
        <v>6.1343277E7</v>
      </c>
      <c r="B745" s="2" t="s">
        <v>3574</v>
      </c>
      <c r="C745" s="19" t="s">
        <v>4665</v>
      </c>
      <c r="D745" s="19"/>
      <c r="E745" s="2" t="s">
        <v>11</v>
      </c>
      <c r="F745" s="19"/>
    </row>
    <row r="746" ht="15.75" customHeight="1">
      <c r="A746" s="1">
        <v>6.1345897E7</v>
      </c>
      <c r="B746" s="2" t="s">
        <v>3453</v>
      </c>
      <c r="C746" s="19" t="s">
        <v>4666</v>
      </c>
      <c r="D746" s="19"/>
      <c r="E746" s="9" t="s">
        <v>11</v>
      </c>
      <c r="F746" s="19"/>
    </row>
    <row r="747" ht="15.75" customHeight="1">
      <c r="A747" s="1">
        <v>6.1350573E7</v>
      </c>
      <c r="B747" s="2" t="s">
        <v>3210</v>
      </c>
      <c r="C747" s="19" t="s">
        <v>4667</v>
      </c>
      <c r="D747" s="19"/>
      <c r="E747" s="2" t="s">
        <v>11</v>
      </c>
      <c r="F747" s="19"/>
    </row>
    <row r="748" ht="15.75" customHeight="1">
      <c r="A748" s="1">
        <v>6.1350864E7</v>
      </c>
      <c r="B748" s="2" t="s">
        <v>3636</v>
      </c>
      <c r="C748" s="19" t="s">
        <v>4668</v>
      </c>
      <c r="D748" s="19"/>
      <c r="E748" s="2" t="s">
        <v>11</v>
      </c>
      <c r="F748" s="19"/>
    </row>
    <row r="749" ht="15.75" customHeight="1">
      <c r="A749" s="1">
        <v>6.1362602E7</v>
      </c>
      <c r="B749" s="2" t="s">
        <v>3139</v>
      </c>
      <c r="C749" s="19" t="s">
        <v>4669</v>
      </c>
      <c r="D749" s="19" t="s">
        <v>4670</v>
      </c>
      <c r="E749" s="2" t="s">
        <v>11</v>
      </c>
      <c r="F749" s="19"/>
    </row>
    <row r="750" ht="15.75" customHeight="1">
      <c r="A750" s="1">
        <v>6.1363424E7</v>
      </c>
      <c r="B750" s="2" t="s">
        <v>3514</v>
      </c>
      <c r="C750" s="19" t="s">
        <v>4671</v>
      </c>
      <c r="D750" s="19"/>
      <c r="E750" s="2" t="s">
        <v>11</v>
      </c>
      <c r="F750" s="19"/>
    </row>
    <row r="751" ht="15.75" customHeight="1">
      <c r="A751" s="1">
        <v>6.1377118E7</v>
      </c>
      <c r="B751" s="2" t="s">
        <v>3296</v>
      </c>
      <c r="C751" s="19" t="s">
        <v>4672</v>
      </c>
      <c r="D751" s="19"/>
      <c r="E751" s="2" t="s">
        <v>11</v>
      </c>
      <c r="F751" s="19"/>
    </row>
    <row r="752" ht="15.75" customHeight="1">
      <c r="A752" s="1">
        <v>6.1378839E7</v>
      </c>
      <c r="B752" s="2" t="s">
        <v>3368</v>
      </c>
      <c r="C752" s="19" t="s">
        <v>4673</v>
      </c>
      <c r="D752" s="19"/>
      <c r="E752" s="2" t="s">
        <v>11</v>
      </c>
      <c r="F752" s="19"/>
    </row>
    <row r="753" ht="15.75" customHeight="1">
      <c r="A753" s="1">
        <v>6.1405883E7</v>
      </c>
      <c r="B753" s="2" t="s">
        <v>3297</v>
      </c>
      <c r="C753" s="19" t="s">
        <v>4674</v>
      </c>
      <c r="D753" s="19" t="s">
        <v>4675</v>
      </c>
      <c r="E753" s="2" t="s">
        <v>11</v>
      </c>
      <c r="F753" s="19"/>
    </row>
    <row r="754" ht="15.75" customHeight="1">
      <c r="A754" s="1">
        <v>6.1422412E7</v>
      </c>
      <c r="B754" s="2" t="s">
        <v>1861</v>
      </c>
      <c r="C754" s="19" t="s">
        <v>4676</v>
      </c>
      <c r="D754" s="19" t="s">
        <v>4677</v>
      </c>
      <c r="E754" s="9" t="s">
        <v>11</v>
      </c>
      <c r="F754" s="19"/>
    </row>
    <row r="755" ht="15.75" customHeight="1">
      <c r="A755" s="1">
        <v>6.144324E7</v>
      </c>
      <c r="B755" s="2" t="s">
        <v>2984</v>
      </c>
      <c r="C755" s="19" t="s">
        <v>4678</v>
      </c>
      <c r="D755" s="19" t="s">
        <v>4679</v>
      </c>
      <c r="E755" s="2" t="s">
        <v>11</v>
      </c>
      <c r="F755" s="19"/>
    </row>
    <row r="756" ht="15.75" customHeight="1">
      <c r="A756" s="1">
        <v>6.1452616E7</v>
      </c>
      <c r="B756" s="2" t="s">
        <v>3385</v>
      </c>
      <c r="C756" s="19" t="s">
        <v>4680</v>
      </c>
      <c r="D756" s="19"/>
      <c r="E756" s="2" t="s">
        <v>11</v>
      </c>
      <c r="F756" s="19"/>
    </row>
    <row r="757" ht="15.75" customHeight="1">
      <c r="A757" s="1">
        <v>6.1452894E7</v>
      </c>
      <c r="B757" s="2" t="s">
        <v>2361</v>
      </c>
      <c r="C757" s="19" t="s">
        <v>4681</v>
      </c>
      <c r="D757" s="19"/>
      <c r="E757" s="2" t="s">
        <v>11</v>
      </c>
      <c r="F757" s="19"/>
    </row>
    <row r="758" ht="15.75" customHeight="1">
      <c r="A758" s="1">
        <v>6.1454256E7</v>
      </c>
      <c r="B758" s="2" t="s">
        <v>3211</v>
      </c>
      <c r="C758" s="19" t="s">
        <v>4682</v>
      </c>
      <c r="D758" s="19"/>
      <c r="E758" s="9" t="s">
        <v>11</v>
      </c>
      <c r="F758" s="19"/>
    </row>
    <row r="759" ht="15.75" customHeight="1">
      <c r="A759" s="1">
        <v>6.1459809E7</v>
      </c>
      <c r="B759" s="2" t="s">
        <v>2559</v>
      </c>
      <c r="C759" s="19" t="s">
        <v>4683</v>
      </c>
      <c r="D759" s="19"/>
      <c r="E759" s="9" t="s">
        <v>11</v>
      </c>
      <c r="F759" s="19"/>
    </row>
    <row r="760" ht="15.75" customHeight="1">
      <c r="A760" s="1">
        <v>6.1462588E7</v>
      </c>
      <c r="B760" s="2" t="s">
        <v>2876</v>
      </c>
      <c r="C760" s="19" t="s">
        <v>4684</v>
      </c>
      <c r="D760" s="19" t="s">
        <v>4685</v>
      </c>
      <c r="E760" s="2" t="s">
        <v>11</v>
      </c>
      <c r="F760" s="19"/>
    </row>
    <row r="761" ht="15.75" customHeight="1">
      <c r="A761" s="1">
        <v>6.1641793E7</v>
      </c>
      <c r="B761" s="2" t="s">
        <v>3356</v>
      </c>
      <c r="C761" s="19" t="s">
        <v>4686</v>
      </c>
      <c r="D761" s="19"/>
      <c r="E761" s="2" t="s">
        <v>11</v>
      </c>
      <c r="F761" s="19"/>
    </row>
    <row r="762" ht="15.75" customHeight="1">
      <c r="A762" s="1">
        <v>6.1642239E7</v>
      </c>
      <c r="B762" s="2" t="s">
        <v>3473</v>
      </c>
      <c r="C762" s="19" t="s">
        <v>4687</v>
      </c>
      <c r="D762" s="19"/>
      <c r="E762" s="9" t="s">
        <v>11</v>
      </c>
      <c r="F762" s="19"/>
    </row>
    <row r="763" ht="15.75" customHeight="1">
      <c r="A763" s="1">
        <v>6.164256E7</v>
      </c>
      <c r="B763" s="2" t="s">
        <v>2877</v>
      </c>
      <c r="C763" s="19" t="s">
        <v>4688</v>
      </c>
      <c r="D763" s="19"/>
      <c r="E763" s="2" t="s">
        <v>11</v>
      </c>
      <c r="F763" s="19"/>
    </row>
    <row r="764" ht="15.75" customHeight="1">
      <c r="A764" s="1">
        <v>6.1647756E7</v>
      </c>
      <c r="B764" s="2" t="s">
        <v>3342</v>
      </c>
      <c r="C764" s="19" t="s">
        <v>4689</v>
      </c>
      <c r="D764" s="19" t="s">
        <v>4690</v>
      </c>
      <c r="E764" s="2" t="s">
        <v>11</v>
      </c>
      <c r="F764" s="19"/>
    </row>
    <row r="765" ht="15.75" customHeight="1">
      <c r="A765" s="1">
        <v>6.1655523E7</v>
      </c>
      <c r="B765" s="2" t="s">
        <v>3168</v>
      </c>
      <c r="C765" s="19" t="s">
        <v>4691</v>
      </c>
      <c r="D765" s="19"/>
      <c r="E765" s="2" t="s">
        <v>11</v>
      </c>
      <c r="F765" s="19"/>
    </row>
    <row r="766" ht="15.75" customHeight="1">
      <c r="A766" s="1">
        <v>6.1659007E7</v>
      </c>
      <c r="B766" s="2" t="s">
        <v>3633</v>
      </c>
      <c r="C766" s="19" t="s">
        <v>4692</v>
      </c>
      <c r="D766" s="19"/>
      <c r="E766" s="2" t="s">
        <v>11</v>
      </c>
      <c r="F766" s="19"/>
    </row>
    <row r="767" ht="15.75" customHeight="1">
      <c r="A767" s="1">
        <v>6.1660647E7</v>
      </c>
      <c r="B767" s="2" t="s">
        <v>3493</v>
      </c>
      <c r="C767" s="19" t="s">
        <v>4693</v>
      </c>
      <c r="D767" s="19"/>
      <c r="E767" s="2" t="s">
        <v>11</v>
      </c>
      <c r="F767" s="19"/>
    </row>
    <row r="768" ht="15.75" customHeight="1">
      <c r="A768" s="1">
        <v>6.1664951E7</v>
      </c>
      <c r="B768" s="2" t="s">
        <v>3612</v>
      </c>
      <c r="C768" s="19" t="s">
        <v>4694</v>
      </c>
      <c r="D768" s="19"/>
      <c r="E768" s="2" t="s">
        <v>11</v>
      </c>
      <c r="F768" s="19"/>
    </row>
    <row r="769" ht="15.75" customHeight="1">
      <c r="A769" s="1">
        <v>6.1668245E7</v>
      </c>
      <c r="B769" s="2" t="s">
        <v>3538</v>
      </c>
      <c r="C769" s="19" t="s">
        <v>4695</v>
      </c>
      <c r="D769" s="19"/>
      <c r="E769" s="2" t="s">
        <v>11</v>
      </c>
      <c r="F769" s="19"/>
    </row>
    <row r="770" ht="15.75" customHeight="1">
      <c r="A770" s="1">
        <v>6.1670491E7</v>
      </c>
      <c r="B770" s="2" t="s">
        <v>3244</v>
      </c>
      <c r="C770" s="19" t="s">
        <v>4696</v>
      </c>
      <c r="D770" s="19"/>
      <c r="E770" s="2" t="s">
        <v>11</v>
      </c>
      <c r="F770" s="19"/>
    </row>
    <row r="771" ht="15.75" customHeight="1">
      <c r="A771" s="1">
        <v>6.1671196E7</v>
      </c>
      <c r="B771" s="2" t="s">
        <v>3539</v>
      </c>
      <c r="C771" s="19" t="s">
        <v>4697</v>
      </c>
      <c r="D771" s="19"/>
      <c r="E771" s="2" t="s">
        <v>11</v>
      </c>
      <c r="F771" s="19"/>
    </row>
    <row r="772" ht="15.75" customHeight="1">
      <c r="A772" s="1">
        <v>6.1672841E7</v>
      </c>
      <c r="B772" s="2" t="s">
        <v>3540</v>
      </c>
      <c r="C772" s="19" t="s">
        <v>4698</v>
      </c>
      <c r="D772" s="19"/>
      <c r="E772" s="2" t="s">
        <v>11</v>
      </c>
      <c r="F772" s="19"/>
    </row>
    <row r="773" ht="15.75" customHeight="1">
      <c r="A773" s="1">
        <v>6.1674307E7</v>
      </c>
      <c r="B773" s="2" t="s">
        <v>3386</v>
      </c>
      <c r="C773" s="19" t="s">
        <v>4699</v>
      </c>
      <c r="D773" s="19"/>
      <c r="E773" s="2" t="s">
        <v>11</v>
      </c>
      <c r="F773" s="19"/>
    </row>
    <row r="774" ht="15.75" customHeight="1">
      <c r="A774" s="1">
        <v>6.1674856E7</v>
      </c>
      <c r="B774" s="2" t="s">
        <v>3613</v>
      </c>
      <c r="C774" s="19" t="s">
        <v>4700</v>
      </c>
      <c r="D774" s="19"/>
      <c r="E774" s="2" t="s">
        <v>11</v>
      </c>
      <c r="F774" s="19"/>
    </row>
    <row r="775" ht="15.75" customHeight="1">
      <c r="A775" s="1">
        <v>6.1676798E7</v>
      </c>
      <c r="B775" s="2" t="s">
        <v>3602</v>
      </c>
      <c r="C775" s="19" t="s">
        <v>4701</v>
      </c>
      <c r="D775" s="19"/>
      <c r="E775" s="9" t="s">
        <v>11</v>
      </c>
      <c r="F775" s="19"/>
    </row>
    <row r="776" ht="15.75" customHeight="1">
      <c r="A776" s="1">
        <v>6.1676962E7</v>
      </c>
      <c r="B776" s="2" t="s">
        <v>3494</v>
      </c>
      <c r="C776" s="19" t="s">
        <v>4702</v>
      </c>
      <c r="D776" s="19"/>
      <c r="E776" s="2" t="s">
        <v>11</v>
      </c>
      <c r="F776" s="19"/>
    </row>
    <row r="777" ht="15.75" customHeight="1">
      <c r="A777" s="1">
        <v>6.1677805E7</v>
      </c>
      <c r="B777" s="2" t="s">
        <v>3495</v>
      </c>
      <c r="C777" s="19" t="s">
        <v>4703</v>
      </c>
      <c r="D777" s="19"/>
      <c r="E777" s="2" t="s">
        <v>11</v>
      </c>
      <c r="F777" s="19"/>
    </row>
    <row r="778" ht="15.75" customHeight="1">
      <c r="A778" s="1">
        <v>6.1683219E7</v>
      </c>
      <c r="B778" s="2" t="s">
        <v>3541</v>
      </c>
      <c r="C778" s="19" t="s">
        <v>4704</v>
      </c>
      <c r="D778" s="19"/>
      <c r="E778" s="2" t="s">
        <v>11</v>
      </c>
      <c r="F778" s="19"/>
    </row>
    <row r="779" ht="15.75" customHeight="1">
      <c r="A779" s="1">
        <v>6.1685518E7</v>
      </c>
      <c r="B779" s="2" t="s">
        <v>2930</v>
      </c>
      <c r="C779" s="19" t="s">
        <v>4705</v>
      </c>
      <c r="D779" s="19" t="s">
        <v>4706</v>
      </c>
      <c r="E779" s="2" t="s">
        <v>11</v>
      </c>
      <c r="F779" s="19"/>
    </row>
    <row r="780" ht="15.75" customHeight="1">
      <c r="A780" s="1">
        <v>6.1685582E7</v>
      </c>
      <c r="B780" s="2" t="s">
        <v>3542</v>
      </c>
      <c r="C780" s="19" t="s">
        <v>4707</v>
      </c>
      <c r="D780" s="19"/>
      <c r="E780" s="2" t="s">
        <v>11</v>
      </c>
      <c r="F780" s="19"/>
    </row>
    <row r="781" ht="15.75" customHeight="1">
      <c r="A781" s="1">
        <v>6.1687572E7</v>
      </c>
      <c r="B781" s="2" t="s">
        <v>3428</v>
      </c>
      <c r="C781" s="19" t="s">
        <v>4708</v>
      </c>
      <c r="D781" s="19"/>
      <c r="E781" s="2" t="s">
        <v>11</v>
      </c>
      <c r="F781" s="19"/>
    </row>
    <row r="782" ht="15.75" customHeight="1">
      <c r="A782" s="1">
        <v>6.1689176E7</v>
      </c>
      <c r="B782" s="2" t="s">
        <v>3429</v>
      </c>
      <c r="C782" s="19" t="s">
        <v>4709</v>
      </c>
      <c r="D782" s="19"/>
      <c r="E782" s="9" t="s">
        <v>11</v>
      </c>
      <c r="F782" s="19"/>
    </row>
    <row r="783" ht="15.75" customHeight="1">
      <c r="A783" s="1">
        <v>6.1706612E7</v>
      </c>
      <c r="B783" s="2" t="s">
        <v>3291</v>
      </c>
      <c r="C783" s="19" t="s">
        <v>4710</v>
      </c>
      <c r="D783" s="19"/>
      <c r="E783" s="2" t="s">
        <v>11</v>
      </c>
      <c r="F783" s="19"/>
    </row>
    <row r="784" ht="15.75" customHeight="1">
      <c r="A784" s="1">
        <v>6.1713625E7</v>
      </c>
      <c r="B784" s="2" t="s">
        <v>2358</v>
      </c>
      <c r="C784" s="19" t="s">
        <v>4711</v>
      </c>
      <c r="D784" s="19"/>
      <c r="E784" s="2" t="s">
        <v>11</v>
      </c>
      <c r="F784" s="19"/>
    </row>
    <row r="785" ht="15.75" customHeight="1">
      <c r="A785" s="1">
        <v>6.1729009E7</v>
      </c>
      <c r="B785" s="2" t="s">
        <v>3560</v>
      </c>
      <c r="C785" s="19" t="s">
        <v>4712</v>
      </c>
      <c r="D785" s="19"/>
      <c r="E785" s="2" t="s">
        <v>11</v>
      </c>
      <c r="F785" s="19"/>
    </row>
    <row r="786" ht="15.75" customHeight="1">
      <c r="A786" s="1">
        <v>6.1729358E7</v>
      </c>
      <c r="B786" s="2" t="s">
        <v>3140</v>
      </c>
      <c r="C786" s="19" t="s">
        <v>4713</v>
      </c>
      <c r="D786" s="19" t="s">
        <v>4714</v>
      </c>
      <c r="E786" s="2" t="s">
        <v>11</v>
      </c>
      <c r="F786" s="19"/>
    </row>
    <row r="787" ht="15.75" customHeight="1">
      <c r="A787" s="1">
        <v>6.1731925E7</v>
      </c>
      <c r="B787" s="2" t="s">
        <v>3454</v>
      </c>
      <c r="C787" s="19" t="s">
        <v>4715</v>
      </c>
      <c r="D787" s="19"/>
      <c r="E787" s="2" t="s">
        <v>11</v>
      </c>
      <c r="F787" s="19"/>
    </row>
    <row r="788" ht="15.75" customHeight="1">
      <c r="A788" s="1">
        <v>6.1734639E7</v>
      </c>
      <c r="B788" s="2" t="s">
        <v>3637</v>
      </c>
      <c r="C788" s="19" t="s">
        <v>4716</v>
      </c>
      <c r="D788" s="19"/>
      <c r="E788" s="2" t="s">
        <v>11</v>
      </c>
      <c r="F788" s="19"/>
    </row>
    <row r="789" ht="15.75" customHeight="1">
      <c r="A789" s="1">
        <v>6.173468E7</v>
      </c>
      <c r="B789" s="2" t="s">
        <v>3316</v>
      </c>
      <c r="C789" s="19" t="s">
        <v>4717</v>
      </c>
      <c r="D789" s="19"/>
      <c r="E789" s="2" t="s">
        <v>11</v>
      </c>
      <c r="F789" s="19"/>
    </row>
    <row r="790" ht="15.75" customHeight="1">
      <c r="A790" s="1">
        <v>6.1735365E7</v>
      </c>
      <c r="B790" s="2" t="s">
        <v>3543</v>
      </c>
      <c r="C790" s="19" t="s">
        <v>4718</v>
      </c>
      <c r="D790" s="19"/>
      <c r="E790" s="2" t="s">
        <v>11</v>
      </c>
      <c r="F790" s="19"/>
    </row>
    <row r="791" ht="15.75" customHeight="1">
      <c r="A791" s="1">
        <v>6.174291E7</v>
      </c>
      <c r="B791" s="2" t="s">
        <v>3061</v>
      </c>
      <c r="C791" s="19" t="s">
        <v>4719</v>
      </c>
      <c r="D791" s="19"/>
      <c r="E791" s="2" t="s">
        <v>11</v>
      </c>
      <c r="F791" s="19"/>
    </row>
    <row r="792" ht="15.75" customHeight="1">
      <c r="A792" s="1">
        <v>6.1749474E7</v>
      </c>
      <c r="B792" s="2" t="s">
        <v>3575</v>
      </c>
      <c r="C792" s="19" t="s">
        <v>4720</v>
      </c>
      <c r="D792" s="19"/>
      <c r="E792" s="2" t="s">
        <v>11</v>
      </c>
      <c r="F792" s="19"/>
    </row>
    <row r="793" ht="15.75" customHeight="1">
      <c r="A793" s="1">
        <v>6.1759228E7</v>
      </c>
      <c r="B793" s="2" t="s">
        <v>3245</v>
      </c>
      <c r="C793" s="19" t="s">
        <v>4721</v>
      </c>
      <c r="D793" s="19"/>
      <c r="E793" s="2" t="s">
        <v>11</v>
      </c>
      <c r="F793" s="19"/>
    </row>
    <row r="794" ht="15.75" customHeight="1">
      <c r="A794" s="1">
        <v>6.1766048E7</v>
      </c>
      <c r="B794" s="2" t="s">
        <v>3387</v>
      </c>
      <c r="C794" s="19" t="s">
        <v>4722</v>
      </c>
      <c r="D794" s="19"/>
      <c r="E794" s="9" t="s">
        <v>11</v>
      </c>
      <c r="F794" s="19"/>
    </row>
    <row r="795" ht="15.75" customHeight="1">
      <c r="A795" s="1">
        <v>6.1769866E7</v>
      </c>
      <c r="B795" s="2" t="s">
        <v>3094</v>
      </c>
      <c r="C795" s="19" t="s">
        <v>4723</v>
      </c>
      <c r="D795" s="19" t="s">
        <v>4724</v>
      </c>
      <c r="E795" s="2" t="s">
        <v>11</v>
      </c>
      <c r="F795" s="19"/>
    </row>
    <row r="796" ht="15.75" customHeight="1">
      <c r="A796" s="1">
        <v>6.1775267E7</v>
      </c>
      <c r="B796" s="2" t="s">
        <v>3603</v>
      </c>
      <c r="C796" s="19" t="s">
        <v>4725</v>
      </c>
      <c r="D796" s="19"/>
      <c r="E796" s="2" t="s">
        <v>11</v>
      </c>
      <c r="F796" s="19"/>
    </row>
    <row r="797" ht="15.75" customHeight="1">
      <c r="A797" s="1">
        <v>6.1776817E7</v>
      </c>
      <c r="B797" s="2" t="s">
        <v>3455</v>
      </c>
      <c r="C797" s="19" t="s">
        <v>4726</v>
      </c>
      <c r="D797" s="19"/>
      <c r="E797" s="2" t="s">
        <v>11</v>
      </c>
      <c r="F797" s="19"/>
    </row>
    <row r="798" ht="15.75" customHeight="1">
      <c r="A798" s="1">
        <v>6.1778472E7</v>
      </c>
      <c r="B798" s="2" t="s">
        <v>2945</v>
      </c>
      <c r="C798" s="19" t="s">
        <v>4727</v>
      </c>
      <c r="D798" s="19" t="s">
        <v>4728</v>
      </c>
      <c r="E798" s="2" t="s">
        <v>11</v>
      </c>
      <c r="F798" s="19"/>
    </row>
    <row r="799" ht="15.75" customHeight="1">
      <c r="A799" s="1">
        <v>6.1780469E7</v>
      </c>
      <c r="B799" s="2" t="s">
        <v>3474</v>
      </c>
      <c r="C799" s="19" t="s">
        <v>4729</v>
      </c>
      <c r="D799" s="19" t="s">
        <v>4730</v>
      </c>
      <c r="E799" s="2" t="s">
        <v>11</v>
      </c>
      <c r="F799" s="19"/>
    </row>
    <row r="800" ht="15.75" customHeight="1">
      <c r="A800" s="1">
        <v>6.1782652E7</v>
      </c>
      <c r="B800" s="2" t="s">
        <v>3095</v>
      </c>
      <c r="C800" s="19" t="s">
        <v>4731</v>
      </c>
      <c r="D800" s="19" t="s">
        <v>4732</v>
      </c>
      <c r="E800" s="2" t="s">
        <v>11</v>
      </c>
      <c r="F800" s="19"/>
    </row>
    <row r="801" ht="15.75" customHeight="1">
      <c r="A801" s="1">
        <v>6.1782655E7</v>
      </c>
      <c r="B801" s="2" t="s">
        <v>3317</v>
      </c>
      <c r="C801" s="19" t="s">
        <v>4733</v>
      </c>
      <c r="D801" s="19" t="s">
        <v>4734</v>
      </c>
      <c r="E801" s="2" t="s">
        <v>11</v>
      </c>
      <c r="F801" s="19"/>
    </row>
    <row r="802" ht="15.75" customHeight="1">
      <c r="A802" s="1">
        <v>6.1790198E7</v>
      </c>
      <c r="B802" s="2" t="s">
        <v>3430</v>
      </c>
      <c r="C802" s="19" t="s">
        <v>4735</v>
      </c>
      <c r="D802" s="19"/>
      <c r="E802" s="2" t="s">
        <v>11</v>
      </c>
      <c r="F802" s="19"/>
    </row>
    <row r="803" ht="15.75" customHeight="1">
      <c r="A803" s="1">
        <v>6.1817845E7</v>
      </c>
      <c r="B803" s="2" t="s">
        <v>3496</v>
      </c>
      <c r="C803" s="19" t="s">
        <v>4736</v>
      </c>
      <c r="D803" s="19"/>
      <c r="E803" s="9" t="s">
        <v>11</v>
      </c>
      <c r="F803" s="19"/>
    </row>
    <row r="804" ht="15.75" customHeight="1">
      <c r="A804" s="1">
        <v>6.181822E7</v>
      </c>
      <c r="B804" s="2" t="s">
        <v>3456</v>
      </c>
      <c r="C804" s="19" t="s">
        <v>4737</v>
      </c>
      <c r="D804" s="19"/>
      <c r="E804" s="9" t="s">
        <v>11</v>
      </c>
      <c r="F804" s="19"/>
    </row>
    <row r="805" ht="15.75" customHeight="1">
      <c r="A805" s="1">
        <v>6.1818685E7</v>
      </c>
      <c r="B805" s="2" t="s">
        <v>2800</v>
      </c>
      <c r="C805" s="19" t="s">
        <v>4738</v>
      </c>
      <c r="D805" s="19"/>
      <c r="E805" s="2" t="s">
        <v>11</v>
      </c>
      <c r="F805" s="19"/>
    </row>
    <row r="806" ht="15.75" customHeight="1">
      <c r="A806" s="1">
        <v>6.1820944E7</v>
      </c>
      <c r="B806" s="2" t="s">
        <v>3497</v>
      </c>
      <c r="C806" s="19" t="s">
        <v>4739</v>
      </c>
      <c r="D806" s="19"/>
      <c r="E806" s="9" t="s">
        <v>11</v>
      </c>
      <c r="F806" s="19"/>
    </row>
    <row r="807" ht="15.75" customHeight="1">
      <c r="A807" s="1">
        <v>6.1824996E7</v>
      </c>
      <c r="B807" s="2" t="s">
        <v>3337</v>
      </c>
      <c r="C807" s="19" t="s">
        <v>4740</v>
      </c>
      <c r="D807" s="19"/>
      <c r="E807" s="2" t="s">
        <v>11</v>
      </c>
      <c r="F807" s="19"/>
    </row>
    <row r="808" ht="15.75" customHeight="1">
      <c r="A808" s="1">
        <v>6.1827269E7</v>
      </c>
      <c r="B808" s="2" t="s">
        <v>3623</v>
      </c>
      <c r="C808" s="19" t="s">
        <v>4741</v>
      </c>
      <c r="D808" s="19"/>
      <c r="E808" s="9" t="s">
        <v>11</v>
      </c>
      <c r="F808" s="19"/>
    </row>
    <row r="809" ht="15.75" customHeight="1">
      <c r="A809" s="1">
        <v>6.1834955E7</v>
      </c>
      <c r="B809" s="2" t="s">
        <v>3614</v>
      </c>
      <c r="C809" s="19" t="s">
        <v>4742</v>
      </c>
      <c r="D809" s="19"/>
      <c r="E809" s="9" t="s">
        <v>11</v>
      </c>
      <c r="F809" s="19"/>
    </row>
    <row r="810" ht="15.75" customHeight="1">
      <c r="A810" s="1">
        <v>6.1840842E7</v>
      </c>
      <c r="B810" s="2" t="s">
        <v>2985</v>
      </c>
      <c r="C810" s="19" t="s">
        <v>4743</v>
      </c>
      <c r="D810" s="19" t="s">
        <v>4744</v>
      </c>
      <c r="E810" s="2" t="s">
        <v>11</v>
      </c>
      <c r="F810" s="19"/>
    </row>
    <row r="811" ht="15.75" customHeight="1">
      <c r="A811" s="1">
        <v>6.1842832E7</v>
      </c>
      <c r="B811" s="2" t="s">
        <v>3343</v>
      </c>
      <c r="C811" s="19" t="s">
        <v>4745</v>
      </c>
      <c r="D811" s="19" t="s">
        <v>4746</v>
      </c>
      <c r="E811" s="2" t="s">
        <v>11</v>
      </c>
      <c r="F811" s="19"/>
    </row>
    <row r="812" ht="15.75" customHeight="1">
      <c r="A812" s="1">
        <v>6.1854113E7</v>
      </c>
      <c r="B812" s="2" t="s">
        <v>3475</v>
      </c>
      <c r="C812" s="19" t="s">
        <v>4747</v>
      </c>
      <c r="D812" s="19"/>
      <c r="E812" s="9" t="s">
        <v>11</v>
      </c>
      <c r="F812" s="19"/>
    </row>
    <row r="813" ht="15.75" customHeight="1">
      <c r="A813" s="1">
        <v>6.1865302E7</v>
      </c>
      <c r="B813" s="2" t="s">
        <v>3141</v>
      </c>
      <c r="C813" s="19" t="s">
        <v>4748</v>
      </c>
      <c r="D813" s="19" t="s">
        <v>4749</v>
      </c>
      <c r="E813" s="2" t="s">
        <v>11</v>
      </c>
      <c r="F813" s="19"/>
    </row>
    <row r="814" ht="15.75" customHeight="1">
      <c r="A814" s="1">
        <v>6.1867669E7</v>
      </c>
      <c r="B814" s="2" t="s">
        <v>3588</v>
      </c>
      <c r="C814" s="19" t="s">
        <v>4750</v>
      </c>
      <c r="D814" s="19"/>
      <c r="E814" s="9" t="s">
        <v>11</v>
      </c>
      <c r="F814" s="19"/>
    </row>
    <row r="815" ht="15.75" customHeight="1">
      <c r="A815" s="1">
        <v>6.1902973E7</v>
      </c>
      <c r="B815" s="2" t="s">
        <v>3212</v>
      </c>
      <c r="C815" s="19" t="s">
        <v>4751</v>
      </c>
      <c r="D815" s="19" t="s">
        <v>4752</v>
      </c>
      <c r="E815" s="2" t="s">
        <v>11</v>
      </c>
      <c r="F815" s="19"/>
    </row>
    <row r="816" ht="15.75" customHeight="1">
      <c r="A816" s="1">
        <v>6.19048E7</v>
      </c>
      <c r="B816" s="2" t="s">
        <v>3407</v>
      </c>
      <c r="C816" s="19" t="s">
        <v>4753</v>
      </c>
      <c r="D816" s="19"/>
      <c r="E816" s="2" t="s">
        <v>11</v>
      </c>
      <c r="F816" s="19"/>
    </row>
    <row r="817" ht="15.75" customHeight="1">
      <c r="A817" s="1">
        <v>6.1909353E7</v>
      </c>
      <c r="B817" s="2" t="s">
        <v>3476</v>
      </c>
      <c r="C817" s="19" t="s">
        <v>4754</v>
      </c>
      <c r="D817" s="19" t="s">
        <v>4755</v>
      </c>
      <c r="E817" s="2" t="s">
        <v>11</v>
      </c>
      <c r="F817" s="19"/>
    </row>
    <row r="818" ht="15.75" customHeight="1">
      <c r="A818" s="1">
        <v>6.1915796E7</v>
      </c>
      <c r="B818" s="2" t="s">
        <v>3544</v>
      </c>
      <c r="C818" s="19" t="s">
        <v>4756</v>
      </c>
      <c r="D818" s="19"/>
      <c r="E818" s="2" t="s">
        <v>11</v>
      </c>
      <c r="F818" s="19"/>
    </row>
    <row r="819" ht="15.75" customHeight="1">
      <c r="A819" s="1">
        <v>6.1919301E7</v>
      </c>
      <c r="B819" s="2" t="s">
        <v>3007</v>
      </c>
      <c r="C819" s="19" t="s">
        <v>4757</v>
      </c>
      <c r="D819" s="19"/>
      <c r="E819" s="9" t="s">
        <v>11</v>
      </c>
      <c r="F819" s="19"/>
    </row>
    <row r="820" ht="15.75" customHeight="1">
      <c r="A820" s="1">
        <v>6.1928879E7</v>
      </c>
      <c r="B820" s="2" t="s">
        <v>3624</v>
      </c>
      <c r="C820" s="19" t="s">
        <v>4758</v>
      </c>
      <c r="D820" s="19"/>
      <c r="E820" s="2" t="s">
        <v>11</v>
      </c>
      <c r="F820" s="19"/>
    </row>
    <row r="821" ht="15.75" customHeight="1">
      <c r="A821" s="1">
        <v>6.1932638E7</v>
      </c>
      <c r="B821" s="2" t="s">
        <v>3615</v>
      </c>
      <c r="C821" s="19" t="s">
        <v>4759</v>
      </c>
      <c r="D821" s="19"/>
      <c r="E821" s="2" t="s">
        <v>11</v>
      </c>
      <c r="F821" s="19"/>
    </row>
    <row r="822" ht="15.75" customHeight="1">
      <c r="A822" s="1">
        <v>6.1936613E7</v>
      </c>
      <c r="B822" s="2" t="s">
        <v>3246</v>
      </c>
      <c r="C822" s="19" t="s">
        <v>4760</v>
      </c>
      <c r="D822" s="19" t="s">
        <v>4761</v>
      </c>
      <c r="E822" s="9" t="s">
        <v>11</v>
      </c>
      <c r="F822" s="19"/>
    </row>
    <row r="823" ht="15.75" customHeight="1">
      <c r="A823" s="1">
        <v>6.1938413E7</v>
      </c>
      <c r="B823" s="2" t="s">
        <v>3408</v>
      </c>
      <c r="C823" s="19" t="s">
        <v>4762</v>
      </c>
      <c r="D823" s="19" t="s">
        <v>4763</v>
      </c>
      <c r="E823" s="2" t="s">
        <v>11</v>
      </c>
      <c r="F823" s="19"/>
    </row>
    <row r="824" ht="15.75" customHeight="1">
      <c r="A824" s="1">
        <v>6.1939435E7</v>
      </c>
      <c r="B824" s="2" t="s">
        <v>3190</v>
      </c>
      <c r="C824" s="19" t="s">
        <v>4764</v>
      </c>
      <c r="D824" s="19"/>
      <c r="E824" s="2" t="s">
        <v>11</v>
      </c>
      <c r="F824" s="19"/>
    </row>
    <row r="825" ht="15.75" customHeight="1">
      <c r="A825" s="1">
        <v>6.1961302E7</v>
      </c>
      <c r="B825" s="2" t="s">
        <v>3142</v>
      </c>
      <c r="C825" s="19" t="s">
        <v>4765</v>
      </c>
      <c r="D825" s="19" t="s">
        <v>4766</v>
      </c>
      <c r="E825" s="2" t="s">
        <v>11</v>
      </c>
      <c r="F825" s="19"/>
    </row>
    <row r="826" ht="15.75" customHeight="1">
      <c r="A826" s="1">
        <v>6.1964967E7</v>
      </c>
      <c r="B826" s="2" t="s">
        <v>3431</v>
      </c>
      <c r="C826" s="19" t="s">
        <v>4767</v>
      </c>
      <c r="D826" s="19"/>
      <c r="E826" s="2" t="s">
        <v>11</v>
      </c>
      <c r="F826" s="19"/>
    </row>
    <row r="827" ht="15.75" customHeight="1">
      <c r="A827" s="1">
        <v>6.1977505E7</v>
      </c>
      <c r="B827" s="2" t="s">
        <v>3477</v>
      </c>
      <c r="C827" s="19" t="s">
        <v>4768</v>
      </c>
      <c r="D827" s="19"/>
      <c r="E827" s="2" t="s">
        <v>11</v>
      </c>
      <c r="F827" s="19"/>
    </row>
    <row r="828" ht="15.75" customHeight="1">
      <c r="A828" s="1">
        <v>6.1983642E7</v>
      </c>
      <c r="B828" s="2" t="s">
        <v>3457</v>
      </c>
      <c r="C828" s="19" t="s">
        <v>4769</v>
      </c>
      <c r="D828" s="19"/>
      <c r="E828" s="2" t="s">
        <v>11</v>
      </c>
      <c r="F828" s="19"/>
    </row>
    <row r="829" ht="15.75" customHeight="1">
      <c r="A829" s="1">
        <v>6.1999799E7</v>
      </c>
      <c r="B829" s="2" t="s">
        <v>3458</v>
      </c>
      <c r="C829" s="19" t="s">
        <v>4770</v>
      </c>
      <c r="D829" s="19"/>
      <c r="E829" s="2" t="s">
        <v>11</v>
      </c>
      <c r="F829" s="19"/>
    </row>
    <row r="830" ht="15.75" customHeight="1">
      <c r="A830" s="1">
        <v>6.2006237E7</v>
      </c>
      <c r="B830" s="2" t="s">
        <v>3459</v>
      </c>
      <c r="C830" s="19" t="s">
        <v>4771</v>
      </c>
      <c r="D830" s="19"/>
      <c r="E830" s="2" t="s">
        <v>11</v>
      </c>
      <c r="F830" s="19"/>
    </row>
    <row r="831" ht="15.75" customHeight="1">
      <c r="A831" s="1">
        <v>6.2018029E7</v>
      </c>
      <c r="B831" s="2" t="s">
        <v>3638</v>
      </c>
      <c r="C831" s="19" t="s">
        <v>4772</v>
      </c>
      <c r="D831" s="19"/>
      <c r="E831" s="2" t="s">
        <v>11</v>
      </c>
      <c r="F831" s="19"/>
    </row>
    <row r="832" ht="15.75" customHeight="1">
      <c r="A832" s="1">
        <v>6.2020069E7</v>
      </c>
      <c r="B832" s="2" t="s">
        <v>3561</v>
      </c>
      <c r="C832" s="19" t="s">
        <v>4773</v>
      </c>
      <c r="D832" s="19"/>
      <c r="E832" s="2" t="s">
        <v>11</v>
      </c>
      <c r="F832" s="19"/>
    </row>
    <row r="833" ht="15.75" customHeight="1">
      <c r="A833" s="1">
        <v>6.2020899E7</v>
      </c>
      <c r="B833" s="2" t="s">
        <v>3562</v>
      </c>
      <c r="C833" s="19" t="s">
        <v>4774</v>
      </c>
      <c r="D833" s="19"/>
      <c r="E833" s="2" t="s">
        <v>11</v>
      </c>
      <c r="F833" s="19"/>
    </row>
    <row r="834" ht="15.75" customHeight="1">
      <c r="A834" s="1">
        <v>6.2022772E7</v>
      </c>
      <c r="B834" s="2" t="s">
        <v>3545</v>
      </c>
      <c r="C834" s="19" t="s">
        <v>4775</v>
      </c>
      <c r="D834" s="19"/>
      <c r="E834" s="9" t="s">
        <v>11</v>
      </c>
      <c r="F834" s="19"/>
    </row>
    <row r="835" ht="15.75" customHeight="1">
      <c r="A835" s="1">
        <v>6.2031387E7</v>
      </c>
      <c r="B835" s="2" t="s">
        <v>3388</v>
      </c>
      <c r="C835" s="19" t="s">
        <v>4776</v>
      </c>
      <c r="D835" s="19"/>
      <c r="E835" s="2" t="s">
        <v>11</v>
      </c>
      <c r="F835" s="19"/>
    </row>
    <row r="836" ht="15.75" customHeight="1">
      <c r="A836" s="1">
        <v>6.2036134E7</v>
      </c>
      <c r="B836" s="2" t="s">
        <v>3604</v>
      </c>
      <c r="C836" s="19" t="s">
        <v>4777</v>
      </c>
      <c r="D836" s="19"/>
      <c r="E836" s="2" t="s">
        <v>11</v>
      </c>
      <c r="F836" s="19"/>
    </row>
    <row r="837" ht="15.75" customHeight="1">
      <c r="A837" s="1">
        <v>6.2037429E7</v>
      </c>
      <c r="B837" s="2" t="s">
        <v>3273</v>
      </c>
      <c r="C837" s="19" t="s">
        <v>4778</v>
      </c>
      <c r="D837" s="19"/>
      <c r="E837" s="2" t="s">
        <v>11</v>
      </c>
      <c r="F837" s="19"/>
    </row>
    <row r="838" ht="15.75" customHeight="1">
      <c r="A838" s="1">
        <v>6.2049277E7</v>
      </c>
      <c r="B838" s="2" t="s">
        <v>3605</v>
      </c>
      <c r="C838" s="19" t="s">
        <v>4779</v>
      </c>
      <c r="D838" s="19"/>
      <c r="E838" s="2" t="s">
        <v>11</v>
      </c>
      <c r="F838" s="19"/>
    </row>
    <row r="839" ht="15.75" customHeight="1">
      <c r="A839" s="1">
        <v>6.2049728E7</v>
      </c>
      <c r="B839" s="2" t="s">
        <v>3498</v>
      </c>
      <c r="C839" s="19" t="s">
        <v>4780</v>
      </c>
      <c r="D839" s="19"/>
      <c r="E839" s="9" t="s">
        <v>11</v>
      </c>
      <c r="F839" s="19"/>
    </row>
    <row r="840" ht="15.75" customHeight="1">
      <c r="A840" s="1">
        <v>6.2065508E7</v>
      </c>
      <c r="B840" s="2" t="s">
        <v>3589</v>
      </c>
      <c r="C840" s="19" t="s">
        <v>4781</v>
      </c>
      <c r="D840" s="19"/>
      <c r="E840" s="2" t="s">
        <v>11</v>
      </c>
      <c r="F840" s="19"/>
    </row>
    <row r="841" ht="15.75" customHeight="1">
      <c r="A841" s="1">
        <v>6.2066602E7</v>
      </c>
      <c r="B841" s="2" t="s">
        <v>3563</v>
      </c>
      <c r="C841" s="19" t="s">
        <v>4782</v>
      </c>
      <c r="D841" s="19" t="s">
        <v>4783</v>
      </c>
      <c r="E841" s="2" t="s">
        <v>11</v>
      </c>
      <c r="F841" s="19"/>
    </row>
    <row r="842" ht="15.75" customHeight="1">
      <c r="A842" s="1">
        <v>4.1800137E7</v>
      </c>
      <c r="B842" s="2" t="s">
        <v>865</v>
      </c>
      <c r="C842" s="19" t="s">
        <v>4784</v>
      </c>
      <c r="D842" s="19"/>
      <c r="E842" s="2" t="s">
        <v>86</v>
      </c>
      <c r="F842" s="19"/>
    </row>
    <row r="843" ht="15.75" customHeight="1">
      <c r="A843" s="1">
        <v>4.6297894E7</v>
      </c>
      <c r="B843" s="2" t="s">
        <v>784</v>
      </c>
      <c r="C843" s="19" t="s">
        <v>4785</v>
      </c>
      <c r="D843" s="19"/>
      <c r="E843" s="2" t="s">
        <v>86</v>
      </c>
      <c r="F843" s="19"/>
    </row>
    <row r="844" ht="15.75" customHeight="1">
      <c r="A844" s="1">
        <v>4.666969E7</v>
      </c>
      <c r="B844" s="2" t="s">
        <v>1768</v>
      </c>
      <c r="C844" s="19" t="s">
        <v>4786</v>
      </c>
      <c r="D844" s="19"/>
      <c r="E844" s="2" t="s">
        <v>86</v>
      </c>
      <c r="F844" s="19"/>
    </row>
    <row r="845" ht="15.75" customHeight="1">
      <c r="A845" s="1">
        <v>4.725401E7</v>
      </c>
      <c r="B845" s="2" t="s">
        <v>595</v>
      </c>
      <c r="C845" s="19" t="s">
        <v>4787</v>
      </c>
      <c r="D845" s="19"/>
      <c r="E845" s="2" t="s">
        <v>86</v>
      </c>
      <c r="F845" s="19"/>
    </row>
    <row r="846" ht="15.75" customHeight="1">
      <c r="A846" s="16">
        <v>4.8001643E7</v>
      </c>
      <c r="B846" s="14" t="s">
        <v>85</v>
      </c>
      <c r="C846" s="19" t="s">
        <v>4788</v>
      </c>
      <c r="D846" s="19" t="s">
        <v>4789</v>
      </c>
      <c r="E846" s="14" t="s">
        <v>86</v>
      </c>
      <c r="F846" s="19"/>
      <c r="G846" s="16"/>
    </row>
    <row r="847" ht="15.75" customHeight="1">
      <c r="A847" s="1">
        <v>5.2762374E7</v>
      </c>
      <c r="B847" s="2" t="s">
        <v>182</v>
      </c>
      <c r="C847" s="19" t="s">
        <v>4790</v>
      </c>
      <c r="D847" s="19" t="s">
        <v>4791</v>
      </c>
      <c r="E847" s="2" t="s">
        <v>86</v>
      </c>
      <c r="F847" s="19"/>
    </row>
    <row r="848" ht="15.75" customHeight="1">
      <c r="A848" s="1">
        <v>5.4161244E7</v>
      </c>
      <c r="B848" s="2" t="s">
        <v>3318</v>
      </c>
      <c r="C848" s="19" t="s">
        <v>4792</v>
      </c>
      <c r="D848" s="19"/>
      <c r="E848" s="2" t="s">
        <v>86</v>
      </c>
      <c r="F848" s="19"/>
    </row>
    <row r="849" ht="15.75" customHeight="1">
      <c r="A849" s="1">
        <v>5.4906295E7</v>
      </c>
      <c r="B849" s="2" t="s">
        <v>209</v>
      </c>
      <c r="C849" s="19" t="s">
        <v>4793</v>
      </c>
      <c r="D849" s="19" t="s">
        <v>4794</v>
      </c>
      <c r="E849" s="2" t="s">
        <v>86</v>
      </c>
      <c r="F849" s="19"/>
    </row>
    <row r="850" ht="15.75" customHeight="1">
      <c r="A850" s="1">
        <v>6.1207759E7</v>
      </c>
      <c r="B850" s="2" t="s">
        <v>3057</v>
      </c>
      <c r="C850" s="19" t="s">
        <v>4795</v>
      </c>
      <c r="D850" s="19"/>
      <c r="E850" s="2" t="s">
        <v>86</v>
      </c>
      <c r="F850" s="19"/>
    </row>
    <row r="851" ht="15.75" customHeight="1">
      <c r="A851" s="1">
        <v>6.1210424E7</v>
      </c>
      <c r="B851" s="2" t="s">
        <v>3625</v>
      </c>
      <c r="C851" s="19" t="s">
        <v>4796</v>
      </c>
      <c r="D851" s="19"/>
      <c r="E851" s="2" t="s">
        <v>86</v>
      </c>
      <c r="F851" s="19"/>
    </row>
    <row r="852" ht="15.75" customHeight="1">
      <c r="A852" s="1">
        <v>6.1469908E7</v>
      </c>
      <c r="B852" s="2" t="s">
        <v>3478</v>
      </c>
      <c r="C852" s="19" t="s">
        <v>4797</v>
      </c>
      <c r="D852" s="19"/>
      <c r="E852" s="2" t="s">
        <v>86</v>
      </c>
      <c r="F852" s="19"/>
    </row>
    <row r="853" ht="15.75" customHeight="1">
      <c r="A853" s="1">
        <v>6.1869531E7</v>
      </c>
      <c r="B853" s="2" t="s">
        <v>3515</v>
      </c>
      <c r="C853" s="19" t="s">
        <v>4798</v>
      </c>
      <c r="D853" s="19"/>
      <c r="E853" s="2" t="s">
        <v>86</v>
      </c>
      <c r="F853" s="19"/>
    </row>
    <row r="854" ht="15.75" customHeight="1">
      <c r="A854" s="1">
        <v>6.1920382E7</v>
      </c>
      <c r="B854" s="2" t="s">
        <v>3564</v>
      </c>
      <c r="C854" s="19" t="s">
        <v>4799</v>
      </c>
      <c r="D854" s="19"/>
      <c r="E854" s="2" t="s">
        <v>86</v>
      </c>
      <c r="F854" s="19"/>
    </row>
    <row r="855" ht="15.75" customHeight="1">
      <c r="A855" s="1">
        <v>6.1979138E7</v>
      </c>
      <c r="B855" s="2" t="s">
        <v>3626</v>
      </c>
      <c r="C855" s="19" t="s">
        <v>4800</v>
      </c>
      <c r="D855" s="19"/>
      <c r="E855" s="2" t="s">
        <v>86</v>
      </c>
      <c r="F855" s="19"/>
    </row>
    <row r="856" ht="15.75" customHeight="1">
      <c r="A856" s="1">
        <v>3.8951765E7</v>
      </c>
      <c r="B856" s="2" t="s">
        <v>71</v>
      </c>
      <c r="C856" s="19" t="s">
        <v>4801</v>
      </c>
      <c r="D856" s="19" t="s">
        <v>4802</v>
      </c>
      <c r="E856" s="2" t="s">
        <v>72</v>
      </c>
      <c r="F856" s="19"/>
    </row>
    <row r="857" ht="15.75" customHeight="1">
      <c r="A857" s="1">
        <v>4.1467659E7</v>
      </c>
      <c r="B857" s="2" t="s">
        <v>866</v>
      </c>
      <c r="C857" s="19" t="s">
        <v>4803</v>
      </c>
      <c r="D857" s="19" t="s">
        <v>4804</v>
      </c>
      <c r="E857" s="2" t="s">
        <v>72</v>
      </c>
      <c r="F857" s="19"/>
    </row>
    <row r="858" ht="15.75" customHeight="1">
      <c r="A858" s="1">
        <v>4.2506938E7</v>
      </c>
      <c r="B858" s="2" t="s">
        <v>505</v>
      </c>
      <c r="C858" s="19" t="s">
        <v>4805</v>
      </c>
      <c r="D858" s="19" t="s">
        <v>4806</v>
      </c>
      <c r="E858" s="2" t="s">
        <v>72</v>
      </c>
      <c r="F858" s="19"/>
    </row>
    <row r="859" ht="15.75" customHeight="1">
      <c r="A859" s="1">
        <v>4.3778494E7</v>
      </c>
      <c r="B859" s="2" t="s">
        <v>2600</v>
      </c>
      <c r="C859" s="19" t="s">
        <v>4807</v>
      </c>
      <c r="D859" s="19"/>
      <c r="E859" s="2" t="s">
        <v>72</v>
      </c>
      <c r="F859" s="19"/>
    </row>
    <row r="860" ht="15.75" customHeight="1">
      <c r="A860" s="1">
        <v>4.3860043E7</v>
      </c>
      <c r="B860" s="2" t="s">
        <v>1050</v>
      </c>
      <c r="C860" s="19" t="s">
        <v>4808</v>
      </c>
      <c r="D860" s="19"/>
      <c r="E860" s="2" t="s">
        <v>72</v>
      </c>
      <c r="F860" s="19"/>
    </row>
    <row r="861" ht="15.75" customHeight="1">
      <c r="A861" s="1">
        <v>4.402541E7</v>
      </c>
      <c r="B861" s="2" t="s">
        <v>697</v>
      </c>
      <c r="C861" s="19" t="s">
        <v>4809</v>
      </c>
      <c r="D861" s="19" t="s">
        <v>4810</v>
      </c>
      <c r="E861" s="2" t="s">
        <v>72</v>
      </c>
      <c r="F861" s="19"/>
    </row>
    <row r="862" ht="15.75" customHeight="1">
      <c r="A862" s="1">
        <v>4.4136328E7</v>
      </c>
      <c r="B862" s="2" t="s">
        <v>1543</v>
      </c>
      <c r="C862" s="19" t="s">
        <v>4811</v>
      </c>
      <c r="D862" s="19"/>
      <c r="E862" s="2" t="s">
        <v>72</v>
      </c>
      <c r="F862" s="19"/>
    </row>
    <row r="863" ht="15.75" customHeight="1">
      <c r="A863" s="1">
        <v>4.5555969E7</v>
      </c>
      <c r="B863" s="2" t="s">
        <v>2466</v>
      </c>
      <c r="C863" s="19" t="s">
        <v>4812</v>
      </c>
      <c r="D863" s="19"/>
      <c r="E863" s="2" t="s">
        <v>72</v>
      </c>
      <c r="F863" s="19"/>
    </row>
    <row r="864" ht="15.75" customHeight="1">
      <c r="A864" s="1">
        <v>4.6348449E7</v>
      </c>
      <c r="B864" s="2" t="s">
        <v>2541</v>
      </c>
      <c r="C864" s="19" t="s">
        <v>4813</v>
      </c>
      <c r="D864" s="19"/>
      <c r="E864" s="2" t="s">
        <v>72</v>
      </c>
      <c r="F864" s="19"/>
    </row>
    <row r="865" ht="15.75" customHeight="1">
      <c r="A865" s="1">
        <v>4.6369742E7</v>
      </c>
      <c r="B865" s="2" t="s">
        <v>2801</v>
      </c>
      <c r="C865" s="19" t="s">
        <v>4814</v>
      </c>
      <c r="D865" s="19"/>
      <c r="E865" s="2" t="s">
        <v>72</v>
      </c>
      <c r="F865" s="19"/>
    </row>
    <row r="866" ht="15.75" customHeight="1">
      <c r="A866" s="1">
        <v>4.6493441E7</v>
      </c>
      <c r="B866" s="2" t="s">
        <v>2802</v>
      </c>
      <c r="C866" s="19" t="s">
        <v>4815</v>
      </c>
      <c r="D866" s="19"/>
      <c r="E866" s="2" t="s">
        <v>72</v>
      </c>
      <c r="F866" s="19"/>
    </row>
    <row r="867" ht="15.75" customHeight="1">
      <c r="A867" s="1">
        <v>4.6495006E7</v>
      </c>
      <c r="B867" s="2" t="s">
        <v>2626</v>
      </c>
      <c r="C867" s="19" t="s">
        <v>4816</v>
      </c>
      <c r="D867" s="19"/>
      <c r="E867" s="2" t="s">
        <v>72</v>
      </c>
      <c r="F867" s="19"/>
    </row>
    <row r="868" ht="15.75" customHeight="1">
      <c r="A868" s="1">
        <v>4.6514457E7</v>
      </c>
      <c r="B868" s="2" t="s">
        <v>1781</v>
      </c>
      <c r="C868" s="19" t="s">
        <v>4817</v>
      </c>
      <c r="D868" s="19" t="s">
        <v>4818</v>
      </c>
      <c r="E868" s="2" t="s">
        <v>72</v>
      </c>
      <c r="F868" s="19"/>
    </row>
    <row r="869" ht="15.75" customHeight="1">
      <c r="A869" s="1">
        <v>4.6612872E7</v>
      </c>
      <c r="B869" s="2" t="s">
        <v>2658</v>
      </c>
      <c r="C869" s="19" t="s">
        <v>4819</v>
      </c>
      <c r="D869" s="19"/>
      <c r="E869" s="2" t="s">
        <v>72</v>
      </c>
      <c r="F869" s="19"/>
    </row>
    <row r="870" ht="15.75" customHeight="1">
      <c r="A870" s="1">
        <v>4.6966587E7</v>
      </c>
      <c r="B870" s="2" t="s">
        <v>464</v>
      </c>
      <c r="C870" s="19" t="s">
        <v>4820</v>
      </c>
      <c r="D870" s="19"/>
      <c r="E870" s="2" t="s">
        <v>72</v>
      </c>
      <c r="F870" s="19"/>
    </row>
    <row r="871" ht="15.75" customHeight="1">
      <c r="A871" s="1">
        <v>4.7194231E7</v>
      </c>
      <c r="B871" s="2" t="s">
        <v>685</v>
      </c>
      <c r="C871" s="19" t="s">
        <v>4821</v>
      </c>
      <c r="D871" s="19"/>
      <c r="E871" s="2" t="s">
        <v>72</v>
      </c>
      <c r="F871" s="19"/>
    </row>
    <row r="872" ht="15.75" customHeight="1">
      <c r="A872" s="1">
        <v>5.2952265E7</v>
      </c>
      <c r="B872" s="2" t="s">
        <v>2569</v>
      </c>
      <c r="C872" s="19" t="s">
        <v>4822</v>
      </c>
      <c r="D872" s="19" t="s">
        <v>4823</v>
      </c>
      <c r="E872" s="2" t="s">
        <v>72</v>
      </c>
      <c r="F872" s="19"/>
    </row>
    <row r="873" ht="15.75" customHeight="1">
      <c r="A873" s="1">
        <v>5.3884162E7</v>
      </c>
      <c r="B873" s="2" t="s">
        <v>1451</v>
      </c>
      <c r="C873" s="19" t="s">
        <v>4824</v>
      </c>
      <c r="D873" s="19" t="s">
        <v>4825</v>
      </c>
      <c r="E873" s="2" t="s">
        <v>72</v>
      </c>
      <c r="F873" s="19"/>
    </row>
    <row r="874" ht="15.75" customHeight="1">
      <c r="A874" s="1">
        <v>5.3933243E7</v>
      </c>
      <c r="B874" s="2" t="s">
        <v>1157</v>
      </c>
      <c r="C874" s="19" t="s">
        <v>4826</v>
      </c>
      <c r="D874" s="19"/>
      <c r="E874" s="2" t="s">
        <v>72</v>
      </c>
      <c r="F874" s="19"/>
    </row>
    <row r="875" ht="15.75" customHeight="1">
      <c r="A875" s="1">
        <v>5.4200067E7</v>
      </c>
      <c r="B875" s="2" t="s">
        <v>3274</v>
      </c>
      <c r="C875" s="19" t="s">
        <v>4827</v>
      </c>
      <c r="D875" s="19"/>
      <c r="E875" s="2" t="s">
        <v>72</v>
      </c>
      <c r="F875" s="19"/>
    </row>
    <row r="876" ht="15.75" customHeight="1">
      <c r="A876" s="1">
        <v>5.5068186E7</v>
      </c>
      <c r="B876" s="2" t="s">
        <v>3121</v>
      </c>
      <c r="C876" s="19" t="s">
        <v>4828</v>
      </c>
      <c r="D876" s="19"/>
      <c r="E876" s="2" t="s">
        <v>72</v>
      </c>
      <c r="F876" s="19"/>
    </row>
    <row r="877" ht="15.75" customHeight="1">
      <c r="A877" s="1">
        <v>6.1226697E7</v>
      </c>
      <c r="B877" s="2" t="s">
        <v>2943</v>
      </c>
      <c r="C877" s="19" t="s">
        <v>4829</v>
      </c>
      <c r="D877" s="19" t="s">
        <v>4830</v>
      </c>
      <c r="E877" s="2" t="s">
        <v>72</v>
      </c>
      <c r="F877" s="19"/>
    </row>
    <row r="878" ht="15.75" customHeight="1">
      <c r="A878" s="1">
        <v>8657698.0</v>
      </c>
      <c r="B878" s="2" t="s">
        <v>793</v>
      </c>
      <c r="C878" s="19" t="s">
        <v>4831</v>
      </c>
      <c r="D878" s="19" t="s">
        <v>4832</v>
      </c>
      <c r="E878" s="2" t="s">
        <v>537</v>
      </c>
      <c r="F878" s="19"/>
    </row>
    <row r="879" ht="15.75" customHeight="1">
      <c r="A879" s="1">
        <v>1.1248169E7</v>
      </c>
      <c r="B879" s="2" t="s">
        <v>948</v>
      </c>
      <c r="C879" s="19" t="s">
        <v>4833</v>
      </c>
      <c r="D879" s="19" t="s">
        <v>4834</v>
      </c>
      <c r="E879" s="2" t="s">
        <v>537</v>
      </c>
      <c r="F879" s="19"/>
    </row>
    <row r="880" ht="15.75" customHeight="1">
      <c r="A880" s="1">
        <v>3.2747702E7</v>
      </c>
      <c r="B880" s="2" t="s">
        <v>536</v>
      </c>
      <c r="C880" s="19" t="s">
        <v>4835</v>
      </c>
      <c r="D880" s="19"/>
      <c r="E880" s="2" t="s">
        <v>537</v>
      </c>
      <c r="F880" s="19"/>
    </row>
    <row r="881" ht="15.75" customHeight="1">
      <c r="A881" s="1">
        <v>4.2730602E7</v>
      </c>
      <c r="B881" s="2" t="s">
        <v>1555</v>
      </c>
      <c r="C881" s="19" t="s">
        <v>4836</v>
      </c>
      <c r="D881" s="19"/>
      <c r="E881" s="2" t="s">
        <v>537</v>
      </c>
      <c r="F881" s="19"/>
    </row>
    <row r="882" ht="15.75" customHeight="1">
      <c r="A882" s="1">
        <v>4.2841546E7</v>
      </c>
      <c r="B882" s="2" t="s">
        <v>2092</v>
      </c>
      <c r="C882" s="19" t="s">
        <v>4837</v>
      </c>
      <c r="D882" s="19" t="s">
        <v>4838</v>
      </c>
      <c r="E882" s="2" t="s">
        <v>537</v>
      </c>
      <c r="F882" s="19"/>
    </row>
    <row r="883" ht="15.75" customHeight="1">
      <c r="A883" s="1">
        <v>4.2914503E7</v>
      </c>
      <c r="B883" s="2" t="s">
        <v>1575</v>
      </c>
      <c r="C883" s="19" t="s">
        <v>4839</v>
      </c>
      <c r="D883" s="19" t="s">
        <v>4840</v>
      </c>
      <c r="E883" s="2" t="s">
        <v>537</v>
      </c>
      <c r="F883" s="19"/>
    </row>
    <row r="884" ht="15.75" customHeight="1">
      <c r="A884" s="1">
        <v>4.6705213E7</v>
      </c>
      <c r="B884" s="2" t="s">
        <v>1022</v>
      </c>
      <c r="C884" s="19" t="s">
        <v>4841</v>
      </c>
      <c r="D884" s="19"/>
      <c r="E884" s="2" t="s">
        <v>537</v>
      </c>
      <c r="F884" s="19"/>
    </row>
    <row r="885" ht="15.75" customHeight="1">
      <c r="A885" s="1">
        <v>4.6732318E7</v>
      </c>
      <c r="B885" s="2" t="s">
        <v>1650</v>
      </c>
      <c r="C885" s="19" t="s">
        <v>4842</v>
      </c>
      <c r="D885" s="19"/>
      <c r="E885" s="2" t="s">
        <v>537</v>
      </c>
      <c r="F885" s="19"/>
    </row>
    <row r="886" ht="15.75" customHeight="1">
      <c r="A886" s="1">
        <v>4.6976482E7</v>
      </c>
      <c r="B886" s="2" t="s">
        <v>2334</v>
      </c>
      <c r="C886" s="19" t="s">
        <v>4843</v>
      </c>
      <c r="D886" s="19"/>
      <c r="E886" s="2" t="s">
        <v>537</v>
      </c>
      <c r="F886" s="19"/>
    </row>
    <row r="887" ht="15.75" customHeight="1">
      <c r="A887" s="1">
        <v>4.7013716E7</v>
      </c>
      <c r="B887" s="2" t="s">
        <v>1910</v>
      </c>
      <c r="C887" s="19" t="s">
        <v>4844</v>
      </c>
      <c r="D887" s="19"/>
      <c r="E887" s="2" t="s">
        <v>537</v>
      </c>
      <c r="F887" s="19"/>
    </row>
    <row r="888" ht="15.75" customHeight="1">
      <c r="A888" s="1">
        <v>4.7795639E7</v>
      </c>
      <c r="B888" s="2" t="s">
        <v>1446</v>
      </c>
      <c r="C888" s="19" t="s">
        <v>4845</v>
      </c>
      <c r="D888" s="19"/>
      <c r="E888" s="2" t="s">
        <v>537</v>
      </c>
      <c r="F888" s="19"/>
    </row>
    <row r="889" ht="15.75" customHeight="1">
      <c r="A889" s="1">
        <v>5.3884595E7</v>
      </c>
      <c r="B889" s="2" t="s">
        <v>1719</v>
      </c>
      <c r="C889" s="19" t="s">
        <v>4846</v>
      </c>
      <c r="D889" s="19"/>
      <c r="E889" s="2" t="s">
        <v>537</v>
      </c>
      <c r="F889" s="19"/>
    </row>
    <row r="890" ht="15.75" customHeight="1">
      <c r="A890" s="1">
        <v>5.3930543E7</v>
      </c>
      <c r="B890" s="2" t="s">
        <v>2268</v>
      </c>
      <c r="C890" s="19" t="s">
        <v>4847</v>
      </c>
      <c r="D890" s="19"/>
      <c r="E890" s="2" t="s">
        <v>537</v>
      </c>
      <c r="F890" s="19"/>
    </row>
    <row r="891" ht="15.75" customHeight="1">
      <c r="A891" s="1">
        <v>5.4077904E7</v>
      </c>
      <c r="B891" s="2" t="s">
        <v>1576</v>
      </c>
      <c r="C891" s="19" t="s">
        <v>4848</v>
      </c>
      <c r="D891" s="19"/>
      <c r="E891" s="2" t="s">
        <v>537</v>
      </c>
      <c r="F891" s="19"/>
    </row>
    <row r="892" ht="15.75" customHeight="1">
      <c r="A892" s="1">
        <v>5.4901001E7</v>
      </c>
      <c r="B892" s="2" t="s">
        <v>2689</v>
      </c>
      <c r="C892" s="19" t="s">
        <v>4849</v>
      </c>
      <c r="D892" s="19"/>
      <c r="E892" s="2" t="s">
        <v>537</v>
      </c>
      <c r="F892" s="19"/>
    </row>
    <row r="893" ht="15.75" customHeight="1">
      <c r="A893" s="1">
        <v>5.5043215E7</v>
      </c>
      <c r="B893" s="2" t="s">
        <v>1870</v>
      </c>
      <c r="C893" s="19" t="s">
        <v>4850</v>
      </c>
      <c r="D893" s="19" t="s">
        <v>4851</v>
      </c>
      <c r="E893" s="2" t="s">
        <v>537</v>
      </c>
      <c r="F893" s="19"/>
    </row>
    <row r="894" ht="15.75" customHeight="1">
      <c r="A894" s="1">
        <v>5.5072078E7</v>
      </c>
      <c r="B894" s="2" t="s">
        <v>1734</v>
      </c>
      <c r="C894" s="19" t="s">
        <v>4852</v>
      </c>
      <c r="D894" s="19"/>
      <c r="E894" s="2" t="s">
        <v>537</v>
      </c>
      <c r="F894" s="19"/>
    </row>
    <row r="895" ht="15.75" customHeight="1">
      <c r="A895" s="1">
        <v>5.5116523E7</v>
      </c>
      <c r="B895" s="2" t="s">
        <v>2946</v>
      </c>
      <c r="C895" s="19" t="s">
        <v>4853</v>
      </c>
      <c r="D895" s="19"/>
      <c r="E895" s="2" t="s">
        <v>537</v>
      </c>
      <c r="F895" s="19"/>
    </row>
    <row r="896" ht="15.75" customHeight="1">
      <c r="A896" s="1">
        <v>5.5393388E7</v>
      </c>
      <c r="B896" s="2" t="s">
        <v>3268</v>
      </c>
      <c r="C896" s="19" t="s">
        <v>4854</v>
      </c>
      <c r="D896" s="19"/>
      <c r="E896" s="2" t="s">
        <v>537</v>
      </c>
      <c r="F896" s="19"/>
    </row>
    <row r="897" ht="15.75" customHeight="1">
      <c r="A897" s="1">
        <v>5.8429974E7</v>
      </c>
      <c r="B897" s="2" t="s">
        <v>3546</v>
      </c>
      <c r="C897" s="19" t="s">
        <v>4855</v>
      </c>
      <c r="D897" s="19"/>
      <c r="E897" s="2" t="s">
        <v>537</v>
      </c>
      <c r="F897" s="19"/>
    </row>
    <row r="898" ht="15.75" customHeight="1">
      <c r="A898" s="1">
        <v>6.1325505E7</v>
      </c>
      <c r="B898" s="2" t="s">
        <v>3641</v>
      </c>
      <c r="C898" s="19" t="s">
        <v>4856</v>
      </c>
      <c r="D898" s="19"/>
      <c r="E898" s="2" t="s">
        <v>537</v>
      </c>
      <c r="F898" s="19"/>
    </row>
    <row r="899" ht="15.75" customHeight="1">
      <c r="A899" s="1">
        <v>6.1798937E7</v>
      </c>
      <c r="B899" s="2" t="s">
        <v>3576</v>
      </c>
      <c r="C899" s="19" t="s">
        <v>4857</v>
      </c>
      <c r="D899" s="19"/>
      <c r="E899" s="2" t="s">
        <v>537</v>
      </c>
      <c r="F899" s="19"/>
    </row>
    <row r="900" ht="15.75" customHeight="1">
      <c r="A900" s="1">
        <v>6.1947363E7</v>
      </c>
      <c r="B900" s="2" t="s">
        <v>3590</v>
      </c>
      <c r="C900" s="19" t="s">
        <v>4858</v>
      </c>
      <c r="D900" s="19"/>
      <c r="E900" s="2" t="s">
        <v>537</v>
      </c>
      <c r="F900" s="19"/>
    </row>
    <row r="901" ht="15.75" customHeight="1">
      <c r="A901" s="1">
        <v>6.2014768E7</v>
      </c>
      <c r="B901" s="2" t="s">
        <v>3627</v>
      </c>
      <c r="C901" s="19" t="s">
        <v>4859</v>
      </c>
      <c r="D901" s="19"/>
      <c r="E901" s="2" t="s">
        <v>537</v>
      </c>
      <c r="F901" s="19"/>
    </row>
    <row r="902" ht="15.75" customHeight="1">
      <c r="A902" s="1">
        <v>544097.0</v>
      </c>
      <c r="B902" s="2" t="s">
        <v>131</v>
      </c>
      <c r="C902" s="19" t="s">
        <v>4860</v>
      </c>
      <c r="D902" s="19" t="s">
        <v>4861</v>
      </c>
      <c r="E902" s="2"/>
      <c r="F902" s="19"/>
    </row>
    <row r="903" ht="15.75" customHeight="1">
      <c r="A903" s="1">
        <v>2566385.0</v>
      </c>
      <c r="B903" s="2" t="s">
        <v>355</v>
      </c>
      <c r="C903" s="19" t="s">
        <v>4862</v>
      </c>
      <c r="D903" s="19" t="s">
        <v>4863</v>
      </c>
      <c r="E903" s="2"/>
      <c r="F903" s="19"/>
    </row>
    <row r="904" ht="15.75" customHeight="1">
      <c r="A904" s="1">
        <v>2615337.0</v>
      </c>
      <c r="B904" s="2" t="s">
        <v>393</v>
      </c>
      <c r="C904" s="19" t="s">
        <v>4864</v>
      </c>
      <c r="D904" s="19"/>
      <c r="E904" s="2"/>
      <c r="F904" s="19"/>
    </row>
    <row r="905" ht="15.75" customHeight="1">
      <c r="A905" s="1">
        <v>3578981.0</v>
      </c>
      <c r="B905" s="2" t="s">
        <v>114</v>
      </c>
      <c r="C905" s="19" t="s">
        <v>4865</v>
      </c>
      <c r="D905" s="19" t="s">
        <v>4866</v>
      </c>
      <c r="E905" s="2"/>
      <c r="F905" s="19"/>
    </row>
    <row r="906" ht="15.75" customHeight="1">
      <c r="A906" s="1">
        <v>6580311.0</v>
      </c>
      <c r="B906" s="2" t="s">
        <v>404</v>
      </c>
      <c r="C906" s="19" t="s">
        <v>4867</v>
      </c>
      <c r="D906" s="19" t="s">
        <v>4868</v>
      </c>
      <c r="E906" s="2"/>
      <c r="F906" s="19"/>
    </row>
    <row r="907" ht="15.75" customHeight="1">
      <c r="A907" s="1">
        <v>6645196.0</v>
      </c>
      <c r="B907" s="2" t="s">
        <v>1107</v>
      </c>
      <c r="C907" s="19" t="s">
        <v>4869</v>
      </c>
      <c r="D907" s="19" t="s">
        <v>4870</v>
      </c>
      <c r="E907" s="2"/>
      <c r="F907" s="19"/>
    </row>
    <row r="908" ht="15.75" customHeight="1">
      <c r="A908" s="1">
        <v>8522884.0</v>
      </c>
      <c r="B908" s="2" t="s">
        <v>134</v>
      </c>
      <c r="C908" s="19" t="s">
        <v>4871</v>
      </c>
      <c r="D908" s="19"/>
      <c r="E908" s="2"/>
      <c r="F908" s="19"/>
    </row>
    <row r="909" ht="15.75" customHeight="1">
      <c r="A909" s="1">
        <v>8640940.0</v>
      </c>
      <c r="B909" s="2" t="s">
        <v>64</v>
      </c>
      <c r="C909" s="19" t="s">
        <v>4872</v>
      </c>
      <c r="D909" s="19"/>
      <c r="E909" s="2"/>
      <c r="F909" s="19"/>
    </row>
    <row r="910" ht="15.75" customHeight="1">
      <c r="A910" s="1">
        <v>9257823.0</v>
      </c>
      <c r="B910" s="2" t="s">
        <v>1387</v>
      </c>
      <c r="C910" s="19" t="s">
        <v>4873</v>
      </c>
      <c r="D910" s="19"/>
      <c r="E910" s="2"/>
      <c r="F910" s="19"/>
    </row>
    <row r="911" ht="15.75" customHeight="1">
      <c r="A911" s="1">
        <v>9372228.0</v>
      </c>
      <c r="B911" s="2" t="s">
        <v>839</v>
      </c>
      <c r="C911" s="19" t="s">
        <v>4874</v>
      </c>
      <c r="D911" s="19"/>
      <c r="E911" s="2"/>
      <c r="F911" s="19"/>
    </row>
    <row r="912" ht="15.75" customHeight="1">
      <c r="A912" s="1">
        <v>9481841.0</v>
      </c>
      <c r="B912" s="2" t="s">
        <v>627</v>
      </c>
      <c r="C912" s="19" t="s">
        <v>4875</v>
      </c>
      <c r="D912" s="19"/>
      <c r="E912" s="2"/>
      <c r="F912" s="19"/>
    </row>
    <row r="913" ht="15.75" customHeight="1">
      <c r="A913" s="1">
        <v>9588748.0</v>
      </c>
      <c r="B913" s="2" t="s">
        <v>1273</v>
      </c>
      <c r="C913" s="19" t="s">
        <v>4876</v>
      </c>
      <c r="D913" s="19" t="s">
        <v>4877</v>
      </c>
      <c r="E913" s="2"/>
      <c r="F913" s="19"/>
    </row>
    <row r="914" ht="15.75" customHeight="1">
      <c r="A914" s="1">
        <v>9766725.0</v>
      </c>
      <c r="B914" s="2" t="s">
        <v>247</v>
      </c>
      <c r="C914" s="19" t="s">
        <v>4878</v>
      </c>
      <c r="D914" s="19"/>
      <c r="E914" s="2"/>
      <c r="F914" s="19"/>
    </row>
    <row r="915" ht="15.75" customHeight="1">
      <c r="A915" s="1">
        <v>9802779.0</v>
      </c>
      <c r="B915" s="2" t="s">
        <v>613</v>
      </c>
      <c r="C915" s="19" t="s">
        <v>4879</v>
      </c>
      <c r="D915" s="19" t="s">
        <v>4880</v>
      </c>
      <c r="E915" s="2"/>
      <c r="F915" s="19"/>
    </row>
    <row r="916" ht="15.75" customHeight="1">
      <c r="A916" s="1">
        <v>9980294.0</v>
      </c>
      <c r="B916" s="2" t="s">
        <v>803</v>
      </c>
      <c r="C916" s="19" t="s">
        <v>4881</v>
      </c>
      <c r="D916" s="19" t="s">
        <v>4882</v>
      </c>
      <c r="E916" s="2"/>
      <c r="F916" s="19"/>
    </row>
    <row r="917" ht="15.75" customHeight="1">
      <c r="A917" s="1">
        <v>1.0042002E7</v>
      </c>
      <c r="B917" s="2" t="s">
        <v>747</v>
      </c>
      <c r="C917" s="19" t="s">
        <v>4883</v>
      </c>
      <c r="D917" s="19"/>
      <c r="E917" s="2"/>
      <c r="F917" s="19"/>
    </row>
    <row r="918" ht="15.75" customHeight="1">
      <c r="A918" s="1">
        <v>1.0152372E7</v>
      </c>
      <c r="B918" s="2" t="s">
        <v>1510</v>
      </c>
      <c r="C918" s="19" t="s">
        <v>4884</v>
      </c>
      <c r="D918" s="19"/>
      <c r="E918" s="2"/>
      <c r="F918" s="19"/>
    </row>
    <row r="919" ht="15.75" customHeight="1">
      <c r="A919" s="1">
        <v>1.0215293E7</v>
      </c>
      <c r="B919" s="2" t="s">
        <v>178</v>
      </c>
      <c r="C919" s="19" t="s">
        <v>4885</v>
      </c>
      <c r="D919" s="19"/>
      <c r="E919" s="2"/>
      <c r="F919" s="19"/>
    </row>
    <row r="920" ht="15.75" customHeight="1">
      <c r="A920" s="1">
        <v>1.0247749E7</v>
      </c>
      <c r="B920" s="2" t="s">
        <v>180</v>
      </c>
      <c r="C920" s="19" t="s">
        <v>4886</v>
      </c>
      <c r="D920" s="19" t="s">
        <v>4887</v>
      </c>
      <c r="E920" s="2"/>
      <c r="F920" s="19"/>
    </row>
    <row r="921" ht="15.75" customHeight="1">
      <c r="A921" s="1">
        <v>1.0476572E7</v>
      </c>
      <c r="B921" s="2" t="s">
        <v>202</v>
      </c>
      <c r="C921" s="19" t="s">
        <v>4888</v>
      </c>
      <c r="D921" s="19" t="s">
        <v>4889</v>
      </c>
      <c r="E921" s="2"/>
      <c r="F921" s="19"/>
    </row>
    <row r="922" ht="15.75" customHeight="1">
      <c r="A922" s="1">
        <v>1.0586848E7</v>
      </c>
      <c r="B922" s="2" t="s">
        <v>644</v>
      </c>
      <c r="C922" s="19" t="s">
        <v>4890</v>
      </c>
      <c r="D922" s="19"/>
      <c r="E922" s="2"/>
      <c r="F922" s="19"/>
    </row>
    <row r="923" ht="15.75" customHeight="1">
      <c r="A923" s="1">
        <v>1.0673123E7</v>
      </c>
      <c r="B923" s="2" t="s">
        <v>961</v>
      </c>
      <c r="C923" s="19" t="s">
        <v>4891</v>
      </c>
      <c r="D923" s="19" t="s">
        <v>4892</v>
      </c>
      <c r="E923" s="2"/>
      <c r="F923" s="19"/>
    </row>
    <row r="924" ht="15.75" customHeight="1">
      <c r="A924" s="1">
        <v>1.0690115E7</v>
      </c>
      <c r="B924" s="2" t="s">
        <v>445</v>
      </c>
      <c r="C924" s="19" t="s">
        <v>4893</v>
      </c>
      <c r="D924" s="19" t="s">
        <v>4894</v>
      </c>
      <c r="E924" s="2"/>
      <c r="F924" s="19"/>
    </row>
    <row r="925" ht="15.75" customHeight="1">
      <c r="A925" s="1">
        <v>1.0761717E7</v>
      </c>
      <c r="B925" s="2" t="s">
        <v>2510</v>
      </c>
      <c r="C925" s="19" t="s">
        <v>4895</v>
      </c>
      <c r="D925" s="19"/>
      <c r="E925" s="2"/>
      <c r="F925" s="19"/>
    </row>
    <row r="926" ht="15.75" customHeight="1">
      <c r="A926" s="1">
        <v>1.0774183E7</v>
      </c>
      <c r="B926" s="2" t="s">
        <v>1705</v>
      </c>
      <c r="C926" s="19" t="s">
        <v>4896</v>
      </c>
      <c r="D926" s="19" t="s">
        <v>4897</v>
      </c>
      <c r="E926" s="2"/>
      <c r="F926" s="19"/>
    </row>
    <row r="927" ht="15.75" customHeight="1">
      <c r="A927" s="1">
        <v>1.0784169E7</v>
      </c>
      <c r="B927" s="2" t="s">
        <v>325</v>
      </c>
      <c r="C927" s="19" t="s">
        <v>4898</v>
      </c>
      <c r="D927" s="19" t="s">
        <v>4899</v>
      </c>
      <c r="E927" s="2"/>
      <c r="F927" s="19"/>
    </row>
    <row r="928" ht="15.75" customHeight="1">
      <c r="A928" s="1">
        <v>1.0898993E7</v>
      </c>
      <c r="B928" s="2" t="s">
        <v>374</v>
      </c>
      <c r="C928" s="19" t="s">
        <v>4900</v>
      </c>
      <c r="D928" s="19"/>
      <c r="E928" s="2"/>
      <c r="F928" s="19"/>
    </row>
    <row r="929" ht="15.75" customHeight="1">
      <c r="A929" s="1">
        <v>1.0919857E7</v>
      </c>
      <c r="B929" s="2" t="s">
        <v>324</v>
      </c>
      <c r="C929" s="19" t="s">
        <v>4901</v>
      </c>
      <c r="D929" s="19" t="s">
        <v>4902</v>
      </c>
      <c r="E929" s="2"/>
      <c r="F929" s="19"/>
    </row>
    <row r="930" ht="15.75" customHeight="1">
      <c r="A930" s="1">
        <v>1.0930561E7</v>
      </c>
      <c r="B930" s="2" t="s">
        <v>470</v>
      </c>
      <c r="C930" s="19" t="s">
        <v>4903</v>
      </c>
      <c r="D930" s="19"/>
      <c r="E930" s="2"/>
      <c r="F930" s="19"/>
    </row>
    <row r="931" ht="15.75" customHeight="1">
      <c r="A931" s="1">
        <v>1.1064969E7</v>
      </c>
      <c r="B931" s="2" t="s">
        <v>1739</v>
      </c>
      <c r="C931" s="19" t="s">
        <v>4904</v>
      </c>
      <c r="D931" s="19" t="s">
        <v>4905</v>
      </c>
      <c r="E931" s="2"/>
      <c r="F931" s="19"/>
    </row>
    <row r="932" ht="15.75" customHeight="1">
      <c r="A932" s="1">
        <v>1.1171081E7</v>
      </c>
      <c r="B932" s="2" t="s">
        <v>1391</v>
      </c>
      <c r="C932" s="19" t="s">
        <v>4906</v>
      </c>
      <c r="D932" s="19"/>
      <c r="E932" s="2"/>
      <c r="F932" s="19"/>
    </row>
    <row r="933" ht="15.75" customHeight="1">
      <c r="A933" s="1">
        <v>1.1306027E7</v>
      </c>
      <c r="B933" s="2" t="s">
        <v>1261</v>
      </c>
      <c r="C933" s="19" t="s">
        <v>4907</v>
      </c>
      <c r="D933" s="19" t="s">
        <v>4908</v>
      </c>
      <c r="E933" s="2"/>
      <c r="F933" s="19"/>
    </row>
    <row r="934" ht="15.75" customHeight="1">
      <c r="A934" s="1">
        <v>1.1316689E7</v>
      </c>
      <c r="B934" s="2" t="s">
        <v>1384</v>
      </c>
      <c r="C934" s="19" t="s">
        <v>4909</v>
      </c>
      <c r="D934" s="19"/>
      <c r="E934" s="2"/>
      <c r="F934" s="19"/>
    </row>
    <row r="935" ht="15.75" customHeight="1">
      <c r="A935" s="1">
        <v>1.1352675E7</v>
      </c>
      <c r="B935" s="2" t="s">
        <v>251</v>
      </c>
      <c r="C935" s="19" t="s">
        <v>4910</v>
      </c>
      <c r="D935" s="19"/>
      <c r="E935" s="2"/>
      <c r="F935" s="19"/>
    </row>
    <row r="936" ht="15.75" customHeight="1">
      <c r="A936" s="1">
        <v>1.1446885E7</v>
      </c>
      <c r="B936" s="2" t="s">
        <v>1131</v>
      </c>
      <c r="C936" s="19" t="s">
        <v>4911</v>
      </c>
      <c r="D936" s="19"/>
      <c r="E936" s="2"/>
      <c r="F936" s="19"/>
    </row>
    <row r="937" ht="15.75" customHeight="1">
      <c r="A937" s="1">
        <v>1.1698968E7</v>
      </c>
      <c r="B937" s="2" t="s">
        <v>331</v>
      </c>
      <c r="C937" s="19" t="s">
        <v>4912</v>
      </c>
      <c r="D937" s="19" t="s">
        <v>4913</v>
      </c>
      <c r="E937" s="2"/>
      <c r="F937" s="19"/>
    </row>
    <row r="938" ht="15.75" customHeight="1">
      <c r="A938" s="1">
        <v>1.1718933E7</v>
      </c>
      <c r="B938" s="2" t="s">
        <v>2068</v>
      </c>
      <c r="C938" s="19" t="s">
        <v>4914</v>
      </c>
      <c r="D938" s="19"/>
      <c r="E938" s="2"/>
      <c r="F938" s="19"/>
    </row>
    <row r="939" ht="15.75" customHeight="1">
      <c r="A939" s="1">
        <v>1.2020334E7</v>
      </c>
      <c r="B939" s="2" t="s">
        <v>1102</v>
      </c>
      <c r="C939" s="19" t="s">
        <v>4915</v>
      </c>
      <c r="D939" s="19" t="s">
        <v>4916</v>
      </c>
      <c r="E939" s="2"/>
      <c r="F939" s="19"/>
    </row>
    <row r="940" ht="15.75" customHeight="1">
      <c r="A940" s="1">
        <v>1.2028626E7</v>
      </c>
      <c r="B940" s="2" t="s">
        <v>983</v>
      </c>
      <c r="C940" s="19" t="s">
        <v>4917</v>
      </c>
      <c r="D940" s="19" t="s">
        <v>4918</v>
      </c>
      <c r="E940" s="2"/>
      <c r="F940" s="19"/>
    </row>
    <row r="941" ht="15.75" customHeight="1">
      <c r="A941" s="1">
        <v>1.2031216E7</v>
      </c>
      <c r="B941" s="2" t="s">
        <v>808</v>
      </c>
      <c r="C941" s="19" t="s">
        <v>4919</v>
      </c>
      <c r="D941" s="19"/>
      <c r="E941" s="2"/>
      <c r="F941" s="19"/>
    </row>
    <row r="942" ht="15.75" customHeight="1">
      <c r="A942" s="1">
        <v>1.2087385E7</v>
      </c>
      <c r="B942" s="2" t="s">
        <v>745</v>
      </c>
      <c r="C942" s="19" t="s">
        <v>4920</v>
      </c>
      <c r="D942" s="19" t="s">
        <v>4921</v>
      </c>
      <c r="E942" s="2"/>
      <c r="F942" s="19"/>
    </row>
    <row r="943" ht="15.75" customHeight="1">
      <c r="A943" s="1">
        <v>1.227074E7</v>
      </c>
      <c r="B943" s="2" t="s">
        <v>1610</v>
      </c>
      <c r="C943" s="19" t="s">
        <v>4922</v>
      </c>
      <c r="D943" s="19" t="s">
        <v>4923</v>
      </c>
      <c r="E943" s="2"/>
      <c r="F943" s="19"/>
    </row>
    <row r="944" ht="15.75" customHeight="1">
      <c r="A944" s="1">
        <v>1.2318829E7</v>
      </c>
      <c r="B944" s="2" t="s">
        <v>601</v>
      </c>
      <c r="C944" s="19" t="s">
        <v>4924</v>
      </c>
      <c r="D944" s="19" t="s">
        <v>4925</v>
      </c>
      <c r="E944" s="2"/>
      <c r="F944" s="19"/>
    </row>
    <row r="945" ht="15.75" customHeight="1">
      <c r="A945" s="1">
        <v>1.2382382E7</v>
      </c>
      <c r="B945" s="2" t="s">
        <v>758</v>
      </c>
      <c r="C945" s="19" t="s">
        <v>4926</v>
      </c>
      <c r="D945" s="19" t="s">
        <v>4927</v>
      </c>
      <c r="E945" s="2"/>
      <c r="F945" s="19"/>
    </row>
    <row r="946" ht="15.75" customHeight="1">
      <c r="A946" s="1">
        <v>1.2504547E7</v>
      </c>
      <c r="B946" s="2" t="s">
        <v>402</v>
      </c>
      <c r="C946" s="19" t="s">
        <v>4928</v>
      </c>
      <c r="D946" s="19" t="s">
        <v>4929</v>
      </c>
      <c r="E946" s="2"/>
      <c r="F946" s="19"/>
    </row>
    <row r="947" ht="15.75" customHeight="1">
      <c r="A947" s="1">
        <v>1.27291E7</v>
      </c>
      <c r="B947" s="2" t="s">
        <v>221</v>
      </c>
      <c r="C947" s="19" t="s">
        <v>4930</v>
      </c>
      <c r="D947" s="19" t="s">
        <v>4931</v>
      </c>
      <c r="E947" s="2"/>
      <c r="F947" s="19"/>
    </row>
    <row r="948" ht="15.75" customHeight="1">
      <c r="A948" s="1">
        <v>1.2892318E7</v>
      </c>
      <c r="B948" s="2" t="s">
        <v>923</v>
      </c>
      <c r="C948" s="19" t="s">
        <v>4932</v>
      </c>
      <c r="D948" s="19" t="s">
        <v>4933</v>
      </c>
      <c r="E948" s="2"/>
      <c r="F948" s="19"/>
    </row>
    <row r="949" ht="15.75" customHeight="1">
      <c r="A949" s="1">
        <v>1.3056153E7</v>
      </c>
      <c r="B949" s="2" t="s">
        <v>966</v>
      </c>
      <c r="C949" s="19" t="s">
        <v>4934</v>
      </c>
      <c r="D949" s="19" t="s">
        <v>4935</v>
      </c>
      <c r="E949" s="2"/>
      <c r="F949" s="19"/>
    </row>
    <row r="950" ht="15.75" customHeight="1">
      <c r="A950" s="1">
        <v>1.3063536E7</v>
      </c>
      <c r="B950" s="2" t="s">
        <v>1664</v>
      </c>
      <c r="C950" s="19" t="s">
        <v>4936</v>
      </c>
      <c r="D950" s="19" t="s">
        <v>4937</v>
      </c>
      <c r="E950" s="2"/>
      <c r="F950" s="19"/>
    </row>
    <row r="951" ht="15.75" customHeight="1">
      <c r="A951" s="1">
        <v>1.3085151E7</v>
      </c>
      <c r="B951" s="2" t="s">
        <v>235</v>
      </c>
      <c r="C951" s="19" t="s">
        <v>4938</v>
      </c>
      <c r="D951" s="19" t="s">
        <v>4939</v>
      </c>
      <c r="E951" s="2"/>
      <c r="F951" s="19"/>
    </row>
    <row r="952" ht="15.75" customHeight="1">
      <c r="A952" s="1">
        <v>1.3267422E7</v>
      </c>
      <c r="B952" s="2" t="s">
        <v>323</v>
      </c>
      <c r="C952" s="19" t="s">
        <v>4940</v>
      </c>
      <c r="D952" s="19"/>
      <c r="E952" s="2"/>
      <c r="F952" s="19"/>
    </row>
    <row r="953" ht="15.75" customHeight="1">
      <c r="A953" s="1">
        <v>1.3393253E7</v>
      </c>
      <c r="B953" s="2" t="s">
        <v>1169</v>
      </c>
      <c r="C953" s="19" t="s">
        <v>4941</v>
      </c>
      <c r="D953" s="19"/>
      <c r="E953" s="2"/>
      <c r="F953" s="19"/>
    </row>
    <row r="954" ht="15.75" customHeight="1">
      <c r="A954" s="1">
        <v>1.3480693E7</v>
      </c>
      <c r="B954" s="2" t="s">
        <v>1949</v>
      </c>
      <c r="C954" s="19" t="s">
        <v>4942</v>
      </c>
      <c r="D954" s="19"/>
      <c r="E954" s="2"/>
      <c r="F954" s="19"/>
    </row>
    <row r="955" ht="15.75" customHeight="1">
      <c r="A955" s="1">
        <v>1.3561945E7</v>
      </c>
      <c r="B955" s="2" t="s">
        <v>570</v>
      </c>
      <c r="C955" s="19" t="s">
        <v>4943</v>
      </c>
      <c r="D955" s="19" t="s">
        <v>4944</v>
      </c>
      <c r="E955" s="2"/>
      <c r="F955" s="19"/>
    </row>
    <row r="956" ht="15.75" customHeight="1">
      <c r="A956" s="1">
        <v>1.376787E7</v>
      </c>
      <c r="B956" s="2" t="s">
        <v>108</v>
      </c>
      <c r="C956" s="19" t="s">
        <v>4945</v>
      </c>
      <c r="D956" s="19" t="s">
        <v>4946</v>
      </c>
      <c r="E956" s="2"/>
      <c r="F956" s="19"/>
    </row>
    <row r="957" ht="15.75" customHeight="1">
      <c r="A957" s="1">
        <v>1.3825378E7</v>
      </c>
      <c r="B957" s="2" t="s">
        <v>307</v>
      </c>
      <c r="C957" s="19" t="s">
        <v>4947</v>
      </c>
      <c r="D957" s="19" t="s">
        <v>4948</v>
      </c>
      <c r="E957" s="2"/>
      <c r="F957" s="19"/>
    </row>
    <row r="958" ht="15.75" customHeight="1">
      <c r="A958" s="1">
        <v>1.3834716E7</v>
      </c>
      <c r="B958" s="2" t="s">
        <v>81</v>
      </c>
      <c r="C958" s="19" t="s">
        <v>4949</v>
      </c>
      <c r="D958" s="19" t="s">
        <v>4950</v>
      </c>
      <c r="E958" s="2"/>
      <c r="F958" s="19"/>
    </row>
    <row r="959" ht="15.75" customHeight="1">
      <c r="A959" s="1">
        <v>1.3929746E7</v>
      </c>
      <c r="B959" s="2" t="s">
        <v>161</v>
      </c>
      <c r="C959" s="19" t="s">
        <v>4951</v>
      </c>
      <c r="D959" s="19"/>
      <c r="E959" s="2"/>
      <c r="F959" s="19"/>
    </row>
    <row r="960" ht="15.75" customHeight="1">
      <c r="A960" s="1">
        <v>1.4001746E7</v>
      </c>
      <c r="B960" s="2" t="s">
        <v>669</v>
      </c>
      <c r="C960" s="19" t="s">
        <v>4952</v>
      </c>
      <c r="D960" s="19" t="s">
        <v>4953</v>
      </c>
      <c r="E960" s="2"/>
      <c r="F960" s="19"/>
    </row>
    <row r="961" ht="15.75" customHeight="1">
      <c r="A961" s="1">
        <v>1.4281766E7</v>
      </c>
      <c r="B961" s="2" t="s">
        <v>2404</v>
      </c>
      <c r="C961" s="19" t="s">
        <v>4954</v>
      </c>
      <c r="D961" s="19"/>
      <c r="E961" s="2"/>
      <c r="F961" s="19"/>
    </row>
    <row r="962" ht="15.75" customHeight="1">
      <c r="A962" s="1">
        <v>1.4475459E7</v>
      </c>
      <c r="B962" s="2" t="s">
        <v>1318</v>
      </c>
      <c r="C962" s="19" t="s">
        <v>4955</v>
      </c>
      <c r="D962" s="19" t="s">
        <v>4956</v>
      </c>
      <c r="E962" s="2"/>
      <c r="F962" s="19"/>
    </row>
    <row r="963" ht="15.75" customHeight="1">
      <c r="A963" s="1">
        <v>1.4487518E7</v>
      </c>
      <c r="B963" s="2" t="s">
        <v>1373</v>
      </c>
      <c r="C963" s="19" t="s">
        <v>4957</v>
      </c>
      <c r="D963" s="19" t="s">
        <v>4958</v>
      </c>
      <c r="E963" s="2"/>
      <c r="F963" s="19"/>
    </row>
    <row r="964" ht="15.75" customHeight="1">
      <c r="A964" s="1">
        <v>1.4530767E7</v>
      </c>
      <c r="B964" s="2" t="s">
        <v>851</v>
      </c>
      <c r="C964" s="19" t="s">
        <v>4959</v>
      </c>
      <c r="D964" s="19"/>
      <c r="E964" s="2"/>
      <c r="F964" s="19"/>
    </row>
    <row r="965" ht="15.75" customHeight="1">
      <c r="A965" s="1">
        <v>1.4534834E7</v>
      </c>
      <c r="B965" s="2" t="s">
        <v>901</v>
      </c>
      <c r="C965" s="19" t="s">
        <v>4960</v>
      </c>
      <c r="D965" s="19" t="s">
        <v>4961</v>
      </c>
      <c r="E965" s="2"/>
      <c r="F965" s="19"/>
    </row>
    <row r="966" ht="15.75" customHeight="1">
      <c r="A966" s="1">
        <v>1.4598065E7</v>
      </c>
      <c r="B966" s="2" t="s">
        <v>240</v>
      </c>
      <c r="C966" s="19" t="s">
        <v>4962</v>
      </c>
      <c r="D966" s="19" t="s">
        <v>4963</v>
      </c>
      <c r="E966" s="2"/>
      <c r="F966" s="19"/>
    </row>
    <row r="967" ht="15.75" customHeight="1">
      <c r="A967" s="1">
        <v>1.4634758E7</v>
      </c>
      <c r="B967" s="2" t="s">
        <v>2211</v>
      </c>
      <c r="C967" s="19" t="s">
        <v>4964</v>
      </c>
      <c r="D967" s="19"/>
      <c r="E967" s="2"/>
      <c r="F967" s="19"/>
    </row>
    <row r="968" ht="15.75" customHeight="1">
      <c r="A968" s="1">
        <v>1.4907056E7</v>
      </c>
      <c r="B968" s="2" t="s">
        <v>456</v>
      </c>
      <c r="C968" s="19" t="s">
        <v>4965</v>
      </c>
      <c r="D968" s="19"/>
      <c r="E968" s="2"/>
      <c r="F968" s="19"/>
    </row>
    <row r="969" ht="15.75" customHeight="1">
      <c r="A969" s="1">
        <v>1.5006547E7</v>
      </c>
      <c r="B969" s="2" t="s">
        <v>824</v>
      </c>
      <c r="C969" s="19" t="s">
        <v>4966</v>
      </c>
      <c r="D969" s="19" t="s">
        <v>4967</v>
      </c>
      <c r="E969" s="2"/>
      <c r="F969" s="19"/>
    </row>
    <row r="970" ht="15.75" customHeight="1">
      <c r="A970" s="1">
        <v>1.5045253E7</v>
      </c>
      <c r="B970" s="2" t="s">
        <v>1470</v>
      </c>
      <c r="C970" s="19" t="s">
        <v>4968</v>
      </c>
      <c r="D970" s="19"/>
      <c r="E970" s="2"/>
      <c r="F970" s="19"/>
    </row>
    <row r="971" ht="15.75" customHeight="1">
      <c r="A971" s="1">
        <v>1.5106856E7</v>
      </c>
      <c r="B971" s="2" t="s">
        <v>1698</v>
      </c>
      <c r="C971" s="19" t="s">
        <v>4969</v>
      </c>
      <c r="D971" s="19" t="s">
        <v>4970</v>
      </c>
      <c r="E971" s="2"/>
      <c r="F971" s="19"/>
    </row>
    <row r="972" ht="15.75" customHeight="1">
      <c r="A972" s="1">
        <v>1.5224492E7</v>
      </c>
      <c r="B972" s="2" t="s">
        <v>1277</v>
      </c>
      <c r="C972" s="19" t="s">
        <v>4971</v>
      </c>
      <c r="D972" s="19" t="s">
        <v>4972</v>
      </c>
      <c r="E972" s="2"/>
      <c r="F972" s="19"/>
    </row>
    <row r="973" ht="15.75" customHeight="1">
      <c r="A973" s="1">
        <v>1.5239231E7</v>
      </c>
      <c r="B973" s="2" t="s">
        <v>1687</v>
      </c>
      <c r="C973" s="19" t="s">
        <v>4973</v>
      </c>
      <c r="D973" s="19" t="s">
        <v>4974</v>
      </c>
      <c r="E973" s="2"/>
      <c r="F973" s="19"/>
    </row>
    <row r="974" ht="15.75" customHeight="1">
      <c r="A974" s="1">
        <v>1.5580847E7</v>
      </c>
      <c r="B974" s="2" t="s">
        <v>1755</v>
      </c>
      <c r="C974" s="19" t="s">
        <v>4975</v>
      </c>
      <c r="D974" s="19" t="s">
        <v>4976</v>
      </c>
      <c r="E974" s="2"/>
      <c r="F974" s="19"/>
    </row>
    <row r="975" ht="15.75" customHeight="1">
      <c r="A975" s="1">
        <v>1.5763574E7</v>
      </c>
      <c r="B975" s="2" t="s">
        <v>223</v>
      </c>
      <c r="C975" s="19" t="s">
        <v>4977</v>
      </c>
      <c r="D975" s="19"/>
      <c r="E975" s="2"/>
      <c r="F975" s="19"/>
    </row>
    <row r="976" ht="15.75" customHeight="1">
      <c r="A976" s="1">
        <v>1.5919715E7</v>
      </c>
      <c r="B976" s="2" t="s">
        <v>165</v>
      </c>
      <c r="C976" s="19" t="s">
        <v>4978</v>
      </c>
      <c r="D976" s="19" t="s">
        <v>4979</v>
      </c>
      <c r="E976" s="2"/>
      <c r="F976" s="19"/>
    </row>
    <row r="977" ht="15.75" customHeight="1">
      <c r="A977" s="1">
        <v>1.6001298E7</v>
      </c>
      <c r="B977" s="2" t="s">
        <v>45</v>
      </c>
      <c r="C977" s="19" t="s">
        <v>4980</v>
      </c>
      <c r="D977" s="19" t="s">
        <v>4981</v>
      </c>
      <c r="E977" s="2"/>
      <c r="F977" s="19"/>
    </row>
    <row r="978" ht="15.75" customHeight="1">
      <c r="A978" s="1">
        <v>1.6045596E7</v>
      </c>
      <c r="B978" s="2" t="s">
        <v>344</v>
      </c>
      <c r="C978" s="19" t="s">
        <v>4982</v>
      </c>
      <c r="D978" s="19" t="s">
        <v>4983</v>
      </c>
      <c r="E978" s="2"/>
      <c r="F978" s="19"/>
    </row>
    <row r="979" ht="15.75" customHeight="1">
      <c r="A979" s="1">
        <v>1.6087271E7</v>
      </c>
      <c r="B979" s="2" t="s">
        <v>837</v>
      </c>
      <c r="C979" s="19" t="s">
        <v>4984</v>
      </c>
      <c r="D979" s="19"/>
      <c r="E979" s="2"/>
      <c r="F979" s="19"/>
    </row>
    <row r="980" ht="15.75" customHeight="1">
      <c r="A980" s="1">
        <v>1.6152727E7</v>
      </c>
      <c r="B980" s="2" t="s">
        <v>294</v>
      </c>
      <c r="C980" s="19" t="s">
        <v>4985</v>
      </c>
      <c r="D980" s="19"/>
      <c r="E980" s="2"/>
      <c r="F980" s="19"/>
    </row>
    <row r="981" ht="15.75" customHeight="1">
      <c r="A981" s="1">
        <v>1.6163032E7</v>
      </c>
      <c r="B981" s="2" t="s">
        <v>640</v>
      </c>
      <c r="C981" s="19" t="s">
        <v>4986</v>
      </c>
      <c r="D981" s="19" t="s">
        <v>4987</v>
      </c>
      <c r="E981" s="2"/>
      <c r="F981" s="19"/>
    </row>
    <row r="982" ht="15.75" customHeight="1">
      <c r="A982" s="1">
        <v>1.6306006E7</v>
      </c>
      <c r="B982" s="2" t="s">
        <v>1192</v>
      </c>
      <c r="C982" s="19" t="s">
        <v>4988</v>
      </c>
      <c r="D982" s="19"/>
      <c r="E982" s="2"/>
      <c r="F982" s="19"/>
    </row>
    <row r="983" ht="15.75" customHeight="1">
      <c r="A983" s="1">
        <v>1.6437979E7</v>
      </c>
      <c r="B983" s="2" t="s">
        <v>540</v>
      </c>
      <c r="C983" s="19" t="s">
        <v>4989</v>
      </c>
      <c r="D983" s="19"/>
      <c r="E983" s="2"/>
      <c r="F983" s="19"/>
    </row>
    <row r="984" ht="15.75" customHeight="1">
      <c r="A984" s="1">
        <v>1.6563253E7</v>
      </c>
      <c r="B984" s="2" t="s">
        <v>992</v>
      </c>
      <c r="C984" s="19" t="s">
        <v>4990</v>
      </c>
      <c r="D984" s="19" t="s">
        <v>4991</v>
      </c>
      <c r="E984" s="2"/>
      <c r="F984" s="19"/>
    </row>
    <row r="985" ht="15.75" customHeight="1">
      <c r="A985" s="1">
        <v>1.6567269E7</v>
      </c>
      <c r="B985" s="2" t="s">
        <v>359</v>
      </c>
      <c r="C985" s="19" t="s">
        <v>4992</v>
      </c>
      <c r="D985" s="19"/>
      <c r="E985" s="2"/>
      <c r="F985" s="19"/>
    </row>
    <row r="986" ht="15.75" customHeight="1">
      <c r="A986" s="1">
        <v>1.6819801E7</v>
      </c>
      <c r="B986" s="2" t="s">
        <v>51</v>
      </c>
      <c r="C986" s="19" t="s">
        <v>4993</v>
      </c>
      <c r="D986" s="19" t="s">
        <v>4994</v>
      </c>
      <c r="E986" s="2"/>
      <c r="F986" s="19"/>
    </row>
    <row r="987" ht="15.75" customHeight="1">
      <c r="A987" s="1">
        <v>1.6911661E7</v>
      </c>
      <c r="B987" s="2" t="s">
        <v>222</v>
      </c>
      <c r="C987" s="19" t="s">
        <v>4995</v>
      </c>
      <c r="D987" s="19" t="s">
        <v>4996</v>
      </c>
      <c r="E987" s="2"/>
      <c r="F987" s="19"/>
    </row>
    <row r="988" ht="15.75" customHeight="1">
      <c r="A988" s="1">
        <v>1.6937042E7</v>
      </c>
      <c r="B988" s="2" t="s">
        <v>559</v>
      </c>
      <c r="C988" s="19" t="s">
        <v>4997</v>
      </c>
      <c r="D988" s="19" t="s">
        <v>4998</v>
      </c>
      <c r="E988" s="2"/>
      <c r="F988" s="19"/>
    </row>
    <row r="989" ht="15.75" customHeight="1">
      <c r="A989" s="1">
        <v>1.6942433E7</v>
      </c>
      <c r="B989" s="2" t="s">
        <v>602</v>
      </c>
      <c r="C989" s="19" t="s">
        <v>4999</v>
      </c>
      <c r="D989" s="19" t="s">
        <v>5000</v>
      </c>
      <c r="E989" s="2"/>
      <c r="F989" s="19"/>
    </row>
    <row r="990" ht="15.75" customHeight="1">
      <c r="A990" s="1">
        <v>1.6999224E7</v>
      </c>
      <c r="B990" s="2" t="s">
        <v>1019</v>
      </c>
      <c r="C990" s="19" t="s">
        <v>5001</v>
      </c>
      <c r="D990" s="19"/>
      <c r="E990" s="2"/>
      <c r="F990" s="19"/>
    </row>
    <row r="991" ht="15.75" customHeight="1">
      <c r="A991" s="1">
        <v>1.7220341E7</v>
      </c>
      <c r="B991" s="2" t="s">
        <v>695</v>
      </c>
      <c r="C991" s="19" t="s">
        <v>5002</v>
      </c>
      <c r="D991" s="19"/>
      <c r="E991" s="2"/>
      <c r="F991" s="19"/>
    </row>
    <row r="992" ht="15.75" customHeight="1">
      <c r="A992" s="1">
        <v>1.7273496E7</v>
      </c>
      <c r="B992" s="2" t="s">
        <v>215</v>
      </c>
      <c r="C992" s="19" t="s">
        <v>5003</v>
      </c>
      <c r="D992" s="19"/>
      <c r="E992" s="2"/>
      <c r="F992" s="19"/>
    </row>
    <row r="993" ht="15.75" customHeight="1">
      <c r="A993" s="1">
        <v>1.731369E7</v>
      </c>
      <c r="B993" s="2" t="s">
        <v>1305</v>
      </c>
      <c r="C993" s="19" t="s">
        <v>5004</v>
      </c>
      <c r="D993" s="19"/>
      <c r="E993" s="2"/>
      <c r="F993" s="19"/>
    </row>
    <row r="994" ht="15.75" customHeight="1">
      <c r="A994" s="1">
        <v>1.7389702E7</v>
      </c>
      <c r="B994" s="2" t="s">
        <v>508</v>
      </c>
      <c r="C994" s="19" t="s">
        <v>5005</v>
      </c>
      <c r="D994" s="19"/>
      <c r="E994" s="2"/>
      <c r="F994" s="19"/>
    </row>
    <row r="995" ht="15.75" customHeight="1">
      <c r="A995" s="1">
        <v>1.7575941E7</v>
      </c>
      <c r="B995" s="2" t="s">
        <v>611</v>
      </c>
      <c r="C995" s="19" t="s">
        <v>5006</v>
      </c>
      <c r="D995" s="19" t="s">
        <v>5007</v>
      </c>
      <c r="E995" s="2"/>
      <c r="F995" s="19"/>
    </row>
    <row r="996" ht="15.75" customHeight="1">
      <c r="A996" s="1">
        <v>1.7758355E7</v>
      </c>
      <c r="B996" s="2" t="s">
        <v>121</v>
      </c>
      <c r="C996" s="19" t="s">
        <v>5008</v>
      </c>
      <c r="D996" s="19"/>
      <c r="E996" s="2"/>
      <c r="F996" s="19"/>
    </row>
    <row r="997" ht="15.75" customHeight="1">
      <c r="A997" s="1">
        <v>1.780181E7</v>
      </c>
      <c r="B997" s="2" t="s">
        <v>2280</v>
      </c>
      <c r="C997" s="19" t="s">
        <v>5009</v>
      </c>
      <c r="D997" s="19"/>
      <c r="E997" s="2"/>
      <c r="F997" s="19"/>
    </row>
    <row r="998" ht="15.75" customHeight="1">
      <c r="A998" s="1">
        <v>1.7926933E7</v>
      </c>
      <c r="B998" s="2" t="s">
        <v>1264</v>
      </c>
      <c r="C998" s="19" t="s">
        <v>5010</v>
      </c>
      <c r="D998" s="19"/>
      <c r="E998" s="2"/>
      <c r="F998" s="19"/>
    </row>
    <row r="999" ht="15.75" customHeight="1">
      <c r="A999" s="1">
        <v>1.7934697E7</v>
      </c>
      <c r="B999" s="2" t="s">
        <v>312</v>
      </c>
      <c r="C999" s="19" t="s">
        <v>5011</v>
      </c>
      <c r="D999" s="19" t="s">
        <v>5012</v>
      </c>
      <c r="E999" s="2"/>
      <c r="F999" s="19"/>
    </row>
    <row r="1000" ht="15.75" customHeight="1">
      <c r="A1000" s="1">
        <v>1.7958629E7</v>
      </c>
      <c r="B1000" s="2" t="s">
        <v>1230</v>
      </c>
      <c r="C1000" s="19" t="s">
        <v>5013</v>
      </c>
      <c r="D1000" s="19" t="s">
        <v>5014</v>
      </c>
      <c r="E1000" s="2"/>
      <c r="F1000" s="19"/>
    </row>
    <row r="1001" ht="15.75" customHeight="1">
      <c r="A1001" s="1">
        <v>1.7969305E7</v>
      </c>
      <c r="B1001" s="2" t="s">
        <v>1213</v>
      </c>
      <c r="C1001" s="19" t="s">
        <v>5015</v>
      </c>
      <c r="D1001" s="19"/>
      <c r="E1001" s="2"/>
      <c r="F1001" s="19"/>
    </row>
    <row r="1002" ht="15.75" customHeight="1">
      <c r="A1002" s="1">
        <v>1.8041364E7</v>
      </c>
      <c r="B1002" s="2" t="s">
        <v>1009</v>
      </c>
      <c r="C1002" s="19" t="s">
        <v>5016</v>
      </c>
      <c r="D1002" s="19"/>
      <c r="E1002" s="2"/>
      <c r="F1002" s="19"/>
    </row>
    <row r="1003" ht="15.75" customHeight="1">
      <c r="A1003" s="1">
        <v>1.8096689E7</v>
      </c>
      <c r="B1003" s="2" t="s">
        <v>334</v>
      </c>
      <c r="C1003" s="19" t="s">
        <v>5017</v>
      </c>
      <c r="D1003" s="19"/>
      <c r="E1003" s="2"/>
      <c r="F1003" s="19"/>
    </row>
    <row r="1004" ht="15.75" customHeight="1">
      <c r="A1004" s="1">
        <v>1.81028E7</v>
      </c>
      <c r="B1004" s="2" t="s">
        <v>1331</v>
      </c>
      <c r="C1004" s="19" t="s">
        <v>5018</v>
      </c>
      <c r="D1004" s="19" t="s">
        <v>5019</v>
      </c>
      <c r="E1004" s="2"/>
      <c r="F1004" s="19"/>
    </row>
    <row r="1005" ht="15.75" customHeight="1">
      <c r="A1005" s="1">
        <v>1.823479E7</v>
      </c>
      <c r="B1005" s="2" t="s">
        <v>384</v>
      </c>
      <c r="C1005" s="19" t="s">
        <v>5020</v>
      </c>
      <c r="D1005" s="19" t="s">
        <v>5021</v>
      </c>
      <c r="E1005" s="2"/>
      <c r="F1005" s="19"/>
    </row>
    <row r="1006" ht="15.75" customHeight="1">
      <c r="A1006" s="1">
        <v>1.8270581E7</v>
      </c>
      <c r="B1006" s="2" t="s">
        <v>1252</v>
      </c>
      <c r="C1006" s="19" t="s">
        <v>5022</v>
      </c>
      <c r="D1006" s="19" t="s">
        <v>5023</v>
      </c>
      <c r="E1006" s="2"/>
      <c r="F1006" s="19"/>
    </row>
    <row r="1007" ht="15.75" customHeight="1">
      <c r="A1007" s="8">
        <v>1.8335697E7</v>
      </c>
      <c r="B1007" s="6" t="s">
        <v>36</v>
      </c>
      <c r="C1007" s="19" t="s">
        <v>5024</v>
      </c>
      <c r="D1007" s="19" t="s">
        <v>5025</v>
      </c>
      <c r="E1007" s="6"/>
      <c r="F1007" s="19"/>
      <c r="G1007" s="8"/>
    </row>
    <row r="1008" ht="15.75" customHeight="1">
      <c r="A1008" s="1">
        <v>1.8368258E7</v>
      </c>
      <c r="B1008" s="2" t="s">
        <v>120</v>
      </c>
      <c r="C1008" s="19" t="s">
        <v>5026</v>
      </c>
      <c r="D1008" s="19" t="s">
        <v>5027</v>
      </c>
      <c r="E1008" s="2"/>
      <c r="F1008" s="19"/>
    </row>
    <row r="1009" ht="15.75" customHeight="1">
      <c r="A1009" s="1">
        <v>1.8557198E7</v>
      </c>
      <c r="B1009" s="2" t="s">
        <v>1010</v>
      </c>
      <c r="C1009" s="19" t="s">
        <v>5028</v>
      </c>
      <c r="D1009" s="19" t="s">
        <v>5029</v>
      </c>
      <c r="E1009" s="2"/>
      <c r="F1009" s="19"/>
    </row>
    <row r="1010" ht="15.75" customHeight="1">
      <c r="A1010" s="1">
        <v>1.8580277E7</v>
      </c>
      <c r="B1010" s="2" t="s">
        <v>1862</v>
      </c>
      <c r="C1010" s="19" t="s">
        <v>5030</v>
      </c>
      <c r="D1010" s="19"/>
      <c r="E1010" s="2"/>
      <c r="F1010" s="19"/>
    </row>
    <row r="1011" ht="15.75" customHeight="1">
      <c r="A1011" s="1">
        <v>1.8617586E7</v>
      </c>
      <c r="B1011" s="2" t="s">
        <v>1529</v>
      </c>
      <c r="C1011" s="19" t="s">
        <v>5031</v>
      </c>
      <c r="D1011" s="19" t="s">
        <v>5032</v>
      </c>
      <c r="E1011" s="2"/>
      <c r="F1011" s="19"/>
    </row>
    <row r="1012" ht="15.75" customHeight="1">
      <c r="A1012" s="1">
        <v>1.8624062E7</v>
      </c>
      <c r="B1012" s="2" t="s">
        <v>855</v>
      </c>
      <c r="C1012" s="19" t="s">
        <v>5033</v>
      </c>
      <c r="D1012" s="19"/>
      <c r="E1012" s="2"/>
      <c r="F1012" s="19"/>
    </row>
    <row r="1013" ht="15.75" customHeight="1">
      <c r="A1013" s="1">
        <v>1.8730532E7</v>
      </c>
      <c r="B1013" s="2" t="s">
        <v>628</v>
      </c>
      <c r="C1013" s="19" t="s">
        <v>5034</v>
      </c>
      <c r="D1013" s="19" t="s">
        <v>5035</v>
      </c>
      <c r="E1013" s="2"/>
      <c r="F1013" s="19"/>
    </row>
    <row r="1014" ht="15.75" customHeight="1">
      <c r="A1014" s="1">
        <v>1.8933749E7</v>
      </c>
      <c r="B1014" s="2" t="s">
        <v>335</v>
      </c>
      <c r="C1014" s="19" t="s">
        <v>5036</v>
      </c>
      <c r="D1014" s="19"/>
      <c r="E1014" s="2"/>
      <c r="F1014" s="19"/>
    </row>
    <row r="1015" ht="15.75" customHeight="1">
      <c r="A1015" s="1">
        <v>1.9102367E7</v>
      </c>
      <c r="B1015" s="2" t="s">
        <v>1653</v>
      </c>
      <c r="C1015" s="19" t="s">
        <v>5037</v>
      </c>
      <c r="D1015" s="19"/>
      <c r="E1015" s="2"/>
      <c r="F1015" s="19"/>
    </row>
    <row r="1016" ht="15.75" customHeight="1">
      <c r="A1016" s="1">
        <v>1.9109573E7</v>
      </c>
      <c r="B1016" s="2" t="s">
        <v>2125</v>
      </c>
      <c r="C1016" s="19" t="s">
        <v>5038</v>
      </c>
      <c r="D1016" s="19"/>
      <c r="E1016" s="2"/>
      <c r="F1016" s="19"/>
    </row>
    <row r="1017" ht="15.75" customHeight="1">
      <c r="A1017" s="1">
        <v>1.9112286E7</v>
      </c>
      <c r="B1017" s="2" t="s">
        <v>1067</v>
      </c>
      <c r="C1017" s="19" t="s">
        <v>5039</v>
      </c>
      <c r="D1017" s="19"/>
      <c r="E1017" s="2"/>
      <c r="F1017" s="19"/>
    </row>
    <row r="1018" ht="15.75" customHeight="1">
      <c r="A1018" s="1">
        <v>1.9223588E7</v>
      </c>
      <c r="B1018" s="2" t="s">
        <v>615</v>
      </c>
      <c r="C1018" s="19" t="s">
        <v>5040</v>
      </c>
      <c r="D1018" s="19"/>
      <c r="E1018" s="2"/>
      <c r="F1018" s="19"/>
    </row>
    <row r="1019" ht="15.75" customHeight="1">
      <c r="A1019" s="1">
        <v>1.9289621E7</v>
      </c>
      <c r="B1019" s="2" t="s">
        <v>499</v>
      </c>
      <c r="C1019" s="19" t="s">
        <v>5041</v>
      </c>
      <c r="D1019" s="19"/>
      <c r="E1019" s="2"/>
      <c r="F1019" s="19"/>
    </row>
    <row r="1020" ht="15.75" customHeight="1">
      <c r="A1020" s="1">
        <v>1.9290354E7</v>
      </c>
      <c r="B1020" s="2" t="s">
        <v>1362</v>
      </c>
      <c r="C1020" s="19" t="s">
        <v>5042</v>
      </c>
      <c r="D1020" s="19"/>
      <c r="E1020" s="2"/>
      <c r="F1020" s="19"/>
    </row>
    <row r="1021" ht="15.75" customHeight="1">
      <c r="A1021" s="1">
        <v>1.9432016E7</v>
      </c>
      <c r="B1021" s="2" t="s">
        <v>599</v>
      </c>
      <c r="C1021" s="19" t="s">
        <v>5043</v>
      </c>
      <c r="D1021" s="19"/>
      <c r="E1021" s="2"/>
      <c r="F1021" s="19"/>
    </row>
    <row r="1022" ht="15.75" customHeight="1">
      <c r="A1022" s="1">
        <v>1.9438872E7</v>
      </c>
      <c r="B1022" s="2" t="s">
        <v>1194</v>
      </c>
      <c r="C1022" s="19" t="s">
        <v>5044</v>
      </c>
      <c r="D1022" s="19"/>
      <c r="E1022" s="2"/>
      <c r="F1022" s="19"/>
    </row>
    <row r="1023" ht="15.75" customHeight="1">
      <c r="A1023" s="1">
        <v>1.9478478E7</v>
      </c>
      <c r="B1023" s="2" t="s">
        <v>1893</v>
      </c>
      <c r="C1023" s="19" t="s">
        <v>5045</v>
      </c>
      <c r="D1023" s="19"/>
      <c r="E1023" s="2"/>
      <c r="F1023" s="19"/>
    </row>
    <row r="1024" ht="15.75" customHeight="1">
      <c r="A1024" s="1">
        <v>1.9495048E7</v>
      </c>
      <c r="B1024" s="2" t="s">
        <v>123</v>
      </c>
      <c r="C1024" s="19" t="s">
        <v>5046</v>
      </c>
      <c r="D1024" s="19"/>
      <c r="E1024" s="2"/>
      <c r="F1024" s="19"/>
    </row>
    <row r="1025" ht="15.75" customHeight="1">
      <c r="A1025" s="1">
        <v>1.9654786E7</v>
      </c>
      <c r="B1025" s="2" t="s">
        <v>2151</v>
      </c>
      <c r="C1025" s="19" t="s">
        <v>5047</v>
      </c>
      <c r="D1025" s="19"/>
      <c r="E1025" s="2"/>
      <c r="F1025" s="19"/>
    </row>
    <row r="1026" ht="15.75" customHeight="1">
      <c r="A1026" s="1">
        <v>1.979632E7</v>
      </c>
      <c r="B1026" s="2" t="s">
        <v>459</v>
      </c>
      <c r="C1026" s="19" t="s">
        <v>5048</v>
      </c>
      <c r="D1026" s="19" t="s">
        <v>5049</v>
      </c>
      <c r="E1026" s="2"/>
      <c r="F1026" s="19"/>
    </row>
    <row r="1027" ht="15.75" customHeight="1">
      <c r="A1027" s="1">
        <v>1.9802076E7</v>
      </c>
      <c r="B1027" s="2" t="s">
        <v>825</v>
      </c>
      <c r="C1027" s="19" t="s">
        <v>5050</v>
      </c>
      <c r="D1027" s="19" t="s">
        <v>5051</v>
      </c>
      <c r="E1027" s="2"/>
      <c r="F1027" s="19"/>
    </row>
    <row r="1028" ht="15.75" customHeight="1">
      <c r="A1028" s="1">
        <v>2.0089789E7</v>
      </c>
      <c r="B1028" s="2" t="s">
        <v>356</v>
      </c>
      <c r="C1028" s="19" t="s">
        <v>5052</v>
      </c>
      <c r="D1028" s="19"/>
      <c r="E1028" s="2"/>
      <c r="F1028" s="19"/>
    </row>
    <row r="1029" ht="15.75" customHeight="1">
      <c r="A1029" s="1">
        <v>2.0176524E7</v>
      </c>
      <c r="B1029" s="2" t="s">
        <v>945</v>
      </c>
      <c r="C1029" s="19" t="s">
        <v>5053</v>
      </c>
      <c r="D1029" s="19"/>
      <c r="E1029" s="2"/>
      <c r="F1029" s="19"/>
    </row>
    <row r="1030" ht="15.75" customHeight="1">
      <c r="A1030" s="1">
        <v>2.0183529E7</v>
      </c>
      <c r="B1030" s="2" t="s">
        <v>350</v>
      </c>
      <c r="C1030" s="19" t="s">
        <v>5054</v>
      </c>
      <c r="D1030" s="19"/>
      <c r="E1030" s="2"/>
      <c r="F1030" s="19"/>
    </row>
    <row r="1031" ht="15.75" customHeight="1">
      <c r="A1031" s="1">
        <v>2.0287085E7</v>
      </c>
      <c r="B1031" s="2" t="s">
        <v>243</v>
      </c>
      <c r="C1031" s="19" t="s">
        <v>5055</v>
      </c>
      <c r="D1031" s="19" t="s">
        <v>5056</v>
      </c>
      <c r="E1031" s="2"/>
      <c r="F1031" s="19"/>
    </row>
    <row r="1032" ht="15.75" customHeight="1">
      <c r="A1032" s="1">
        <v>2.0486048E7</v>
      </c>
      <c r="B1032" s="2" t="s">
        <v>451</v>
      </c>
      <c r="C1032" s="19" t="s">
        <v>5057</v>
      </c>
      <c r="D1032" s="19"/>
      <c r="E1032" s="2"/>
      <c r="F1032" s="19"/>
    </row>
    <row r="1033" ht="15.75" customHeight="1">
      <c r="A1033" s="1">
        <v>2.0628669E7</v>
      </c>
      <c r="B1033" s="2" t="s">
        <v>199</v>
      </c>
      <c r="C1033" s="19" t="s">
        <v>5058</v>
      </c>
      <c r="D1033" s="19"/>
      <c r="E1033" s="2"/>
      <c r="F1033" s="19"/>
    </row>
    <row r="1034" ht="15.75" customHeight="1">
      <c r="A1034" s="1">
        <v>2.069311E7</v>
      </c>
      <c r="B1034" s="2" t="s">
        <v>306</v>
      </c>
      <c r="C1034" s="19" t="s">
        <v>5059</v>
      </c>
      <c r="D1034" s="19" t="s">
        <v>5060</v>
      </c>
      <c r="E1034" s="2"/>
      <c r="F1034" s="19"/>
    </row>
    <row r="1035" ht="15.75" customHeight="1">
      <c r="A1035" s="1">
        <v>2.0738551E7</v>
      </c>
      <c r="B1035" s="2" t="s">
        <v>372</v>
      </c>
      <c r="C1035" s="19" t="s">
        <v>5061</v>
      </c>
      <c r="D1035" s="19" t="s">
        <v>5062</v>
      </c>
      <c r="E1035" s="2"/>
      <c r="F1035" s="19"/>
    </row>
    <row r="1036" ht="15.75" customHeight="1">
      <c r="A1036" s="1">
        <v>2.0755712E7</v>
      </c>
      <c r="B1036" s="2" t="s">
        <v>620</v>
      </c>
      <c r="C1036" s="19" t="s">
        <v>5063</v>
      </c>
      <c r="D1036" s="19"/>
      <c r="E1036" s="2"/>
      <c r="F1036" s="19"/>
    </row>
    <row r="1037" ht="15.75" customHeight="1">
      <c r="A1037" s="1">
        <v>2.07701E7</v>
      </c>
      <c r="B1037" s="2" t="s">
        <v>738</v>
      </c>
      <c r="C1037" s="19" t="s">
        <v>5064</v>
      </c>
      <c r="D1037" s="19" t="s">
        <v>5065</v>
      </c>
      <c r="E1037" s="2"/>
      <c r="F1037" s="19"/>
    </row>
    <row r="1038" ht="15.75" customHeight="1">
      <c r="A1038" s="1">
        <v>2.0846544E7</v>
      </c>
      <c r="B1038" s="2" t="s">
        <v>579</v>
      </c>
      <c r="C1038" s="19" t="s">
        <v>5066</v>
      </c>
      <c r="D1038" s="19"/>
      <c r="E1038" s="2"/>
      <c r="F1038" s="19"/>
    </row>
    <row r="1039" ht="15.75" customHeight="1">
      <c r="A1039" s="1">
        <v>2.1042729E7</v>
      </c>
      <c r="B1039" s="2" t="s">
        <v>1658</v>
      </c>
      <c r="C1039" s="19" t="s">
        <v>5067</v>
      </c>
      <c r="D1039" s="19" t="s">
        <v>5068</v>
      </c>
      <c r="E1039" s="2"/>
      <c r="F1039" s="19"/>
    </row>
    <row r="1040" ht="15.75" customHeight="1">
      <c r="A1040" s="1">
        <v>2.1050053E7</v>
      </c>
      <c r="B1040" s="2" t="s">
        <v>1799</v>
      </c>
      <c r="C1040" s="19" t="s">
        <v>5069</v>
      </c>
      <c r="D1040" s="19"/>
      <c r="E1040" s="2"/>
      <c r="F1040" s="19"/>
    </row>
    <row r="1041" ht="15.75" customHeight="1">
      <c r="A1041" s="1">
        <v>2.1122367E7</v>
      </c>
      <c r="B1041" s="2" t="s">
        <v>1073</v>
      </c>
      <c r="C1041" s="19" t="s">
        <v>5070</v>
      </c>
      <c r="D1041" s="19" t="s">
        <v>5071</v>
      </c>
      <c r="E1041" s="2"/>
      <c r="F1041" s="19"/>
    </row>
    <row r="1042" ht="15.75" customHeight="1">
      <c r="A1042" s="1">
        <v>2.1177958E7</v>
      </c>
      <c r="B1042" s="2" t="s">
        <v>1434</v>
      </c>
      <c r="C1042" s="19" t="s">
        <v>5072</v>
      </c>
      <c r="D1042" s="19" t="s">
        <v>5073</v>
      </c>
      <c r="E1042" s="2"/>
      <c r="F1042" s="19"/>
    </row>
    <row r="1043" ht="15.75" customHeight="1">
      <c r="A1043" s="1">
        <v>2.117856E7</v>
      </c>
      <c r="B1043" s="2" t="s">
        <v>113</v>
      </c>
      <c r="C1043" s="19" t="s">
        <v>5074</v>
      </c>
      <c r="D1043" s="19" t="s">
        <v>5075</v>
      </c>
      <c r="E1043" s="2"/>
      <c r="F1043" s="19"/>
    </row>
    <row r="1044" ht="15.75" customHeight="1">
      <c r="A1044" s="1">
        <v>2.1314917E7</v>
      </c>
      <c r="B1044" s="2" t="s">
        <v>643</v>
      </c>
      <c r="C1044" s="19" t="s">
        <v>5076</v>
      </c>
      <c r="D1044" s="19" t="s">
        <v>5077</v>
      </c>
      <c r="E1044" s="2"/>
      <c r="F1044" s="19"/>
    </row>
    <row r="1045" ht="15.75" customHeight="1">
      <c r="A1045" s="1">
        <v>2.1333391E7</v>
      </c>
      <c r="B1045" s="2" t="s">
        <v>486</v>
      </c>
      <c r="C1045" s="19" t="s">
        <v>5078</v>
      </c>
      <c r="D1045" s="19"/>
      <c r="E1045" s="2"/>
      <c r="F1045" s="19"/>
    </row>
    <row r="1046" ht="15.75" customHeight="1">
      <c r="A1046" s="1">
        <v>2.1404255E7</v>
      </c>
      <c r="B1046" s="2" t="s">
        <v>1196</v>
      </c>
      <c r="C1046" s="19" t="s">
        <v>5079</v>
      </c>
      <c r="D1046" s="19"/>
      <c r="E1046" s="2"/>
      <c r="F1046" s="19"/>
    </row>
    <row r="1047" ht="15.75" customHeight="1">
      <c r="A1047" s="1">
        <v>2.1422363E7</v>
      </c>
      <c r="B1047" s="2" t="s">
        <v>2380</v>
      </c>
      <c r="C1047" s="19" t="s">
        <v>5080</v>
      </c>
      <c r="D1047" s="19" t="s">
        <v>5081</v>
      </c>
      <c r="E1047" s="2"/>
      <c r="F1047" s="19"/>
    </row>
    <row r="1048" ht="15.75" customHeight="1">
      <c r="A1048" s="1">
        <v>2.1437901E7</v>
      </c>
      <c r="B1048" s="2" t="s">
        <v>1603</v>
      </c>
      <c r="C1048" s="19" t="s">
        <v>5082</v>
      </c>
      <c r="D1048" s="19" t="s">
        <v>5083</v>
      </c>
      <c r="E1048" s="2"/>
      <c r="F1048" s="19"/>
    </row>
    <row r="1049" ht="15.75" customHeight="1">
      <c r="A1049" s="1">
        <v>2.1473504E7</v>
      </c>
      <c r="B1049" s="2" t="s">
        <v>216</v>
      </c>
      <c r="C1049" s="19" t="s">
        <v>5084</v>
      </c>
      <c r="D1049" s="19" t="s">
        <v>5085</v>
      </c>
      <c r="E1049" s="2"/>
      <c r="F1049" s="19"/>
    </row>
    <row r="1050" ht="15.75" customHeight="1">
      <c r="A1050" s="1">
        <v>2.1492201E7</v>
      </c>
      <c r="B1050" s="2" t="s">
        <v>342</v>
      </c>
      <c r="C1050" s="19" t="s">
        <v>5086</v>
      </c>
      <c r="D1050" s="19" t="s">
        <v>5087</v>
      </c>
      <c r="E1050" s="2"/>
      <c r="F1050" s="19"/>
    </row>
    <row r="1051" ht="15.75" customHeight="1">
      <c r="A1051" s="1">
        <v>2.1871067E7</v>
      </c>
      <c r="B1051" s="2" t="s">
        <v>2258</v>
      </c>
      <c r="C1051" s="19" t="s">
        <v>5088</v>
      </c>
      <c r="D1051" s="19" t="s">
        <v>5089</v>
      </c>
      <c r="E1051" s="2"/>
      <c r="F1051" s="19"/>
    </row>
    <row r="1052" ht="15.75" customHeight="1">
      <c r="A1052" s="1">
        <v>2.189649E7</v>
      </c>
      <c r="B1052" s="2" t="s">
        <v>1385</v>
      </c>
      <c r="C1052" s="19" t="s">
        <v>5090</v>
      </c>
      <c r="D1052" s="19"/>
      <c r="E1052" s="2"/>
      <c r="F1052" s="19"/>
    </row>
    <row r="1053" ht="15.75" customHeight="1">
      <c r="A1053" s="1">
        <v>2.1907126E7</v>
      </c>
      <c r="B1053" s="2" t="s">
        <v>651</v>
      </c>
      <c r="C1053" s="19" t="s">
        <v>5091</v>
      </c>
      <c r="D1053" s="19" t="s">
        <v>5092</v>
      </c>
      <c r="E1053" s="2"/>
      <c r="F1053" s="19"/>
    </row>
    <row r="1054" ht="15.75" customHeight="1">
      <c r="A1054" s="1">
        <v>2.2008343E7</v>
      </c>
      <c r="B1054" s="2" t="s">
        <v>238</v>
      </c>
      <c r="C1054" s="19" t="s">
        <v>5093</v>
      </c>
      <c r="D1054" s="19" t="s">
        <v>5094</v>
      </c>
      <c r="E1054" s="2"/>
      <c r="F1054" s="19"/>
    </row>
    <row r="1055" ht="15.75" customHeight="1">
      <c r="A1055" s="1">
        <v>2.2064716E7</v>
      </c>
      <c r="B1055" s="2" t="s">
        <v>780</v>
      </c>
      <c r="C1055" s="19" t="s">
        <v>5095</v>
      </c>
      <c r="D1055" s="19"/>
      <c r="E1055" s="2"/>
      <c r="F1055" s="19"/>
    </row>
    <row r="1056" ht="15.75" customHeight="1">
      <c r="A1056" s="1">
        <v>2.2145868E7</v>
      </c>
      <c r="B1056" s="2" t="s">
        <v>430</v>
      </c>
      <c r="C1056" s="19" t="s">
        <v>5096</v>
      </c>
      <c r="D1056" s="19"/>
      <c r="E1056" s="2"/>
      <c r="F1056" s="19"/>
    </row>
    <row r="1057" ht="15.75" customHeight="1">
      <c r="A1057" s="1">
        <v>2.2156204E7</v>
      </c>
      <c r="B1057" s="2" t="s">
        <v>208</v>
      </c>
      <c r="C1057" s="19" t="s">
        <v>5097</v>
      </c>
      <c r="D1057" s="19"/>
      <c r="E1057" s="2"/>
      <c r="F1057" s="19"/>
    </row>
    <row r="1058" ht="15.75" customHeight="1">
      <c r="A1058" s="1">
        <v>2.2163118E7</v>
      </c>
      <c r="B1058" s="2" t="s">
        <v>1889</v>
      </c>
      <c r="C1058" s="19" t="s">
        <v>5098</v>
      </c>
      <c r="D1058" s="19"/>
      <c r="E1058" s="2"/>
      <c r="F1058" s="19"/>
    </row>
    <row r="1059" ht="15.75" customHeight="1">
      <c r="A1059" s="1">
        <v>2.2187852E7</v>
      </c>
      <c r="B1059" s="2" t="s">
        <v>1202</v>
      </c>
      <c r="C1059" s="19" t="s">
        <v>5099</v>
      </c>
      <c r="D1059" s="19"/>
      <c r="E1059" s="2"/>
      <c r="F1059" s="19"/>
    </row>
    <row r="1060" ht="15.75" customHeight="1">
      <c r="A1060" s="1">
        <v>2.2244681E7</v>
      </c>
      <c r="B1060" s="2" t="s">
        <v>584</v>
      </c>
      <c r="C1060" s="19" t="s">
        <v>5100</v>
      </c>
      <c r="D1060" s="19"/>
      <c r="E1060" s="2"/>
      <c r="F1060" s="19"/>
    </row>
    <row r="1061" ht="15.75" customHeight="1">
      <c r="A1061" s="1">
        <v>2.2319457E7</v>
      </c>
      <c r="B1061" s="2" t="s">
        <v>1984</v>
      </c>
      <c r="C1061" s="19" t="s">
        <v>5101</v>
      </c>
      <c r="D1061" s="19" t="s">
        <v>5102</v>
      </c>
      <c r="E1061" s="2"/>
      <c r="F1061" s="19"/>
    </row>
    <row r="1062" ht="15.75" customHeight="1">
      <c r="A1062" s="1">
        <v>2.2351264E7</v>
      </c>
      <c r="B1062" s="2" t="s">
        <v>450</v>
      </c>
      <c r="C1062" s="19" t="s">
        <v>5103</v>
      </c>
      <c r="D1062" s="19"/>
      <c r="E1062" s="2"/>
      <c r="F1062" s="19"/>
    </row>
    <row r="1063" ht="15.75" customHeight="1">
      <c r="A1063" s="1">
        <v>2.2377933E7</v>
      </c>
      <c r="B1063" s="2" t="s">
        <v>239</v>
      </c>
      <c r="C1063" s="19" t="s">
        <v>5104</v>
      </c>
      <c r="D1063" s="19" t="s">
        <v>5105</v>
      </c>
      <c r="E1063" s="2"/>
      <c r="F1063" s="19"/>
    </row>
    <row r="1064" ht="15.75" customHeight="1">
      <c r="A1064" s="1">
        <v>2.2449283E7</v>
      </c>
      <c r="B1064" s="2" t="s">
        <v>1904</v>
      </c>
      <c r="C1064" s="19" t="s">
        <v>5106</v>
      </c>
      <c r="D1064" s="19"/>
      <c r="E1064" s="2"/>
      <c r="F1064" s="19"/>
    </row>
    <row r="1065" ht="15.75" customHeight="1">
      <c r="A1065" s="1">
        <v>2.2563944E7</v>
      </c>
      <c r="B1065" s="2" t="s">
        <v>363</v>
      </c>
      <c r="C1065" s="19" t="s">
        <v>5107</v>
      </c>
      <c r="D1065" s="19" t="s">
        <v>5108</v>
      </c>
      <c r="E1065" s="2"/>
      <c r="F1065" s="19"/>
    </row>
    <row r="1066" ht="15.75" customHeight="1">
      <c r="A1066" s="1">
        <v>2.2611025E7</v>
      </c>
      <c r="B1066" s="2" t="s">
        <v>167</v>
      </c>
      <c r="C1066" s="19" t="s">
        <v>5109</v>
      </c>
      <c r="D1066" s="19"/>
      <c r="E1066" s="2"/>
      <c r="F1066" s="19"/>
    </row>
    <row r="1067" ht="15.75" customHeight="1">
      <c r="A1067" s="1">
        <v>2.2707093E7</v>
      </c>
      <c r="B1067" s="2" t="s">
        <v>1023</v>
      </c>
      <c r="C1067" s="19" t="s">
        <v>5110</v>
      </c>
      <c r="D1067" s="19"/>
      <c r="E1067" s="2"/>
      <c r="F1067" s="19"/>
    </row>
    <row r="1068" ht="15.75" customHeight="1">
      <c r="A1068" s="1">
        <v>2.2861584E7</v>
      </c>
      <c r="B1068" s="2" t="s">
        <v>1299</v>
      </c>
      <c r="C1068" s="19" t="s">
        <v>5111</v>
      </c>
      <c r="D1068" s="19"/>
      <c r="E1068" s="2"/>
      <c r="F1068" s="19"/>
    </row>
    <row r="1069" ht="15.75" customHeight="1">
      <c r="A1069" s="1">
        <v>2.2887879E7</v>
      </c>
      <c r="B1069" s="2" t="s">
        <v>298</v>
      </c>
      <c r="C1069" s="19" t="s">
        <v>5112</v>
      </c>
      <c r="D1069" s="19" t="s">
        <v>5113</v>
      </c>
      <c r="E1069" s="2"/>
      <c r="F1069" s="19"/>
    </row>
    <row r="1070" ht="15.75" customHeight="1">
      <c r="A1070" s="1">
        <v>2.2986371E7</v>
      </c>
      <c r="B1070" s="2" t="s">
        <v>930</v>
      </c>
      <c r="C1070" s="19" t="s">
        <v>5114</v>
      </c>
      <c r="D1070" s="19"/>
      <c r="E1070" s="2"/>
      <c r="F1070" s="19"/>
    </row>
    <row r="1071" ht="15.75" customHeight="1">
      <c r="A1071" s="1">
        <v>2.3073453E7</v>
      </c>
      <c r="B1071" s="2" t="s">
        <v>170</v>
      </c>
      <c r="C1071" s="19" t="s">
        <v>5115</v>
      </c>
      <c r="D1071" s="19"/>
      <c r="E1071" s="2"/>
      <c r="F1071" s="19"/>
    </row>
    <row r="1072" ht="15.75" customHeight="1">
      <c r="A1072" s="1">
        <v>2.3135039E7</v>
      </c>
      <c r="B1072" s="2" t="s">
        <v>255</v>
      </c>
      <c r="C1072" s="19" t="s">
        <v>5116</v>
      </c>
      <c r="D1072" s="19"/>
      <c r="E1072" s="2"/>
      <c r="F1072" s="19"/>
    </row>
    <row r="1073" ht="15.75" customHeight="1">
      <c r="A1073" s="1">
        <v>2.3145564E7</v>
      </c>
      <c r="B1073" s="2" t="s">
        <v>947</v>
      </c>
      <c r="C1073" s="19" t="s">
        <v>5117</v>
      </c>
      <c r="D1073" s="19"/>
      <c r="E1073" s="2"/>
      <c r="F1073" s="19"/>
    </row>
    <row r="1074" ht="15.75" customHeight="1">
      <c r="A1074" s="8">
        <v>2.3234021E7</v>
      </c>
      <c r="B1074" s="6" t="s">
        <v>22</v>
      </c>
      <c r="C1074" s="19" t="s">
        <v>5118</v>
      </c>
      <c r="D1074" s="19" t="s">
        <v>5119</v>
      </c>
      <c r="E1074" s="6"/>
      <c r="F1074" s="19"/>
      <c r="G1074" s="8"/>
    </row>
    <row r="1075" ht="15.75" customHeight="1">
      <c r="A1075" s="1">
        <v>2.3261369E7</v>
      </c>
      <c r="B1075" s="2" t="s">
        <v>614</v>
      </c>
      <c r="C1075" s="19" t="s">
        <v>5120</v>
      </c>
      <c r="D1075" s="19" t="s">
        <v>5121</v>
      </c>
      <c r="E1075" s="2"/>
      <c r="F1075" s="19"/>
    </row>
    <row r="1076" ht="15.75" customHeight="1">
      <c r="A1076" s="1">
        <v>2.3265831E7</v>
      </c>
      <c r="B1076" s="2" t="s">
        <v>922</v>
      </c>
      <c r="C1076" s="19" t="s">
        <v>5122</v>
      </c>
      <c r="D1076" s="19" t="s">
        <v>5123</v>
      </c>
      <c r="E1076" s="2"/>
      <c r="F1076" s="19"/>
    </row>
    <row r="1077" ht="15.75" customHeight="1">
      <c r="A1077" s="1">
        <v>2.3539254E7</v>
      </c>
      <c r="B1077" s="2" t="s">
        <v>1950</v>
      </c>
      <c r="C1077" s="19" t="s">
        <v>5124</v>
      </c>
      <c r="D1077" s="19"/>
      <c r="E1077" s="2"/>
      <c r="F1077" s="19"/>
    </row>
    <row r="1078" ht="15.75" customHeight="1">
      <c r="A1078" s="1">
        <v>2.3554357E7</v>
      </c>
      <c r="B1078" s="2" t="s">
        <v>717</v>
      </c>
      <c r="C1078" s="19" t="s">
        <v>5125</v>
      </c>
      <c r="D1078" s="19" t="s">
        <v>5126</v>
      </c>
      <c r="E1078" s="2"/>
      <c r="F1078" s="19"/>
    </row>
    <row r="1079" ht="15.75" customHeight="1">
      <c r="A1079" s="1">
        <v>2.3665466E7</v>
      </c>
      <c r="B1079" s="2" t="s">
        <v>128</v>
      </c>
      <c r="C1079" s="19" t="s">
        <v>5127</v>
      </c>
      <c r="D1079" s="19"/>
      <c r="E1079" s="2"/>
      <c r="F1079" s="19"/>
    </row>
    <row r="1080" ht="15.75" customHeight="1">
      <c r="A1080" s="1">
        <v>2.3695745E7</v>
      </c>
      <c r="B1080" s="2" t="s">
        <v>1190</v>
      </c>
      <c r="C1080" s="19" t="s">
        <v>5128</v>
      </c>
      <c r="D1080" s="19" t="s">
        <v>5129</v>
      </c>
      <c r="E1080" s="2"/>
      <c r="F1080" s="19"/>
    </row>
    <row r="1081" ht="15.75" customHeight="1">
      <c r="A1081" s="1">
        <v>2.3786385E7</v>
      </c>
      <c r="B1081" s="2" t="s">
        <v>632</v>
      </c>
      <c r="C1081" s="19" t="s">
        <v>5130</v>
      </c>
      <c r="D1081" s="19"/>
      <c r="E1081" s="2"/>
      <c r="F1081" s="19"/>
    </row>
    <row r="1082" ht="15.75" customHeight="1">
      <c r="A1082" s="1">
        <v>2.3813639E7</v>
      </c>
      <c r="B1082" s="2" t="s">
        <v>145</v>
      </c>
      <c r="C1082" s="19" t="s">
        <v>5131</v>
      </c>
      <c r="D1082" s="19"/>
      <c r="E1082" s="2"/>
      <c r="F1082" s="19"/>
    </row>
    <row r="1083" ht="15.75" customHeight="1">
      <c r="A1083" s="1">
        <v>2.4064506E7</v>
      </c>
      <c r="B1083" s="2" t="s">
        <v>765</v>
      </c>
      <c r="C1083" s="19" t="s">
        <v>5132</v>
      </c>
      <c r="D1083" s="19"/>
      <c r="E1083" s="2"/>
      <c r="F1083" s="19"/>
    </row>
    <row r="1084" ht="15.75" customHeight="1">
      <c r="A1084" s="1">
        <v>2.4135734E7</v>
      </c>
      <c r="B1084" s="2" t="s">
        <v>816</v>
      </c>
      <c r="C1084" s="19" t="s">
        <v>5133</v>
      </c>
      <c r="D1084" s="19"/>
      <c r="E1084" s="2"/>
      <c r="F1084" s="19"/>
    </row>
    <row r="1085" ht="15.75" customHeight="1">
      <c r="A1085" s="1">
        <v>2.4365142E7</v>
      </c>
      <c r="B1085" s="2" t="s">
        <v>1346</v>
      </c>
      <c r="C1085" s="19" t="s">
        <v>5134</v>
      </c>
      <c r="D1085" s="19"/>
      <c r="E1085" s="2"/>
      <c r="F1085" s="19"/>
    </row>
    <row r="1086" ht="15.75" customHeight="1">
      <c r="A1086" s="1">
        <v>2.4559072E7</v>
      </c>
      <c r="B1086" s="2" t="s">
        <v>856</v>
      </c>
      <c r="C1086" s="19" t="s">
        <v>5135</v>
      </c>
      <c r="D1086" s="19" t="s">
        <v>5136</v>
      </c>
      <c r="E1086" s="2"/>
      <c r="F1086" s="19"/>
    </row>
    <row r="1087" ht="15.75" customHeight="1">
      <c r="A1087" s="1">
        <v>2.4617605E7</v>
      </c>
      <c r="B1087" s="2" t="s">
        <v>1319</v>
      </c>
      <c r="C1087" s="19" t="s">
        <v>5137</v>
      </c>
      <c r="D1087" s="19"/>
      <c r="E1087" s="2"/>
      <c r="F1087" s="19"/>
    </row>
    <row r="1088" ht="15.75" customHeight="1">
      <c r="A1088" s="1">
        <v>2.476454E7</v>
      </c>
      <c r="B1088" s="2" t="s">
        <v>1077</v>
      </c>
      <c r="C1088" s="19" t="s">
        <v>5138</v>
      </c>
      <c r="D1088" s="19" t="s">
        <v>5139</v>
      </c>
      <c r="E1088" s="2"/>
      <c r="F1088" s="19"/>
    </row>
    <row r="1089" ht="15.75" customHeight="1">
      <c r="A1089" s="1">
        <v>2.482118E7</v>
      </c>
      <c r="B1089" s="2" t="s">
        <v>872</v>
      </c>
      <c r="C1089" s="19" t="s">
        <v>5140</v>
      </c>
      <c r="D1089" s="19"/>
      <c r="E1089" s="2"/>
      <c r="F1089" s="19"/>
    </row>
    <row r="1090" ht="15.75" customHeight="1">
      <c r="A1090" s="1">
        <v>2.507776E7</v>
      </c>
      <c r="B1090" s="2" t="s">
        <v>1706</v>
      </c>
      <c r="C1090" s="19" t="s">
        <v>5141</v>
      </c>
      <c r="D1090" s="19" t="s">
        <v>5142</v>
      </c>
      <c r="E1090" s="2"/>
      <c r="F1090" s="19"/>
    </row>
    <row r="1091" ht="15.75" customHeight="1">
      <c r="A1091" s="1">
        <v>2.526206E7</v>
      </c>
      <c r="B1091" s="2" t="s">
        <v>3062</v>
      </c>
      <c r="C1091" s="19" t="s">
        <v>5143</v>
      </c>
      <c r="D1091" s="19"/>
      <c r="E1091" s="2"/>
      <c r="F1091" s="19"/>
    </row>
    <row r="1092" ht="15.75" customHeight="1">
      <c r="A1092" s="1">
        <v>2.5279217E7</v>
      </c>
      <c r="B1092" s="2" t="s">
        <v>3063</v>
      </c>
      <c r="C1092" s="19" t="s">
        <v>5144</v>
      </c>
      <c r="D1092" s="19"/>
      <c r="E1092" s="2"/>
      <c r="F1092" s="19"/>
    </row>
    <row r="1093" ht="15.75" customHeight="1">
      <c r="A1093" s="1">
        <v>2.5436947E7</v>
      </c>
      <c r="B1093" s="2" t="s">
        <v>258</v>
      </c>
      <c r="C1093" s="19" t="s">
        <v>5145</v>
      </c>
      <c r="D1093" s="19"/>
      <c r="E1093" s="2"/>
      <c r="F1093" s="19"/>
    </row>
    <row r="1094" ht="15.75" customHeight="1">
      <c r="A1094" s="1">
        <v>2.5451031E7</v>
      </c>
      <c r="B1094" s="2" t="s">
        <v>1751</v>
      </c>
      <c r="C1094" s="19" t="s">
        <v>5146</v>
      </c>
      <c r="D1094" s="19"/>
      <c r="E1094" s="2"/>
      <c r="F1094" s="19"/>
    </row>
    <row r="1095" ht="15.75" customHeight="1">
      <c r="A1095" s="1">
        <v>2.5499141E7</v>
      </c>
      <c r="B1095" s="2" t="s">
        <v>1232</v>
      </c>
      <c r="C1095" s="19" t="s">
        <v>5147</v>
      </c>
      <c r="D1095" s="19"/>
      <c r="E1095" s="2"/>
      <c r="F1095" s="19"/>
    </row>
    <row r="1096" ht="15.75" customHeight="1">
      <c r="A1096" s="1">
        <v>2.5560603E7</v>
      </c>
      <c r="B1096" s="2" t="s">
        <v>1201</v>
      </c>
      <c r="C1096" s="19" t="s">
        <v>5148</v>
      </c>
      <c r="D1096" s="19"/>
      <c r="E1096" s="2"/>
      <c r="F1096" s="19"/>
    </row>
    <row r="1097" ht="15.75" customHeight="1">
      <c r="A1097" s="1">
        <v>2.5615751E7</v>
      </c>
      <c r="B1097" s="2" t="s">
        <v>986</v>
      </c>
      <c r="C1097" s="19" t="s">
        <v>5149</v>
      </c>
      <c r="D1097" s="19"/>
      <c r="E1097" s="2"/>
      <c r="F1097" s="19"/>
    </row>
    <row r="1098" ht="15.75" customHeight="1">
      <c r="A1098" s="1">
        <v>2.5617442E7</v>
      </c>
      <c r="B1098" s="2" t="s">
        <v>443</v>
      </c>
      <c r="C1098" s="19" t="s">
        <v>5150</v>
      </c>
      <c r="D1098" s="19"/>
      <c r="E1098" s="2"/>
      <c r="F1098" s="19"/>
    </row>
    <row r="1099" ht="15.75" customHeight="1">
      <c r="A1099" s="1">
        <v>2.5731858E7</v>
      </c>
      <c r="B1099" s="2" t="s">
        <v>514</v>
      </c>
      <c r="C1099" s="19" t="s">
        <v>5151</v>
      </c>
      <c r="D1099" s="19" t="s">
        <v>5152</v>
      </c>
      <c r="E1099" s="2"/>
      <c r="F1099" s="19"/>
    </row>
    <row r="1100" ht="15.75" customHeight="1">
      <c r="A1100" s="1">
        <v>2.5801442E7</v>
      </c>
      <c r="B1100" s="2" t="s">
        <v>252</v>
      </c>
      <c r="C1100" s="19" t="s">
        <v>5153</v>
      </c>
      <c r="D1100" s="19"/>
      <c r="E1100" s="2"/>
      <c r="F1100" s="19"/>
    </row>
    <row r="1101" ht="15.75" customHeight="1">
      <c r="A1101" s="1">
        <v>2.5926998E7</v>
      </c>
      <c r="B1101" s="2" t="s">
        <v>2270</v>
      </c>
      <c r="C1101" s="19" t="s">
        <v>5154</v>
      </c>
      <c r="D1101" s="19" t="s">
        <v>5155</v>
      </c>
      <c r="E1101" s="2"/>
      <c r="F1101" s="19"/>
    </row>
    <row r="1102" ht="15.75" customHeight="1">
      <c r="A1102" s="1">
        <v>2.5935255E7</v>
      </c>
      <c r="B1102" s="2" t="s">
        <v>719</v>
      </c>
      <c r="C1102" s="19" t="s">
        <v>5156</v>
      </c>
      <c r="D1102" s="19" t="s">
        <v>5157</v>
      </c>
      <c r="E1102" s="2"/>
      <c r="F1102" s="19"/>
    </row>
    <row r="1103" ht="15.75" customHeight="1">
      <c r="A1103" s="1">
        <v>2.595098E7</v>
      </c>
      <c r="B1103" s="2" t="s">
        <v>1753</v>
      </c>
      <c r="C1103" s="19" t="s">
        <v>5158</v>
      </c>
      <c r="D1103" s="19"/>
      <c r="E1103" s="2"/>
      <c r="F1103" s="19"/>
    </row>
    <row r="1104" ht="15.75" customHeight="1">
      <c r="A1104" s="1">
        <v>2.5971699E7</v>
      </c>
      <c r="B1104" s="2" t="s">
        <v>341</v>
      </c>
      <c r="C1104" s="19" t="s">
        <v>5159</v>
      </c>
      <c r="D1104" s="19"/>
      <c r="E1104" s="2"/>
      <c r="F1104" s="19"/>
    </row>
    <row r="1105" ht="15.75" customHeight="1">
      <c r="A1105" s="1">
        <v>2.6043809E7</v>
      </c>
      <c r="B1105" s="2" t="s">
        <v>396</v>
      </c>
      <c r="C1105" s="19" t="s">
        <v>5160</v>
      </c>
      <c r="D1105" s="19"/>
      <c r="E1105" s="2"/>
      <c r="F1105" s="19"/>
    </row>
    <row r="1106" ht="15.75" customHeight="1">
      <c r="A1106" s="1">
        <v>2.6226598E7</v>
      </c>
      <c r="B1106" s="2" t="s">
        <v>1965</v>
      </c>
      <c r="C1106" s="19" t="s">
        <v>5161</v>
      </c>
      <c r="D1106" s="19" t="s">
        <v>5162</v>
      </c>
      <c r="E1106" s="2"/>
      <c r="F1106" s="19"/>
    </row>
    <row r="1107" ht="15.75" customHeight="1">
      <c r="A1107" s="1">
        <v>2.6235358E7</v>
      </c>
      <c r="B1107" s="2" t="s">
        <v>2035</v>
      </c>
      <c r="C1107" s="19" t="s">
        <v>5163</v>
      </c>
      <c r="D1107" s="19" t="s">
        <v>5164</v>
      </c>
      <c r="E1107" s="2"/>
      <c r="F1107" s="19"/>
    </row>
    <row r="1108" ht="15.75" customHeight="1">
      <c r="A1108" s="1">
        <v>2.6475674E7</v>
      </c>
      <c r="B1108" s="2" t="s">
        <v>1415</v>
      </c>
      <c r="C1108" s="19" t="s">
        <v>5165</v>
      </c>
      <c r="D1108" s="19"/>
      <c r="E1108" s="2"/>
      <c r="F1108" s="19"/>
    </row>
    <row r="1109" ht="15.75" customHeight="1">
      <c r="A1109" s="1">
        <v>2.6585466E7</v>
      </c>
      <c r="B1109" s="2" t="s">
        <v>739</v>
      </c>
      <c r="C1109" s="19" t="s">
        <v>5166</v>
      </c>
      <c r="D1109" s="19"/>
      <c r="E1109" s="2"/>
      <c r="F1109" s="19"/>
    </row>
    <row r="1110" ht="15.75" customHeight="1">
      <c r="A1110" s="1">
        <v>2.6590629E7</v>
      </c>
      <c r="B1110" s="2" t="s">
        <v>541</v>
      </c>
      <c r="C1110" s="19" t="s">
        <v>5167</v>
      </c>
      <c r="D1110" s="19"/>
      <c r="E1110" s="2"/>
      <c r="F1110" s="19"/>
    </row>
    <row r="1111" ht="15.75" customHeight="1">
      <c r="A1111" s="1">
        <v>2.6634391E7</v>
      </c>
      <c r="B1111" s="2" t="s">
        <v>1459</v>
      </c>
      <c r="C1111" s="19" t="s">
        <v>5168</v>
      </c>
      <c r="D1111" s="19"/>
      <c r="E1111" s="2"/>
      <c r="F1111" s="19"/>
    </row>
    <row r="1112" ht="15.75" customHeight="1">
      <c r="A1112" s="1">
        <v>2.6642065E7</v>
      </c>
      <c r="B1112" s="2" t="s">
        <v>691</v>
      </c>
      <c r="C1112" s="19" t="s">
        <v>5169</v>
      </c>
      <c r="D1112" s="19"/>
      <c r="E1112" s="2"/>
      <c r="F1112" s="19"/>
    </row>
    <row r="1113" ht="15.75" customHeight="1">
      <c r="A1113" s="1">
        <v>2.671248E7</v>
      </c>
      <c r="B1113" s="2" t="s">
        <v>1368</v>
      </c>
      <c r="C1113" s="19" t="s">
        <v>5170</v>
      </c>
      <c r="D1113" s="19"/>
      <c r="E1113" s="2"/>
      <c r="F1113" s="19"/>
    </row>
    <row r="1114" ht="15.75" customHeight="1">
      <c r="A1114" s="1">
        <v>2.6779046E7</v>
      </c>
      <c r="B1114" s="2" t="s">
        <v>1627</v>
      </c>
      <c r="C1114" s="19" t="s">
        <v>5171</v>
      </c>
      <c r="D1114" s="19"/>
      <c r="E1114" s="2"/>
      <c r="F1114" s="19"/>
    </row>
    <row r="1115" ht="15.75" customHeight="1">
      <c r="A1115" s="1">
        <v>2.6848897E7</v>
      </c>
      <c r="B1115" s="2" t="s">
        <v>176</v>
      </c>
      <c r="C1115" s="19" t="s">
        <v>5172</v>
      </c>
      <c r="D1115" s="19"/>
      <c r="E1115" s="2"/>
      <c r="F1115" s="19"/>
    </row>
    <row r="1116" ht="15.75" customHeight="1">
      <c r="A1116" s="1">
        <v>2.7153271E7</v>
      </c>
      <c r="B1116" s="2" t="s">
        <v>1911</v>
      </c>
      <c r="C1116" s="19" t="s">
        <v>5173</v>
      </c>
      <c r="D1116" s="19"/>
      <c r="E1116" s="2"/>
      <c r="F1116" s="19"/>
    </row>
    <row r="1117" ht="15.75" customHeight="1">
      <c r="A1117" s="1">
        <v>2.7223147E7</v>
      </c>
      <c r="B1117" s="2" t="s">
        <v>327</v>
      </c>
      <c r="C1117" s="19" t="s">
        <v>5174</v>
      </c>
      <c r="D1117" s="19"/>
      <c r="E1117" s="2"/>
      <c r="F1117" s="19"/>
    </row>
    <row r="1118" ht="15.75" customHeight="1">
      <c r="A1118" s="1">
        <v>2.7306044E7</v>
      </c>
      <c r="B1118" s="2" t="s">
        <v>2069</v>
      </c>
      <c r="C1118" s="19" t="s">
        <v>5175</v>
      </c>
      <c r="D1118" s="19"/>
      <c r="E1118" s="2"/>
      <c r="F1118" s="19"/>
    </row>
    <row r="1119" ht="15.75" customHeight="1">
      <c r="A1119" s="1">
        <v>2.7364108E7</v>
      </c>
      <c r="B1119" s="2" t="s">
        <v>2013</v>
      </c>
      <c r="C1119" s="19" t="s">
        <v>5176</v>
      </c>
      <c r="D1119" s="19"/>
      <c r="E1119" s="2"/>
      <c r="F1119" s="19"/>
    </row>
    <row r="1120" ht="15.75" customHeight="1">
      <c r="A1120" s="1">
        <v>2.7398134E7</v>
      </c>
      <c r="B1120" s="2" t="s">
        <v>3460</v>
      </c>
      <c r="C1120" s="19" t="s">
        <v>5177</v>
      </c>
      <c r="D1120" s="19" t="s">
        <v>5178</v>
      </c>
      <c r="E1120" s="2"/>
      <c r="F1120" s="19"/>
    </row>
    <row r="1121" ht="15.75" customHeight="1">
      <c r="A1121" s="1">
        <v>2.7416913E7</v>
      </c>
      <c r="B1121" s="2" t="s">
        <v>820</v>
      </c>
      <c r="C1121" s="19" t="s">
        <v>5179</v>
      </c>
      <c r="D1121" s="19"/>
      <c r="E1121" s="2"/>
      <c r="F1121" s="19"/>
    </row>
    <row r="1122" ht="15.75" customHeight="1">
      <c r="A1122" s="1">
        <v>2.7424312E7</v>
      </c>
      <c r="B1122" s="2" t="s">
        <v>2493</v>
      </c>
      <c r="C1122" s="19" t="s">
        <v>5180</v>
      </c>
      <c r="D1122" s="19"/>
      <c r="E1122" s="2"/>
      <c r="F1122" s="19"/>
    </row>
    <row r="1123" ht="15.75" customHeight="1">
      <c r="A1123" s="1">
        <v>2.7426874E7</v>
      </c>
      <c r="B1123" s="2" t="s">
        <v>1090</v>
      </c>
      <c r="C1123" s="19" t="s">
        <v>5181</v>
      </c>
      <c r="D1123" s="19"/>
      <c r="E1123" s="2"/>
      <c r="F1123" s="19"/>
    </row>
    <row r="1124" ht="15.75" customHeight="1">
      <c r="A1124" s="1">
        <v>2.7748865E7</v>
      </c>
      <c r="B1124" s="2" t="s">
        <v>2093</v>
      </c>
      <c r="C1124" s="19" t="s">
        <v>5182</v>
      </c>
      <c r="D1124" s="19" t="s">
        <v>5183</v>
      </c>
      <c r="E1124" s="2"/>
      <c r="F1124" s="19"/>
    </row>
    <row r="1125" ht="15.75" customHeight="1">
      <c r="A1125" s="1">
        <v>2.7793944E7</v>
      </c>
      <c r="B1125" s="2" t="s">
        <v>479</v>
      </c>
      <c r="C1125" s="19" t="s">
        <v>5184</v>
      </c>
      <c r="D1125" s="19"/>
      <c r="E1125" s="2"/>
      <c r="F1125" s="19"/>
    </row>
    <row r="1126" ht="15.75" customHeight="1">
      <c r="A1126" s="1">
        <v>2.7922716E7</v>
      </c>
      <c r="B1126" s="2" t="s">
        <v>510</v>
      </c>
      <c r="C1126" s="19" t="s">
        <v>5185</v>
      </c>
      <c r="D1126" s="19" t="s">
        <v>5186</v>
      </c>
      <c r="E1126" s="2"/>
      <c r="F1126" s="19"/>
    </row>
    <row r="1127" ht="15.75" customHeight="1">
      <c r="A1127" s="1">
        <v>2.8019888E7</v>
      </c>
      <c r="B1127" s="2" t="s">
        <v>633</v>
      </c>
      <c r="C1127" s="19" t="s">
        <v>5187</v>
      </c>
      <c r="D1127" s="19" t="s">
        <v>5188</v>
      </c>
      <c r="E1127" s="2"/>
      <c r="F1127" s="19"/>
    </row>
    <row r="1128" ht="15.75" customHeight="1">
      <c r="A1128" s="1">
        <v>2.8073629E7</v>
      </c>
      <c r="B1128" s="2" t="s">
        <v>954</v>
      </c>
      <c r="C1128" s="19" t="s">
        <v>5189</v>
      </c>
      <c r="D1128" s="19" t="s">
        <v>5190</v>
      </c>
      <c r="E1128" s="2"/>
      <c r="F1128" s="19"/>
    </row>
    <row r="1129" ht="15.75" customHeight="1">
      <c r="A1129" s="1">
        <v>2.8083465E7</v>
      </c>
      <c r="B1129" s="2" t="s">
        <v>639</v>
      </c>
      <c r="C1129" s="19" t="s">
        <v>5191</v>
      </c>
      <c r="D1129" s="19"/>
      <c r="E1129" s="2"/>
      <c r="F1129" s="19"/>
    </row>
    <row r="1130" ht="15.75" customHeight="1">
      <c r="A1130" s="1">
        <v>2.8083664E7</v>
      </c>
      <c r="B1130" s="2" t="s">
        <v>1900</v>
      </c>
      <c r="C1130" s="19" t="s">
        <v>5192</v>
      </c>
      <c r="D1130" s="19"/>
      <c r="E1130" s="2"/>
      <c r="F1130" s="19"/>
    </row>
    <row r="1131" ht="15.75" customHeight="1">
      <c r="A1131" s="1">
        <v>2.8259325E7</v>
      </c>
      <c r="B1131" s="2" t="s">
        <v>2714</v>
      </c>
      <c r="C1131" s="19" t="s">
        <v>5193</v>
      </c>
      <c r="D1131" s="19"/>
      <c r="E1131" s="2"/>
      <c r="F1131" s="19"/>
    </row>
    <row r="1132" ht="15.75" customHeight="1">
      <c r="A1132" s="1">
        <v>2.8393085E7</v>
      </c>
      <c r="B1132" s="2" t="s">
        <v>1871</v>
      </c>
      <c r="C1132" s="19" t="s">
        <v>5194</v>
      </c>
      <c r="D1132" s="19" t="s">
        <v>5195</v>
      </c>
      <c r="E1132" s="2"/>
      <c r="F1132" s="19"/>
    </row>
    <row r="1133" ht="15.75" customHeight="1">
      <c r="A1133" s="1">
        <v>2.8474243E7</v>
      </c>
      <c r="B1133" s="2" t="s">
        <v>1677</v>
      </c>
      <c r="C1133" s="19" t="s">
        <v>5196</v>
      </c>
      <c r="D1133" s="19"/>
      <c r="E1133" s="2"/>
      <c r="F1133" s="19"/>
    </row>
    <row r="1134" ht="15.75" customHeight="1">
      <c r="A1134" s="1">
        <v>2.8610006E7</v>
      </c>
      <c r="B1134" s="2" t="s">
        <v>755</v>
      </c>
      <c r="C1134" s="19" t="s">
        <v>5197</v>
      </c>
      <c r="D1134" s="19" t="s">
        <v>5198</v>
      </c>
      <c r="E1134" s="2"/>
      <c r="F1134" s="19"/>
    </row>
    <row r="1135" ht="15.75" customHeight="1">
      <c r="A1135" s="1">
        <v>2.8769714E7</v>
      </c>
      <c r="B1135" s="2" t="s">
        <v>654</v>
      </c>
      <c r="C1135" s="19" t="s">
        <v>5199</v>
      </c>
      <c r="D1135" s="19"/>
      <c r="E1135" s="2"/>
      <c r="F1135" s="19"/>
    </row>
    <row r="1136" ht="15.75" customHeight="1">
      <c r="A1136" s="1">
        <v>2.8865644E7</v>
      </c>
      <c r="B1136" s="2" t="s">
        <v>2225</v>
      </c>
      <c r="C1136" s="19" t="s">
        <v>5200</v>
      </c>
      <c r="D1136" s="19"/>
      <c r="E1136" s="2"/>
      <c r="F1136" s="19"/>
    </row>
    <row r="1137" ht="15.75" customHeight="1">
      <c r="A1137" s="1">
        <v>2.8963021E7</v>
      </c>
      <c r="B1137" s="2" t="s">
        <v>800</v>
      </c>
      <c r="C1137" s="19" t="s">
        <v>5201</v>
      </c>
      <c r="D1137" s="19" t="s">
        <v>5202</v>
      </c>
      <c r="E1137" s="2"/>
      <c r="F1137" s="19"/>
    </row>
    <row r="1138" ht="15.75" customHeight="1">
      <c r="A1138" s="1">
        <v>2.8991453E7</v>
      </c>
      <c r="B1138" s="2" t="s">
        <v>2132</v>
      </c>
      <c r="C1138" s="19" t="s">
        <v>5203</v>
      </c>
      <c r="D1138" s="19" t="s">
        <v>5204</v>
      </c>
      <c r="E1138" s="2"/>
      <c r="F1138" s="19"/>
    </row>
    <row r="1139" ht="15.75" customHeight="1">
      <c r="A1139" s="1">
        <v>2.9035915E7</v>
      </c>
      <c r="B1139" s="2" t="s">
        <v>1142</v>
      </c>
      <c r="C1139" s="19" t="s">
        <v>5205</v>
      </c>
      <c r="D1139" s="19" t="s">
        <v>5206</v>
      </c>
      <c r="E1139" s="2"/>
      <c r="F1139" s="19"/>
    </row>
    <row r="1140" ht="15.75" customHeight="1">
      <c r="A1140" s="1">
        <v>2.9060765E7</v>
      </c>
      <c r="B1140" s="2" t="s">
        <v>1928</v>
      </c>
      <c r="C1140" s="19" t="s">
        <v>5207</v>
      </c>
      <c r="D1140" s="19"/>
      <c r="E1140" s="2"/>
      <c r="F1140" s="19"/>
    </row>
    <row r="1141" ht="15.75" customHeight="1">
      <c r="A1141" s="1">
        <v>2.9287436E7</v>
      </c>
      <c r="B1141" s="2" t="s">
        <v>1905</v>
      </c>
      <c r="C1141" s="19" t="s">
        <v>5208</v>
      </c>
      <c r="D1141" s="19"/>
      <c r="E1141" s="2"/>
      <c r="F1141" s="19"/>
    </row>
    <row r="1142" ht="15.75" customHeight="1">
      <c r="A1142" s="1">
        <v>2.9308113E7</v>
      </c>
      <c r="B1142" s="2" t="s">
        <v>1115</v>
      </c>
      <c r="C1142" s="19" t="s">
        <v>5209</v>
      </c>
      <c r="D1142" s="19" t="s">
        <v>5210</v>
      </c>
      <c r="E1142" s="2"/>
      <c r="F1142" s="19"/>
    </row>
    <row r="1143" ht="15.75" customHeight="1">
      <c r="A1143" s="1">
        <v>2.9395319E7</v>
      </c>
      <c r="B1143" s="2" t="s">
        <v>737</v>
      </c>
      <c r="C1143" s="19" t="s">
        <v>5211</v>
      </c>
      <c r="D1143" s="19"/>
      <c r="E1143" s="2"/>
      <c r="F1143" s="19"/>
    </row>
    <row r="1144" ht="15.75" customHeight="1">
      <c r="A1144" s="1">
        <v>2.9458112E7</v>
      </c>
      <c r="B1144" s="2" t="s">
        <v>1995</v>
      </c>
      <c r="C1144" s="19" t="s">
        <v>5212</v>
      </c>
      <c r="D1144" s="19" t="s">
        <v>5213</v>
      </c>
      <c r="E1144" s="2"/>
      <c r="F1144" s="19"/>
    </row>
    <row r="1145" ht="15.75" customHeight="1">
      <c r="A1145" s="1">
        <v>2.946675E7</v>
      </c>
      <c r="B1145" s="2" t="s">
        <v>2441</v>
      </c>
      <c r="C1145" s="19" t="s">
        <v>5214</v>
      </c>
      <c r="D1145" s="19"/>
      <c r="E1145" s="2"/>
      <c r="F1145" s="19"/>
    </row>
    <row r="1146" ht="15.75" customHeight="1">
      <c r="A1146" s="1">
        <v>2.9606122E7</v>
      </c>
      <c r="B1146" s="2" t="s">
        <v>1418</v>
      </c>
      <c r="C1146" s="19" t="s">
        <v>5215</v>
      </c>
      <c r="D1146" s="19" t="s">
        <v>5216</v>
      </c>
      <c r="E1146" s="2"/>
      <c r="F1146" s="19"/>
    </row>
    <row r="1147" ht="15.75" customHeight="1">
      <c r="A1147" s="1">
        <v>2.9623135E7</v>
      </c>
      <c r="B1147" s="2" t="s">
        <v>150</v>
      </c>
      <c r="C1147" s="19" t="s">
        <v>5217</v>
      </c>
      <c r="D1147" s="19"/>
      <c r="E1147" s="2"/>
      <c r="F1147" s="19"/>
    </row>
    <row r="1148" ht="15.75" customHeight="1">
      <c r="A1148" s="1">
        <v>2.9658339E7</v>
      </c>
      <c r="B1148" s="2" t="s">
        <v>179</v>
      </c>
      <c r="C1148" s="19" t="s">
        <v>5218</v>
      </c>
      <c r="D1148" s="19" t="s">
        <v>5219</v>
      </c>
      <c r="E1148" s="2"/>
      <c r="F1148" s="19"/>
    </row>
    <row r="1149" ht="15.75" customHeight="1">
      <c r="A1149" s="1">
        <v>2.980032E7</v>
      </c>
      <c r="B1149" s="2" t="s">
        <v>432</v>
      </c>
      <c r="C1149" s="19" t="s">
        <v>5220</v>
      </c>
      <c r="D1149" s="19" t="s">
        <v>5221</v>
      </c>
      <c r="E1149" s="2"/>
      <c r="F1149" s="19"/>
    </row>
    <row r="1150" ht="15.75" customHeight="1">
      <c r="A1150" s="1">
        <v>2.9905159E7</v>
      </c>
      <c r="B1150" s="2" t="s">
        <v>1161</v>
      </c>
      <c r="C1150" s="19" t="s">
        <v>5222</v>
      </c>
      <c r="D1150" s="19" t="s">
        <v>5223</v>
      </c>
      <c r="E1150" s="2"/>
      <c r="F1150" s="19"/>
    </row>
    <row r="1151" ht="15.75" customHeight="1">
      <c r="A1151" s="1">
        <v>3.0003533E7</v>
      </c>
      <c r="B1151" s="2" t="s">
        <v>1177</v>
      </c>
      <c r="C1151" s="19" t="s">
        <v>5224</v>
      </c>
      <c r="D1151" s="19"/>
      <c r="E1151" s="2"/>
      <c r="F1151" s="19"/>
    </row>
    <row r="1152" ht="15.75" customHeight="1">
      <c r="A1152" s="1">
        <v>3.0025388E7</v>
      </c>
      <c r="B1152" s="2" t="s">
        <v>1447</v>
      </c>
      <c r="C1152" s="19" t="s">
        <v>5225</v>
      </c>
      <c r="D1152" s="19"/>
      <c r="E1152" s="2"/>
      <c r="F1152" s="19"/>
    </row>
    <row r="1153" ht="15.75" customHeight="1">
      <c r="A1153" s="1">
        <v>3.0256468E7</v>
      </c>
      <c r="B1153" s="2" t="s">
        <v>1979</v>
      </c>
      <c r="C1153" s="19" t="s">
        <v>5226</v>
      </c>
      <c r="D1153" s="19"/>
      <c r="E1153" s="2"/>
      <c r="F1153" s="19"/>
    </row>
    <row r="1154" ht="15.75" customHeight="1">
      <c r="A1154" s="1">
        <v>3.0295763E7</v>
      </c>
      <c r="B1154" s="2" t="s">
        <v>61</v>
      </c>
      <c r="C1154" s="19" t="s">
        <v>5227</v>
      </c>
      <c r="D1154" s="19"/>
      <c r="E1154" s="2"/>
      <c r="F1154" s="19"/>
    </row>
    <row r="1155" ht="15.75" customHeight="1">
      <c r="A1155" s="1">
        <v>3.0404878E7</v>
      </c>
      <c r="B1155" s="2" t="s">
        <v>422</v>
      </c>
      <c r="C1155" s="19" t="s">
        <v>5228</v>
      </c>
      <c r="D1155" s="19"/>
      <c r="E1155" s="2"/>
      <c r="F1155" s="19"/>
    </row>
    <row r="1156" ht="15.75" customHeight="1">
      <c r="A1156" s="1">
        <v>3.0460291E7</v>
      </c>
      <c r="B1156" s="2" t="s">
        <v>1618</v>
      </c>
      <c r="C1156" s="19" t="s">
        <v>5229</v>
      </c>
      <c r="D1156" s="19"/>
      <c r="E1156" s="2"/>
      <c r="F1156" s="19"/>
    </row>
    <row r="1157" ht="15.75" customHeight="1">
      <c r="A1157" s="1">
        <v>3.0487441E7</v>
      </c>
      <c r="B1157" s="2" t="s">
        <v>709</v>
      </c>
      <c r="C1157" s="19" t="s">
        <v>5230</v>
      </c>
      <c r="D1157" s="19" t="s">
        <v>5231</v>
      </c>
      <c r="E1157" s="2"/>
      <c r="F1157" s="19"/>
    </row>
    <row r="1158" ht="15.75" customHeight="1">
      <c r="A1158" s="1">
        <v>3.0531307E7</v>
      </c>
      <c r="B1158" s="2" t="s">
        <v>1354</v>
      </c>
      <c r="C1158" s="19" t="s">
        <v>5232</v>
      </c>
      <c r="D1158" s="19"/>
      <c r="E1158" s="2"/>
      <c r="F1158" s="19"/>
    </row>
    <row r="1159" ht="15.75" customHeight="1">
      <c r="A1159" s="1">
        <v>3.0874436E7</v>
      </c>
      <c r="B1159" s="2" t="s">
        <v>437</v>
      </c>
      <c r="C1159" s="19" t="s">
        <v>5233</v>
      </c>
      <c r="D1159" s="19"/>
      <c r="E1159" s="2"/>
      <c r="F1159" s="19"/>
    </row>
    <row r="1160" ht="15.75" customHeight="1">
      <c r="A1160" s="1">
        <v>3.0877737E7</v>
      </c>
      <c r="B1160" s="2" t="s">
        <v>2481</v>
      </c>
      <c r="C1160" s="19" t="s">
        <v>5234</v>
      </c>
      <c r="D1160" s="19" t="s">
        <v>5235</v>
      </c>
      <c r="E1160" s="2"/>
      <c r="F1160" s="19"/>
    </row>
    <row r="1161" ht="15.75" customHeight="1">
      <c r="A1161" s="1">
        <v>3.1091321E7</v>
      </c>
      <c r="B1161" s="2" t="s">
        <v>790</v>
      </c>
      <c r="C1161" s="19" t="s">
        <v>5236</v>
      </c>
      <c r="D1161" s="19"/>
      <c r="E1161" s="2"/>
      <c r="F1161" s="19"/>
    </row>
    <row r="1162" ht="15.75" customHeight="1">
      <c r="A1162" s="1">
        <v>3.1101619E7</v>
      </c>
      <c r="B1162" s="2" t="s">
        <v>1985</v>
      </c>
      <c r="C1162" s="19" t="s">
        <v>5237</v>
      </c>
      <c r="D1162" s="19" t="s">
        <v>5238</v>
      </c>
      <c r="E1162" s="2"/>
      <c r="F1162" s="19"/>
    </row>
    <row r="1163" ht="15.75" customHeight="1">
      <c r="A1163" s="1">
        <v>3.1116437E7</v>
      </c>
      <c r="B1163" s="2" t="s">
        <v>920</v>
      </c>
      <c r="C1163" s="19" t="s">
        <v>5239</v>
      </c>
      <c r="D1163" s="19" t="s">
        <v>5240</v>
      </c>
      <c r="E1163" s="2"/>
      <c r="F1163" s="19"/>
    </row>
    <row r="1164" ht="15.75" customHeight="1">
      <c r="A1164" s="1">
        <v>3.113962E7</v>
      </c>
      <c r="B1164" s="2" t="s">
        <v>1123</v>
      </c>
      <c r="C1164" s="19" t="s">
        <v>5241</v>
      </c>
      <c r="D1164" s="19"/>
      <c r="E1164" s="2"/>
      <c r="F1164" s="19"/>
    </row>
    <row r="1165" ht="15.75" customHeight="1">
      <c r="A1165" s="1">
        <v>3.1145919E7</v>
      </c>
      <c r="B1165" s="2" t="s">
        <v>2212</v>
      </c>
      <c r="C1165" s="19" t="s">
        <v>5242</v>
      </c>
      <c r="D1165" s="19" t="s">
        <v>5243</v>
      </c>
      <c r="E1165" s="2"/>
      <c r="F1165" s="19"/>
    </row>
    <row r="1166" ht="15.75" customHeight="1">
      <c r="A1166" s="1">
        <v>3.1190469E7</v>
      </c>
      <c r="B1166" s="2" t="s">
        <v>1701</v>
      </c>
      <c r="C1166" s="19" t="s">
        <v>5244</v>
      </c>
      <c r="D1166" s="19"/>
      <c r="E1166" s="2"/>
      <c r="F1166" s="19"/>
    </row>
    <row r="1167" ht="15.75" customHeight="1">
      <c r="A1167" s="1">
        <v>3.1335575E7</v>
      </c>
      <c r="B1167" s="2" t="s">
        <v>1674</v>
      </c>
      <c r="C1167" s="19" t="s">
        <v>5245</v>
      </c>
      <c r="D1167" s="19"/>
      <c r="E1167" s="2"/>
      <c r="F1167" s="19"/>
    </row>
    <row r="1168" ht="15.75" customHeight="1">
      <c r="A1168" s="1">
        <v>3.1386733E7</v>
      </c>
      <c r="B1168" s="2" t="s">
        <v>1361</v>
      </c>
      <c r="C1168" s="19" t="s">
        <v>5246</v>
      </c>
      <c r="D1168" s="19" t="s">
        <v>5247</v>
      </c>
      <c r="E1168" s="2"/>
      <c r="F1168" s="19"/>
    </row>
    <row r="1169" ht="15.75" customHeight="1">
      <c r="A1169" s="1">
        <v>3.1413681E7</v>
      </c>
      <c r="B1169" s="2" t="s">
        <v>1133</v>
      </c>
      <c r="C1169" s="19" t="s">
        <v>5248</v>
      </c>
      <c r="D1169" s="19" t="s">
        <v>5249</v>
      </c>
      <c r="E1169" s="2"/>
      <c r="F1169" s="19"/>
    </row>
    <row r="1170" ht="15.75" customHeight="1">
      <c r="A1170" s="1">
        <v>3.143464E7</v>
      </c>
      <c r="B1170" s="2" t="s">
        <v>2482</v>
      </c>
      <c r="C1170" s="19" t="s">
        <v>5250</v>
      </c>
      <c r="D1170" s="19"/>
      <c r="E1170" s="2"/>
      <c r="F1170" s="19"/>
    </row>
    <row r="1171" ht="15.75" customHeight="1">
      <c r="A1171" s="1">
        <v>3.1481379E7</v>
      </c>
      <c r="B1171" s="2" t="s">
        <v>1898</v>
      </c>
      <c r="C1171" s="19" t="s">
        <v>5251</v>
      </c>
      <c r="D1171" s="19"/>
      <c r="E1171" s="2"/>
      <c r="F1171" s="19"/>
    </row>
    <row r="1172" ht="15.75" customHeight="1">
      <c r="A1172" s="1">
        <v>3.148202E7</v>
      </c>
      <c r="B1172" s="2" t="s">
        <v>734</v>
      </c>
      <c r="C1172" s="19" t="s">
        <v>5252</v>
      </c>
      <c r="D1172" s="19"/>
      <c r="E1172" s="2"/>
      <c r="F1172" s="19"/>
    </row>
    <row r="1173" ht="15.75" customHeight="1">
      <c r="A1173" s="1">
        <v>3.1501424E7</v>
      </c>
      <c r="B1173" s="2" t="s">
        <v>467</v>
      </c>
      <c r="C1173" s="19" t="s">
        <v>5253</v>
      </c>
      <c r="D1173" s="19" t="s">
        <v>5254</v>
      </c>
      <c r="E1173" s="2"/>
      <c r="F1173" s="19"/>
    </row>
    <row r="1174" ht="15.75" customHeight="1">
      <c r="A1174" s="1">
        <v>3.1545374E7</v>
      </c>
      <c r="B1174" s="2" t="s">
        <v>186</v>
      </c>
      <c r="C1174" s="19" t="s">
        <v>5255</v>
      </c>
      <c r="D1174" s="19"/>
      <c r="E1174" s="2"/>
      <c r="F1174" s="19"/>
    </row>
    <row r="1175" ht="15.75" customHeight="1">
      <c r="A1175" s="1">
        <v>3.1593793E7</v>
      </c>
      <c r="B1175" s="2" t="s">
        <v>557</v>
      </c>
      <c r="C1175" s="19" t="s">
        <v>5256</v>
      </c>
      <c r="D1175" s="19"/>
      <c r="E1175" s="2"/>
      <c r="F1175" s="19"/>
    </row>
    <row r="1176" ht="15.75" customHeight="1">
      <c r="A1176" s="1">
        <v>3.1658122E7</v>
      </c>
      <c r="B1176" s="2" t="s">
        <v>440</v>
      </c>
      <c r="C1176" s="19" t="s">
        <v>5257</v>
      </c>
      <c r="D1176" s="19"/>
      <c r="E1176" s="2"/>
      <c r="F1176" s="19"/>
    </row>
    <row r="1177" ht="15.75" customHeight="1">
      <c r="A1177" s="1">
        <v>3.172579E7</v>
      </c>
      <c r="B1177" s="2" t="s">
        <v>184</v>
      </c>
      <c r="C1177" s="19" t="s">
        <v>5258</v>
      </c>
      <c r="D1177" s="19"/>
      <c r="E1177" s="2"/>
      <c r="F1177" s="19"/>
    </row>
    <row r="1178" ht="15.75" customHeight="1">
      <c r="A1178" s="1">
        <v>3.1794085E7</v>
      </c>
      <c r="B1178" s="2" t="s">
        <v>2690</v>
      </c>
      <c r="C1178" s="19" t="s">
        <v>5259</v>
      </c>
      <c r="D1178" s="19" t="s">
        <v>5260</v>
      </c>
      <c r="E1178" s="2"/>
      <c r="F1178" s="19"/>
    </row>
    <row r="1179" ht="15.75" customHeight="1">
      <c r="A1179" s="1">
        <v>3.1838489E7</v>
      </c>
      <c r="B1179" s="2" t="s">
        <v>767</v>
      </c>
      <c r="C1179" s="19" t="s">
        <v>5261</v>
      </c>
      <c r="D1179" s="19" t="s">
        <v>5262</v>
      </c>
      <c r="E1179" s="2"/>
      <c r="F1179" s="19"/>
    </row>
    <row r="1180" ht="15.75" customHeight="1">
      <c r="A1180" s="1">
        <v>3.183852E7</v>
      </c>
      <c r="B1180" s="2" t="s">
        <v>169</v>
      </c>
      <c r="C1180" s="19" t="s">
        <v>5263</v>
      </c>
      <c r="D1180" s="19" t="s">
        <v>5264</v>
      </c>
      <c r="E1180" s="2"/>
      <c r="F1180" s="19"/>
    </row>
    <row r="1181" ht="15.75" customHeight="1">
      <c r="A1181" s="1">
        <v>3.1914821E7</v>
      </c>
      <c r="B1181" s="2" t="s">
        <v>314</v>
      </c>
      <c r="C1181" s="19" t="s">
        <v>5265</v>
      </c>
      <c r="D1181" s="19"/>
      <c r="E1181" s="2"/>
      <c r="F1181" s="19"/>
    </row>
    <row r="1182" ht="15.75" customHeight="1">
      <c r="A1182" s="1">
        <v>3.1942969E7</v>
      </c>
      <c r="B1182" s="2" t="s">
        <v>677</v>
      </c>
      <c r="C1182" s="19" t="s">
        <v>5266</v>
      </c>
      <c r="D1182" s="19"/>
      <c r="E1182" s="2"/>
      <c r="F1182" s="19"/>
    </row>
    <row r="1183" ht="15.75" customHeight="1">
      <c r="A1183" s="1">
        <v>3.1967389E7</v>
      </c>
      <c r="B1183" s="2" t="s">
        <v>1001</v>
      </c>
      <c r="C1183" s="19" t="s">
        <v>5267</v>
      </c>
      <c r="D1183" s="19" t="s">
        <v>5268</v>
      </c>
      <c r="E1183" s="2"/>
      <c r="F1183" s="19"/>
    </row>
    <row r="1184" ht="15.75" customHeight="1">
      <c r="A1184" s="1">
        <v>3.1980317E7</v>
      </c>
      <c r="B1184" s="2" t="s">
        <v>1833</v>
      </c>
      <c r="C1184" s="19" t="s">
        <v>5269</v>
      </c>
      <c r="D1184" s="19"/>
      <c r="E1184" s="2"/>
      <c r="F1184" s="19"/>
    </row>
    <row r="1185" ht="15.75" customHeight="1">
      <c r="A1185" s="1">
        <v>3.1990161E7</v>
      </c>
      <c r="B1185" s="2" t="s">
        <v>1921</v>
      </c>
      <c r="C1185" s="19" t="s">
        <v>5270</v>
      </c>
      <c r="D1185" s="19" t="s">
        <v>5271</v>
      </c>
      <c r="E1185" s="2"/>
      <c r="F1185" s="19"/>
    </row>
    <row r="1186" ht="15.75" customHeight="1">
      <c r="A1186" s="1">
        <v>3.2040971E7</v>
      </c>
      <c r="B1186" s="2" t="s">
        <v>560</v>
      </c>
      <c r="C1186" s="19" t="s">
        <v>5272</v>
      </c>
      <c r="D1186" s="19"/>
      <c r="E1186" s="2"/>
      <c r="F1186" s="19"/>
    </row>
    <row r="1187" ht="15.75" customHeight="1">
      <c r="A1187" s="1">
        <v>3.2044225E7</v>
      </c>
      <c r="B1187" s="2" t="s">
        <v>1986</v>
      </c>
      <c r="C1187" s="19" t="s">
        <v>5273</v>
      </c>
      <c r="D1187" s="19"/>
      <c r="E1187" s="2"/>
      <c r="F1187" s="19"/>
    </row>
    <row r="1188" ht="15.75" customHeight="1">
      <c r="A1188" s="1">
        <v>3.2201636E7</v>
      </c>
      <c r="B1188" s="2" t="s">
        <v>563</v>
      </c>
      <c r="C1188" s="19" t="s">
        <v>5274</v>
      </c>
      <c r="D1188" s="19" t="s">
        <v>5275</v>
      </c>
      <c r="E1188" s="2"/>
      <c r="F1188" s="19"/>
    </row>
    <row r="1189" ht="15.75" customHeight="1">
      <c r="A1189" s="1">
        <v>3.2225372E7</v>
      </c>
      <c r="B1189" s="2" t="s">
        <v>1974</v>
      </c>
      <c r="C1189" s="19" t="s">
        <v>5276</v>
      </c>
      <c r="D1189" s="19"/>
      <c r="E1189" s="2"/>
      <c r="F1189" s="19"/>
    </row>
    <row r="1190" ht="15.75" customHeight="1">
      <c r="A1190" s="1">
        <v>3.2247953E7</v>
      </c>
      <c r="B1190" s="2" t="s">
        <v>188</v>
      </c>
      <c r="C1190" s="19" t="s">
        <v>5277</v>
      </c>
      <c r="D1190" s="19"/>
      <c r="E1190" s="2"/>
      <c r="F1190" s="19"/>
    </row>
    <row r="1191" ht="15.75" customHeight="1">
      <c r="A1191" s="1">
        <v>3.2306914E7</v>
      </c>
      <c r="B1191" s="2" t="s">
        <v>480</v>
      </c>
      <c r="C1191" s="19" t="s">
        <v>5278</v>
      </c>
      <c r="D1191" s="19" t="s">
        <v>5279</v>
      </c>
      <c r="E1191" s="2"/>
      <c r="F1191" s="19"/>
    </row>
    <row r="1192" ht="15.75" customHeight="1">
      <c r="A1192" s="1">
        <v>3.2380983E7</v>
      </c>
      <c r="B1192" s="2" t="s">
        <v>149</v>
      </c>
      <c r="C1192" s="19" t="s">
        <v>5280</v>
      </c>
      <c r="D1192" s="19" t="s">
        <v>5281</v>
      </c>
      <c r="E1192" s="2"/>
      <c r="F1192" s="19"/>
    </row>
    <row r="1193" ht="15.75" customHeight="1">
      <c r="A1193" s="1">
        <v>3.2466898E7</v>
      </c>
      <c r="B1193" s="2" t="s">
        <v>1339</v>
      </c>
      <c r="C1193" s="19" t="s">
        <v>5282</v>
      </c>
      <c r="D1193" s="19"/>
      <c r="E1193" s="2"/>
      <c r="F1193" s="19"/>
    </row>
    <row r="1194" ht="15.75" customHeight="1">
      <c r="A1194" s="1">
        <v>3.2512054E7</v>
      </c>
      <c r="B1194" s="2" t="s">
        <v>827</v>
      </c>
      <c r="C1194" s="19" t="s">
        <v>5283</v>
      </c>
      <c r="D1194" s="19"/>
      <c r="E1194" s="2"/>
      <c r="F1194" s="19"/>
    </row>
    <row r="1195" ht="15.75" customHeight="1">
      <c r="A1195" s="1">
        <v>3.252359E7</v>
      </c>
      <c r="B1195" s="2" t="s">
        <v>819</v>
      </c>
      <c r="C1195" s="19" t="s">
        <v>5284</v>
      </c>
      <c r="D1195" s="19"/>
      <c r="E1195" s="2"/>
      <c r="F1195" s="19"/>
    </row>
    <row r="1196" ht="15.75" customHeight="1">
      <c r="A1196" s="1">
        <v>3.2540747E7</v>
      </c>
      <c r="B1196" s="2" t="s">
        <v>498</v>
      </c>
      <c r="C1196" s="19" t="s">
        <v>5285</v>
      </c>
      <c r="D1196" s="19"/>
      <c r="E1196" s="2"/>
      <c r="F1196" s="19"/>
    </row>
    <row r="1197" ht="15.75" customHeight="1">
      <c r="A1197" s="1">
        <v>3.257107E7</v>
      </c>
      <c r="B1197" s="2" t="s">
        <v>1431</v>
      </c>
      <c r="C1197" s="19" t="s">
        <v>5286</v>
      </c>
      <c r="D1197" s="19" t="s">
        <v>5287</v>
      </c>
      <c r="E1197" s="2"/>
      <c r="F1197" s="19"/>
    </row>
    <row r="1198" ht="15.75" customHeight="1">
      <c r="A1198" s="1">
        <v>3.2662381E7</v>
      </c>
      <c r="B1198" s="2" t="s">
        <v>419</v>
      </c>
      <c r="C1198" s="19" t="s">
        <v>5288</v>
      </c>
      <c r="D1198" s="19" t="s">
        <v>5289</v>
      </c>
      <c r="E1198" s="2"/>
      <c r="F1198" s="19"/>
    </row>
    <row r="1199" ht="15.75" customHeight="1">
      <c r="A1199" s="1">
        <v>3.2667656E7</v>
      </c>
      <c r="B1199" s="2" t="s">
        <v>166</v>
      </c>
      <c r="C1199" s="19" t="s">
        <v>5290</v>
      </c>
      <c r="D1199" s="19"/>
      <c r="E1199" s="2"/>
      <c r="F1199" s="19"/>
    </row>
    <row r="1200" ht="15.75" customHeight="1">
      <c r="A1200" s="1">
        <v>3.2698744E7</v>
      </c>
      <c r="B1200" s="2" t="s">
        <v>244</v>
      </c>
      <c r="C1200" s="19" t="s">
        <v>5291</v>
      </c>
      <c r="D1200" s="19" t="s">
        <v>5292</v>
      </c>
      <c r="E1200" s="2"/>
      <c r="F1200" s="19"/>
    </row>
    <row r="1201" ht="15.75" customHeight="1">
      <c r="A1201" s="1">
        <v>3.2706271E7</v>
      </c>
      <c r="B1201" s="2" t="s">
        <v>415</v>
      </c>
      <c r="C1201" s="19" t="s">
        <v>5293</v>
      </c>
      <c r="D1201" s="19"/>
      <c r="E1201" s="2"/>
      <c r="F1201" s="19"/>
    </row>
    <row r="1202" ht="15.75" customHeight="1">
      <c r="A1202" s="1">
        <v>3.2723648E7</v>
      </c>
      <c r="B1202" s="2" t="s">
        <v>629</v>
      </c>
      <c r="C1202" s="19" t="s">
        <v>5294</v>
      </c>
      <c r="D1202" s="19" t="s">
        <v>5295</v>
      </c>
      <c r="E1202" s="2"/>
      <c r="F1202" s="19"/>
    </row>
    <row r="1203" ht="15.75" customHeight="1">
      <c r="A1203" s="1">
        <v>3.272604E7</v>
      </c>
      <c r="B1203" s="2" t="s">
        <v>2779</v>
      </c>
      <c r="C1203" s="19" t="s">
        <v>5296</v>
      </c>
      <c r="D1203" s="19" t="s">
        <v>5297</v>
      </c>
      <c r="E1203" s="2"/>
      <c r="F1203" s="19"/>
    </row>
    <row r="1204" ht="15.75" customHeight="1">
      <c r="A1204" s="1">
        <v>3.2738016E7</v>
      </c>
      <c r="B1204" s="2" t="s">
        <v>1996</v>
      </c>
      <c r="C1204" s="19" t="s">
        <v>5298</v>
      </c>
      <c r="D1204" s="19"/>
      <c r="E1204" s="2"/>
      <c r="F1204" s="19"/>
    </row>
    <row r="1205" ht="15.75" customHeight="1">
      <c r="A1205" s="1">
        <v>3.2750425E7</v>
      </c>
      <c r="B1205" s="2" t="s">
        <v>516</v>
      </c>
      <c r="C1205" s="19" t="s">
        <v>5299</v>
      </c>
      <c r="D1205" s="19" t="s">
        <v>5300</v>
      </c>
      <c r="E1205" s="2"/>
      <c r="F1205" s="19"/>
    </row>
    <row r="1206" ht="15.75" customHeight="1">
      <c r="A1206" s="1">
        <v>3.2772409E7</v>
      </c>
      <c r="B1206" s="2" t="s">
        <v>897</v>
      </c>
      <c r="C1206" s="19" t="s">
        <v>5301</v>
      </c>
      <c r="D1206" s="19" t="s">
        <v>5302</v>
      </c>
      <c r="E1206" s="2"/>
      <c r="F1206" s="19"/>
    </row>
    <row r="1207" ht="15.75" customHeight="1">
      <c r="A1207" s="1">
        <v>3.2791968E7</v>
      </c>
      <c r="B1207" s="2" t="s">
        <v>137</v>
      </c>
      <c r="C1207" s="19" t="s">
        <v>5303</v>
      </c>
      <c r="D1207" s="19" t="s">
        <v>5304</v>
      </c>
      <c r="E1207" s="2"/>
      <c r="F1207" s="19"/>
    </row>
    <row r="1208" ht="15.75" customHeight="1">
      <c r="A1208" s="1">
        <v>3.2833023E7</v>
      </c>
      <c r="B1208" s="2" t="s">
        <v>1355</v>
      </c>
      <c r="C1208" s="19" t="s">
        <v>5305</v>
      </c>
      <c r="D1208" s="19" t="s">
        <v>5306</v>
      </c>
      <c r="E1208" s="2"/>
      <c r="F1208" s="19"/>
    </row>
    <row r="1209" ht="15.75" customHeight="1">
      <c r="A1209" s="1">
        <v>3.283708E7</v>
      </c>
      <c r="B1209" s="2" t="s">
        <v>535</v>
      </c>
      <c r="C1209" s="19" t="s">
        <v>5307</v>
      </c>
      <c r="D1209" s="19"/>
      <c r="E1209" s="2"/>
      <c r="F1209" s="19"/>
    </row>
    <row r="1210" ht="15.75" customHeight="1">
      <c r="A1210" s="1">
        <v>3.2863735E7</v>
      </c>
      <c r="B1210" s="2" t="s">
        <v>3169</v>
      </c>
      <c r="C1210" s="19" t="s">
        <v>5308</v>
      </c>
      <c r="D1210" s="19"/>
      <c r="E1210" s="2"/>
      <c r="F1210" s="19"/>
    </row>
    <row r="1211" ht="15.75" customHeight="1">
      <c r="A1211" s="1">
        <v>3.2971342E7</v>
      </c>
      <c r="B1211" s="2" t="s">
        <v>2560</v>
      </c>
      <c r="C1211" s="19" t="s">
        <v>5309</v>
      </c>
      <c r="D1211" s="19" t="s">
        <v>5310</v>
      </c>
      <c r="E1211" s="2"/>
      <c r="F1211" s="19"/>
    </row>
    <row r="1212" ht="15.75" customHeight="1">
      <c r="A1212" s="1">
        <v>3.298705E7</v>
      </c>
      <c r="B1212" s="2" t="s">
        <v>2117</v>
      </c>
      <c r="C1212" s="19" t="s">
        <v>5311</v>
      </c>
      <c r="D1212" s="19"/>
      <c r="E1212" s="2"/>
      <c r="F1212" s="19"/>
    </row>
    <row r="1213" ht="15.75" customHeight="1">
      <c r="A1213" s="1">
        <v>3.3016067E7</v>
      </c>
      <c r="B1213" s="2" t="s">
        <v>1635</v>
      </c>
      <c r="C1213" s="19" t="s">
        <v>5312</v>
      </c>
      <c r="D1213" s="19"/>
      <c r="E1213" s="2"/>
      <c r="F1213" s="19"/>
    </row>
    <row r="1214" ht="15.75" customHeight="1">
      <c r="A1214" s="1">
        <v>3.3048763E7</v>
      </c>
      <c r="B1214" s="2" t="s">
        <v>157</v>
      </c>
      <c r="C1214" s="19" t="s">
        <v>5313</v>
      </c>
      <c r="D1214" s="19"/>
      <c r="E1214" s="2"/>
      <c r="F1214" s="19"/>
    </row>
    <row r="1215" ht="15.75" customHeight="1">
      <c r="A1215" s="1">
        <v>3.3082983E7</v>
      </c>
      <c r="B1215" s="2" t="s">
        <v>1611</v>
      </c>
      <c r="C1215" s="19" t="s">
        <v>5314</v>
      </c>
      <c r="D1215" s="19"/>
      <c r="E1215" s="2"/>
      <c r="F1215" s="19"/>
    </row>
    <row r="1216" ht="15.75" customHeight="1">
      <c r="A1216" s="1">
        <v>3.3086501E7</v>
      </c>
      <c r="B1216" s="2" t="s">
        <v>592</v>
      </c>
      <c r="C1216" s="19" t="s">
        <v>5315</v>
      </c>
      <c r="D1216" s="19"/>
      <c r="E1216" s="2"/>
      <c r="F1216" s="19"/>
    </row>
    <row r="1217" ht="15.75" customHeight="1">
      <c r="A1217" s="1">
        <v>3.328282E7</v>
      </c>
      <c r="B1217" s="2" t="s">
        <v>1234</v>
      </c>
      <c r="C1217" s="19" t="s">
        <v>5316</v>
      </c>
      <c r="D1217" s="19"/>
      <c r="E1217" s="2"/>
      <c r="F1217" s="19"/>
    </row>
    <row r="1218" ht="15.75" customHeight="1">
      <c r="A1218" s="1">
        <v>3.3401059E7</v>
      </c>
      <c r="B1218" s="2" t="s">
        <v>265</v>
      </c>
      <c r="C1218" s="19" t="s">
        <v>5317</v>
      </c>
      <c r="D1218" s="19" t="s">
        <v>5318</v>
      </c>
      <c r="E1218" s="2"/>
      <c r="F1218" s="19"/>
    </row>
    <row r="1219" ht="15.75" customHeight="1">
      <c r="A1219" s="1">
        <v>3.3616877E7</v>
      </c>
      <c r="B1219" s="2" t="s">
        <v>751</v>
      </c>
      <c r="C1219" s="19" t="s">
        <v>5319</v>
      </c>
      <c r="D1219" s="19"/>
      <c r="E1219" s="2"/>
      <c r="F1219" s="19"/>
    </row>
    <row r="1220" ht="15.75" customHeight="1">
      <c r="A1220" s="1">
        <v>3.3879085E7</v>
      </c>
      <c r="B1220" s="2" t="s">
        <v>714</v>
      </c>
      <c r="C1220" s="19" t="s">
        <v>5320</v>
      </c>
      <c r="D1220" s="19" t="s">
        <v>5321</v>
      </c>
      <c r="E1220" s="2"/>
      <c r="F1220" s="19"/>
    </row>
    <row r="1221" ht="15.75" customHeight="1">
      <c r="A1221" s="1">
        <v>3.395213E7</v>
      </c>
      <c r="B1221" s="2" t="s">
        <v>2062</v>
      </c>
      <c r="C1221" s="19" t="s">
        <v>5322</v>
      </c>
      <c r="D1221" s="19" t="s">
        <v>5323</v>
      </c>
      <c r="E1221" s="2"/>
      <c r="F1221" s="19"/>
    </row>
    <row r="1222" ht="15.75" customHeight="1">
      <c r="A1222" s="1">
        <v>3.4085695E7</v>
      </c>
      <c r="B1222" s="2" t="s">
        <v>328</v>
      </c>
      <c r="C1222" s="19" t="s">
        <v>5324</v>
      </c>
      <c r="D1222" s="19" t="s">
        <v>5325</v>
      </c>
      <c r="E1222" s="2"/>
      <c r="F1222" s="19"/>
    </row>
    <row r="1223" ht="15.75" customHeight="1">
      <c r="A1223" s="1">
        <v>3.416451E7</v>
      </c>
      <c r="B1223" s="2" t="s">
        <v>1409</v>
      </c>
      <c r="C1223" s="19" t="s">
        <v>5326</v>
      </c>
      <c r="D1223" s="19" t="s">
        <v>5327</v>
      </c>
      <c r="E1223" s="2"/>
      <c r="F1223" s="19"/>
    </row>
    <row r="1224" ht="15.75" customHeight="1">
      <c r="A1224" s="1">
        <v>3.4172317E7</v>
      </c>
      <c r="B1224" s="2" t="s">
        <v>2511</v>
      </c>
      <c r="C1224" s="19" t="s">
        <v>5328</v>
      </c>
      <c r="D1224" s="19" t="s">
        <v>5329</v>
      </c>
      <c r="E1224" s="2"/>
      <c r="F1224" s="19"/>
    </row>
    <row r="1225" ht="15.75" customHeight="1">
      <c r="A1225" s="1">
        <v>3.4228425E7</v>
      </c>
      <c r="B1225" s="2" t="s">
        <v>2060</v>
      </c>
      <c r="C1225" s="19" t="s">
        <v>5330</v>
      </c>
      <c r="D1225" s="19"/>
      <c r="E1225" s="2"/>
      <c r="F1225" s="19"/>
    </row>
    <row r="1226" ht="15.75" customHeight="1">
      <c r="A1226" s="1">
        <v>3.4305838E7</v>
      </c>
      <c r="B1226" s="2" t="s">
        <v>1141</v>
      </c>
      <c r="C1226" s="19" t="s">
        <v>5331</v>
      </c>
      <c r="D1226" s="19"/>
      <c r="E1226" s="2"/>
      <c r="F1226" s="19"/>
    </row>
    <row r="1227" ht="15.75" customHeight="1">
      <c r="A1227" s="1">
        <v>3.4445962E7</v>
      </c>
      <c r="B1227" s="2" t="s">
        <v>768</v>
      </c>
      <c r="C1227" s="19" t="s">
        <v>5332</v>
      </c>
      <c r="D1227" s="19"/>
      <c r="E1227" s="2"/>
      <c r="F1227" s="19"/>
    </row>
    <row r="1228" ht="15.75" customHeight="1">
      <c r="A1228" s="1">
        <v>3.4504198E7</v>
      </c>
      <c r="B1228" s="2" t="s">
        <v>495</v>
      </c>
      <c r="C1228" s="19" t="s">
        <v>5333</v>
      </c>
      <c r="D1228" s="19"/>
      <c r="E1228" s="2"/>
      <c r="F1228" s="19"/>
    </row>
    <row r="1229" ht="15.75" customHeight="1">
      <c r="A1229" s="1">
        <v>3.4515865E7</v>
      </c>
      <c r="B1229" s="2" t="s">
        <v>425</v>
      </c>
      <c r="C1229" s="19" t="s">
        <v>5334</v>
      </c>
      <c r="D1229" s="19" t="s">
        <v>5335</v>
      </c>
      <c r="E1229" s="2"/>
      <c r="F1229" s="19"/>
    </row>
    <row r="1230" ht="15.75" customHeight="1">
      <c r="A1230" s="1">
        <v>3.4518419E7</v>
      </c>
      <c r="B1230" s="2" t="s">
        <v>1912</v>
      </c>
      <c r="C1230" s="19" t="s">
        <v>5336</v>
      </c>
      <c r="D1230" s="19" t="s">
        <v>5337</v>
      </c>
      <c r="E1230" s="2"/>
      <c r="F1230" s="19"/>
    </row>
    <row r="1231" ht="15.75" customHeight="1">
      <c r="A1231" s="1">
        <v>3.4545785E7</v>
      </c>
      <c r="B1231" s="2" t="s">
        <v>989</v>
      </c>
      <c r="C1231" s="19" t="s">
        <v>5338</v>
      </c>
      <c r="D1231" s="19"/>
      <c r="E1231" s="2"/>
      <c r="F1231" s="19"/>
    </row>
    <row r="1232" ht="15.75" customHeight="1">
      <c r="A1232" s="1">
        <v>3.4596332E7</v>
      </c>
      <c r="B1232" s="2" t="s">
        <v>195</v>
      </c>
      <c r="C1232" s="19" t="s">
        <v>5339</v>
      </c>
      <c r="D1232" s="19"/>
      <c r="E1232" s="2"/>
      <c r="F1232" s="19"/>
    </row>
    <row r="1233" ht="15.75" customHeight="1">
      <c r="A1233" s="1">
        <v>3.4631941E7</v>
      </c>
      <c r="B1233" s="2" t="s">
        <v>1253</v>
      </c>
      <c r="C1233" s="19" t="s">
        <v>5340</v>
      </c>
      <c r="D1233" s="19"/>
      <c r="E1233" s="2"/>
      <c r="F1233" s="19"/>
    </row>
    <row r="1234" ht="15.75" customHeight="1">
      <c r="A1234" s="1">
        <v>3.4656482E7</v>
      </c>
      <c r="B1234" s="2" t="s">
        <v>828</v>
      </c>
      <c r="C1234" s="19" t="s">
        <v>5341</v>
      </c>
      <c r="D1234" s="19" t="s">
        <v>5342</v>
      </c>
      <c r="E1234" s="2"/>
      <c r="F1234" s="19"/>
    </row>
    <row r="1235" ht="15.75" customHeight="1">
      <c r="A1235" s="1">
        <v>3.4679862E7</v>
      </c>
      <c r="B1235" s="2" t="s">
        <v>1388</v>
      </c>
      <c r="C1235" s="19" t="s">
        <v>5343</v>
      </c>
      <c r="D1235" s="19" t="s">
        <v>5344</v>
      </c>
      <c r="E1235" s="2"/>
      <c r="F1235" s="19"/>
    </row>
    <row r="1236" ht="15.75" customHeight="1">
      <c r="A1236" s="1">
        <v>3.4757888E7</v>
      </c>
      <c r="B1236" s="2" t="s">
        <v>2309</v>
      </c>
      <c r="C1236" s="19" t="s">
        <v>5345</v>
      </c>
      <c r="D1236" s="19" t="s">
        <v>5346</v>
      </c>
      <c r="E1236" s="2"/>
      <c r="F1236" s="19"/>
    </row>
    <row r="1237" ht="15.75" customHeight="1">
      <c r="A1237" s="1">
        <v>3.477612E7</v>
      </c>
      <c r="B1237" s="2" t="s">
        <v>2049</v>
      </c>
      <c r="C1237" s="19" t="s">
        <v>5347</v>
      </c>
      <c r="D1237" s="19"/>
      <c r="E1237" s="2"/>
      <c r="F1237" s="19"/>
    </row>
    <row r="1238" ht="15.75" customHeight="1">
      <c r="A1238" s="1">
        <v>3.4814017E7</v>
      </c>
      <c r="B1238" s="2" t="s">
        <v>1193</v>
      </c>
      <c r="C1238" s="19" t="s">
        <v>5348</v>
      </c>
      <c r="D1238" s="19"/>
      <c r="E1238" s="2"/>
      <c r="F1238" s="19"/>
    </row>
    <row r="1239" ht="15.75" customHeight="1">
      <c r="A1239" s="1">
        <v>3.4814468E7</v>
      </c>
      <c r="B1239" s="2" t="s">
        <v>426</v>
      </c>
      <c r="C1239" s="19" t="s">
        <v>5349</v>
      </c>
      <c r="D1239" s="19" t="s">
        <v>5350</v>
      </c>
      <c r="E1239" s="2"/>
      <c r="F1239" s="19"/>
    </row>
    <row r="1240" ht="15.75" customHeight="1">
      <c r="A1240" s="1">
        <v>3.4819005E7</v>
      </c>
      <c r="B1240" s="2" t="s">
        <v>1969</v>
      </c>
      <c r="C1240" s="19" t="s">
        <v>5351</v>
      </c>
      <c r="D1240" s="19"/>
      <c r="E1240" s="2"/>
      <c r="F1240" s="19"/>
    </row>
    <row r="1241" ht="15.75" customHeight="1">
      <c r="A1241" s="1">
        <v>3.4823823E7</v>
      </c>
      <c r="B1241" s="2" t="s">
        <v>189</v>
      </c>
      <c r="C1241" s="19" t="s">
        <v>5352</v>
      </c>
      <c r="D1241" s="19" t="s">
        <v>5353</v>
      </c>
      <c r="E1241" s="2"/>
      <c r="F1241" s="19"/>
    </row>
    <row r="1242" ht="15.75" customHeight="1">
      <c r="A1242" s="1">
        <v>3.4860991E7</v>
      </c>
      <c r="B1242" s="2" t="s">
        <v>1216</v>
      </c>
      <c r="C1242" s="19" t="s">
        <v>5354</v>
      </c>
      <c r="D1242" s="19" t="s">
        <v>5355</v>
      </c>
      <c r="E1242" s="2"/>
      <c r="F1242" s="19"/>
    </row>
    <row r="1243" ht="15.75" customHeight="1">
      <c r="A1243" s="1">
        <v>3.4880856E7</v>
      </c>
      <c r="B1243" s="2" t="s">
        <v>2467</v>
      </c>
      <c r="C1243" s="19" t="s">
        <v>5356</v>
      </c>
      <c r="D1243" s="19"/>
      <c r="E1243" s="2"/>
      <c r="F1243" s="19"/>
    </row>
    <row r="1244" ht="15.75" customHeight="1">
      <c r="A1244" s="1">
        <v>3.4881746E7</v>
      </c>
      <c r="B1244" s="2" t="s">
        <v>3357</v>
      </c>
      <c r="C1244" s="19" t="s">
        <v>5357</v>
      </c>
      <c r="D1244" s="19"/>
      <c r="E1244" s="2"/>
      <c r="F1244" s="19"/>
    </row>
    <row r="1245" ht="15.75" customHeight="1">
      <c r="A1245" s="1">
        <v>3.491616E7</v>
      </c>
      <c r="B1245" s="2" t="s">
        <v>2310</v>
      </c>
      <c r="C1245" s="19" t="s">
        <v>5358</v>
      </c>
      <c r="D1245" s="19"/>
      <c r="E1245" s="2"/>
      <c r="F1245" s="19"/>
    </row>
    <row r="1246" ht="15.75" customHeight="1">
      <c r="A1246" s="1">
        <v>3.4920892E7</v>
      </c>
      <c r="B1246" s="2" t="s">
        <v>3389</v>
      </c>
      <c r="C1246" s="19" t="s">
        <v>5359</v>
      </c>
      <c r="D1246" s="19" t="s">
        <v>5360</v>
      </c>
      <c r="E1246" s="2"/>
      <c r="F1246" s="19"/>
    </row>
    <row r="1247" ht="15.75" customHeight="1">
      <c r="A1247" s="1">
        <v>3.4971515E7</v>
      </c>
      <c r="B1247" s="2" t="s">
        <v>2014</v>
      </c>
      <c r="C1247" s="19" t="s">
        <v>5361</v>
      </c>
      <c r="D1247" s="19" t="s">
        <v>5362</v>
      </c>
      <c r="E1247" s="2"/>
      <c r="F1247" s="19"/>
    </row>
    <row r="1248" ht="15.75" customHeight="1">
      <c r="A1248" s="1">
        <v>3.5041549E7</v>
      </c>
      <c r="B1248" s="2" t="s">
        <v>1221</v>
      </c>
      <c r="C1248" s="19" t="s">
        <v>5363</v>
      </c>
      <c r="D1248" s="19" t="s">
        <v>5364</v>
      </c>
      <c r="E1248" s="2"/>
      <c r="F1248" s="19"/>
    </row>
    <row r="1249" ht="15.75" customHeight="1">
      <c r="A1249" s="1">
        <v>3.5066446E7</v>
      </c>
      <c r="B1249" s="2" t="s">
        <v>2468</v>
      </c>
      <c r="C1249" s="19" t="s">
        <v>5365</v>
      </c>
      <c r="D1249" s="19"/>
      <c r="E1249" s="2"/>
      <c r="F1249" s="19"/>
    </row>
    <row r="1250" ht="15.75" customHeight="1">
      <c r="A1250" s="1">
        <v>3.5092415E7</v>
      </c>
      <c r="B1250" s="2" t="s">
        <v>2601</v>
      </c>
      <c r="C1250" s="19" t="s">
        <v>5366</v>
      </c>
      <c r="D1250" s="19"/>
      <c r="E1250" s="2"/>
      <c r="F1250" s="19"/>
    </row>
    <row r="1251" ht="15.75" customHeight="1">
      <c r="A1251" s="1">
        <v>3.5117639E7</v>
      </c>
      <c r="B1251" s="2" t="s">
        <v>885</v>
      </c>
      <c r="C1251" s="19" t="s">
        <v>5367</v>
      </c>
      <c r="D1251" s="19" t="s">
        <v>5368</v>
      </c>
      <c r="E1251" s="2"/>
      <c r="F1251" s="19"/>
    </row>
    <row r="1252" ht="15.75" customHeight="1">
      <c r="A1252" s="1">
        <v>3.5250844E7</v>
      </c>
      <c r="B1252" s="2" t="s">
        <v>868</v>
      </c>
      <c r="C1252" s="19" t="s">
        <v>5369</v>
      </c>
      <c r="D1252" s="19"/>
      <c r="E1252" s="2"/>
      <c r="F1252" s="19"/>
    </row>
    <row r="1253" ht="15.75" customHeight="1">
      <c r="A1253" s="1">
        <v>3.5265813E7</v>
      </c>
      <c r="B1253" s="2" t="s">
        <v>1692</v>
      </c>
      <c r="C1253" s="19" t="s">
        <v>5370</v>
      </c>
      <c r="D1253" s="19"/>
      <c r="E1253" s="2"/>
      <c r="F1253" s="19"/>
    </row>
    <row r="1254" ht="15.75" customHeight="1">
      <c r="A1254" s="1">
        <v>3.5302025E7</v>
      </c>
      <c r="B1254" s="2" t="s">
        <v>524</v>
      </c>
      <c r="C1254" s="19" t="s">
        <v>5371</v>
      </c>
      <c r="D1254" s="19"/>
      <c r="E1254" s="2"/>
      <c r="F1254" s="19"/>
    </row>
    <row r="1255" ht="15.75" customHeight="1">
      <c r="A1255" s="1">
        <v>3.5343564E7</v>
      </c>
      <c r="B1255" s="2" t="s">
        <v>2076</v>
      </c>
      <c r="C1255" s="19" t="s">
        <v>5372</v>
      </c>
      <c r="D1255" s="19" t="s">
        <v>5373</v>
      </c>
      <c r="E1255" s="2"/>
      <c r="F1255" s="19"/>
    </row>
    <row r="1256" ht="15.75" customHeight="1">
      <c r="A1256" s="1">
        <v>3.5414315E7</v>
      </c>
      <c r="B1256" s="2" t="s">
        <v>2036</v>
      </c>
      <c r="C1256" s="19" t="s">
        <v>5374</v>
      </c>
      <c r="D1256" s="19"/>
      <c r="E1256" s="2"/>
      <c r="F1256" s="19"/>
    </row>
    <row r="1257" ht="15.75" customHeight="1">
      <c r="A1257" s="1">
        <v>3.5476777E7</v>
      </c>
      <c r="B1257" s="2" t="s">
        <v>1246</v>
      </c>
      <c r="C1257" s="19" t="s">
        <v>5375</v>
      </c>
      <c r="D1257" s="19" t="s">
        <v>5376</v>
      </c>
      <c r="E1257" s="2"/>
      <c r="F1257" s="19"/>
    </row>
    <row r="1258" ht="15.75" customHeight="1">
      <c r="A1258" s="1">
        <v>3.5482963E7</v>
      </c>
      <c r="B1258" s="2" t="s">
        <v>607</v>
      </c>
      <c r="C1258" s="19" t="s">
        <v>5377</v>
      </c>
      <c r="D1258" s="19" t="s">
        <v>5378</v>
      </c>
      <c r="E1258" s="2"/>
      <c r="F1258" s="19"/>
    </row>
    <row r="1259" ht="15.75" customHeight="1">
      <c r="A1259" s="1">
        <v>3.5569887E7</v>
      </c>
      <c r="B1259" s="2" t="s">
        <v>1929</v>
      </c>
      <c r="C1259" s="19" t="s">
        <v>5379</v>
      </c>
      <c r="D1259" s="19" t="s">
        <v>5380</v>
      </c>
      <c r="E1259" s="2"/>
      <c r="F1259" s="19"/>
    </row>
    <row r="1260" ht="15.75" customHeight="1">
      <c r="A1260" s="1">
        <v>3.5578153E7</v>
      </c>
      <c r="B1260" s="2" t="s">
        <v>1078</v>
      </c>
      <c r="C1260" s="19" t="s">
        <v>5381</v>
      </c>
      <c r="D1260" s="19" t="s">
        <v>5382</v>
      </c>
      <c r="E1260" s="2"/>
      <c r="F1260" s="19"/>
    </row>
    <row r="1261" ht="15.75" customHeight="1">
      <c r="A1261" s="1">
        <v>3.5618897E7</v>
      </c>
      <c r="B1261" s="2" t="s">
        <v>1498</v>
      </c>
      <c r="C1261" s="19" t="s">
        <v>5383</v>
      </c>
      <c r="D1261" s="19"/>
      <c r="E1261" s="2"/>
      <c r="F1261" s="19"/>
    </row>
    <row r="1262" ht="15.75" customHeight="1">
      <c r="A1262" s="1">
        <v>3.5645102E7</v>
      </c>
      <c r="B1262" s="2" t="s">
        <v>494</v>
      </c>
      <c r="C1262" s="19" t="s">
        <v>5384</v>
      </c>
      <c r="D1262" s="19"/>
      <c r="E1262" s="2"/>
      <c r="F1262" s="19"/>
    </row>
    <row r="1263" ht="15.75" customHeight="1">
      <c r="A1263" s="1">
        <v>3.5660296E7</v>
      </c>
      <c r="B1263" s="2" t="s">
        <v>702</v>
      </c>
      <c r="C1263" s="19" t="s">
        <v>5385</v>
      </c>
      <c r="D1263" s="19" t="s">
        <v>5386</v>
      </c>
      <c r="E1263" s="2"/>
      <c r="F1263" s="19"/>
    </row>
    <row r="1264" ht="15.75" customHeight="1">
      <c r="A1264" s="1">
        <v>3.5677362E7</v>
      </c>
      <c r="B1264" s="2" t="s">
        <v>817</v>
      </c>
      <c r="C1264" s="19" t="s">
        <v>5387</v>
      </c>
      <c r="D1264" s="19"/>
      <c r="E1264" s="2"/>
      <c r="F1264" s="19"/>
    </row>
    <row r="1265" ht="15.75" customHeight="1">
      <c r="A1265" s="1">
        <v>3.5742554E7</v>
      </c>
      <c r="B1265" s="2" t="s">
        <v>304</v>
      </c>
      <c r="C1265" s="19" t="s">
        <v>5388</v>
      </c>
      <c r="D1265" s="19" t="s">
        <v>5389</v>
      </c>
      <c r="E1265" s="2"/>
      <c r="F1265" s="19"/>
    </row>
    <row r="1266" ht="15.75" customHeight="1">
      <c r="A1266" s="1">
        <v>3.5764295E7</v>
      </c>
      <c r="B1266" s="2" t="s">
        <v>1392</v>
      </c>
      <c r="C1266" s="19" t="s">
        <v>5390</v>
      </c>
      <c r="D1266" s="19"/>
      <c r="E1266" s="2"/>
      <c r="F1266" s="19"/>
    </row>
    <row r="1267" ht="15.75" customHeight="1">
      <c r="A1267" s="1">
        <v>3.5776176E7</v>
      </c>
      <c r="B1267" s="2" t="s">
        <v>873</v>
      </c>
      <c r="C1267" s="19" t="s">
        <v>5391</v>
      </c>
      <c r="D1267" s="19" t="s">
        <v>5392</v>
      </c>
      <c r="E1267" s="2"/>
      <c r="F1267" s="19"/>
    </row>
    <row r="1268" ht="15.75" customHeight="1">
      <c r="A1268" s="1">
        <v>3.5837025E7</v>
      </c>
      <c r="B1268" s="2" t="s">
        <v>491</v>
      </c>
      <c r="C1268" s="19" t="s">
        <v>5393</v>
      </c>
      <c r="D1268" s="19" t="s">
        <v>5394</v>
      </c>
      <c r="E1268" s="2"/>
      <c r="F1268" s="19"/>
    </row>
    <row r="1269" ht="15.75" customHeight="1">
      <c r="A1269" s="1">
        <v>3.5859198E7</v>
      </c>
      <c r="B1269" s="2" t="s">
        <v>956</v>
      </c>
      <c r="C1269" s="19" t="s">
        <v>5395</v>
      </c>
      <c r="D1269" s="19"/>
      <c r="E1269" s="2"/>
      <c r="F1269" s="19"/>
    </row>
    <row r="1270" ht="15.75" customHeight="1">
      <c r="A1270" s="1">
        <v>3.5865098E7</v>
      </c>
      <c r="B1270" s="2" t="s">
        <v>1552</v>
      </c>
      <c r="C1270" s="19" t="s">
        <v>5396</v>
      </c>
      <c r="D1270" s="19"/>
      <c r="E1270" s="2"/>
      <c r="F1270" s="19"/>
    </row>
    <row r="1271" ht="15.75" customHeight="1">
      <c r="A1271" s="1">
        <v>3.5894935E7</v>
      </c>
      <c r="B1271" s="2" t="s">
        <v>1020</v>
      </c>
      <c r="C1271" s="19" t="s">
        <v>5397</v>
      </c>
      <c r="D1271" s="19" t="s">
        <v>5398</v>
      </c>
      <c r="E1271" s="2"/>
      <c r="F1271" s="19"/>
    </row>
    <row r="1272" ht="15.75" customHeight="1">
      <c r="A1272" s="1">
        <v>3.5974311E7</v>
      </c>
      <c r="B1272" s="2" t="s">
        <v>1170</v>
      </c>
      <c r="C1272" s="19" t="s">
        <v>5399</v>
      </c>
      <c r="D1272" s="19"/>
      <c r="E1272" s="2"/>
      <c r="F1272" s="19"/>
    </row>
    <row r="1273" ht="15.75" customHeight="1">
      <c r="A1273" s="1">
        <v>3.6028847E7</v>
      </c>
      <c r="B1273" s="2" t="s">
        <v>1288</v>
      </c>
      <c r="C1273" s="19" t="s">
        <v>5400</v>
      </c>
      <c r="D1273" s="19"/>
      <c r="E1273" s="2"/>
      <c r="F1273" s="19"/>
    </row>
    <row r="1274" ht="15.75" customHeight="1">
      <c r="A1274" s="1">
        <v>3.6070513E7</v>
      </c>
      <c r="B1274" s="2" t="s">
        <v>1471</v>
      </c>
      <c r="C1274" s="19" t="s">
        <v>5401</v>
      </c>
      <c r="D1274" s="19"/>
      <c r="E1274" s="2"/>
      <c r="F1274" s="19"/>
    </row>
    <row r="1275" ht="15.75" customHeight="1">
      <c r="A1275" s="1">
        <v>3.6089525E7</v>
      </c>
      <c r="B1275" s="2" t="s">
        <v>562</v>
      </c>
      <c r="C1275" s="19" t="s">
        <v>5402</v>
      </c>
      <c r="D1275" s="19"/>
      <c r="E1275" s="2"/>
      <c r="F1275" s="19"/>
    </row>
    <row r="1276" ht="15.75" customHeight="1">
      <c r="A1276" s="1">
        <v>3.6229215E7</v>
      </c>
      <c r="B1276" s="2" t="s">
        <v>1695</v>
      </c>
      <c r="C1276" s="19" t="s">
        <v>5403</v>
      </c>
      <c r="D1276" s="19" t="s">
        <v>5404</v>
      </c>
      <c r="E1276" s="2"/>
      <c r="F1276" s="19"/>
    </row>
    <row r="1277" ht="15.75" customHeight="1">
      <c r="A1277" s="1">
        <v>3.6257435E7</v>
      </c>
      <c r="B1277" s="2" t="s">
        <v>2290</v>
      </c>
      <c r="C1277" s="19" t="s">
        <v>5405</v>
      </c>
      <c r="D1277" s="19" t="s">
        <v>5406</v>
      </c>
      <c r="E1277" s="2"/>
      <c r="F1277" s="19"/>
    </row>
    <row r="1278" ht="15.75" customHeight="1">
      <c r="A1278" s="1">
        <v>3.6287339E7</v>
      </c>
      <c r="B1278" s="2" t="s">
        <v>1159</v>
      </c>
      <c r="C1278" s="19" t="s">
        <v>5407</v>
      </c>
      <c r="D1278" s="19"/>
      <c r="E1278" s="2"/>
      <c r="F1278" s="19"/>
    </row>
    <row r="1279" ht="15.75" customHeight="1">
      <c r="A1279" s="1">
        <v>3.6341976E7</v>
      </c>
      <c r="B1279" s="2" t="s">
        <v>1197</v>
      </c>
      <c r="C1279" s="19" t="s">
        <v>5408</v>
      </c>
      <c r="D1279" s="19"/>
      <c r="E1279" s="2"/>
      <c r="F1279" s="19"/>
    </row>
    <row r="1280" ht="15.75" customHeight="1">
      <c r="A1280" s="1">
        <v>3.6402477E7</v>
      </c>
      <c r="B1280" s="2" t="s">
        <v>764</v>
      </c>
      <c r="C1280" s="19" t="s">
        <v>5409</v>
      </c>
      <c r="D1280" s="19" t="s">
        <v>5410</v>
      </c>
      <c r="E1280" s="2"/>
      <c r="F1280" s="19"/>
    </row>
    <row r="1281" ht="15.75" customHeight="1">
      <c r="A1281" s="1">
        <v>3.652814E7</v>
      </c>
      <c r="B1281" s="2" t="s">
        <v>248</v>
      </c>
      <c r="C1281" s="19" t="s">
        <v>5411</v>
      </c>
      <c r="D1281" s="19"/>
      <c r="E1281" s="2"/>
      <c r="F1281" s="19"/>
    </row>
    <row r="1282" ht="15.75" customHeight="1">
      <c r="A1282" s="1">
        <v>3.6565321E7</v>
      </c>
      <c r="B1282" s="2" t="s">
        <v>2159</v>
      </c>
      <c r="C1282" s="19" t="s">
        <v>5412</v>
      </c>
      <c r="D1282" s="19"/>
      <c r="E1282" s="2"/>
      <c r="F1282" s="19"/>
    </row>
    <row r="1283" ht="15.75" customHeight="1">
      <c r="A1283" s="1">
        <v>3.6610727E7</v>
      </c>
      <c r="B1283" s="2" t="s">
        <v>565</v>
      </c>
      <c r="C1283" s="19" t="s">
        <v>5413</v>
      </c>
      <c r="D1283" s="19"/>
      <c r="E1283" s="2"/>
      <c r="F1283" s="19"/>
    </row>
    <row r="1284" ht="15.75" customHeight="1">
      <c r="A1284" s="1">
        <v>3.6643655E7</v>
      </c>
      <c r="B1284" s="2" t="s">
        <v>2126</v>
      </c>
      <c r="C1284" s="19" t="s">
        <v>5414</v>
      </c>
      <c r="D1284" s="19"/>
      <c r="E1284" s="2"/>
      <c r="F1284" s="19"/>
    </row>
    <row r="1285" ht="15.75" customHeight="1">
      <c r="A1285" s="1">
        <v>3.6693712E7</v>
      </c>
      <c r="B1285" s="2" t="s">
        <v>994</v>
      </c>
      <c r="C1285" s="19" t="s">
        <v>5415</v>
      </c>
      <c r="D1285" s="19" t="s">
        <v>5416</v>
      </c>
      <c r="E1285" s="2"/>
      <c r="F1285" s="19"/>
    </row>
    <row r="1286" ht="15.75" customHeight="1">
      <c r="A1286" s="1">
        <v>3.6751056E7</v>
      </c>
      <c r="B1286" s="2" t="s">
        <v>993</v>
      </c>
      <c r="C1286" s="19" t="s">
        <v>5417</v>
      </c>
      <c r="D1286" s="19"/>
      <c r="E1286" s="2"/>
      <c r="F1286" s="19"/>
    </row>
    <row r="1287" ht="15.75" customHeight="1">
      <c r="A1287" s="1">
        <v>3.6760509E7</v>
      </c>
      <c r="B1287" s="2" t="s">
        <v>3008</v>
      </c>
      <c r="C1287" s="19" t="s">
        <v>5418</v>
      </c>
      <c r="D1287" s="19"/>
      <c r="E1287" s="2"/>
      <c r="F1287" s="19"/>
    </row>
    <row r="1288" ht="15.75" customHeight="1">
      <c r="A1288" s="1">
        <v>3.6766698E7</v>
      </c>
      <c r="B1288" s="2" t="s">
        <v>1356</v>
      </c>
      <c r="C1288" s="19" t="s">
        <v>5419</v>
      </c>
      <c r="D1288" s="19"/>
      <c r="E1288" s="2"/>
      <c r="F1288" s="19"/>
    </row>
    <row r="1289" ht="15.75" customHeight="1">
      <c r="A1289" s="1">
        <v>3.6813793E7</v>
      </c>
      <c r="B1289" s="2" t="s">
        <v>1254</v>
      </c>
      <c r="C1289" s="19" t="s">
        <v>5420</v>
      </c>
      <c r="D1289" s="19" t="s">
        <v>5421</v>
      </c>
      <c r="E1289" s="2"/>
      <c r="F1289" s="19"/>
    </row>
    <row r="1290" ht="15.75" customHeight="1">
      <c r="A1290" s="1">
        <v>3.693683E7</v>
      </c>
      <c r="B1290" s="2" t="s">
        <v>1327</v>
      </c>
      <c r="C1290" s="19" t="s">
        <v>5422</v>
      </c>
      <c r="D1290" s="19"/>
      <c r="E1290" s="2"/>
      <c r="F1290" s="19"/>
    </row>
    <row r="1291" ht="15.75" customHeight="1">
      <c r="A1291" s="1">
        <v>3.6986164E7</v>
      </c>
      <c r="B1291" s="2" t="s">
        <v>2483</v>
      </c>
      <c r="C1291" s="19" t="s">
        <v>5423</v>
      </c>
      <c r="D1291" s="19"/>
      <c r="E1291" s="2"/>
      <c r="F1291" s="19"/>
    </row>
    <row r="1292" ht="15.75" customHeight="1">
      <c r="A1292" s="1">
        <v>3.7001598E7</v>
      </c>
      <c r="B1292" s="2" t="s">
        <v>1341</v>
      </c>
      <c r="C1292" s="19" t="s">
        <v>5424</v>
      </c>
      <c r="D1292" s="19"/>
      <c r="E1292" s="2"/>
      <c r="F1292" s="19"/>
    </row>
    <row r="1293" ht="15.75" customHeight="1">
      <c r="A1293" s="1">
        <v>3.7020959E7</v>
      </c>
      <c r="B1293" s="2" t="s">
        <v>861</v>
      </c>
      <c r="C1293" s="19" t="s">
        <v>5425</v>
      </c>
      <c r="D1293" s="19" t="s">
        <v>5426</v>
      </c>
      <c r="E1293" s="2"/>
      <c r="F1293" s="19"/>
    </row>
    <row r="1294" ht="15.75" customHeight="1">
      <c r="A1294" s="1">
        <v>3.7124035E7</v>
      </c>
      <c r="B1294" s="2" t="s">
        <v>1506</v>
      </c>
      <c r="C1294" s="19" t="s">
        <v>5427</v>
      </c>
      <c r="D1294" s="19"/>
      <c r="E1294" s="2"/>
      <c r="F1294" s="19"/>
    </row>
    <row r="1295" ht="15.75" customHeight="1">
      <c r="A1295" s="1">
        <v>3.7125043E7</v>
      </c>
      <c r="B1295" s="2" t="s">
        <v>520</v>
      </c>
      <c r="C1295" s="19" t="s">
        <v>5428</v>
      </c>
      <c r="D1295" s="19" t="s">
        <v>5429</v>
      </c>
      <c r="E1295" s="2"/>
      <c r="F1295" s="19"/>
    </row>
    <row r="1296" ht="15.75" customHeight="1">
      <c r="A1296" s="1">
        <v>3.7159918E7</v>
      </c>
      <c r="B1296" s="2" t="s">
        <v>1520</v>
      </c>
      <c r="C1296" s="19" t="s">
        <v>5430</v>
      </c>
      <c r="D1296" s="19"/>
      <c r="E1296" s="2"/>
      <c r="F1296" s="19"/>
    </row>
    <row r="1297" ht="15.75" customHeight="1">
      <c r="A1297" s="1">
        <v>3.7169827E7</v>
      </c>
      <c r="B1297" s="2" t="s">
        <v>1683</v>
      </c>
      <c r="C1297" s="19" t="s">
        <v>5431</v>
      </c>
      <c r="D1297" s="19" t="s">
        <v>5432</v>
      </c>
      <c r="E1297" s="2"/>
      <c r="F1297" s="19"/>
    </row>
    <row r="1298" ht="15.75" customHeight="1">
      <c r="A1298" s="1">
        <v>3.7306094E7</v>
      </c>
      <c r="B1298" s="2" t="s">
        <v>1376</v>
      </c>
      <c r="C1298" s="19" t="s">
        <v>5433</v>
      </c>
      <c r="D1298" s="19" t="s">
        <v>5434</v>
      </c>
      <c r="E1298" s="2"/>
      <c r="F1298" s="19"/>
    </row>
    <row r="1299" ht="15.75" customHeight="1">
      <c r="A1299" s="1">
        <v>3.7475065E7</v>
      </c>
      <c r="B1299" s="2" t="s">
        <v>609</v>
      </c>
      <c r="C1299" s="19" t="s">
        <v>5435</v>
      </c>
      <c r="D1299" s="19"/>
      <c r="E1299" s="2"/>
      <c r="F1299" s="19"/>
    </row>
    <row r="1300" ht="15.75" customHeight="1">
      <c r="A1300" s="1">
        <v>3.7484503E7</v>
      </c>
      <c r="B1300" s="2" t="s">
        <v>490</v>
      </c>
      <c r="C1300" s="19" t="s">
        <v>5436</v>
      </c>
      <c r="D1300" s="19"/>
      <c r="E1300" s="2"/>
      <c r="F1300" s="19"/>
    </row>
    <row r="1301" ht="15.75" customHeight="1">
      <c r="A1301" s="1">
        <v>3.7489706E7</v>
      </c>
      <c r="B1301" s="2" t="s">
        <v>1486</v>
      </c>
      <c r="C1301" s="19" t="s">
        <v>5437</v>
      </c>
      <c r="D1301" s="19"/>
      <c r="E1301" s="2"/>
      <c r="F1301" s="19"/>
    </row>
    <row r="1302" ht="15.75" customHeight="1">
      <c r="A1302" s="1">
        <v>3.7521245E7</v>
      </c>
      <c r="B1302" s="2" t="s">
        <v>305</v>
      </c>
      <c r="C1302" s="19" t="s">
        <v>5438</v>
      </c>
      <c r="D1302" s="19"/>
      <c r="E1302" s="2"/>
      <c r="F1302" s="19"/>
    </row>
    <row r="1303" ht="15.75" customHeight="1">
      <c r="A1303" s="1">
        <v>3.7604407E7</v>
      </c>
      <c r="B1303" s="2" t="s">
        <v>534</v>
      </c>
      <c r="C1303" s="19" t="s">
        <v>5439</v>
      </c>
      <c r="D1303" s="19" t="s">
        <v>5440</v>
      </c>
      <c r="E1303" s="2"/>
      <c r="F1303" s="19"/>
    </row>
    <row r="1304" ht="15.75" customHeight="1">
      <c r="A1304" s="1">
        <v>3.7692232E7</v>
      </c>
      <c r="B1304" s="2" t="s">
        <v>2084</v>
      </c>
      <c r="C1304" s="19" t="s">
        <v>5441</v>
      </c>
      <c r="D1304" s="19"/>
      <c r="E1304" s="2"/>
      <c r="F1304" s="19"/>
    </row>
    <row r="1305" ht="15.75" customHeight="1">
      <c r="A1305" s="1">
        <v>3.7707699E7</v>
      </c>
      <c r="B1305" s="2" t="s">
        <v>1671</v>
      </c>
      <c r="C1305" s="19" t="s">
        <v>5442</v>
      </c>
      <c r="D1305" s="19" t="s">
        <v>5443</v>
      </c>
      <c r="E1305" s="2"/>
      <c r="F1305" s="19"/>
    </row>
    <row r="1306" ht="15.75" customHeight="1">
      <c r="A1306" s="1">
        <v>3.7723718E7</v>
      </c>
      <c r="B1306" s="2" t="s">
        <v>832</v>
      </c>
      <c r="C1306" s="19" t="s">
        <v>5444</v>
      </c>
      <c r="D1306" s="19"/>
      <c r="E1306" s="2"/>
      <c r="F1306" s="19"/>
    </row>
    <row r="1307" ht="15.75" customHeight="1">
      <c r="A1307" s="1">
        <v>3.7837215E7</v>
      </c>
      <c r="B1307" s="2" t="s">
        <v>130</v>
      </c>
      <c r="C1307" s="19" t="s">
        <v>5445</v>
      </c>
      <c r="D1307" s="19"/>
      <c r="E1307" s="2"/>
      <c r="F1307" s="19"/>
    </row>
    <row r="1308" ht="15.75" customHeight="1">
      <c r="A1308" s="1">
        <v>3.7915834E7</v>
      </c>
      <c r="B1308" s="2" t="s">
        <v>1029</v>
      </c>
      <c r="C1308" s="19" t="s">
        <v>5446</v>
      </c>
      <c r="D1308" s="19" t="s">
        <v>5447</v>
      </c>
      <c r="E1308" s="2"/>
      <c r="F1308" s="19"/>
    </row>
    <row r="1309" ht="15.75" customHeight="1">
      <c r="A1309" s="1">
        <v>3.7916645E7</v>
      </c>
      <c r="B1309" s="2" t="s">
        <v>1199</v>
      </c>
      <c r="C1309" s="19" t="s">
        <v>5448</v>
      </c>
      <c r="D1309" s="19"/>
      <c r="E1309" s="2"/>
      <c r="F1309" s="19"/>
    </row>
    <row r="1310" ht="15.75" customHeight="1">
      <c r="A1310" s="1">
        <v>3.7945129E7</v>
      </c>
      <c r="B1310" s="2" t="s">
        <v>190</v>
      </c>
      <c r="C1310" s="19" t="s">
        <v>5449</v>
      </c>
      <c r="D1310" s="19"/>
      <c r="E1310" s="2"/>
      <c r="F1310" s="19"/>
    </row>
    <row r="1311" ht="15.75" customHeight="1">
      <c r="A1311" s="1">
        <v>3.7973949E7</v>
      </c>
      <c r="B1311" s="2" t="s">
        <v>753</v>
      </c>
      <c r="C1311" s="19" t="s">
        <v>5450</v>
      </c>
      <c r="D1311" s="19"/>
      <c r="E1311" s="2"/>
      <c r="F1311" s="19"/>
    </row>
    <row r="1312" ht="15.75" customHeight="1">
      <c r="A1312" s="1">
        <v>3.8006238E7</v>
      </c>
      <c r="B1312" s="2" t="s">
        <v>1371</v>
      </c>
      <c r="C1312" s="19" t="s">
        <v>5451</v>
      </c>
      <c r="D1312" s="19"/>
      <c r="E1312" s="2"/>
      <c r="F1312" s="19"/>
    </row>
    <row r="1313" ht="15.75" customHeight="1">
      <c r="A1313" s="1">
        <v>3.8014078E7</v>
      </c>
      <c r="B1313" s="2" t="s">
        <v>674</v>
      </c>
      <c r="C1313" s="19" t="s">
        <v>5452</v>
      </c>
      <c r="D1313" s="19" t="s">
        <v>5453</v>
      </c>
      <c r="E1313" s="2"/>
      <c r="F1313" s="19"/>
    </row>
    <row r="1314" ht="15.75" customHeight="1">
      <c r="A1314" s="1">
        <v>3.8071825E7</v>
      </c>
      <c r="B1314" s="2" t="s">
        <v>778</v>
      </c>
      <c r="C1314" s="19" t="s">
        <v>5454</v>
      </c>
      <c r="D1314" s="19"/>
      <c r="E1314" s="2"/>
      <c r="F1314" s="19"/>
    </row>
    <row r="1315" ht="15.75" customHeight="1">
      <c r="A1315" s="1">
        <v>3.8112943E7</v>
      </c>
      <c r="B1315" s="2" t="s">
        <v>1660</v>
      </c>
      <c r="C1315" s="19" t="s">
        <v>5455</v>
      </c>
      <c r="D1315" s="19" t="s">
        <v>5456</v>
      </c>
      <c r="E1315" s="2"/>
      <c r="F1315" s="19"/>
    </row>
    <row r="1316" ht="15.75" customHeight="1">
      <c r="A1316" s="1">
        <v>3.8136654E7</v>
      </c>
      <c r="B1316" s="2" t="s">
        <v>172</v>
      </c>
      <c r="C1316" s="19" t="s">
        <v>5457</v>
      </c>
      <c r="D1316" s="19"/>
      <c r="E1316" s="2"/>
      <c r="F1316" s="19"/>
    </row>
    <row r="1317" ht="15.75" customHeight="1">
      <c r="A1317" s="1">
        <v>3.8168927E7</v>
      </c>
      <c r="B1317" s="2" t="s">
        <v>1139</v>
      </c>
      <c r="C1317" s="19" t="s">
        <v>5458</v>
      </c>
      <c r="D1317" s="19" t="s">
        <v>5459</v>
      </c>
      <c r="E1317" s="2"/>
      <c r="F1317" s="19"/>
    </row>
    <row r="1318" ht="15.75" customHeight="1">
      <c r="A1318" s="1">
        <v>3.8194847E7</v>
      </c>
      <c r="B1318" s="2" t="s">
        <v>3036</v>
      </c>
      <c r="C1318" s="19" t="s">
        <v>5460</v>
      </c>
      <c r="D1318" s="19"/>
      <c r="E1318" s="2"/>
      <c r="F1318" s="19"/>
    </row>
    <row r="1319" ht="15.75" customHeight="1">
      <c r="A1319" s="1">
        <v>3.8233602E7</v>
      </c>
      <c r="B1319" s="2" t="s">
        <v>779</v>
      </c>
      <c r="C1319" s="19" t="s">
        <v>5461</v>
      </c>
      <c r="D1319" s="19" t="s">
        <v>5462</v>
      </c>
      <c r="E1319" s="2"/>
      <c r="F1319" s="19"/>
    </row>
    <row r="1320" ht="15.75" customHeight="1">
      <c r="A1320" s="1">
        <v>3.8264023E7</v>
      </c>
      <c r="B1320" s="2" t="s">
        <v>1286</v>
      </c>
      <c r="C1320" s="19" t="s">
        <v>5463</v>
      </c>
      <c r="D1320" s="19" t="s">
        <v>5464</v>
      </c>
      <c r="E1320" s="2"/>
      <c r="F1320" s="19"/>
    </row>
    <row r="1321" ht="15.75" customHeight="1">
      <c r="A1321" s="1">
        <v>3.8265464E7</v>
      </c>
      <c r="B1321" s="2" t="s">
        <v>438</v>
      </c>
      <c r="C1321" s="19" t="s">
        <v>5465</v>
      </c>
      <c r="D1321" s="19"/>
      <c r="E1321" s="2"/>
      <c r="F1321" s="19"/>
    </row>
    <row r="1322" ht="15.75" customHeight="1">
      <c r="A1322" s="1">
        <v>3.8320665E7</v>
      </c>
      <c r="B1322" s="2" t="s">
        <v>309</v>
      </c>
      <c r="C1322" s="19" t="s">
        <v>5466</v>
      </c>
      <c r="D1322" s="19"/>
      <c r="E1322" s="2"/>
      <c r="F1322" s="19"/>
    </row>
    <row r="1323" ht="15.75" customHeight="1">
      <c r="A1323" s="1">
        <v>3.8327633E7</v>
      </c>
      <c r="B1323" s="2" t="s">
        <v>1024</v>
      </c>
      <c r="C1323" s="19" t="s">
        <v>5467</v>
      </c>
      <c r="D1323" s="19"/>
      <c r="E1323" s="2"/>
      <c r="F1323" s="19"/>
    </row>
    <row r="1324" ht="15.75" customHeight="1">
      <c r="A1324" s="1">
        <v>3.8342186E7</v>
      </c>
      <c r="B1324" s="2" t="s">
        <v>1311</v>
      </c>
      <c r="C1324" s="19" t="s">
        <v>5468</v>
      </c>
      <c r="D1324" s="19" t="s">
        <v>5469</v>
      </c>
      <c r="E1324" s="2"/>
      <c r="F1324" s="19"/>
    </row>
    <row r="1325" ht="15.75" customHeight="1">
      <c r="A1325" s="1">
        <v>3.8376454E7</v>
      </c>
      <c r="B1325" s="2" t="s">
        <v>1875</v>
      </c>
      <c r="C1325" s="19" t="s">
        <v>5470</v>
      </c>
      <c r="D1325" s="19" t="s">
        <v>5471</v>
      </c>
      <c r="E1325" s="2"/>
      <c r="F1325" s="19"/>
    </row>
    <row r="1326" ht="15.75" customHeight="1">
      <c r="A1326" s="1">
        <v>3.8434097E7</v>
      </c>
      <c r="B1326" s="2" t="s">
        <v>1886</v>
      </c>
      <c r="C1326" s="19" t="s">
        <v>5472</v>
      </c>
      <c r="D1326" s="19" t="s">
        <v>5473</v>
      </c>
      <c r="E1326" s="2"/>
      <c r="F1326" s="19"/>
    </row>
    <row r="1327" ht="15.75" customHeight="1">
      <c r="A1327" s="1">
        <v>3.8446394E7</v>
      </c>
      <c r="B1327" s="2" t="s">
        <v>1956</v>
      </c>
      <c r="C1327" s="19" t="s">
        <v>5474</v>
      </c>
      <c r="D1327" s="19"/>
      <c r="E1327" s="2"/>
      <c r="F1327" s="19"/>
    </row>
    <row r="1328" ht="15.75" customHeight="1">
      <c r="A1328" s="1">
        <v>3.8446585E7</v>
      </c>
      <c r="B1328" s="2" t="s">
        <v>2602</v>
      </c>
      <c r="C1328" s="19" t="s">
        <v>5475</v>
      </c>
      <c r="D1328" s="19"/>
      <c r="E1328" s="2"/>
      <c r="F1328" s="19"/>
    </row>
    <row r="1329" ht="15.75" customHeight="1">
      <c r="A1329" s="1">
        <v>3.8532528E7</v>
      </c>
      <c r="B1329" s="2" t="s">
        <v>1353</v>
      </c>
      <c r="C1329" s="19" t="s">
        <v>5476</v>
      </c>
      <c r="D1329" s="19"/>
      <c r="E1329" s="2"/>
      <c r="F1329" s="19"/>
    </row>
    <row r="1330" ht="15.75" customHeight="1">
      <c r="A1330" s="1">
        <v>3.8556074E7</v>
      </c>
      <c r="B1330" s="2" t="s">
        <v>1263</v>
      </c>
      <c r="C1330" s="19" t="s">
        <v>5477</v>
      </c>
      <c r="D1330" s="19"/>
      <c r="E1330" s="2"/>
      <c r="F1330" s="19"/>
    </row>
    <row r="1331" ht="15.75" customHeight="1">
      <c r="A1331" s="1">
        <v>3.8568792E7</v>
      </c>
      <c r="B1331" s="2" t="s">
        <v>1255</v>
      </c>
      <c r="C1331" s="19" t="s">
        <v>5478</v>
      </c>
      <c r="D1331" s="19"/>
      <c r="E1331" s="2"/>
      <c r="F1331" s="19"/>
    </row>
    <row r="1332" ht="15.75" customHeight="1">
      <c r="A1332" s="1">
        <v>3.8688679E7</v>
      </c>
      <c r="B1332" s="2" t="s">
        <v>698</v>
      </c>
      <c r="C1332" s="19" t="s">
        <v>5479</v>
      </c>
      <c r="D1332" s="19"/>
      <c r="E1332" s="2"/>
      <c r="F1332" s="19"/>
    </row>
    <row r="1333" ht="15.75" customHeight="1">
      <c r="A1333" s="1">
        <v>3.8699998E7</v>
      </c>
      <c r="B1333" s="2" t="s">
        <v>1215</v>
      </c>
      <c r="C1333" s="19" t="s">
        <v>5480</v>
      </c>
      <c r="D1333" s="19" t="s">
        <v>5481</v>
      </c>
      <c r="E1333" s="2"/>
      <c r="F1333" s="19"/>
    </row>
    <row r="1334" ht="15.75" customHeight="1">
      <c r="A1334" s="1">
        <v>3.8733792E7</v>
      </c>
      <c r="B1334" s="2" t="s">
        <v>2311</v>
      </c>
      <c r="C1334" s="19" t="s">
        <v>5482</v>
      </c>
      <c r="D1334" s="19"/>
      <c r="E1334" s="2"/>
      <c r="F1334" s="19"/>
    </row>
    <row r="1335" ht="15.75" customHeight="1">
      <c r="A1335" s="1">
        <v>3.8736141E7</v>
      </c>
      <c r="B1335" s="2" t="s">
        <v>795</v>
      </c>
      <c r="C1335" s="19" t="s">
        <v>5483</v>
      </c>
      <c r="D1335" s="19"/>
      <c r="E1335" s="2"/>
      <c r="F1335" s="19"/>
    </row>
    <row r="1336" ht="15.75" customHeight="1">
      <c r="A1336" s="1">
        <v>3.8759959E7</v>
      </c>
      <c r="B1336" s="2" t="s">
        <v>160</v>
      </c>
      <c r="C1336" s="19" t="s">
        <v>5484</v>
      </c>
      <c r="D1336" s="19"/>
      <c r="E1336" s="2"/>
      <c r="F1336" s="19"/>
    </row>
    <row r="1337" ht="15.75" customHeight="1">
      <c r="A1337" s="1">
        <v>3.878147E7</v>
      </c>
      <c r="B1337" s="2" t="s">
        <v>446</v>
      </c>
      <c r="C1337" s="19" t="s">
        <v>5485</v>
      </c>
      <c r="D1337" s="19" t="s">
        <v>5486</v>
      </c>
      <c r="E1337" s="2"/>
      <c r="F1337" s="19"/>
    </row>
    <row r="1338" ht="15.75" customHeight="1">
      <c r="A1338" s="1">
        <v>3.8842894E7</v>
      </c>
      <c r="B1338" s="2" t="s">
        <v>1628</v>
      </c>
      <c r="C1338" s="19" t="s">
        <v>5487</v>
      </c>
      <c r="D1338" s="19"/>
      <c r="E1338" s="2"/>
      <c r="F1338" s="19"/>
    </row>
    <row r="1339" ht="15.75" customHeight="1">
      <c r="A1339" s="1">
        <v>3.8866325E7</v>
      </c>
      <c r="B1339" s="2" t="s">
        <v>1120</v>
      </c>
      <c r="C1339" s="19" t="s">
        <v>5488</v>
      </c>
      <c r="D1339" s="19" t="s">
        <v>5489</v>
      </c>
      <c r="E1339" s="2"/>
      <c r="F1339" s="19"/>
    </row>
    <row r="1340" ht="15.75" customHeight="1">
      <c r="A1340" s="1">
        <v>3.8968308E7</v>
      </c>
      <c r="B1340" s="2" t="s">
        <v>299</v>
      </c>
      <c r="C1340" s="19" t="s">
        <v>5490</v>
      </c>
      <c r="D1340" s="19"/>
      <c r="E1340" s="2"/>
      <c r="F1340" s="19"/>
    </row>
    <row r="1341" ht="15.75" customHeight="1">
      <c r="A1341" s="1">
        <v>3.9040345E7</v>
      </c>
      <c r="B1341" s="2" t="s">
        <v>833</v>
      </c>
      <c r="C1341" s="19" t="s">
        <v>5491</v>
      </c>
      <c r="D1341" s="19"/>
      <c r="E1341" s="2"/>
      <c r="F1341" s="19"/>
    </row>
    <row r="1342" ht="15.75" customHeight="1">
      <c r="A1342" s="1">
        <v>3.9104959E7</v>
      </c>
      <c r="B1342" s="2" t="s">
        <v>1522</v>
      </c>
      <c r="C1342" s="19" t="s">
        <v>5492</v>
      </c>
      <c r="D1342" s="19"/>
      <c r="E1342" s="2"/>
      <c r="F1342" s="19"/>
    </row>
    <row r="1343" ht="15.75" customHeight="1">
      <c r="A1343" s="1">
        <v>3.9108557E7</v>
      </c>
      <c r="B1343" s="2" t="s">
        <v>2102</v>
      </c>
      <c r="C1343" s="19" t="s">
        <v>5493</v>
      </c>
      <c r="D1343" s="19" t="s">
        <v>5494</v>
      </c>
      <c r="E1343" s="2"/>
      <c r="F1343" s="19"/>
    </row>
    <row r="1344" ht="15.75" customHeight="1">
      <c r="A1344" s="1">
        <v>3.914199E7</v>
      </c>
      <c r="B1344" s="2" t="s">
        <v>566</v>
      </c>
      <c r="C1344" s="19" t="s">
        <v>5495</v>
      </c>
      <c r="D1344" s="19"/>
      <c r="E1344" s="2"/>
      <c r="F1344" s="19"/>
    </row>
    <row r="1345" ht="15.75" customHeight="1">
      <c r="A1345" s="1">
        <v>3.9149917E7</v>
      </c>
      <c r="B1345" s="2" t="s">
        <v>1837</v>
      </c>
      <c r="C1345" s="19" t="s">
        <v>5496</v>
      </c>
      <c r="D1345" s="19" t="s">
        <v>5497</v>
      </c>
      <c r="E1345" s="2"/>
      <c r="F1345" s="19"/>
    </row>
    <row r="1346" ht="15.75" customHeight="1">
      <c r="A1346" s="1">
        <v>3.932081E7</v>
      </c>
      <c r="B1346" s="2" t="s">
        <v>2077</v>
      </c>
      <c r="C1346" s="19" t="s">
        <v>5498</v>
      </c>
      <c r="D1346" s="19"/>
      <c r="E1346" s="2"/>
      <c r="F1346" s="19"/>
    </row>
    <row r="1347" ht="15.75" customHeight="1">
      <c r="A1347" s="1">
        <v>3.938667E7</v>
      </c>
      <c r="B1347" s="2" t="s">
        <v>416</v>
      </c>
      <c r="C1347" s="19" t="s">
        <v>5499</v>
      </c>
      <c r="D1347" s="19"/>
      <c r="E1347" s="2"/>
      <c r="F1347" s="19"/>
    </row>
    <row r="1348" ht="15.75" customHeight="1">
      <c r="A1348" s="1">
        <v>3.9471301E7</v>
      </c>
      <c r="B1348" s="2" t="s">
        <v>1960</v>
      </c>
      <c r="C1348" s="19" t="s">
        <v>5500</v>
      </c>
      <c r="D1348" s="19" t="s">
        <v>5501</v>
      </c>
      <c r="E1348" s="2"/>
      <c r="F1348" s="19"/>
    </row>
    <row r="1349" ht="15.75" customHeight="1">
      <c r="A1349" s="1">
        <v>3.9537567E7</v>
      </c>
      <c r="B1349" s="2" t="s">
        <v>699</v>
      </c>
      <c r="C1349" s="19" t="s">
        <v>5502</v>
      </c>
      <c r="D1349" s="19"/>
      <c r="E1349" s="2"/>
      <c r="F1349" s="19"/>
    </row>
    <row r="1350" ht="15.75" customHeight="1">
      <c r="A1350" s="1">
        <v>3.9566021E7</v>
      </c>
      <c r="B1350" s="2" t="s">
        <v>728</v>
      </c>
      <c r="C1350" s="19" t="s">
        <v>5503</v>
      </c>
      <c r="D1350" s="19" t="s">
        <v>5504</v>
      </c>
      <c r="E1350" s="2"/>
      <c r="F1350" s="19"/>
    </row>
    <row r="1351" ht="15.75" customHeight="1">
      <c r="A1351" s="1">
        <v>3.9590785E7</v>
      </c>
      <c r="B1351" s="2" t="s">
        <v>735</v>
      </c>
      <c r="C1351" s="19" t="s">
        <v>5505</v>
      </c>
      <c r="D1351" s="19"/>
      <c r="E1351" s="2"/>
      <c r="F1351" s="19"/>
    </row>
    <row r="1352" ht="15.75" customHeight="1">
      <c r="A1352" s="1">
        <v>3.9875139E7</v>
      </c>
      <c r="B1352" s="2" t="s">
        <v>2234</v>
      </c>
      <c r="C1352" s="19" t="s">
        <v>5506</v>
      </c>
      <c r="D1352" s="19" t="s">
        <v>5507</v>
      </c>
      <c r="E1352" s="2"/>
      <c r="F1352" s="19"/>
    </row>
    <row r="1353" ht="15.75" customHeight="1">
      <c r="A1353" s="1">
        <v>3.9895345E7</v>
      </c>
      <c r="B1353" s="2" t="s">
        <v>316</v>
      </c>
      <c r="C1353" s="19" t="s">
        <v>5508</v>
      </c>
      <c r="D1353" s="19"/>
      <c r="E1353" s="2"/>
      <c r="F1353" s="19"/>
    </row>
    <row r="1354" ht="15.75" customHeight="1">
      <c r="A1354" s="1">
        <v>3.9919128E7</v>
      </c>
      <c r="B1354" s="2" t="s">
        <v>525</v>
      </c>
      <c r="C1354" s="19" t="s">
        <v>5509</v>
      </c>
      <c r="D1354" s="19" t="s">
        <v>5510</v>
      </c>
      <c r="E1354" s="2"/>
      <c r="F1354" s="19"/>
    </row>
    <row r="1355" ht="15.75" customHeight="1">
      <c r="A1355" s="1">
        <v>4.0064989E7</v>
      </c>
      <c r="B1355" s="2" t="s">
        <v>1289</v>
      </c>
      <c r="C1355" s="19" t="s">
        <v>5511</v>
      </c>
      <c r="D1355" s="19" t="s">
        <v>5512</v>
      </c>
      <c r="E1355" s="2"/>
      <c r="F1355" s="19"/>
    </row>
    <row r="1356" ht="15.75" customHeight="1">
      <c r="A1356" s="1">
        <v>4.0233484E7</v>
      </c>
      <c r="B1356" s="2" t="s">
        <v>370</v>
      </c>
      <c r="C1356" s="19" t="s">
        <v>5513</v>
      </c>
      <c r="D1356" s="19"/>
      <c r="E1356" s="2"/>
      <c r="F1356" s="19"/>
    </row>
    <row r="1357" ht="15.75" customHeight="1">
      <c r="A1357" s="1">
        <v>4.0277399E7</v>
      </c>
      <c r="B1357" s="2" t="s">
        <v>2235</v>
      </c>
      <c r="C1357" s="19" t="s">
        <v>5514</v>
      </c>
      <c r="D1357" s="19"/>
      <c r="E1357" s="2"/>
      <c r="F1357" s="19"/>
    </row>
    <row r="1358" ht="15.75" customHeight="1">
      <c r="A1358" s="1">
        <v>4.0375194E7</v>
      </c>
      <c r="B1358" s="2" t="s">
        <v>507</v>
      </c>
      <c r="C1358" s="19" t="s">
        <v>5515</v>
      </c>
      <c r="D1358" s="19"/>
      <c r="E1358" s="2"/>
      <c r="F1358" s="19"/>
    </row>
    <row r="1359" ht="15.75" customHeight="1">
      <c r="A1359" s="1">
        <v>4.0395921E7</v>
      </c>
      <c r="B1359" s="2" t="s">
        <v>518</v>
      </c>
      <c r="C1359" s="19" t="s">
        <v>5516</v>
      </c>
      <c r="D1359" s="19"/>
      <c r="E1359" s="2"/>
      <c r="F1359" s="19"/>
    </row>
    <row r="1360" ht="15.75" customHeight="1">
      <c r="A1360" s="1">
        <v>4.0461083E7</v>
      </c>
      <c r="B1360" s="2" t="s">
        <v>772</v>
      </c>
      <c r="C1360" s="19" t="s">
        <v>5517</v>
      </c>
      <c r="D1360" s="19"/>
      <c r="E1360" s="2"/>
      <c r="F1360" s="19"/>
    </row>
    <row r="1361" ht="15.75" customHeight="1">
      <c r="A1361" s="1">
        <v>4.0471357E7</v>
      </c>
      <c r="B1361" s="2" t="s">
        <v>1098</v>
      </c>
      <c r="C1361" s="19" t="s">
        <v>5518</v>
      </c>
      <c r="D1361" s="19" t="s">
        <v>5519</v>
      </c>
      <c r="E1361" s="2"/>
      <c r="F1361" s="19"/>
    </row>
    <row r="1362" ht="15.75" customHeight="1">
      <c r="A1362" s="1">
        <v>4.048494E7</v>
      </c>
      <c r="B1362" s="2" t="s">
        <v>843</v>
      </c>
      <c r="C1362" s="19" t="s">
        <v>5520</v>
      </c>
      <c r="D1362" s="19" t="s">
        <v>5521</v>
      </c>
      <c r="E1362" s="2"/>
      <c r="F1362" s="19"/>
    </row>
    <row r="1363" ht="15.75" customHeight="1">
      <c r="A1363" s="1">
        <v>4.0522198E7</v>
      </c>
      <c r="B1363" s="2" t="s">
        <v>1220</v>
      </c>
      <c r="C1363" s="19" t="s">
        <v>5522</v>
      </c>
      <c r="D1363" s="19"/>
      <c r="E1363" s="2"/>
      <c r="F1363" s="19"/>
    </row>
    <row r="1364" ht="15.75" customHeight="1">
      <c r="A1364" s="1">
        <v>4.0525663E7</v>
      </c>
      <c r="B1364" s="2" t="s">
        <v>2368</v>
      </c>
      <c r="C1364" s="19" t="s">
        <v>5523</v>
      </c>
      <c r="D1364" s="19" t="s">
        <v>5524</v>
      </c>
      <c r="E1364" s="2"/>
      <c r="F1364" s="19"/>
    </row>
    <row r="1365" ht="15.75" customHeight="1">
      <c r="A1365" s="1">
        <v>4.0555797E7</v>
      </c>
      <c r="B1365" s="2" t="s">
        <v>2780</v>
      </c>
      <c r="C1365" s="19" t="s">
        <v>5525</v>
      </c>
      <c r="D1365" s="19"/>
      <c r="E1365" s="2"/>
      <c r="F1365" s="19"/>
    </row>
    <row r="1366" ht="15.75" customHeight="1">
      <c r="A1366" s="1">
        <v>4.0589959E7</v>
      </c>
      <c r="B1366" s="2" t="s">
        <v>586</v>
      </c>
      <c r="C1366" s="19" t="s">
        <v>5526</v>
      </c>
      <c r="D1366" s="19"/>
      <c r="E1366" s="2"/>
      <c r="F1366" s="19"/>
    </row>
    <row r="1367" ht="15.75" customHeight="1">
      <c r="A1367" s="1">
        <v>4.0596332E7</v>
      </c>
      <c r="B1367" s="2" t="s">
        <v>1026</v>
      </c>
      <c r="C1367" s="19" t="s">
        <v>5527</v>
      </c>
      <c r="D1367" s="19"/>
      <c r="E1367" s="2"/>
      <c r="F1367" s="19"/>
    </row>
    <row r="1368" ht="15.75" customHeight="1">
      <c r="A1368" s="1">
        <v>4.060562E7</v>
      </c>
      <c r="B1368" s="2" t="s">
        <v>1678</v>
      </c>
      <c r="C1368" s="19" t="s">
        <v>5528</v>
      </c>
      <c r="D1368" s="19"/>
      <c r="E1368" s="2"/>
      <c r="F1368" s="19"/>
    </row>
    <row r="1369" ht="15.75" customHeight="1">
      <c r="A1369" s="1">
        <v>4.0642721E7</v>
      </c>
      <c r="B1369" s="2" t="s">
        <v>678</v>
      </c>
      <c r="C1369" s="19" t="s">
        <v>5529</v>
      </c>
      <c r="D1369" s="19" t="s">
        <v>5530</v>
      </c>
      <c r="E1369" s="2"/>
      <c r="F1369" s="19"/>
    </row>
    <row r="1370" ht="15.75" customHeight="1">
      <c r="A1370" s="1">
        <v>4.077515E7</v>
      </c>
      <c r="B1370" s="2" t="s">
        <v>2078</v>
      </c>
      <c r="C1370" s="19" t="s">
        <v>5531</v>
      </c>
      <c r="D1370" s="19"/>
      <c r="E1370" s="2"/>
      <c r="F1370" s="19"/>
    </row>
    <row r="1371" ht="15.75" customHeight="1">
      <c r="A1371" s="1">
        <v>4.077749E7</v>
      </c>
      <c r="B1371" s="2" t="s">
        <v>653</v>
      </c>
      <c r="C1371" s="19" t="s">
        <v>5532</v>
      </c>
      <c r="D1371" s="19" t="s">
        <v>5533</v>
      </c>
      <c r="E1371" s="2"/>
      <c r="F1371" s="19"/>
    </row>
    <row r="1372" ht="15.75" customHeight="1">
      <c r="A1372" s="1">
        <v>4.0797686E7</v>
      </c>
      <c r="B1372" s="2" t="s">
        <v>1313</v>
      </c>
      <c r="C1372" s="19" t="s">
        <v>5534</v>
      </c>
      <c r="D1372" s="19"/>
      <c r="E1372" s="2"/>
      <c r="F1372" s="19"/>
    </row>
    <row r="1373" ht="15.75" customHeight="1">
      <c r="A1373" s="1">
        <v>4.0844174E7</v>
      </c>
      <c r="B1373" s="2" t="s">
        <v>1612</v>
      </c>
      <c r="C1373" s="19" t="s">
        <v>5535</v>
      </c>
      <c r="D1373" s="19"/>
      <c r="E1373" s="2"/>
      <c r="F1373" s="19"/>
    </row>
    <row r="1374" ht="15.75" customHeight="1">
      <c r="A1374" s="1">
        <v>4.0871998E7</v>
      </c>
      <c r="B1374" s="2" t="s">
        <v>1651</v>
      </c>
      <c r="C1374" s="19" t="s">
        <v>5536</v>
      </c>
      <c r="D1374" s="19" t="s">
        <v>5537</v>
      </c>
      <c r="E1374" s="2"/>
      <c r="F1374" s="19"/>
    </row>
    <row r="1375" ht="15.75" customHeight="1">
      <c r="A1375" s="1">
        <v>4.0910294E7</v>
      </c>
      <c r="B1375" s="2" t="s">
        <v>1014</v>
      </c>
      <c r="C1375" s="19" t="s">
        <v>5538</v>
      </c>
      <c r="D1375" s="19"/>
      <c r="E1375" s="2"/>
      <c r="F1375" s="19"/>
    </row>
    <row r="1376" ht="15.75" customHeight="1">
      <c r="A1376" s="1">
        <v>4.0934677E7</v>
      </c>
      <c r="B1376" s="2" t="s">
        <v>3213</v>
      </c>
      <c r="C1376" s="19" t="s">
        <v>5539</v>
      </c>
      <c r="D1376" s="19" t="s">
        <v>5540</v>
      </c>
      <c r="E1376" s="2"/>
      <c r="F1376" s="19"/>
    </row>
    <row r="1377" ht="15.75" customHeight="1">
      <c r="A1377" s="1">
        <v>4.0935625E7</v>
      </c>
      <c r="B1377" s="2" t="s">
        <v>1427</v>
      </c>
      <c r="C1377" s="19" t="s">
        <v>5541</v>
      </c>
      <c r="D1377" s="19" t="s">
        <v>5542</v>
      </c>
      <c r="E1377" s="2"/>
      <c r="F1377" s="19"/>
    </row>
    <row r="1378" ht="15.75" customHeight="1">
      <c r="A1378" s="1">
        <v>4.0942931E7</v>
      </c>
      <c r="B1378" s="2" t="s">
        <v>452</v>
      </c>
      <c r="C1378" s="19" t="s">
        <v>5543</v>
      </c>
      <c r="D1378" s="19" t="s">
        <v>5544</v>
      </c>
      <c r="E1378" s="2"/>
      <c r="F1378" s="19"/>
    </row>
    <row r="1379" ht="15.75" customHeight="1">
      <c r="A1379" s="1">
        <v>4.1036556E7</v>
      </c>
      <c r="B1379" s="2" t="s">
        <v>366</v>
      </c>
      <c r="C1379" s="19" t="s">
        <v>5545</v>
      </c>
      <c r="D1379" s="19"/>
      <c r="E1379" s="2"/>
      <c r="F1379" s="19"/>
    </row>
    <row r="1380" ht="15.75" customHeight="1">
      <c r="A1380" s="1">
        <v>4.104589E7</v>
      </c>
      <c r="B1380" s="2" t="s">
        <v>1624</v>
      </c>
      <c r="C1380" s="19" t="s">
        <v>5546</v>
      </c>
      <c r="D1380" s="19"/>
      <c r="E1380" s="2"/>
      <c r="F1380" s="19"/>
    </row>
    <row r="1381" ht="15.75" customHeight="1">
      <c r="A1381" s="1">
        <v>4.1063794E7</v>
      </c>
      <c r="B1381" s="2" t="s">
        <v>139</v>
      </c>
      <c r="C1381" s="19" t="s">
        <v>5547</v>
      </c>
      <c r="D1381" s="19"/>
      <c r="E1381" s="2"/>
      <c r="F1381" s="19"/>
    </row>
    <row r="1382" ht="15.75" customHeight="1">
      <c r="A1382" s="1">
        <v>4.1088232E7</v>
      </c>
      <c r="B1382" s="2" t="s">
        <v>2203</v>
      </c>
      <c r="C1382" s="19" t="s">
        <v>5548</v>
      </c>
      <c r="D1382" s="19"/>
      <c r="E1382" s="2"/>
      <c r="F1382" s="19"/>
    </row>
    <row r="1383" ht="15.75" customHeight="1">
      <c r="A1383" s="1">
        <v>4.109773E7</v>
      </c>
      <c r="B1383" s="2" t="s">
        <v>1761</v>
      </c>
      <c r="C1383" s="19" t="s">
        <v>5549</v>
      </c>
      <c r="D1383" s="19" t="s">
        <v>5550</v>
      </c>
      <c r="E1383" s="2"/>
      <c r="F1383" s="19"/>
    </row>
    <row r="1384" ht="15.75" customHeight="1">
      <c r="A1384" s="1">
        <v>4.1173895E7</v>
      </c>
      <c r="B1384" s="2" t="s">
        <v>946</v>
      </c>
      <c r="C1384" s="19" t="s">
        <v>5551</v>
      </c>
      <c r="D1384" s="19" t="s">
        <v>5552</v>
      </c>
      <c r="E1384" s="2"/>
      <c r="F1384" s="19"/>
    </row>
    <row r="1385" ht="15.75" customHeight="1">
      <c r="A1385" s="1">
        <v>4.1174301E7</v>
      </c>
      <c r="B1385" s="2" t="s">
        <v>655</v>
      </c>
      <c r="C1385" s="19" t="s">
        <v>5553</v>
      </c>
      <c r="D1385" s="19" t="s">
        <v>5554</v>
      </c>
      <c r="E1385" s="2"/>
      <c r="F1385" s="19"/>
    </row>
    <row r="1386" ht="15.75" customHeight="1">
      <c r="A1386" s="1">
        <v>4.1194285E7</v>
      </c>
      <c r="B1386" s="2" t="s">
        <v>2405</v>
      </c>
      <c r="C1386" s="19" t="s">
        <v>5555</v>
      </c>
      <c r="D1386" s="19"/>
      <c r="E1386" s="2"/>
      <c r="F1386" s="19"/>
    </row>
    <row r="1387" ht="15.75" customHeight="1">
      <c r="A1387" s="1">
        <v>4.1201796E7</v>
      </c>
      <c r="B1387" s="2" t="s">
        <v>587</v>
      </c>
      <c r="C1387" s="19" t="s">
        <v>5556</v>
      </c>
      <c r="D1387" s="19"/>
      <c r="E1387" s="2"/>
      <c r="F1387" s="19"/>
    </row>
    <row r="1388" ht="15.75" customHeight="1">
      <c r="A1388" s="1">
        <v>4.1233968E7</v>
      </c>
      <c r="B1388" s="2" t="s">
        <v>1469</v>
      </c>
      <c r="C1388" s="19" t="s">
        <v>5557</v>
      </c>
      <c r="D1388" s="19" t="s">
        <v>5558</v>
      </c>
      <c r="E1388" s="2"/>
      <c r="F1388" s="19"/>
    </row>
    <row r="1389" ht="15.75" customHeight="1">
      <c r="A1389" s="1">
        <v>4.1272558E7</v>
      </c>
      <c r="B1389" s="2" t="s">
        <v>1146</v>
      </c>
      <c r="C1389" s="19" t="s">
        <v>5559</v>
      </c>
      <c r="D1389" s="19"/>
      <c r="E1389" s="2"/>
      <c r="F1389" s="19"/>
    </row>
    <row r="1390" ht="15.75" customHeight="1">
      <c r="A1390" s="1">
        <v>4.1277345E7</v>
      </c>
      <c r="B1390" s="2" t="s">
        <v>720</v>
      </c>
      <c r="C1390" s="19" t="s">
        <v>5560</v>
      </c>
      <c r="D1390" s="19"/>
      <c r="E1390" s="2"/>
      <c r="F1390" s="19"/>
    </row>
    <row r="1391" ht="15.75" customHeight="1">
      <c r="A1391" s="1">
        <v>4.1281189E7</v>
      </c>
      <c r="B1391" s="2" t="s">
        <v>990</v>
      </c>
      <c r="C1391" s="19" t="s">
        <v>5561</v>
      </c>
      <c r="D1391" s="19"/>
      <c r="E1391" s="2"/>
      <c r="F1391" s="19"/>
    </row>
    <row r="1392" ht="15.75" customHeight="1">
      <c r="A1392" s="1">
        <v>4.129109E7</v>
      </c>
      <c r="B1392" s="2" t="s">
        <v>333</v>
      </c>
      <c r="C1392" s="19" t="s">
        <v>5562</v>
      </c>
      <c r="D1392" s="19"/>
      <c r="E1392" s="2"/>
      <c r="F1392" s="19"/>
    </row>
    <row r="1393" ht="15.75" customHeight="1">
      <c r="A1393" s="1">
        <v>4.1345102E7</v>
      </c>
      <c r="B1393" s="2" t="s">
        <v>1236</v>
      </c>
      <c r="C1393" s="19" t="s">
        <v>5563</v>
      </c>
      <c r="D1393" s="19"/>
      <c r="E1393" s="2"/>
      <c r="F1393" s="19"/>
    </row>
    <row r="1394" ht="15.75" customHeight="1">
      <c r="A1394" s="1">
        <v>4.1351244E7</v>
      </c>
      <c r="B1394" s="2" t="s">
        <v>1452</v>
      </c>
      <c r="C1394" s="19" t="s">
        <v>5564</v>
      </c>
      <c r="D1394" s="19" t="s">
        <v>5565</v>
      </c>
      <c r="E1394" s="2"/>
      <c r="F1394" s="19"/>
    </row>
    <row r="1395" ht="15.75" customHeight="1">
      <c r="A1395" s="1">
        <v>4.1360274E7</v>
      </c>
      <c r="B1395" s="2" t="s">
        <v>1846</v>
      </c>
      <c r="C1395" s="19" t="s">
        <v>5566</v>
      </c>
      <c r="D1395" s="19"/>
      <c r="E1395" s="2"/>
      <c r="F1395" s="19"/>
    </row>
    <row r="1396" ht="15.75" customHeight="1">
      <c r="A1396" s="1">
        <v>4.1420363E7</v>
      </c>
      <c r="B1396" s="2" t="s">
        <v>942</v>
      </c>
      <c r="C1396" s="19" t="s">
        <v>5567</v>
      </c>
      <c r="D1396" s="19"/>
      <c r="E1396" s="2"/>
      <c r="F1396" s="19"/>
    </row>
    <row r="1397" ht="15.75" customHeight="1">
      <c r="A1397" s="1">
        <v>4.1639069E7</v>
      </c>
      <c r="B1397" s="2" t="s">
        <v>455</v>
      </c>
      <c r="C1397" s="19" t="s">
        <v>5568</v>
      </c>
      <c r="D1397" s="19" t="s">
        <v>5569</v>
      </c>
      <c r="E1397" s="2"/>
      <c r="F1397" s="19"/>
    </row>
    <row r="1398" ht="15.75" customHeight="1">
      <c r="A1398" s="1">
        <v>4.1827855E7</v>
      </c>
      <c r="B1398" s="2" t="s">
        <v>575</v>
      </c>
      <c r="C1398" s="19" t="s">
        <v>5570</v>
      </c>
      <c r="D1398" s="19"/>
      <c r="E1398" s="2"/>
      <c r="F1398" s="19"/>
    </row>
    <row r="1399" ht="15.75" customHeight="1">
      <c r="A1399" s="1">
        <v>4.2577224E7</v>
      </c>
      <c r="B1399" s="2" t="s">
        <v>707</v>
      </c>
      <c r="C1399" s="19" t="s">
        <v>5571</v>
      </c>
      <c r="D1399" s="19"/>
      <c r="E1399" s="2"/>
      <c r="F1399" s="19"/>
    </row>
    <row r="1400" ht="15.75" customHeight="1">
      <c r="A1400" s="1">
        <v>4.3066045E7</v>
      </c>
      <c r="B1400" s="2" t="s">
        <v>2986</v>
      </c>
      <c r="C1400" s="19" t="s">
        <v>5572</v>
      </c>
      <c r="D1400" s="19"/>
      <c r="E1400" s="2"/>
      <c r="F1400" s="19"/>
    </row>
    <row r="1401" ht="15.75" customHeight="1">
      <c r="A1401" s="1">
        <v>4.3157336E7</v>
      </c>
      <c r="B1401" s="2" t="s">
        <v>740</v>
      </c>
      <c r="C1401" s="19" t="s">
        <v>5573</v>
      </c>
      <c r="D1401" s="19" t="s">
        <v>5574</v>
      </c>
      <c r="E1401" s="2"/>
      <c r="F1401" s="19"/>
    </row>
    <row r="1402" ht="15.75" customHeight="1">
      <c r="A1402" s="1">
        <v>4.3170471E7</v>
      </c>
      <c r="B1402" s="2" t="s">
        <v>2152</v>
      </c>
      <c r="C1402" s="19" t="s">
        <v>5575</v>
      </c>
      <c r="D1402" s="19"/>
      <c r="E1402" s="2"/>
      <c r="F1402" s="19"/>
    </row>
    <row r="1403" ht="15.75" customHeight="1">
      <c r="A1403" s="1">
        <v>4.326117E7</v>
      </c>
      <c r="B1403" s="2" t="s">
        <v>112</v>
      </c>
      <c r="C1403" s="19" t="s">
        <v>5576</v>
      </c>
      <c r="D1403" s="19" t="s">
        <v>5577</v>
      </c>
      <c r="E1403" s="2"/>
      <c r="F1403" s="19"/>
    </row>
    <row r="1404" ht="15.75" customHeight="1">
      <c r="A1404" s="1">
        <v>4.3317136E7</v>
      </c>
      <c r="B1404" s="2" t="s">
        <v>550</v>
      </c>
      <c r="C1404" s="19" t="s">
        <v>5578</v>
      </c>
      <c r="D1404" s="19"/>
      <c r="E1404" s="2"/>
      <c r="F1404" s="19"/>
    </row>
    <row r="1405" ht="15.75" customHeight="1">
      <c r="A1405" s="1">
        <v>4.4193732E7</v>
      </c>
      <c r="B1405" s="2" t="s">
        <v>1178</v>
      </c>
      <c r="C1405" s="19" t="s">
        <v>5579</v>
      </c>
      <c r="D1405" s="19"/>
      <c r="E1405" s="2"/>
      <c r="F1405" s="19"/>
    </row>
    <row r="1406" ht="15.75" customHeight="1">
      <c r="A1406" s="1">
        <v>4.4240704E7</v>
      </c>
      <c r="B1406" s="2" t="s">
        <v>936</v>
      </c>
      <c r="C1406" s="19" t="s">
        <v>5580</v>
      </c>
      <c r="D1406" s="19"/>
      <c r="E1406" s="2"/>
      <c r="F1406" s="19"/>
    </row>
    <row r="1407" ht="15.75" customHeight="1">
      <c r="A1407" s="1">
        <v>4.4267227E7</v>
      </c>
      <c r="B1407" s="2" t="s">
        <v>1785</v>
      </c>
      <c r="C1407" s="19" t="s">
        <v>5581</v>
      </c>
      <c r="D1407" s="19"/>
      <c r="E1407" s="2"/>
      <c r="F1407" s="19"/>
    </row>
    <row r="1408" ht="15.75" customHeight="1">
      <c r="A1408" s="1">
        <v>4.4267405E7</v>
      </c>
      <c r="B1408" s="2" t="s">
        <v>829</v>
      </c>
      <c r="C1408" s="19" t="s">
        <v>5582</v>
      </c>
      <c r="D1408" s="19"/>
      <c r="E1408" s="2"/>
      <c r="F1408" s="19"/>
    </row>
    <row r="1409" ht="15.75" customHeight="1">
      <c r="A1409" s="1">
        <v>4.4272066E7</v>
      </c>
      <c r="B1409" s="2" t="s">
        <v>821</v>
      </c>
      <c r="C1409" s="19" t="s">
        <v>5583</v>
      </c>
      <c r="D1409" s="19" t="s">
        <v>5584</v>
      </c>
      <c r="E1409" s="2"/>
      <c r="F1409" s="19"/>
    </row>
    <row r="1410" ht="15.75" customHeight="1">
      <c r="A1410" s="1">
        <v>4.428587E7</v>
      </c>
      <c r="B1410" s="2" t="s">
        <v>1626</v>
      </c>
      <c r="C1410" s="19" t="s">
        <v>5585</v>
      </c>
      <c r="D1410" s="19" t="s">
        <v>5586</v>
      </c>
      <c r="E1410" s="2"/>
      <c r="F1410" s="19"/>
    </row>
    <row r="1411" ht="15.75" customHeight="1">
      <c r="A1411" s="1">
        <v>4.4293572E7</v>
      </c>
      <c r="B1411" s="2" t="s">
        <v>1116</v>
      </c>
      <c r="C1411" s="19" t="s">
        <v>5587</v>
      </c>
      <c r="D1411" s="19"/>
      <c r="E1411" s="2"/>
      <c r="F1411" s="19"/>
    </row>
    <row r="1412" ht="15.75" customHeight="1">
      <c r="A1412" s="1">
        <v>4.4335833E7</v>
      </c>
      <c r="B1412" s="2" t="s">
        <v>1961</v>
      </c>
      <c r="C1412" s="19" t="s">
        <v>5588</v>
      </c>
      <c r="D1412" s="19" t="s">
        <v>5589</v>
      </c>
      <c r="E1412" s="2"/>
      <c r="F1412" s="19"/>
    </row>
    <row r="1413" ht="15.75" customHeight="1">
      <c r="A1413" s="1">
        <v>4.4360062E7</v>
      </c>
      <c r="B1413" s="2" t="s">
        <v>577</v>
      </c>
      <c r="C1413" s="19" t="s">
        <v>5590</v>
      </c>
      <c r="D1413" s="19"/>
      <c r="E1413" s="2"/>
      <c r="F1413" s="19"/>
    </row>
    <row r="1414" ht="15.75" customHeight="1">
      <c r="A1414" s="1">
        <v>4.4366011E7</v>
      </c>
      <c r="B1414" s="2" t="s">
        <v>976</v>
      </c>
      <c r="C1414" s="19" t="s">
        <v>5591</v>
      </c>
      <c r="D1414" s="19"/>
      <c r="E1414" s="2"/>
      <c r="F1414" s="19"/>
    </row>
    <row r="1415" ht="15.75" customHeight="1">
      <c r="A1415" s="1">
        <v>4.4376454E7</v>
      </c>
      <c r="B1415" s="2" t="s">
        <v>2542</v>
      </c>
      <c r="C1415" s="19" t="s">
        <v>5592</v>
      </c>
      <c r="D1415" s="19" t="s">
        <v>5593</v>
      </c>
      <c r="E1415" s="2"/>
      <c r="F1415" s="19"/>
    </row>
    <row r="1416" ht="15.75" customHeight="1">
      <c r="A1416" s="1">
        <v>4.4394501E7</v>
      </c>
      <c r="B1416" s="2" t="s">
        <v>2362</v>
      </c>
      <c r="C1416" s="19" t="s">
        <v>5594</v>
      </c>
      <c r="D1416" s="19" t="s">
        <v>5595</v>
      </c>
      <c r="E1416" s="2"/>
      <c r="F1416" s="19"/>
    </row>
    <row r="1417" ht="15.75" customHeight="1">
      <c r="A1417" s="1">
        <v>4.4398453E7</v>
      </c>
      <c r="B1417" s="2" t="s">
        <v>673</v>
      </c>
      <c r="C1417" s="19" t="s">
        <v>5596</v>
      </c>
      <c r="D1417" s="19" t="s">
        <v>5597</v>
      </c>
      <c r="E1417" s="2"/>
      <c r="F1417" s="19"/>
    </row>
    <row r="1418" ht="15.75" customHeight="1">
      <c r="A1418" s="1">
        <v>4.4407451E7</v>
      </c>
      <c r="B1418" s="2" t="s">
        <v>1729</v>
      </c>
      <c r="C1418" s="19" t="s">
        <v>5598</v>
      </c>
      <c r="D1418" s="19"/>
      <c r="E1418" s="2"/>
      <c r="F1418" s="19"/>
    </row>
    <row r="1419" ht="15.75" customHeight="1">
      <c r="A1419" s="1">
        <v>4.4416531E7</v>
      </c>
      <c r="B1419" s="2" t="s">
        <v>345</v>
      </c>
      <c r="C1419" s="19" t="s">
        <v>5599</v>
      </c>
      <c r="D1419" s="19" t="s">
        <v>5600</v>
      </c>
      <c r="E1419" s="2"/>
      <c r="F1419" s="19"/>
    </row>
    <row r="1420" ht="15.75" customHeight="1">
      <c r="A1420" s="1">
        <v>4.4418891E7</v>
      </c>
      <c r="B1420" s="2" t="s">
        <v>2053</v>
      </c>
      <c r="C1420" s="19" t="s">
        <v>5601</v>
      </c>
      <c r="D1420" s="19"/>
      <c r="E1420" s="2"/>
      <c r="F1420" s="19"/>
    </row>
    <row r="1421" ht="15.75" customHeight="1">
      <c r="A1421" s="1">
        <v>4.4419262E7</v>
      </c>
      <c r="B1421" s="2" t="s">
        <v>420</v>
      </c>
      <c r="C1421" s="19" t="s">
        <v>5602</v>
      </c>
      <c r="D1421" s="19"/>
      <c r="E1421" s="2"/>
      <c r="F1421" s="19"/>
    </row>
    <row r="1422" ht="15.75" customHeight="1">
      <c r="A1422" s="1">
        <v>4.4421727E7</v>
      </c>
      <c r="B1422" s="2" t="s">
        <v>2046</v>
      </c>
      <c r="C1422" s="19" t="s">
        <v>5603</v>
      </c>
      <c r="D1422" s="19" t="s">
        <v>5604</v>
      </c>
      <c r="E1422" s="2"/>
      <c r="F1422" s="19"/>
    </row>
    <row r="1423" ht="15.75" customHeight="1">
      <c r="A1423" s="1">
        <v>4.442572E7</v>
      </c>
      <c r="B1423" s="2" t="s">
        <v>2232</v>
      </c>
      <c r="C1423" s="19" t="s">
        <v>5605</v>
      </c>
      <c r="D1423" s="19"/>
      <c r="E1423" s="2"/>
      <c r="F1423" s="19"/>
    </row>
    <row r="1424" ht="15.75" customHeight="1">
      <c r="A1424" s="1">
        <v>4.4442208E7</v>
      </c>
      <c r="B1424" s="2" t="s">
        <v>2570</v>
      </c>
      <c r="C1424" s="19" t="s">
        <v>5606</v>
      </c>
      <c r="D1424" s="19"/>
      <c r="E1424" s="2"/>
      <c r="F1424" s="19"/>
    </row>
    <row r="1425" ht="15.75" customHeight="1">
      <c r="A1425" s="1">
        <v>4.4446144E7</v>
      </c>
      <c r="B1425" s="2" t="s">
        <v>798</v>
      </c>
      <c r="C1425" s="19" t="s">
        <v>5607</v>
      </c>
      <c r="D1425" s="19" t="s">
        <v>5608</v>
      </c>
      <c r="E1425" s="2"/>
      <c r="F1425" s="19"/>
    </row>
    <row r="1426" ht="15.75" customHeight="1">
      <c r="A1426" s="1">
        <v>4.4497664E7</v>
      </c>
      <c r="B1426" s="2" t="s">
        <v>671</v>
      </c>
      <c r="C1426" s="19" t="s">
        <v>5609</v>
      </c>
      <c r="D1426" s="19" t="s">
        <v>5610</v>
      </c>
      <c r="E1426" s="2"/>
      <c r="F1426" s="19"/>
    </row>
    <row r="1427" ht="15.75" customHeight="1">
      <c r="A1427" s="1">
        <v>4.4510491E7</v>
      </c>
      <c r="B1427" s="2" t="s">
        <v>2381</v>
      </c>
      <c r="C1427" s="19" t="s">
        <v>5611</v>
      </c>
      <c r="D1427" s="19"/>
      <c r="E1427" s="2"/>
      <c r="F1427" s="19"/>
    </row>
    <row r="1428" ht="15.75" customHeight="1">
      <c r="A1428" s="1">
        <v>4.452515E7</v>
      </c>
      <c r="B1428" s="2" t="s">
        <v>1053</v>
      </c>
      <c r="C1428" s="19" t="s">
        <v>5612</v>
      </c>
      <c r="D1428" s="19" t="s">
        <v>5613</v>
      </c>
      <c r="E1428" s="2"/>
      <c r="F1428" s="19"/>
    </row>
    <row r="1429" ht="15.75" customHeight="1">
      <c r="A1429" s="1">
        <v>4.45264E7</v>
      </c>
      <c r="B1429" s="2" t="s">
        <v>1162</v>
      </c>
      <c r="C1429" s="19" t="s">
        <v>5614</v>
      </c>
      <c r="D1429" s="19"/>
      <c r="E1429" s="2"/>
      <c r="F1429" s="19"/>
    </row>
    <row r="1430" ht="15.75" customHeight="1">
      <c r="A1430" s="1">
        <v>4.4528282E7</v>
      </c>
      <c r="B1430" s="2" t="s">
        <v>1508</v>
      </c>
      <c r="C1430" s="19" t="s">
        <v>5615</v>
      </c>
      <c r="D1430" s="19" t="s">
        <v>5616</v>
      </c>
      <c r="E1430" s="2"/>
      <c r="F1430" s="19"/>
    </row>
    <row r="1431" ht="15.75" customHeight="1">
      <c r="A1431" s="1">
        <v>4.4532598E7</v>
      </c>
      <c r="B1431" s="2" t="s">
        <v>1544</v>
      </c>
      <c r="C1431" s="19" t="s">
        <v>5617</v>
      </c>
      <c r="D1431" s="19"/>
      <c r="E1431" s="2"/>
      <c r="F1431" s="19"/>
    </row>
    <row r="1432" ht="15.75" customHeight="1">
      <c r="A1432" s="1">
        <v>4.4535351E7</v>
      </c>
      <c r="B1432" s="2" t="s">
        <v>3064</v>
      </c>
      <c r="C1432" s="19" t="s">
        <v>5618</v>
      </c>
      <c r="D1432" s="19"/>
      <c r="E1432" s="2"/>
      <c r="F1432" s="19"/>
    </row>
    <row r="1433" ht="15.75" customHeight="1">
      <c r="A1433" s="1">
        <v>4.4551967E7</v>
      </c>
      <c r="B1433" s="2" t="s">
        <v>3319</v>
      </c>
      <c r="C1433" s="19" t="s">
        <v>5619</v>
      </c>
      <c r="D1433" s="19"/>
      <c r="E1433" s="2"/>
      <c r="F1433" s="19"/>
    </row>
    <row r="1434" ht="15.75" customHeight="1">
      <c r="A1434" s="1">
        <v>4.4560224E7</v>
      </c>
      <c r="B1434" s="2" t="s">
        <v>2200</v>
      </c>
      <c r="C1434" s="19" t="s">
        <v>5620</v>
      </c>
      <c r="D1434" s="19"/>
      <c r="E1434" s="2"/>
      <c r="F1434" s="19"/>
    </row>
    <row r="1435" ht="15.75" customHeight="1">
      <c r="A1435" s="1">
        <v>4.4588246E7</v>
      </c>
      <c r="B1435" s="2" t="s">
        <v>1175</v>
      </c>
      <c r="C1435" s="19" t="s">
        <v>5621</v>
      </c>
      <c r="D1435" s="19"/>
      <c r="E1435" s="2"/>
      <c r="F1435" s="19"/>
    </row>
    <row r="1436" ht="15.75" customHeight="1">
      <c r="A1436" s="1">
        <v>4.4588977E7</v>
      </c>
      <c r="B1436" s="2" t="s">
        <v>1742</v>
      </c>
      <c r="C1436" s="19" t="s">
        <v>5622</v>
      </c>
      <c r="D1436" s="19"/>
      <c r="E1436" s="2"/>
      <c r="F1436" s="19"/>
    </row>
    <row r="1437" ht="15.75" customHeight="1">
      <c r="A1437" s="1">
        <v>4.4590497E7</v>
      </c>
      <c r="B1437" s="2" t="s">
        <v>1329</v>
      </c>
      <c r="C1437" s="19" t="s">
        <v>5623</v>
      </c>
      <c r="D1437" s="19"/>
      <c r="E1437" s="2"/>
      <c r="F1437" s="19"/>
    </row>
    <row r="1438" ht="15.75" customHeight="1">
      <c r="A1438" s="1">
        <v>4.4634946E7</v>
      </c>
      <c r="B1438" s="2" t="s">
        <v>1320</v>
      </c>
      <c r="C1438" s="19" t="s">
        <v>5624</v>
      </c>
      <c r="D1438" s="19" t="s">
        <v>5625</v>
      </c>
      <c r="E1438" s="2"/>
      <c r="F1438" s="19"/>
    </row>
    <row r="1439" ht="15.75" customHeight="1">
      <c r="A1439" s="1">
        <v>4.4638137E7</v>
      </c>
      <c r="B1439" s="2" t="s">
        <v>381</v>
      </c>
      <c r="C1439" s="19" t="s">
        <v>5626</v>
      </c>
      <c r="D1439" s="19"/>
      <c r="E1439" s="2"/>
      <c r="F1439" s="19"/>
    </row>
    <row r="1440" ht="15.75" customHeight="1">
      <c r="A1440" s="1">
        <v>4.4641222E7</v>
      </c>
      <c r="B1440" s="2" t="s">
        <v>444</v>
      </c>
      <c r="C1440" s="19" t="s">
        <v>5627</v>
      </c>
      <c r="D1440" s="19" t="s">
        <v>5628</v>
      </c>
      <c r="E1440" s="2"/>
      <c r="F1440" s="19"/>
    </row>
    <row r="1441" ht="15.75" customHeight="1">
      <c r="A1441" s="1">
        <v>4.4680025E7</v>
      </c>
      <c r="B1441" s="2" t="s">
        <v>1523</v>
      </c>
      <c r="C1441" s="19" t="s">
        <v>5629</v>
      </c>
      <c r="D1441" s="19" t="s">
        <v>5630</v>
      </c>
      <c r="E1441" s="2"/>
      <c r="F1441" s="19"/>
    </row>
    <row r="1442" ht="15.75" customHeight="1">
      <c r="A1442" s="1">
        <v>4.4694808E7</v>
      </c>
      <c r="B1442" s="2" t="s">
        <v>1306</v>
      </c>
      <c r="C1442" s="19" t="s">
        <v>5631</v>
      </c>
      <c r="D1442" s="19" t="s">
        <v>5632</v>
      </c>
      <c r="E1442" s="2"/>
      <c r="F1442" s="19"/>
    </row>
    <row r="1443" ht="15.75" customHeight="1">
      <c r="A1443" s="1">
        <v>4.4708936E7</v>
      </c>
      <c r="B1443" s="2" t="s">
        <v>2726</v>
      </c>
      <c r="C1443" s="19" t="s">
        <v>5633</v>
      </c>
      <c r="D1443" s="19"/>
      <c r="E1443" s="2"/>
      <c r="F1443" s="19"/>
    </row>
    <row r="1444" ht="15.75" customHeight="1">
      <c r="A1444" s="1">
        <v>4.4710543E7</v>
      </c>
      <c r="B1444" s="2" t="s">
        <v>616</v>
      </c>
      <c r="C1444" s="19" t="s">
        <v>5634</v>
      </c>
      <c r="D1444" s="19"/>
      <c r="E1444" s="2"/>
      <c r="F1444" s="19"/>
    </row>
    <row r="1445" ht="15.75" customHeight="1">
      <c r="A1445" s="1">
        <v>4.4727285E7</v>
      </c>
      <c r="B1445" s="2" t="s">
        <v>245</v>
      </c>
      <c r="C1445" s="19" t="s">
        <v>5635</v>
      </c>
      <c r="D1445" s="19"/>
      <c r="E1445" s="2"/>
      <c r="F1445" s="19"/>
    </row>
    <row r="1446" ht="15.75" customHeight="1">
      <c r="A1446" s="1">
        <v>4.4733222E7</v>
      </c>
      <c r="B1446" s="2" t="s">
        <v>1625</v>
      </c>
      <c r="C1446" s="19" t="s">
        <v>5636</v>
      </c>
      <c r="D1446" s="19"/>
      <c r="E1446" s="2"/>
      <c r="F1446" s="19"/>
    </row>
    <row r="1447" ht="15.75" customHeight="1">
      <c r="A1447" s="1">
        <v>4.4767791E7</v>
      </c>
      <c r="B1447" s="2" t="s">
        <v>2528</v>
      </c>
      <c r="C1447" s="19" t="s">
        <v>5637</v>
      </c>
      <c r="D1447" s="19" t="s">
        <v>5638</v>
      </c>
      <c r="E1447" s="2"/>
      <c r="F1447" s="19"/>
    </row>
    <row r="1448" ht="15.75" customHeight="1">
      <c r="A1448" s="1">
        <v>4.4789178E7</v>
      </c>
      <c r="B1448" s="2" t="s">
        <v>2582</v>
      </c>
      <c r="C1448" s="19" t="s">
        <v>5639</v>
      </c>
      <c r="D1448" s="19" t="s">
        <v>5640</v>
      </c>
      <c r="E1448" s="2"/>
      <c r="F1448" s="19"/>
    </row>
    <row r="1449" ht="15.75" customHeight="1">
      <c r="A1449" s="1">
        <v>4.4794852E7</v>
      </c>
      <c r="B1449" s="2" t="s">
        <v>972</v>
      </c>
      <c r="C1449" s="19" t="s">
        <v>5641</v>
      </c>
      <c r="D1449" s="19"/>
      <c r="E1449" s="2"/>
      <c r="F1449" s="19"/>
    </row>
    <row r="1450" ht="15.75" customHeight="1">
      <c r="A1450" s="1">
        <v>4.4800423E7</v>
      </c>
      <c r="B1450" s="2" t="s">
        <v>1502</v>
      </c>
      <c r="C1450" s="19" t="s">
        <v>5642</v>
      </c>
      <c r="D1450" s="19"/>
      <c r="E1450" s="2"/>
      <c r="F1450" s="19"/>
    </row>
    <row r="1451" ht="15.75" customHeight="1">
      <c r="A1451" s="1">
        <v>4.4806952E7</v>
      </c>
      <c r="B1451" s="2" t="s">
        <v>679</v>
      </c>
      <c r="C1451" s="19" t="s">
        <v>5643</v>
      </c>
      <c r="D1451" s="19"/>
      <c r="E1451" s="2"/>
      <c r="F1451" s="19"/>
    </row>
    <row r="1452" ht="15.75" customHeight="1">
      <c r="A1452" s="1">
        <v>4.481318E7</v>
      </c>
      <c r="B1452" s="2" t="s">
        <v>752</v>
      </c>
      <c r="C1452" s="19" t="s">
        <v>5644</v>
      </c>
      <c r="D1452" s="19"/>
      <c r="E1452" s="2"/>
      <c r="F1452" s="19"/>
    </row>
    <row r="1453" ht="15.75" customHeight="1">
      <c r="A1453" s="1">
        <v>4.4838564E7</v>
      </c>
      <c r="B1453" s="2" t="s">
        <v>886</v>
      </c>
      <c r="C1453" s="19" t="s">
        <v>5645</v>
      </c>
      <c r="D1453" s="19"/>
      <c r="E1453" s="2"/>
      <c r="F1453" s="19"/>
    </row>
    <row r="1454" ht="15.75" customHeight="1">
      <c r="A1454" s="1">
        <v>4.4851076E7</v>
      </c>
      <c r="B1454" s="2" t="s">
        <v>3214</v>
      </c>
      <c r="C1454" s="19" t="s">
        <v>5646</v>
      </c>
      <c r="D1454" s="19"/>
      <c r="E1454" s="2"/>
      <c r="F1454" s="19"/>
    </row>
    <row r="1455" ht="15.75" customHeight="1">
      <c r="A1455" s="1">
        <v>4.4867066E7</v>
      </c>
      <c r="B1455" s="2" t="s">
        <v>718</v>
      </c>
      <c r="C1455" s="19" t="s">
        <v>5647</v>
      </c>
      <c r="D1455" s="19" t="s">
        <v>5648</v>
      </c>
      <c r="E1455" s="2"/>
      <c r="F1455" s="19"/>
    </row>
    <row r="1456" ht="15.75" customHeight="1">
      <c r="A1456" s="1">
        <v>4.4879191E7</v>
      </c>
      <c r="B1456" s="2" t="s">
        <v>1103</v>
      </c>
      <c r="C1456" s="19" t="s">
        <v>5649</v>
      </c>
      <c r="D1456" s="19"/>
      <c r="E1456" s="2"/>
      <c r="F1456" s="19"/>
    </row>
    <row r="1457" ht="15.75" customHeight="1">
      <c r="A1457" s="1">
        <v>4.4889483E7</v>
      </c>
      <c r="B1457" s="2" t="s">
        <v>545</v>
      </c>
      <c r="C1457" s="19" t="s">
        <v>5650</v>
      </c>
      <c r="D1457" s="19" t="s">
        <v>5651</v>
      </c>
      <c r="E1457" s="2"/>
      <c r="F1457" s="19"/>
    </row>
    <row r="1458" ht="15.75" customHeight="1">
      <c r="A1458" s="1">
        <v>4.4903106E7</v>
      </c>
      <c r="B1458" s="2" t="s">
        <v>136</v>
      </c>
      <c r="C1458" s="19" t="s">
        <v>5652</v>
      </c>
      <c r="D1458" s="19" t="s">
        <v>5653</v>
      </c>
      <c r="E1458" s="2"/>
      <c r="F1458" s="19"/>
    </row>
    <row r="1459" ht="15.75" customHeight="1">
      <c r="A1459" s="1">
        <v>4.4912604E7</v>
      </c>
      <c r="B1459" s="2" t="s">
        <v>544</v>
      </c>
      <c r="C1459" s="19" t="s">
        <v>5654</v>
      </c>
      <c r="D1459" s="19"/>
      <c r="E1459" s="2"/>
      <c r="F1459" s="19"/>
    </row>
    <row r="1460" ht="15.75" customHeight="1">
      <c r="A1460" s="1">
        <v>4.4920041E7</v>
      </c>
      <c r="B1460" s="2" t="s">
        <v>682</v>
      </c>
      <c r="C1460" s="19" t="s">
        <v>5655</v>
      </c>
      <c r="D1460" s="19"/>
      <c r="E1460" s="2"/>
      <c r="F1460" s="19"/>
    </row>
    <row r="1461" ht="15.75" customHeight="1">
      <c r="A1461" s="1">
        <v>4.4931104E7</v>
      </c>
      <c r="B1461" s="2" t="s">
        <v>630</v>
      </c>
      <c r="C1461" s="19" t="s">
        <v>5656</v>
      </c>
      <c r="D1461" s="19"/>
      <c r="E1461" s="2"/>
      <c r="F1461" s="19"/>
    </row>
    <row r="1462" ht="15.75" customHeight="1">
      <c r="A1462" s="1">
        <v>4.4950507E7</v>
      </c>
      <c r="B1462" s="2" t="s">
        <v>417</v>
      </c>
      <c r="C1462" s="19" t="s">
        <v>5657</v>
      </c>
      <c r="D1462" s="19"/>
      <c r="E1462" s="2"/>
      <c r="F1462" s="19"/>
    </row>
    <row r="1463" ht="15.75" customHeight="1">
      <c r="A1463" s="1">
        <v>4.4952033E7</v>
      </c>
      <c r="B1463" s="2" t="s">
        <v>1025</v>
      </c>
      <c r="C1463" s="19" t="s">
        <v>5658</v>
      </c>
      <c r="D1463" s="19" t="s">
        <v>5659</v>
      </c>
      <c r="E1463" s="2"/>
      <c r="F1463" s="19"/>
    </row>
    <row r="1464" ht="15.75" customHeight="1">
      <c r="A1464" s="1">
        <v>4.4956629E7</v>
      </c>
      <c r="B1464" s="2" t="s">
        <v>925</v>
      </c>
      <c r="C1464" s="19" t="s">
        <v>5660</v>
      </c>
      <c r="D1464" s="19" t="s">
        <v>5661</v>
      </c>
      <c r="E1464" s="2"/>
      <c r="F1464" s="19"/>
    </row>
    <row r="1465" ht="15.75" customHeight="1">
      <c r="A1465" s="1">
        <v>4.4963674E7</v>
      </c>
      <c r="B1465" s="2" t="s">
        <v>1425</v>
      </c>
      <c r="C1465" s="19" t="s">
        <v>5662</v>
      </c>
      <c r="D1465" s="19"/>
      <c r="E1465" s="2"/>
      <c r="F1465" s="19"/>
    </row>
    <row r="1466" ht="15.75" customHeight="1">
      <c r="A1466" s="1">
        <v>4.4974408E7</v>
      </c>
      <c r="B1466" s="2" t="s">
        <v>647</v>
      </c>
      <c r="C1466" s="19" t="s">
        <v>5663</v>
      </c>
      <c r="D1466" s="19"/>
      <c r="E1466" s="2"/>
      <c r="F1466" s="19"/>
    </row>
    <row r="1467" ht="15.75" customHeight="1">
      <c r="A1467" s="1">
        <v>4.4980903E7</v>
      </c>
      <c r="B1467" s="2" t="s">
        <v>1499</v>
      </c>
      <c r="C1467" s="19" t="s">
        <v>5664</v>
      </c>
      <c r="D1467" s="19" t="s">
        <v>5665</v>
      </c>
      <c r="E1467" s="2"/>
      <c r="F1467" s="19"/>
    </row>
    <row r="1468" ht="15.75" customHeight="1">
      <c r="A1468" s="1">
        <v>4.5004378E7</v>
      </c>
      <c r="B1468" s="2" t="s">
        <v>1422</v>
      </c>
      <c r="C1468" s="19" t="s">
        <v>5666</v>
      </c>
      <c r="D1468" s="19"/>
      <c r="E1468" s="2"/>
      <c r="F1468" s="19"/>
    </row>
    <row r="1469" ht="15.75" customHeight="1">
      <c r="A1469" s="1">
        <v>4.5019323E7</v>
      </c>
      <c r="B1469" s="2" t="s">
        <v>2291</v>
      </c>
      <c r="C1469" s="19" t="s">
        <v>5667</v>
      </c>
      <c r="D1469" s="19" t="s">
        <v>5668</v>
      </c>
      <c r="E1469" s="2"/>
      <c r="F1469" s="19"/>
    </row>
    <row r="1470" ht="15.75" customHeight="1">
      <c r="A1470" s="1">
        <v>4.5045407E7</v>
      </c>
      <c r="B1470" s="2" t="s">
        <v>3143</v>
      </c>
      <c r="C1470" s="19" t="s">
        <v>5669</v>
      </c>
      <c r="D1470" s="19" t="s">
        <v>5670</v>
      </c>
      <c r="E1470" s="2"/>
      <c r="F1470" s="19"/>
    </row>
    <row r="1471" ht="15.75" customHeight="1">
      <c r="A1471" s="1">
        <v>4.504552E7</v>
      </c>
      <c r="B1471" s="2" t="s">
        <v>2153</v>
      </c>
      <c r="C1471" s="19" t="s">
        <v>5671</v>
      </c>
      <c r="D1471" s="19" t="s">
        <v>5672</v>
      </c>
      <c r="E1471" s="2"/>
      <c r="F1471" s="19"/>
    </row>
    <row r="1472" ht="15.75" customHeight="1">
      <c r="A1472" s="1">
        <v>4.5068055E7</v>
      </c>
      <c r="B1472" s="2" t="s">
        <v>1108</v>
      </c>
      <c r="C1472" s="19" t="s">
        <v>5673</v>
      </c>
      <c r="D1472" s="19"/>
      <c r="E1472" s="2"/>
      <c r="F1472" s="19"/>
    </row>
    <row r="1473" ht="15.75" customHeight="1">
      <c r="A1473" s="1">
        <v>4.509191E7</v>
      </c>
      <c r="B1473" s="2" t="s">
        <v>1397</v>
      </c>
      <c r="C1473" s="19" t="s">
        <v>5674</v>
      </c>
      <c r="D1473" s="19" t="s">
        <v>5675</v>
      </c>
      <c r="E1473" s="2"/>
      <c r="F1473" s="19"/>
    </row>
    <row r="1474" ht="15.75" customHeight="1">
      <c r="A1474" s="1">
        <v>4.5101901E7</v>
      </c>
      <c r="B1474" s="2" t="s">
        <v>1347</v>
      </c>
      <c r="C1474" s="19" t="s">
        <v>5676</v>
      </c>
      <c r="D1474" s="19"/>
      <c r="E1474" s="2"/>
      <c r="F1474" s="19"/>
    </row>
    <row r="1475" ht="15.75" customHeight="1">
      <c r="A1475" s="1">
        <v>4.5120914E7</v>
      </c>
      <c r="B1475" s="2" t="s">
        <v>1479</v>
      </c>
      <c r="C1475" s="19" t="s">
        <v>5677</v>
      </c>
      <c r="D1475" s="19" t="s">
        <v>5678</v>
      </c>
      <c r="E1475" s="2"/>
      <c r="F1475" s="19"/>
    </row>
    <row r="1476" ht="15.75" customHeight="1">
      <c r="A1476" s="1">
        <v>4.513301E7</v>
      </c>
      <c r="B1476" s="2" t="s">
        <v>1364</v>
      </c>
      <c r="C1476" s="19" t="s">
        <v>5679</v>
      </c>
      <c r="D1476" s="19" t="s">
        <v>5680</v>
      </c>
      <c r="E1476" s="2"/>
      <c r="F1476" s="19"/>
    </row>
    <row r="1477" ht="15.75" customHeight="1">
      <c r="A1477" s="1">
        <v>4.5145338E7</v>
      </c>
      <c r="B1477" s="2" t="s">
        <v>706</v>
      </c>
      <c r="C1477" s="19" t="s">
        <v>5681</v>
      </c>
      <c r="D1477" s="19" t="s">
        <v>5682</v>
      </c>
      <c r="E1477" s="2"/>
      <c r="F1477" s="19"/>
    </row>
    <row r="1478" ht="15.75" customHeight="1">
      <c r="A1478" s="1">
        <v>4.5171327E7</v>
      </c>
      <c r="B1478" s="2" t="s">
        <v>2217</v>
      </c>
      <c r="C1478" s="19" t="s">
        <v>5683</v>
      </c>
      <c r="D1478" s="19"/>
      <c r="E1478" s="2"/>
      <c r="F1478" s="19"/>
    </row>
    <row r="1479" ht="15.75" customHeight="1">
      <c r="A1479" s="1">
        <v>4.5174597E7</v>
      </c>
      <c r="B1479" s="2" t="s">
        <v>1819</v>
      </c>
      <c r="C1479" s="19" t="s">
        <v>5684</v>
      </c>
      <c r="D1479" s="19"/>
      <c r="E1479" s="2"/>
      <c r="F1479" s="19"/>
    </row>
    <row r="1480" ht="15.75" customHeight="1">
      <c r="A1480" s="1">
        <v>4.5177765E7</v>
      </c>
      <c r="B1480" s="2" t="s">
        <v>782</v>
      </c>
      <c r="C1480" s="19" t="s">
        <v>5685</v>
      </c>
      <c r="D1480" s="19" t="s">
        <v>5686</v>
      </c>
      <c r="E1480" s="2"/>
      <c r="F1480" s="19"/>
    </row>
    <row r="1481" ht="15.75" customHeight="1">
      <c r="A1481" s="1">
        <v>4.5195523E7</v>
      </c>
      <c r="B1481" s="2" t="s">
        <v>987</v>
      </c>
      <c r="C1481" s="19" t="s">
        <v>5687</v>
      </c>
      <c r="D1481" s="19"/>
      <c r="E1481" s="2"/>
      <c r="F1481" s="19"/>
    </row>
    <row r="1482" ht="15.75" customHeight="1">
      <c r="A1482" s="1">
        <v>4.5197195E7</v>
      </c>
      <c r="B1482" s="2" t="s">
        <v>1158</v>
      </c>
      <c r="C1482" s="19" t="s">
        <v>5688</v>
      </c>
      <c r="D1482" s="19" t="s">
        <v>5689</v>
      </c>
      <c r="E1482" s="2"/>
      <c r="F1482" s="19"/>
    </row>
    <row r="1483" ht="15.75" customHeight="1">
      <c r="A1483" s="1">
        <v>4.520245E7</v>
      </c>
      <c r="B1483" s="2" t="s">
        <v>1135</v>
      </c>
      <c r="C1483" s="19" t="s">
        <v>5690</v>
      </c>
      <c r="D1483" s="19"/>
      <c r="E1483" s="2"/>
      <c r="F1483" s="19"/>
    </row>
    <row r="1484" ht="15.75" customHeight="1">
      <c r="A1484" s="1">
        <v>4.5209796E7</v>
      </c>
      <c r="B1484" s="2" t="s">
        <v>2070</v>
      </c>
      <c r="C1484" s="19" t="s">
        <v>5691</v>
      </c>
      <c r="D1484" s="19" t="s">
        <v>5692</v>
      </c>
      <c r="E1484" s="2"/>
      <c r="F1484" s="19"/>
    </row>
    <row r="1485" ht="15.75" customHeight="1">
      <c r="A1485" s="1">
        <v>4.5224565E7</v>
      </c>
      <c r="B1485" s="2" t="s">
        <v>1226</v>
      </c>
      <c r="C1485" s="19" t="s">
        <v>5693</v>
      </c>
      <c r="D1485" s="19" t="s">
        <v>5694</v>
      </c>
      <c r="E1485" s="2"/>
      <c r="F1485" s="19"/>
    </row>
    <row r="1486" ht="15.75" customHeight="1">
      <c r="A1486" s="1">
        <v>4.5232971E7</v>
      </c>
      <c r="B1486" s="2" t="s">
        <v>853</v>
      </c>
      <c r="C1486" s="19" t="s">
        <v>5695</v>
      </c>
      <c r="D1486" s="19"/>
      <c r="E1486" s="2"/>
      <c r="F1486" s="19"/>
    </row>
    <row r="1487" ht="15.75" customHeight="1">
      <c r="A1487" s="1">
        <v>4.5238254E7</v>
      </c>
      <c r="B1487" s="2" t="s">
        <v>2154</v>
      </c>
      <c r="C1487" s="19" t="s">
        <v>5696</v>
      </c>
      <c r="D1487" s="19"/>
      <c r="E1487" s="2"/>
      <c r="F1487" s="19"/>
    </row>
    <row r="1488" ht="15.75" customHeight="1">
      <c r="A1488" s="1">
        <v>4.5245708E7</v>
      </c>
      <c r="B1488" s="2" t="s">
        <v>773</v>
      </c>
      <c r="C1488" s="19" t="s">
        <v>5697</v>
      </c>
      <c r="D1488" s="19" t="s">
        <v>5698</v>
      </c>
      <c r="E1488" s="2"/>
      <c r="F1488" s="19"/>
    </row>
    <row r="1489" ht="15.75" customHeight="1">
      <c r="A1489" s="1">
        <v>4.5273016E7</v>
      </c>
      <c r="B1489" s="2" t="s">
        <v>951</v>
      </c>
      <c r="C1489" s="19" t="s">
        <v>5699</v>
      </c>
      <c r="D1489" s="19"/>
      <c r="E1489" s="2"/>
      <c r="F1489" s="19"/>
    </row>
    <row r="1490" ht="15.75" customHeight="1">
      <c r="A1490" s="1">
        <v>4.5281799E7</v>
      </c>
      <c r="B1490" s="2" t="s">
        <v>2454</v>
      </c>
      <c r="C1490" s="19" t="s">
        <v>5700</v>
      </c>
      <c r="D1490" s="19"/>
      <c r="E1490" s="2"/>
      <c r="F1490" s="19"/>
    </row>
    <row r="1491" ht="15.75" customHeight="1">
      <c r="A1491" s="1">
        <v>4.5288895E7</v>
      </c>
      <c r="B1491" s="2" t="s">
        <v>730</v>
      </c>
      <c r="C1491" s="19" t="s">
        <v>5701</v>
      </c>
      <c r="D1491" s="19" t="s">
        <v>5702</v>
      </c>
      <c r="E1491" s="2"/>
      <c r="F1491" s="19"/>
    </row>
    <row r="1492" ht="15.75" customHeight="1">
      <c r="A1492" s="1">
        <v>4.5310175E7</v>
      </c>
      <c r="B1492" s="2" t="s">
        <v>725</v>
      </c>
      <c r="C1492" s="19" t="s">
        <v>5703</v>
      </c>
      <c r="D1492" s="19"/>
      <c r="E1492" s="2"/>
      <c r="F1492" s="19"/>
    </row>
    <row r="1493" ht="15.75" customHeight="1">
      <c r="A1493" s="1">
        <v>4.5312549E7</v>
      </c>
      <c r="B1493" s="2" t="s">
        <v>2085</v>
      </c>
      <c r="C1493" s="19" t="s">
        <v>5704</v>
      </c>
      <c r="D1493" s="19" t="s">
        <v>5705</v>
      </c>
      <c r="E1493" s="2"/>
      <c r="F1493" s="19"/>
    </row>
    <row r="1494" ht="15.75" customHeight="1">
      <c r="A1494" s="1">
        <v>4.5318013E7</v>
      </c>
      <c r="B1494" s="2" t="s">
        <v>1096</v>
      </c>
      <c r="C1494" s="19" t="s">
        <v>5706</v>
      </c>
      <c r="D1494" s="19"/>
      <c r="E1494" s="2"/>
      <c r="F1494" s="19"/>
    </row>
    <row r="1495" ht="15.75" customHeight="1">
      <c r="A1495" s="1">
        <v>4.5324416E7</v>
      </c>
      <c r="B1495" s="2" t="s">
        <v>485</v>
      </c>
      <c r="C1495" s="19" t="s">
        <v>5707</v>
      </c>
      <c r="D1495" s="19" t="s">
        <v>5708</v>
      </c>
      <c r="E1495" s="2"/>
      <c r="F1495" s="19"/>
    </row>
    <row r="1496" ht="15.75" customHeight="1">
      <c r="A1496" s="1">
        <v>4.5324749E7</v>
      </c>
      <c r="B1496" s="2" t="s">
        <v>1757</v>
      </c>
      <c r="C1496" s="19" t="s">
        <v>5709</v>
      </c>
      <c r="D1496" s="19" t="s">
        <v>5710</v>
      </c>
      <c r="E1496" s="2"/>
      <c r="F1496" s="19"/>
    </row>
    <row r="1497" ht="15.75" customHeight="1">
      <c r="A1497" s="1">
        <v>4.5334821E7</v>
      </c>
      <c r="B1497" s="2" t="s">
        <v>1825</v>
      </c>
      <c r="C1497" s="19" t="s">
        <v>5711</v>
      </c>
      <c r="D1497" s="19"/>
      <c r="E1497" s="2"/>
      <c r="F1497" s="19"/>
    </row>
    <row r="1498" ht="15.75" customHeight="1">
      <c r="A1498" s="1">
        <v>4.5336337E7</v>
      </c>
      <c r="B1498" s="2" t="s">
        <v>727</v>
      </c>
      <c r="C1498" s="19" t="s">
        <v>5712</v>
      </c>
      <c r="D1498" s="19" t="s">
        <v>5713</v>
      </c>
      <c r="E1498" s="2"/>
      <c r="F1498" s="19"/>
    </row>
    <row r="1499" ht="15.75" customHeight="1">
      <c r="A1499" s="1">
        <v>4.5363366E7</v>
      </c>
      <c r="B1499" s="2" t="s">
        <v>1654</v>
      </c>
      <c r="C1499" s="19" t="s">
        <v>5714</v>
      </c>
      <c r="D1499" s="19" t="s">
        <v>5715</v>
      </c>
      <c r="E1499" s="2"/>
      <c r="F1499" s="19"/>
    </row>
    <row r="1500" ht="15.75" customHeight="1">
      <c r="A1500" s="1">
        <v>4.5380713E7</v>
      </c>
      <c r="B1500" s="2" t="s">
        <v>2431</v>
      </c>
      <c r="C1500" s="19" t="s">
        <v>5716</v>
      </c>
      <c r="D1500" s="19"/>
      <c r="E1500" s="2"/>
      <c r="F1500" s="19"/>
    </row>
    <row r="1501" ht="15.75" customHeight="1">
      <c r="A1501" s="1">
        <v>4.5418662E7</v>
      </c>
      <c r="B1501" s="2" t="s">
        <v>1136</v>
      </c>
      <c r="C1501" s="19" t="s">
        <v>5717</v>
      </c>
      <c r="D1501" s="19"/>
      <c r="E1501" s="2"/>
      <c r="F1501" s="19"/>
    </row>
    <row r="1502" ht="15.75" customHeight="1">
      <c r="A1502" s="1">
        <v>4.5425713E7</v>
      </c>
      <c r="B1502" s="2" t="s">
        <v>748</v>
      </c>
      <c r="C1502" s="19" t="s">
        <v>5718</v>
      </c>
      <c r="D1502" s="19" t="s">
        <v>5719</v>
      </c>
      <c r="E1502" s="2"/>
      <c r="F1502" s="19"/>
    </row>
    <row r="1503" ht="15.75" customHeight="1">
      <c r="A1503" s="1">
        <v>4.5470211E7</v>
      </c>
      <c r="B1503" s="2" t="s">
        <v>1106</v>
      </c>
      <c r="C1503" s="19" t="s">
        <v>5720</v>
      </c>
      <c r="D1503" s="19"/>
      <c r="E1503" s="2"/>
      <c r="F1503" s="19"/>
    </row>
    <row r="1504" ht="15.75" customHeight="1">
      <c r="A1504" s="1">
        <v>4.5473657E7</v>
      </c>
      <c r="B1504" s="2" t="s">
        <v>2094</v>
      </c>
      <c r="C1504" s="19" t="s">
        <v>5721</v>
      </c>
      <c r="D1504" s="19" t="s">
        <v>5722</v>
      </c>
      <c r="E1504" s="2"/>
      <c r="F1504" s="19"/>
    </row>
    <row r="1505" ht="15.75" customHeight="1">
      <c r="A1505" s="1">
        <v>4.5480663E7</v>
      </c>
      <c r="B1505" s="2" t="s">
        <v>1191</v>
      </c>
      <c r="C1505" s="19" t="s">
        <v>5723</v>
      </c>
      <c r="D1505" s="19"/>
      <c r="E1505" s="2"/>
      <c r="F1505" s="19"/>
    </row>
    <row r="1506" ht="15.75" customHeight="1">
      <c r="A1506" s="1">
        <v>4.549432E7</v>
      </c>
      <c r="B1506" s="2" t="s">
        <v>1068</v>
      </c>
      <c r="C1506" s="19" t="s">
        <v>5724</v>
      </c>
      <c r="D1506" s="19" t="s">
        <v>5725</v>
      </c>
      <c r="E1506" s="2"/>
      <c r="F1506" s="19"/>
    </row>
    <row r="1507" ht="15.75" customHeight="1">
      <c r="A1507" s="1">
        <v>4.5507738E7</v>
      </c>
      <c r="B1507" s="2" t="s">
        <v>1265</v>
      </c>
      <c r="C1507" s="19" t="s">
        <v>5726</v>
      </c>
      <c r="D1507" s="19"/>
      <c r="E1507" s="2"/>
      <c r="F1507" s="19"/>
    </row>
    <row r="1508" ht="15.75" customHeight="1">
      <c r="A1508" s="1">
        <v>4.551129E7</v>
      </c>
      <c r="B1508" s="2" t="s">
        <v>214</v>
      </c>
      <c r="C1508" s="19" t="s">
        <v>5727</v>
      </c>
      <c r="D1508" s="19" t="s">
        <v>5728</v>
      </c>
      <c r="E1508" s="2"/>
      <c r="F1508" s="19"/>
    </row>
    <row r="1509" ht="15.75" customHeight="1">
      <c r="A1509" s="1">
        <v>4.5513359E7</v>
      </c>
      <c r="B1509" s="2" t="s">
        <v>1577</v>
      </c>
      <c r="C1509" s="19" t="s">
        <v>5729</v>
      </c>
      <c r="D1509" s="19" t="s">
        <v>5730</v>
      </c>
      <c r="E1509" s="2"/>
      <c r="F1509" s="19"/>
    </row>
    <row r="1510" ht="15.75" customHeight="1">
      <c r="A1510" s="1">
        <v>4.5535094E7</v>
      </c>
      <c r="B1510" s="2" t="s">
        <v>1647</v>
      </c>
      <c r="C1510" s="19" t="s">
        <v>5731</v>
      </c>
      <c r="D1510" s="19"/>
      <c r="E1510" s="2"/>
      <c r="F1510" s="19"/>
    </row>
    <row r="1511" ht="15.75" customHeight="1">
      <c r="A1511" s="1">
        <v>4.554522E7</v>
      </c>
      <c r="B1511" s="2" t="s">
        <v>959</v>
      </c>
      <c r="C1511" s="19" t="s">
        <v>5732</v>
      </c>
      <c r="D1511" s="19"/>
      <c r="E1511" s="2"/>
      <c r="F1511" s="19"/>
    </row>
    <row r="1512" ht="15.75" customHeight="1">
      <c r="A1512" s="1">
        <v>4.5555483E7</v>
      </c>
      <c r="B1512" s="2" t="s">
        <v>2096</v>
      </c>
      <c r="C1512" s="19" t="s">
        <v>5733</v>
      </c>
      <c r="D1512" s="19" t="s">
        <v>5734</v>
      </c>
      <c r="E1512" s="2"/>
      <c r="F1512" s="19"/>
    </row>
    <row r="1513" ht="15.75" customHeight="1">
      <c r="A1513" s="1">
        <v>4.5556919E7</v>
      </c>
      <c r="B1513" s="2" t="s">
        <v>512</v>
      </c>
      <c r="C1513" s="19" t="s">
        <v>5735</v>
      </c>
      <c r="D1513" s="19"/>
      <c r="E1513" s="2"/>
      <c r="F1513" s="19"/>
    </row>
    <row r="1514" ht="15.75" customHeight="1">
      <c r="A1514" s="1">
        <v>4.5563892E7</v>
      </c>
      <c r="B1514" s="2" t="s">
        <v>1993</v>
      </c>
      <c r="C1514" s="19" t="s">
        <v>5736</v>
      </c>
      <c r="D1514" s="19"/>
      <c r="E1514" s="2"/>
      <c r="F1514" s="19"/>
    </row>
    <row r="1515" ht="15.75" customHeight="1">
      <c r="A1515" s="1">
        <v>4.5565228E7</v>
      </c>
      <c r="B1515" s="2" t="s">
        <v>1240</v>
      </c>
      <c r="C1515" s="19" t="s">
        <v>5737</v>
      </c>
      <c r="D1515" s="19"/>
      <c r="E1515" s="2"/>
      <c r="F1515" s="19"/>
    </row>
    <row r="1516" ht="15.75" customHeight="1">
      <c r="A1516" s="1">
        <v>4.5572394E7</v>
      </c>
      <c r="B1516" s="2" t="s">
        <v>646</v>
      </c>
      <c r="C1516" s="19" t="s">
        <v>5738</v>
      </c>
      <c r="D1516" s="19"/>
      <c r="E1516" s="2"/>
      <c r="F1516" s="19"/>
    </row>
    <row r="1517" ht="15.75" customHeight="1">
      <c r="A1517" s="1">
        <v>4.5588139E7</v>
      </c>
      <c r="B1517" s="2" t="s">
        <v>908</v>
      </c>
      <c r="C1517" s="19" t="s">
        <v>5739</v>
      </c>
      <c r="D1517" s="19"/>
      <c r="E1517" s="2"/>
      <c r="F1517" s="19"/>
    </row>
    <row r="1518" ht="15.75" customHeight="1">
      <c r="A1518" s="1">
        <v>4.5602479E7</v>
      </c>
      <c r="B1518" s="2" t="s">
        <v>1894</v>
      </c>
      <c r="C1518" s="19" t="s">
        <v>5740</v>
      </c>
      <c r="D1518" s="19"/>
      <c r="E1518" s="2"/>
      <c r="F1518" s="19"/>
    </row>
    <row r="1519" ht="15.75" customHeight="1">
      <c r="A1519" s="1">
        <v>4.5662481E7</v>
      </c>
      <c r="B1519" s="2" t="s">
        <v>403</v>
      </c>
      <c r="C1519" s="19" t="s">
        <v>5741</v>
      </c>
      <c r="D1519" s="19" t="s">
        <v>5742</v>
      </c>
      <c r="E1519" s="2"/>
      <c r="F1519" s="19"/>
    </row>
    <row r="1520" ht="15.75" customHeight="1">
      <c r="A1520" s="1">
        <v>4.5672938E7</v>
      </c>
      <c r="B1520" s="2" t="s">
        <v>408</v>
      </c>
      <c r="C1520" s="19" t="s">
        <v>5743</v>
      </c>
      <c r="D1520" s="19" t="s">
        <v>5744</v>
      </c>
      <c r="E1520" s="2"/>
      <c r="F1520" s="19"/>
    </row>
    <row r="1521" ht="15.75" customHeight="1">
      <c r="A1521" s="1">
        <v>4.5678498E7</v>
      </c>
      <c r="B1521" s="2" t="s">
        <v>1168</v>
      </c>
      <c r="C1521" s="19" t="s">
        <v>5745</v>
      </c>
      <c r="D1521" s="19"/>
      <c r="E1521" s="2"/>
      <c r="F1521" s="19"/>
    </row>
    <row r="1522" ht="15.75" customHeight="1">
      <c r="A1522" s="1">
        <v>4.5686397E7</v>
      </c>
      <c r="B1522" s="2" t="s">
        <v>1460</v>
      </c>
      <c r="C1522" s="19" t="s">
        <v>5746</v>
      </c>
      <c r="D1522" s="19"/>
      <c r="E1522" s="2"/>
      <c r="F1522" s="19"/>
    </row>
    <row r="1523" ht="15.75" customHeight="1">
      <c r="A1523" s="1">
        <v>4.5688074E7</v>
      </c>
      <c r="B1523" s="2" t="s">
        <v>502</v>
      </c>
      <c r="C1523" s="19" t="s">
        <v>5747</v>
      </c>
      <c r="D1523" s="19"/>
      <c r="E1523" s="2"/>
      <c r="F1523" s="19"/>
    </row>
    <row r="1524" ht="15.75" customHeight="1">
      <c r="A1524" s="1">
        <v>4.569351E7</v>
      </c>
      <c r="B1524" s="2" t="s">
        <v>460</v>
      </c>
      <c r="C1524" s="19" t="s">
        <v>5748</v>
      </c>
      <c r="D1524" s="19"/>
      <c r="E1524" s="2"/>
      <c r="F1524" s="19"/>
    </row>
    <row r="1525" ht="15.75" customHeight="1">
      <c r="A1525" s="1">
        <v>4.5697947E7</v>
      </c>
      <c r="B1525" s="2" t="s">
        <v>1086</v>
      </c>
      <c r="C1525" s="19" t="s">
        <v>5749</v>
      </c>
      <c r="D1525" s="19"/>
      <c r="E1525" s="2"/>
      <c r="F1525" s="19"/>
    </row>
    <row r="1526" ht="15.75" customHeight="1">
      <c r="A1526" s="1">
        <v>4.5699468E7</v>
      </c>
      <c r="B1526" s="2" t="s">
        <v>2627</v>
      </c>
      <c r="C1526" s="19" t="s">
        <v>5750</v>
      </c>
      <c r="D1526" s="19"/>
      <c r="E1526" s="2"/>
      <c r="F1526" s="19"/>
    </row>
    <row r="1527" ht="15.75" customHeight="1">
      <c r="A1527" s="1">
        <v>4.5709701E7</v>
      </c>
      <c r="B1527" s="2" t="s">
        <v>1348</v>
      </c>
      <c r="C1527" s="19" t="s">
        <v>5751</v>
      </c>
      <c r="D1527" s="19" t="s">
        <v>5752</v>
      </c>
      <c r="E1527" s="2"/>
      <c r="F1527" s="19"/>
    </row>
    <row r="1528" ht="15.75" customHeight="1">
      <c r="A1528" s="1">
        <v>4.57112E7</v>
      </c>
      <c r="B1528" s="2" t="s">
        <v>1901</v>
      </c>
      <c r="C1528" s="19" t="s">
        <v>5753</v>
      </c>
      <c r="D1528" s="19" t="s">
        <v>5754</v>
      </c>
      <c r="E1528" s="2"/>
      <c r="F1528" s="19"/>
    </row>
    <row r="1529" ht="15.75" customHeight="1">
      <c r="A1529" s="1">
        <v>4.5722513E7</v>
      </c>
      <c r="B1529" s="2" t="s">
        <v>519</v>
      </c>
      <c r="C1529" s="19" t="s">
        <v>5755</v>
      </c>
      <c r="D1529" s="19" t="s">
        <v>5756</v>
      </c>
      <c r="E1529" s="2"/>
      <c r="F1529" s="19"/>
    </row>
    <row r="1530" ht="15.75" customHeight="1">
      <c r="A1530" s="1">
        <v>4.572482E7</v>
      </c>
      <c r="B1530" s="2" t="s">
        <v>1782</v>
      </c>
      <c r="C1530" s="19" t="s">
        <v>5757</v>
      </c>
      <c r="D1530" s="19"/>
      <c r="E1530" s="2"/>
      <c r="F1530" s="19"/>
    </row>
    <row r="1531" ht="15.75" customHeight="1">
      <c r="A1531" s="1">
        <v>4.5731288E7</v>
      </c>
      <c r="B1531" s="2" t="s">
        <v>365</v>
      </c>
      <c r="C1531" s="19" t="s">
        <v>5758</v>
      </c>
      <c r="D1531" s="19" t="s">
        <v>5759</v>
      </c>
      <c r="E1531" s="2"/>
      <c r="F1531" s="19"/>
    </row>
    <row r="1532" ht="15.75" customHeight="1">
      <c r="A1532" s="1">
        <v>4.574052E7</v>
      </c>
      <c r="B1532" s="2" t="s">
        <v>937</v>
      </c>
      <c r="C1532" s="19" t="s">
        <v>5760</v>
      </c>
      <c r="D1532" s="19"/>
      <c r="E1532" s="2"/>
      <c r="F1532" s="19"/>
    </row>
    <row r="1533" ht="15.75" customHeight="1">
      <c r="A1533" s="1">
        <v>4.5748997E7</v>
      </c>
      <c r="B1533" s="2" t="s">
        <v>1809</v>
      </c>
      <c r="C1533" s="19" t="s">
        <v>5761</v>
      </c>
      <c r="D1533" s="19" t="s">
        <v>5762</v>
      </c>
      <c r="E1533" s="2"/>
      <c r="F1533" s="19"/>
    </row>
    <row r="1534" ht="15.75" customHeight="1">
      <c r="A1534" s="1">
        <v>4.5751896E7</v>
      </c>
      <c r="B1534" s="2" t="s">
        <v>743</v>
      </c>
      <c r="C1534" s="19" t="s">
        <v>5763</v>
      </c>
      <c r="D1534" s="19" t="s">
        <v>5764</v>
      </c>
      <c r="E1534" s="2"/>
      <c r="F1534" s="19"/>
    </row>
    <row r="1535" ht="15.75" customHeight="1">
      <c r="A1535" s="1">
        <v>4.5766911E7</v>
      </c>
      <c r="B1535" s="2" t="s">
        <v>2271</v>
      </c>
      <c r="C1535" s="19" t="s">
        <v>5765</v>
      </c>
      <c r="D1535" s="19" t="s">
        <v>5766</v>
      </c>
      <c r="E1535" s="2"/>
      <c r="F1535" s="19"/>
    </row>
    <row r="1536" ht="15.75" customHeight="1">
      <c r="A1536" s="1">
        <v>4.5767036E7</v>
      </c>
      <c r="B1536" s="2" t="s">
        <v>858</v>
      </c>
      <c r="C1536" s="19" t="s">
        <v>5767</v>
      </c>
      <c r="D1536" s="19"/>
      <c r="E1536" s="2"/>
      <c r="F1536" s="19"/>
    </row>
    <row r="1537" ht="15.75" customHeight="1">
      <c r="A1537" s="1">
        <v>4.5772221E7</v>
      </c>
      <c r="B1537" s="2" t="s">
        <v>91</v>
      </c>
      <c r="C1537" s="19" t="s">
        <v>5768</v>
      </c>
      <c r="D1537" s="19" t="s">
        <v>5769</v>
      </c>
      <c r="E1537" s="2"/>
      <c r="F1537" s="19"/>
    </row>
    <row r="1538" ht="15.75" customHeight="1">
      <c r="A1538" s="1">
        <v>4.5802802E7</v>
      </c>
      <c r="B1538" s="2" t="s">
        <v>729</v>
      </c>
      <c r="C1538" s="19" t="s">
        <v>5770</v>
      </c>
      <c r="D1538" s="19" t="s">
        <v>5771</v>
      </c>
      <c r="E1538" s="2"/>
      <c r="F1538" s="19"/>
    </row>
    <row r="1539" ht="15.75" customHeight="1">
      <c r="A1539" s="1">
        <v>4.5805113E7</v>
      </c>
      <c r="B1539" s="2" t="s">
        <v>1441</v>
      </c>
      <c r="C1539" s="19" t="s">
        <v>5772</v>
      </c>
      <c r="D1539" s="19"/>
      <c r="E1539" s="2"/>
      <c r="F1539" s="19"/>
    </row>
    <row r="1540" ht="15.75" customHeight="1">
      <c r="A1540" s="1">
        <v>4.581712E7</v>
      </c>
      <c r="B1540" s="2" t="s">
        <v>1803</v>
      </c>
      <c r="C1540" s="19" t="s">
        <v>5773</v>
      </c>
      <c r="D1540" s="19"/>
      <c r="E1540" s="2"/>
      <c r="F1540" s="19"/>
    </row>
    <row r="1541" ht="15.75" customHeight="1">
      <c r="A1541" s="1">
        <v>4.582259E7</v>
      </c>
      <c r="B1541" s="2" t="s">
        <v>1566</v>
      </c>
      <c r="C1541" s="19" t="s">
        <v>5774</v>
      </c>
      <c r="D1541" s="19"/>
      <c r="E1541" s="2"/>
      <c r="F1541" s="19"/>
    </row>
    <row r="1542" ht="15.75" customHeight="1">
      <c r="A1542" s="1">
        <v>4.5824743E7</v>
      </c>
      <c r="B1542" s="2" t="s">
        <v>2702</v>
      </c>
      <c r="C1542" s="19" t="s">
        <v>5775</v>
      </c>
      <c r="D1542" s="19" t="s">
        <v>5776</v>
      </c>
      <c r="E1542" s="2"/>
      <c r="F1542" s="19"/>
    </row>
    <row r="1543" ht="15.75" customHeight="1">
      <c r="A1543" s="1">
        <v>4.5827341E7</v>
      </c>
      <c r="B1543" s="2" t="s">
        <v>2644</v>
      </c>
      <c r="C1543" s="19" t="s">
        <v>5777</v>
      </c>
      <c r="D1543" s="19"/>
      <c r="E1543" s="2"/>
      <c r="F1543" s="19"/>
    </row>
    <row r="1544" ht="15.75" customHeight="1">
      <c r="A1544" s="1">
        <v>4.5830273E7</v>
      </c>
      <c r="B1544" s="2" t="s">
        <v>472</v>
      </c>
      <c r="C1544" s="19" t="s">
        <v>5778</v>
      </c>
      <c r="D1544" s="19"/>
      <c r="E1544" s="2"/>
      <c r="F1544" s="19"/>
    </row>
    <row r="1545" ht="15.75" customHeight="1">
      <c r="A1545" s="1">
        <v>4.5842944E7</v>
      </c>
      <c r="B1545" s="2" t="s">
        <v>1507</v>
      </c>
      <c r="C1545" s="19" t="s">
        <v>5779</v>
      </c>
      <c r="D1545" s="19"/>
      <c r="E1545" s="2"/>
      <c r="F1545" s="19"/>
    </row>
    <row r="1546" ht="15.75" customHeight="1">
      <c r="A1546" s="1">
        <v>4.5846521E7</v>
      </c>
      <c r="B1546" s="2" t="s">
        <v>838</v>
      </c>
      <c r="C1546" s="19" t="s">
        <v>5780</v>
      </c>
      <c r="D1546" s="19" t="s">
        <v>5781</v>
      </c>
      <c r="E1546" s="2"/>
      <c r="F1546" s="19"/>
    </row>
    <row r="1547" ht="15.75" customHeight="1">
      <c r="A1547" s="1">
        <v>4.5853491E7</v>
      </c>
      <c r="B1547" s="2" t="s">
        <v>2008</v>
      </c>
      <c r="C1547" s="19" t="s">
        <v>5782</v>
      </c>
      <c r="D1547" s="19" t="s">
        <v>5783</v>
      </c>
      <c r="E1547" s="2"/>
      <c r="F1547" s="19"/>
    </row>
    <row r="1548" ht="15.75" customHeight="1">
      <c r="A1548" s="1">
        <v>4.5874369E7</v>
      </c>
      <c r="B1548" s="2" t="s">
        <v>3215</v>
      </c>
      <c r="C1548" s="19" t="s">
        <v>5784</v>
      </c>
      <c r="D1548" s="19" t="s">
        <v>5785</v>
      </c>
      <c r="E1548" s="2"/>
      <c r="F1548" s="19"/>
    </row>
    <row r="1549" ht="15.75" customHeight="1">
      <c r="A1549" s="1">
        <v>4.5875383E7</v>
      </c>
      <c r="B1549" s="2" t="s">
        <v>606</v>
      </c>
      <c r="C1549" s="19" t="s">
        <v>5786</v>
      </c>
      <c r="D1549" s="19" t="s">
        <v>5787</v>
      </c>
      <c r="E1549" s="2"/>
      <c r="F1549" s="19"/>
    </row>
    <row r="1550" ht="15.75" customHeight="1">
      <c r="A1550" s="1">
        <v>4.5896488E7</v>
      </c>
      <c r="B1550" s="2" t="s">
        <v>2086</v>
      </c>
      <c r="C1550" s="19" t="s">
        <v>5788</v>
      </c>
      <c r="D1550" s="19"/>
      <c r="E1550" s="2"/>
      <c r="F1550" s="19"/>
    </row>
    <row r="1551" ht="15.75" customHeight="1">
      <c r="A1551" s="1">
        <v>4.5901296E7</v>
      </c>
      <c r="B1551" s="2" t="s">
        <v>1042</v>
      </c>
      <c r="C1551" s="19" t="s">
        <v>5789</v>
      </c>
      <c r="D1551" s="19"/>
      <c r="E1551" s="2"/>
      <c r="F1551" s="19"/>
    </row>
    <row r="1552" ht="15.75" customHeight="1">
      <c r="A1552" s="1">
        <v>4.5909358E7</v>
      </c>
      <c r="B1552" s="2" t="s">
        <v>463</v>
      </c>
      <c r="C1552" s="19" t="s">
        <v>5790</v>
      </c>
      <c r="D1552" s="19"/>
      <c r="E1552" s="2"/>
      <c r="F1552" s="19"/>
    </row>
    <row r="1553" ht="15.75" customHeight="1">
      <c r="A1553" s="1">
        <v>4.5921253E7</v>
      </c>
      <c r="B1553" s="2" t="s">
        <v>2659</v>
      </c>
      <c r="C1553" s="19" t="s">
        <v>5791</v>
      </c>
      <c r="D1553" s="19"/>
      <c r="E1553" s="2"/>
      <c r="F1553" s="19"/>
    </row>
    <row r="1554" ht="15.75" customHeight="1">
      <c r="A1554" s="1">
        <v>4.5928071E7</v>
      </c>
      <c r="B1554" s="2" t="s">
        <v>1490</v>
      </c>
      <c r="C1554" s="19" t="s">
        <v>5792</v>
      </c>
      <c r="D1554" s="19"/>
      <c r="E1554" s="2"/>
      <c r="F1554" s="19"/>
    </row>
    <row r="1555" ht="15.75" customHeight="1">
      <c r="A1555" s="1">
        <v>4.5931378E7</v>
      </c>
      <c r="B1555" s="2" t="s">
        <v>2063</v>
      </c>
      <c r="C1555" s="19" t="s">
        <v>5793</v>
      </c>
      <c r="D1555" s="19"/>
      <c r="E1555" s="2"/>
      <c r="F1555" s="19"/>
    </row>
    <row r="1556" ht="15.75" customHeight="1">
      <c r="A1556" s="1">
        <v>4.59333E7</v>
      </c>
      <c r="B1556" s="2" t="s">
        <v>135</v>
      </c>
      <c r="C1556" s="19" t="s">
        <v>5794</v>
      </c>
      <c r="D1556" s="19"/>
      <c r="E1556" s="2"/>
      <c r="F1556" s="19"/>
    </row>
    <row r="1557" ht="15.75" customHeight="1">
      <c r="A1557" s="1">
        <v>4.5941854E7</v>
      </c>
      <c r="B1557" s="2" t="s">
        <v>447</v>
      </c>
      <c r="C1557" s="19" t="s">
        <v>5795</v>
      </c>
      <c r="D1557" s="19" t="s">
        <v>5796</v>
      </c>
      <c r="E1557" s="2"/>
      <c r="F1557" s="19"/>
    </row>
    <row r="1558" ht="15.75" customHeight="1">
      <c r="A1558" s="1">
        <v>4.5949757E7</v>
      </c>
      <c r="B1558" s="2" t="s">
        <v>1951</v>
      </c>
      <c r="C1558" s="19" t="s">
        <v>5797</v>
      </c>
      <c r="D1558" s="19"/>
      <c r="E1558" s="2"/>
      <c r="F1558" s="19"/>
    </row>
    <row r="1559" ht="15.75" customHeight="1">
      <c r="A1559" s="1">
        <v>4.5954124E7</v>
      </c>
      <c r="B1559" s="2" t="s">
        <v>254</v>
      </c>
      <c r="C1559" s="19" t="s">
        <v>5798</v>
      </c>
      <c r="D1559" s="19" t="s">
        <v>5799</v>
      </c>
      <c r="E1559" s="2"/>
      <c r="F1559" s="19"/>
    </row>
    <row r="1560" ht="15.75" customHeight="1">
      <c r="A1560" s="1">
        <v>4.5963371E7</v>
      </c>
      <c r="B1560" s="2" t="s">
        <v>771</v>
      </c>
      <c r="C1560" s="19" t="s">
        <v>5800</v>
      </c>
      <c r="D1560" s="19" t="s">
        <v>5801</v>
      </c>
      <c r="E1560" s="2"/>
      <c r="F1560" s="19"/>
    </row>
    <row r="1561" ht="15.75" customHeight="1">
      <c r="A1561" s="1">
        <v>4.5967361E7</v>
      </c>
      <c r="B1561" s="2" t="s">
        <v>414</v>
      </c>
      <c r="C1561" s="19" t="s">
        <v>5802</v>
      </c>
      <c r="D1561" s="19"/>
      <c r="E1561" s="2"/>
      <c r="F1561" s="19"/>
    </row>
    <row r="1562" ht="15.75" customHeight="1">
      <c r="A1562" s="1">
        <v>4.5975826E7</v>
      </c>
      <c r="B1562" s="2" t="s">
        <v>2292</v>
      </c>
      <c r="C1562" s="19" t="s">
        <v>5803</v>
      </c>
      <c r="D1562" s="19"/>
      <c r="E1562" s="2"/>
      <c r="F1562" s="19"/>
    </row>
    <row r="1563" ht="15.75" customHeight="1">
      <c r="A1563" s="1">
        <v>4.5978094E7</v>
      </c>
      <c r="B1563" s="2" t="s">
        <v>1402</v>
      </c>
      <c r="C1563" s="19" t="s">
        <v>5804</v>
      </c>
      <c r="D1563" s="19"/>
      <c r="E1563" s="2"/>
      <c r="F1563" s="19"/>
    </row>
    <row r="1564" ht="15.75" customHeight="1">
      <c r="A1564" s="1">
        <v>4.5980951E7</v>
      </c>
      <c r="B1564" s="2" t="s">
        <v>493</v>
      </c>
      <c r="C1564" s="19" t="s">
        <v>5805</v>
      </c>
      <c r="D1564" s="19" t="s">
        <v>5806</v>
      </c>
      <c r="E1564" s="2"/>
      <c r="F1564" s="19"/>
    </row>
    <row r="1565" ht="15.75" customHeight="1">
      <c r="A1565" s="1">
        <v>4.599373E7</v>
      </c>
      <c r="B1565" s="2" t="s">
        <v>815</v>
      </c>
      <c r="C1565" s="19" t="s">
        <v>5807</v>
      </c>
      <c r="D1565" s="19"/>
      <c r="E1565" s="2"/>
      <c r="F1565" s="19"/>
    </row>
    <row r="1566" ht="15.75" customHeight="1">
      <c r="A1566" s="1">
        <v>4.5996851E7</v>
      </c>
      <c r="B1566" s="2" t="s">
        <v>623</v>
      </c>
      <c r="C1566" s="19" t="s">
        <v>5808</v>
      </c>
      <c r="D1566" s="19" t="s">
        <v>5809</v>
      </c>
      <c r="E1566" s="2"/>
      <c r="F1566" s="19"/>
    </row>
    <row r="1567" ht="15.75" customHeight="1">
      <c r="A1567" s="1">
        <v>4.6001148E7</v>
      </c>
      <c r="B1567" s="2" t="s">
        <v>224</v>
      </c>
      <c r="C1567" s="19" t="s">
        <v>5810</v>
      </c>
      <c r="D1567" s="19" t="s">
        <v>5811</v>
      </c>
      <c r="E1567" s="2"/>
      <c r="F1567" s="19"/>
    </row>
    <row r="1568" ht="15.75" customHeight="1">
      <c r="A1568" s="1">
        <v>4.6016491E7</v>
      </c>
      <c r="B1568" s="2" t="s">
        <v>2369</v>
      </c>
      <c r="C1568" s="19" t="s">
        <v>5812</v>
      </c>
      <c r="D1568" s="19"/>
      <c r="E1568" s="2"/>
      <c r="F1568" s="19"/>
    </row>
    <row r="1569" ht="15.75" customHeight="1">
      <c r="A1569" s="1">
        <v>4.6016758E7</v>
      </c>
      <c r="B1569" s="2" t="s">
        <v>1205</v>
      </c>
      <c r="C1569" s="19" t="s">
        <v>5813</v>
      </c>
      <c r="D1569" s="19"/>
      <c r="E1569" s="2"/>
      <c r="F1569" s="19"/>
    </row>
    <row r="1570" ht="15.75" customHeight="1">
      <c r="A1570" s="1">
        <v>4.603813E7</v>
      </c>
      <c r="B1570" s="2" t="s">
        <v>1334</v>
      </c>
      <c r="C1570" s="19" t="s">
        <v>5814</v>
      </c>
      <c r="D1570" s="19"/>
      <c r="E1570" s="2"/>
      <c r="F1570" s="19"/>
    </row>
    <row r="1571" ht="15.75" customHeight="1">
      <c r="A1571" s="1">
        <v>4.6041253E7</v>
      </c>
      <c r="B1571" s="2" t="s">
        <v>1841</v>
      </c>
      <c r="C1571" s="19" t="s">
        <v>5815</v>
      </c>
      <c r="D1571" s="19"/>
      <c r="E1571" s="2"/>
      <c r="F1571" s="19"/>
    </row>
    <row r="1572" ht="15.75" customHeight="1">
      <c r="A1572" s="1">
        <v>4.6057517E7</v>
      </c>
      <c r="B1572" s="2" t="s">
        <v>637</v>
      </c>
      <c r="C1572" s="19" t="s">
        <v>5816</v>
      </c>
      <c r="D1572" s="19" t="s">
        <v>5817</v>
      </c>
      <c r="E1572" s="2"/>
      <c r="F1572" s="19"/>
    </row>
    <row r="1573" ht="15.75" customHeight="1">
      <c r="A1573" s="1">
        <v>4.605866E7</v>
      </c>
      <c r="B1573" s="2" t="s">
        <v>1087</v>
      </c>
      <c r="C1573" s="19" t="s">
        <v>5818</v>
      </c>
      <c r="D1573" s="19"/>
      <c r="E1573" s="2"/>
      <c r="F1573" s="19"/>
    </row>
    <row r="1574" ht="15.75" customHeight="1">
      <c r="A1574" s="1">
        <v>4.6058884E7</v>
      </c>
      <c r="B1574" s="2" t="s">
        <v>2739</v>
      </c>
      <c r="C1574" s="19" t="s">
        <v>5819</v>
      </c>
      <c r="D1574" s="19"/>
      <c r="E1574" s="2"/>
      <c r="F1574" s="19"/>
    </row>
    <row r="1575" ht="15.75" customHeight="1">
      <c r="A1575" s="1">
        <v>4.6060441E7</v>
      </c>
      <c r="B1575" s="2" t="s">
        <v>1567</v>
      </c>
      <c r="C1575" s="19" t="s">
        <v>5820</v>
      </c>
      <c r="D1575" s="19" t="s">
        <v>5821</v>
      </c>
      <c r="E1575" s="2"/>
      <c r="F1575" s="19"/>
    </row>
    <row r="1576" ht="15.75" customHeight="1">
      <c r="A1576" s="1">
        <v>4.6061585E7</v>
      </c>
      <c r="B1576" s="2" t="s">
        <v>1285</v>
      </c>
      <c r="C1576" s="19" t="s">
        <v>5822</v>
      </c>
      <c r="D1576" s="19"/>
      <c r="E1576" s="2"/>
      <c r="F1576" s="19"/>
    </row>
    <row r="1577" ht="15.75" customHeight="1">
      <c r="A1577" s="1">
        <v>4.6065546E7</v>
      </c>
      <c r="B1577" s="2" t="s">
        <v>250</v>
      </c>
      <c r="C1577" s="19" t="s">
        <v>5823</v>
      </c>
      <c r="D1577" s="19" t="s">
        <v>5824</v>
      </c>
      <c r="E1577" s="2"/>
      <c r="F1577" s="19"/>
    </row>
    <row r="1578" ht="15.75" customHeight="1">
      <c r="A1578" s="1">
        <v>4.6342043E7</v>
      </c>
      <c r="B1578" s="2" t="s">
        <v>1079</v>
      </c>
      <c r="C1578" s="19" t="s">
        <v>5825</v>
      </c>
      <c r="D1578" s="19"/>
      <c r="E1578" s="2"/>
      <c r="F1578" s="19"/>
    </row>
    <row r="1579" ht="15.75" customHeight="1">
      <c r="A1579" s="1">
        <v>4.7258899E7</v>
      </c>
      <c r="B1579" s="2" t="s">
        <v>103</v>
      </c>
      <c r="C1579" s="19" t="s">
        <v>5826</v>
      </c>
      <c r="D1579" s="19"/>
      <c r="E1579" s="2"/>
      <c r="F1579" s="19"/>
    </row>
    <row r="1580" ht="15.75" customHeight="1">
      <c r="A1580" s="1">
        <v>4.7820964E7</v>
      </c>
      <c r="B1580" s="2" t="s">
        <v>1308</v>
      </c>
      <c r="C1580" s="19" t="s">
        <v>5827</v>
      </c>
      <c r="D1580" s="19"/>
      <c r="E1580" s="2"/>
      <c r="F1580" s="19"/>
    </row>
    <row r="1581" ht="15.75" customHeight="1">
      <c r="A1581" s="1">
        <v>4.8284673E7</v>
      </c>
      <c r="B1581" s="2" t="s">
        <v>1462</v>
      </c>
      <c r="C1581" s="19" t="s">
        <v>5828</v>
      </c>
      <c r="D1581" s="19"/>
      <c r="E1581" s="2"/>
      <c r="F1581" s="19"/>
    </row>
    <row r="1582" ht="15.75" customHeight="1">
      <c r="A1582" s="1">
        <v>4.8287957E7</v>
      </c>
      <c r="B1582" s="2" t="s">
        <v>203</v>
      </c>
      <c r="C1582" s="19" t="s">
        <v>5829</v>
      </c>
      <c r="D1582" s="19"/>
      <c r="E1582" s="2"/>
      <c r="F1582" s="19"/>
    </row>
    <row r="1583" ht="15.75" customHeight="1">
      <c r="A1583" s="1">
        <v>4.8291882E7</v>
      </c>
      <c r="B1583" s="2" t="s">
        <v>1300</v>
      </c>
      <c r="C1583" s="19" t="s">
        <v>5830</v>
      </c>
      <c r="D1583" s="19"/>
      <c r="E1583" s="2"/>
      <c r="F1583" s="19"/>
    </row>
    <row r="1584" ht="15.75" customHeight="1">
      <c r="A1584" s="1">
        <v>4.8315396E7</v>
      </c>
      <c r="B1584" s="2" t="s">
        <v>977</v>
      </c>
      <c r="C1584" s="19" t="s">
        <v>5831</v>
      </c>
      <c r="D1584" s="19"/>
      <c r="E1584" s="2"/>
      <c r="F1584" s="19"/>
    </row>
    <row r="1585" ht="15.75" customHeight="1">
      <c r="A1585" s="1">
        <v>4.8324549E7</v>
      </c>
      <c r="B1585" s="2" t="s">
        <v>1519</v>
      </c>
      <c r="C1585" s="19" t="s">
        <v>5832</v>
      </c>
      <c r="D1585" s="19" t="s">
        <v>5833</v>
      </c>
      <c r="E1585" s="2"/>
      <c r="F1585" s="19"/>
    </row>
    <row r="1586" ht="15.75" customHeight="1">
      <c r="A1586" s="1">
        <v>4.8342522E7</v>
      </c>
      <c r="B1586" s="2" t="s">
        <v>879</v>
      </c>
      <c r="C1586" s="19" t="s">
        <v>5834</v>
      </c>
      <c r="D1586" s="19"/>
      <c r="E1586" s="2"/>
      <c r="F1586" s="19"/>
    </row>
    <row r="1587" ht="15.75" customHeight="1">
      <c r="A1587" s="1">
        <v>4.8383905E7</v>
      </c>
      <c r="B1587" s="2" t="s">
        <v>1325</v>
      </c>
      <c r="C1587" s="19" t="s">
        <v>5835</v>
      </c>
      <c r="D1587" s="19" t="s">
        <v>5836</v>
      </c>
      <c r="E1587" s="2"/>
      <c r="F1587" s="19"/>
    </row>
    <row r="1588" ht="15.75" customHeight="1">
      <c r="A1588" s="1">
        <v>4.8385134E7</v>
      </c>
      <c r="B1588" s="2" t="s">
        <v>2603</v>
      </c>
      <c r="C1588" s="19" t="s">
        <v>5837</v>
      </c>
      <c r="D1588" s="19"/>
      <c r="E1588" s="2"/>
      <c r="F1588" s="19"/>
    </row>
    <row r="1589" ht="15.75" customHeight="1">
      <c r="A1589" s="1">
        <v>4.8392222E7</v>
      </c>
      <c r="B1589" s="2" t="s">
        <v>874</v>
      </c>
      <c r="C1589" s="19" t="s">
        <v>5838</v>
      </c>
      <c r="D1589" s="19"/>
      <c r="E1589" s="2"/>
      <c r="F1589" s="19"/>
    </row>
    <row r="1590" ht="15.75" customHeight="1">
      <c r="A1590" s="1">
        <v>4.840473E7</v>
      </c>
      <c r="B1590" s="2" t="s">
        <v>2037</v>
      </c>
      <c r="C1590" s="19" t="s">
        <v>5839</v>
      </c>
      <c r="D1590" s="19"/>
      <c r="E1590" s="2"/>
      <c r="F1590" s="19"/>
    </row>
    <row r="1591" ht="15.75" customHeight="1">
      <c r="A1591" s="1">
        <v>4.8413268E7</v>
      </c>
      <c r="B1591" s="2" t="s">
        <v>2543</v>
      </c>
      <c r="C1591" s="19" t="s">
        <v>5840</v>
      </c>
      <c r="D1591" s="19"/>
      <c r="E1591" s="2"/>
      <c r="F1591" s="19"/>
    </row>
    <row r="1592" ht="15.75" customHeight="1">
      <c r="A1592" s="1">
        <v>4.8426028E7</v>
      </c>
      <c r="B1592" s="2" t="s">
        <v>1786</v>
      </c>
      <c r="C1592" s="19" t="s">
        <v>5841</v>
      </c>
      <c r="D1592" s="19" t="s">
        <v>5842</v>
      </c>
      <c r="E1592" s="2"/>
      <c r="F1592" s="19"/>
    </row>
    <row r="1593" ht="15.75" customHeight="1">
      <c r="A1593" s="1">
        <v>4.8439782E7</v>
      </c>
      <c r="B1593" s="2" t="s">
        <v>124</v>
      </c>
      <c r="C1593" s="19" t="s">
        <v>5843</v>
      </c>
      <c r="D1593" s="19"/>
      <c r="E1593" s="2"/>
      <c r="F1593" s="19"/>
    </row>
    <row r="1594" ht="15.75" customHeight="1">
      <c r="A1594" s="1">
        <v>4.8439868E7</v>
      </c>
      <c r="B1594" s="2" t="s">
        <v>1183</v>
      </c>
      <c r="C1594" s="19" t="s">
        <v>5844</v>
      </c>
      <c r="D1594" s="19" t="s">
        <v>5845</v>
      </c>
      <c r="E1594" s="2"/>
      <c r="F1594" s="19"/>
    </row>
    <row r="1595" ht="15.75" customHeight="1">
      <c r="A1595" s="1">
        <v>4.8443288E7</v>
      </c>
      <c r="B1595" s="2" t="s">
        <v>648</v>
      </c>
      <c r="C1595" s="19" t="s">
        <v>5846</v>
      </c>
      <c r="D1595" s="19"/>
      <c r="E1595" s="2"/>
      <c r="F1595" s="19"/>
    </row>
    <row r="1596" ht="15.75" customHeight="1">
      <c r="A1596" s="1">
        <v>4.8452352E7</v>
      </c>
      <c r="B1596" s="2" t="s">
        <v>401</v>
      </c>
      <c r="C1596" s="19" t="s">
        <v>5847</v>
      </c>
      <c r="D1596" s="19" t="s">
        <v>5848</v>
      </c>
      <c r="E1596" s="2"/>
      <c r="F1596" s="19"/>
    </row>
    <row r="1597" ht="15.75" customHeight="1">
      <c r="A1597" s="1">
        <v>4.8454558E7</v>
      </c>
      <c r="B1597" s="2" t="s">
        <v>2674</v>
      </c>
      <c r="C1597" s="19" t="s">
        <v>5849</v>
      </c>
      <c r="D1597" s="19"/>
      <c r="E1597" s="2"/>
      <c r="F1597" s="19"/>
    </row>
    <row r="1598" ht="15.75" customHeight="1">
      <c r="A1598" s="1">
        <v>4.8466362E7</v>
      </c>
      <c r="B1598" s="2" t="s">
        <v>360</v>
      </c>
      <c r="C1598" s="19" t="s">
        <v>5850</v>
      </c>
      <c r="D1598" s="19" t="s">
        <v>5851</v>
      </c>
      <c r="E1598" s="2"/>
      <c r="F1598" s="19"/>
    </row>
    <row r="1599" ht="15.75" customHeight="1">
      <c r="A1599" s="1">
        <v>4.8482803E7</v>
      </c>
      <c r="B1599" s="2" t="s">
        <v>952</v>
      </c>
      <c r="C1599" s="19" t="s">
        <v>5852</v>
      </c>
      <c r="D1599" s="19" t="s">
        <v>5853</v>
      </c>
      <c r="E1599" s="2"/>
      <c r="F1599" s="19"/>
    </row>
    <row r="1600" ht="15.75" customHeight="1">
      <c r="A1600" s="1">
        <v>4.8520584E7</v>
      </c>
      <c r="B1600" s="2" t="s">
        <v>2571</v>
      </c>
      <c r="C1600" s="19" t="s">
        <v>5854</v>
      </c>
      <c r="D1600" s="19"/>
      <c r="E1600" s="2"/>
      <c r="F1600" s="19"/>
    </row>
    <row r="1601" ht="15.75" customHeight="1">
      <c r="A1601" s="1">
        <v>4.8525962E7</v>
      </c>
      <c r="B1601" s="2" t="s">
        <v>2469</v>
      </c>
      <c r="C1601" s="19" t="s">
        <v>5855</v>
      </c>
      <c r="D1601" s="19"/>
      <c r="E1601" s="2"/>
      <c r="F1601" s="19"/>
    </row>
    <row r="1602" ht="15.75" customHeight="1">
      <c r="A1602" s="1">
        <v>4.8528931E7</v>
      </c>
      <c r="B1602" s="2" t="s">
        <v>926</v>
      </c>
      <c r="C1602" s="19" t="s">
        <v>5856</v>
      </c>
      <c r="D1602" s="19" t="s">
        <v>5857</v>
      </c>
      <c r="E1602" s="2"/>
      <c r="F1602" s="19"/>
    </row>
    <row r="1603" ht="15.75" customHeight="1">
      <c r="A1603" s="1">
        <v>4.8556498E7</v>
      </c>
      <c r="B1603" s="2" t="s">
        <v>143</v>
      </c>
      <c r="C1603" s="19" t="s">
        <v>5858</v>
      </c>
      <c r="D1603" s="19"/>
      <c r="E1603" s="2"/>
      <c r="F1603" s="19"/>
    </row>
    <row r="1604" ht="15.75" customHeight="1">
      <c r="A1604" s="1">
        <v>4.8591858E7</v>
      </c>
      <c r="B1604" s="2" t="s">
        <v>1184</v>
      </c>
      <c r="C1604" s="19" t="s">
        <v>5859</v>
      </c>
      <c r="D1604" s="19" t="s">
        <v>5860</v>
      </c>
      <c r="E1604" s="2"/>
      <c r="F1604" s="19"/>
    </row>
    <row r="1605" ht="15.75" customHeight="1">
      <c r="A1605" s="1">
        <v>4.8601226E7</v>
      </c>
      <c r="B1605" s="2" t="s">
        <v>232</v>
      </c>
      <c r="C1605" s="19" t="s">
        <v>5861</v>
      </c>
      <c r="D1605" s="19"/>
      <c r="E1605" s="2"/>
      <c r="F1605" s="19"/>
    </row>
    <row r="1606" ht="15.75" customHeight="1">
      <c r="A1606" s="1">
        <v>4.8602318E7</v>
      </c>
      <c r="B1606" s="2" t="s">
        <v>2118</v>
      </c>
      <c r="C1606" s="19" t="s">
        <v>5862</v>
      </c>
      <c r="D1606" s="19" t="s">
        <v>5863</v>
      </c>
      <c r="E1606" s="2"/>
      <c r="F1606" s="19"/>
    </row>
    <row r="1607" ht="15.75" customHeight="1">
      <c r="A1607" s="1">
        <v>4.8611557E7</v>
      </c>
      <c r="B1607" s="2" t="s">
        <v>2312</v>
      </c>
      <c r="C1607" s="19" t="s">
        <v>5864</v>
      </c>
      <c r="D1607" s="19"/>
      <c r="E1607" s="2"/>
      <c r="F1607" s="19"/>
    </row>
    <row r="1608" ht="15.75" customHeight="1">
      <c r="A1608" s="1">
        <v>4.8621279E7</v>
      </c>
      <c r="B1608" s="2" t="s">
        <v>1938</v>
      </c>
      <c r="C1608" s="19" t="s">
        <v>5865</v>
      </c>
      <c r="D1608" s="19"/>
      <c r="E1608" s="2"/>
      <c r="F1608" s="19"/>
    </row>
    <row r="1609" ht="15.75" customHeight="1">
      <c r="A1609" s="1">
        <v>4.8628269E7</v>
      </c>
      <c r="B1609" s="2" t="s">
        <v>1771</v>
      </c>
      <c r="C1609" s="19" t="s">
        <v>5866</v>
      </c>
      <c r="D1609" s="19" t="s">
        <v>5867</v>
      </c>
      <c r="E1609" s="2"/>
      <c r="F1609" s="19"/>
    </row>
    <row r="1610" ht="15.75" customHeight="1">
      <c r="A1610" s="1">
        <v>4.863339E7</v>
      </c>
      <c r="B1610" s="2" t="s">
        <v>2616</v>
      </c>
      <c r="C1610" s="19" t="s">
        <v>5868</v>
      </c>
      <c r="D1610" s="19" t="s">
        <v>5869</v>
      </c>
      <c r="E1610" s="2"/>
      <c r="F1610" s="19"/>
    </row>
    <row r="1611" ht="15.75" customHeight="1">
      <c r="A1611" s="1">
        <v>4.8641569E7</v>
      </c>
      <c r="B1611" s="2" t="s">
        <v>1335</v>
      </c>
      <c r="C1611" s="19" t="s">
        <v>5870</v>
      </c>
      <c r="D1611" s="19"/>
      <c r="E1611" s="2"/>
      <c r="F1611" s="19"/>
    </row>
    <row r="1612" ht="15.75" customHeight="1">
      <c r="A1612" s="1">
        <v>4.8642274E7</v>
      </c>
      <c r="B1612" s="2" t="s">
        <v>2382</v>
      </c>
      <c r="C1612" s="19" t="s">
        <v>5871</v>
      </c>
      <c r="D1612" s="19" t="s">
        <v>5872</v>
      </c>
      <c r="E1612" s="2"/>
      <c r="F1612" s="19"/>
    </row>
    <row r="1613" ht="15.75" customHeight="1">
      <c r="A1613" s="1">
        <v>4.8647359E7</v>
      </c>
      <c r="B1613" s="2" t="s">
        <v>2313</v>
      </c>
      <c r="C1613" s="19" t="s">
        <v>5873</v>
      </c>
      <c r="D1613" s="19"/>
      <c r="E1613" s="2"/>
      <c r="F1613" s="19"/>
    </row>
    <row r="1614" ht="15.75" customHeight="1">
      <c r="A1614" s="1">
        <v>4.8649652E7</v>
      </c>
      <c r="B1614" s="2" t="s">
        <v>1210</v>
      </c>
      <c r="C1614" s="19" t="s">
        <v>5874</v>
      </c>
      <c r="D1614" s="19"/>
      <c r="E1614" s="2"/>
      <c r="F1614" s="19"/>
    </row>
    <row r="1615" ht="15.75" customHeight="1">
      <c r="A1615" s="1">
        <v>4.8651904E7</v>
      </c>
      <c r="B1615" s="2" t="s">
        <v>2108</v>
      </c>
      <c r="C1615" s="19" t="s">
        <v>5875</v>
      </c>
      <c r="D1615" s="19" t="s">
        <v>5876</v>
      </c>
      <c r="E1615" s="2"/>
      <c r="F1615" s="19"/>
    </row>
    <row r="1616" ht="15.75" customHeight="1">
      <c r="A1616" s="1">
        <v>4.8672445E7</v>
      </c>
      <c r="B1616" s="2" t="s">
        <v>229</v>
      </c>
      <c r="C1616" s="19" t="s">
        <v>5877</v>
      </c>
      <c r="D1616" s="19"/>
      <c r="E1616" s="2"/>
      <c r="F1616" s="19"/>
    </row>
    <row r="1617" ht="15.75" customHeight="1">
      <c r="A1617" s="1">
        <v>4.8736701E7</v>
      </c>
      <c r="B1617" s="2" t="s">
        <v>1509</v>
      </c>
      <c r="C1617" s="19" t="s">
        <v>5878</v>
      </c>
      <c r="D1617" s="19"/>
      <c r="E1617" s="2"/>
      <c r="F1617" s="19"/>
    </row>
    <row r="1618" ht="15.75" customHeight="1">
      <c r="A1618" s="1">
        <v>4.875241E7</v>
      </c>
      <c r="B1618" s="2" t="s">
        <v>2470</v>
      </c>
      <c r="C1618" s="19" t="s">
        <v>5879</v>
      </c>
      <c r="D1618" s="19"/>
      <c r="E1618" s="2"/>
      <c r="F1618" s="19"/>
    </row>
    <row r="1619" ht="15.75" customHeight="1">
      <c r="A1619" s="1">
        <v>4.8757984E7</v>
      </c>
      <c r="B1619" s="2" t="s">
        <v>1082</v>
      </c>
      <c r="C1619" s="19" t="s">
        <v>5880</v>
      </c>
      <c r="D1619" s="19" t="s">
        <v>5881</v>
      </c>
      <c r="E1619" s="2"/>
      <c r="F1619" s="19"/>
    </row>
    <row r="1620" ht="15.75" customHeight="1">
      <c r="A1620" s="1">
        <v>4.8761222E7</v>
      </c>
      <c r="B1620" s="2" t="s">
        <v>822</v>
      </c>
      <c r="C1620" s="19" t="s">
        <v>5882</v>
      </c>
      <c r="D1620" s="19"/>
      <c r="E1620" s="2"/>
      <c r="F1620" s="19"/>
    </row>
    <row r="1621" ht="15.75" customHeight="1">
      <c r="A1621" s="1">
        <v>4.8773927E7</v>
      </c>
      <c r="B1621" s="2" t="s">
        <v>1890</v>
      </c>
      <c r="C1621" s="19" t="s">
        <v>5883</v>
      </c>
      <c r="D1621" s="19"/>
      <c r="E1621" s="2"/>
      <c r="F1621" s="19"/>
    </row>
    <row r="1622" ht="15.75" customHeight="1">
      <c r="A1622" s="1">
        <v>4.8775484E7</v>
      </c>
      <c r="B1622" s="2" t="s">
        <v>1297</v>
      </c>
      <c r="C1622" s="19" t="s">
        <v>5884</v>
      </c>
      <c r="D1622" s="19"/>
      <c r="E1622" s="2"/>
      <c r="F1622" s="19"/>
    </row>
    <row r="1623" ht="15.75" customHeight="1">
      <c r="A1623" s="1">
        <v>4.8785562E7</v>
      </c>
      <c r="B1623" s="2" t="s">
        <v>608</v>
      </c>
      <c r="C1623" s="19" t="s">
        <v>5885</v>
      </c>
      <c r="D1623" s="19"/>
      <c r="E1623" s="2"/>
      <c r="F1623" s="19"/>
    </row>
    <row r="1624" ht="15.75" customHeight="1">
      <c r="A1624" s="1">
        <v>4.8791497E7</v>
      </c>
      <c r="B1624" s="2" t="s">
        <v>1794</v>
      </c>
      <c r="C1624" s="19" t="s">
        <v>5886</v>
      </c>
      <c r="D1624" s="19"/>
      <c r="E1624" s="2"/>
      <c r="F1624" s="19"/>
    </row>
    <row r="1625" ht="15.75" customHeight="1">
      <c r="A1625" s="1">
        <v>4.879451E7</v>
      </c>
      <c r="B1625" s="2" t="s">
        <v>1521</v>
      </c>
      <c r="C1625" s="19" t="s">
        <v>5887</v>
      </c>
      <c r="D1625" s="19"/>
      <c r="E1625" s="2"/>
      <c r="F1625" s="19"/>
    </row>
    <row r="1626" ht="15.75" customHeight="1">
      <c r="A1626" s="1">
        <v>4.8805877E7</v>
      </c>
      <c r="B1626" s="2" t="s">
        <v>888</v>
      </c>
      <c r="C1626" s="19" t="s">
        <v>5888</v>
      </c>
      <c r="D1626" s="19" t="s">
        <v>5889</v>
      </c>
      <c r="E1626" s="2"/>
      <c r="F1626" s="19"/>
    </row>
    <row r="1627" ht="15.75" customHeight="1">
      <c r="A1627" s="1">
        <v>4.8813443E7</v>
      </c>
      <c r="B1627" s="2" t="s">
        <v>236</v>
      </c>
      <c r="C1627" s="19" t="s">
        <v>5890</v>
      </c>
      <c r="D1627" s="19"/>
      <c r="E1627" s="2"/>
      <c r="F1627" s="19"/>
    </row>
    <row r="1628" ht="15.75" customHeight="1">
      <c r="A1628" s="1">
        <v>4.8817664E7</v>
      </c>
      <c r="B1628" s="2" t="s">
        <v>2187</v>
      </c>
      <c r="C1628" s="19" t="s">
        <v>5891</v>
      </c>
      <c r="D1628" s="19"/>
      <c r="E1628" s="2"/>
      <c r="F1628" s="19"/>
    </row>
    <row r="1629" ht="15.75" customHeight="1">
      <c r="A1629" s="1">
        <v>4.8837776E7</v>
      </c>
      <c r="B1629" s="2" t="s">
        <v>1062</v>
      </c>
      <c r="C1629" s="19" t="s">
        <v>5892</v>
      </c>
      <c r="D1629" s="19"/>
      <c r="E1629" s="2"/>
      <c r="F1629" s="19"/>
    </row>
    <row r="1630" ht="15.75" customHeight="1">
      <c r="A1630" s="1">
        <v>4.8842439E7</v>
      </c>
      <c r="B1630" s="2" t="s">
        <v>476</v>
      </c>
      <c r="C1630" s="19" t="s">
        <v>5893</v>
      </c>
      <c r="D1630" s="19" t="s">
        <v>5894</v>
      </c>
      <c r="E1630" s="2"/>
      <c r="F1630" s="19"/>
    </row>
    <row r="1631" ht="15.75" customHeight="1">
      <c r="A1631" s="1">
        <v>4.8865565E7</v>
      </c>
      <c r="B1631" s="2" t="s">
        <v>319</v>
      </c>
      <c r="C1631" s="19" t="s">
        <v>5895</v>
      </c>
      <c r="D1631" s="19" t="s">
        <v>5896</v>
      </c>
      <c r="E1631" s="2"/>
      <c r="F1631" s="19"/>
    </row>
    <row r="1632" ht="15.75" customHeight="1">
      <c r="A1632" s="1">
        <v>4.8866981E7</v>
      </c>
      <c r="B1632" s="2" t="s">
        <v>457</v>
      </c>
      <c r="C1632" s="19" t="s">
        <v>5897</v>
      </c>
      <c r="D1632" s="19"/>
      <c r="E1632" s="2"/>
      <c r="F1632" s="19"/>
    </row>
    <row r="1633" ht="15.75" customHeight="1">
      <c r="A1633" s="1">
        <v>4.8869897E7</v>
      </c>
      <c r="B1633" s="2" t="s">
        <v>1278</v>
      </c>
      <c r="C1633" s="19" t="s">
        <v>5898</v>
      </c>
      <c r="D1633" s="19"/>
      <c r="E1633" s="2"/>
      <c r="F1633" s="19"/>
    </row>
    <row r="1634" ht="15.75" customHeight="1">
      <c r="A1634" s="1">
        <v>4.8870896E7</v>
      </c>
      <c r="B1634" s="2" t="s">
        <v>1906</v>
      </c>
      <c r="C1634" s="19" t="s">
        <v>5899</v>
      </c>
      <c r="D1634" s="19"/>
      <c r="E1634" s="2"/>
      <c r="F1634" s="19"/>
    </row>
    <row r="1635" ht="15.75" customHeight="1">
      <c r="A1635" s="1">
        <v>4.8871444E7</v>
      </c>
      <c r="B1635" s="2" t="s">
        <v>482</v>
      </c>
      <c r="C1635" s="19" t="s">
        <v>5900</v>
      </c>
      <c r="D1635" s="19" t="s">
        <v>5901</v>
      </c>
      <c r="E1635" s="2"/>
      <c r="F1635" s="19"/>
    </row>
    <row r="1636" ht="15.75" customHeight="1">
      <c r="A1636" s="1">
        <v>4.8875608E7</v>
      </c>
      <c r="B1636" s="2" t="s">
        <v>991</v>
      </c>
      <c r="C1636" s="19" t="s">
        <v>5902</v>
      </c>
      <c r="D1636" s="19" t="s">
        <v>5903</v>
      </c>
      <c r="E1636" s="2"/>
      <c r="F1636" s="19"/>
    </row>
    <row r="1637" ht="15.75" customHeight="1">
      <c r="A1637" s="1">
        <v>4.8880561E7</v>
      </c>
      <c r="B1637" s="2" t="s">
        <v>1944</v>
      </c>
      <c r="C1637" s="19" t="s">
        <v>5904</v>
      </c>
      <c r="D1637" s="19"/>
      <c r="E1637" s="2"/>
      <c r="F1637" s="19"/>
    </row>
    <row r="1638" ht="15.75" customHeight="1">
      <c r="A1638" s="1">
        <v>4.8881818E7</v>
      </c>
      <c r="B1638" s="2" t="s">
        <v>1203</v>
      </c>
      <c r="C1638" s="19" t="s">
        <v>5905</v>
      </c>
      <c r="D1638" s="19" t="s">
        <v>5906</v>
      </c>
      <c r="E1638" s="2"/>
      <c r="F1638" s="19"/>
    </row>
    <row r="1639" ht="15.75" customHeight="1">
      <c r="A1639" s="1">
        <v>4.8881877E7</v>
      </c>
      <c r="B1639" s="2" t="s">
        <v>1688</v>
      </c>
      <c r="C1639" s="19" t="s">
        <v>5907</v>
      </c>
      <c r="D1639" s="19"/>
      <c r="E1639" s="2"/>
      <c r="F1639" s="19"/>
    </row>
    <row r="1640" ht="15.75" customHeight="1">
      <c r="A1640" s="1">
        <v>4.8891615E7</v>
      </c>
      <c r="B1640" s="2" t="s">
        <v>770</v>
      </c>
      <c r="C1640" s="19" t="s">
        <v>5908</v>
      </c>
      <c r="D1640" s="19" t="s">
        <v>5909</v>
      </c>
      <c r="E1640" s="2"/>
      <c r="F1640" s="19"/>
    </row>
    <row r="1641" ht="15.75" customHeight="1">
      <c r="A1641" s="1">
        <v>4.8897493E7</v>
      </c>
      <c r="B1641" s="2" t="s">
        <v>122</v>
      </c>
      <c r="C1641" s="19" t="s">
        <v>5910</v>
      </c>
      <c r="D1641" s="19"/>
      <c r="E1641" s="2"/>
      <c r="F1641" s="19"/>
    </row>
    <row r="1642" ht="15.75" customHeight="1">
      <c r="A1642" s="1">
        <v>4.8904349E7</v>
      </c>
      <c r="B1642" s="2" t="s">
        <v>703</v>
      </c>
      <c r="C1642" s="19" t="s">
        <v>5911</v>
      </c>
      <c r="D1642" s="19"/>
      <c r="E1642" s="2"/>
      <c r="F1642" s="19"/>
    </row>
    <row r="1643" ht="15.75" customHeight="1">
      <c r="A1643" s="1">
        <v>4.8906831E7</v>
      </c>
      <c r="B1643" s="2" t="s">
        <v>1046</v>
      </c>
      <c r="C1643" s="19" t="s">
        <v>5912</v>
      </c>
      <c r="D1643" s="19"/>
      <c r="E1643" s="2"/>
      <c r="F1643" s="19"/>
    </row>
    <row r="1644" ht="15.75" customHeight="1">
      <c r="A1644" s="1">
        <v>4.891388E7</v>
      </c>
      <c r="B1644" s="2" t="s">
        <v>1189</v>
      </c>
      <c r="C1644" s="19" t="s">
        <v>5913</v>
      </c>
      <c r="D1644" s="19"/>
      <c r="E1644" s="2"/>
      <c r="F1644" s="19"/>
    </row>
    <row r="1645" ht="15.75" customHeight="1">
      <c r="A1645" s="1">
        <v>4.8914817E7</v>
      </c>
      <c r="B1645" s="2" t="s">
        <v>1307</v>
      </c>
      <c r="C1645" s="19" t="s">
        <v>5914</v>
      </c>
      <c r="D1645" s="19"/>
      <c r="E1645" s="2"/>
      <c r="F1645" s="19"/>
    </row>
    <row r="1646" ht="15.75" customHeight="1">
      <c r="A1646" s="1">
        <v>4.8926866E7</v>
      </c>
      <c r="B1646" s="2" t="s">
        <v>454</v>
      </c>
      <c r="C1646" s="19" t="s">
        <v>5915</v>
      </c>
      <c r="D1646" s="19" t="s">
        <v>5916</v>
      </c>
      <c r="E1646" s="2"/>
      <c r="F1646" s="19"/>
    </row>
    <row r="1647" ht="15.75" customHeight="1">
      <c r="A1647" s="1">
        <v>4.893329E7</v>
      </c>
      <c r="B1647" s="2" t="s">
        <v>2604</v>
      </c>
      <c r="C1647" s="19" t="s">
        <v>5917</v>
      </c>
      <c r="D1647" s="19"/>
      <c r="E1647" s="2"/>
      <c r="F1647" s="19"/>
    </row>
    <row r="1648" ht="15.75" customHeight="1">
      <c r="A1648" s="1">
        <v>4.8950826E7</v>
      </c>
      <c r="B1648" s="2" t="s">
        <v>1195</v>
      </c>
      <c r="C1648" s="19" t="s">
        <v>5918</v>
      </c>
      <c r="D1648" s="19" t="s">
        <v>5919</v>
      </c>
      <c r="E1648" s="2"/>
      <c r="F1648" s="19"/>
    </row>
    <row r="1649" ht="15.75" customHeight="1">
      <c r="A1649" s="1">
        <v>4.8952883E7</v>
      </c>
      <c r="B1649" s="2" t="s">
        <v>1038</v>
      </c>
      <c r="C1649" s="19" t="s">
        <v>5920</v>
      </c>
      <c r="D1649" s="19"/>
      <c r="E1649" s="2"/>
      <c r="F1649" s="19"/>
    </row>
    <row r="1650" ht="15.75" customHeight="1">
      <c r="A1650" s="1">
        <v>4.8979623E7</v>
      </c>
      <c r="B1650" s="2" t="s">
        <v>1538</v>
      </c>
      <c r="C1650" s="19" t="s">
        <v>5921</v>
      </c>
      <c r="D1650" s="19"/>
      <c r="E1650" s="2"/>
      <c r="F1650" s="19"/>
    </row>
    <row r="1651" ht="15.75" customHeight="1">
      <c r="A1651" s="1">
        <v>4.8981236E7</v>
      </c>
      <c r="B1651" s="2" t="s">
        <v>2819</v>
      </c>
      <c r="C1651" s="19" t="s">
        <v>5922</v>
      </c>
      <c r="D1651" s="19" t="s">
        <v>5923</v>
      </c>
      <c r="E1651" s="2"/>
      <c r="F1651" s="19"/>
    </row>
    <row r="1652" ht="15.75" customHeight="1">
      <c r="A1652" s="1">
        <v>4.8997601E7</v>
      </c>
      <c r="B1652" s="2" t="s">
        <v>337</v>
      </c>
      <c r="C1652" s="19" t="s">
        <v>5924</v>
      </c>
      <c r="D1652" s="19"/>
      <c r="E1652" s="2"/>
      <c r="F1652" s="19"/>
    </row>
    <row r="1653" ht="15.75" customHeight="1">
      <c r="A1653" s="1">
        <v>4.9002928E7</v>
      </c>
      <c r="B1653" s="2" t="s">
        <v>3096</v>
      </c>
      <c r="C1653" s="19" t="s">
        <v>5925</v>
      </c>
      <c r="D1653" s="19"/>
      <c r="E1653" s="2"/>
      <c r="F1653" s="19"/>
    </row>
    <row r="1654" ht="15.75" customHeight="1">
      <c r="A1654" s="1">
        <v>4.9020892E7</v>
      </c>
      <c r="B1654" s="2" t="s">
        <v>1109</v>
      </c>
      <c r="C1654" s="19" t="s">
        <v>5926</v>
      </c>
      <c r="D1654" s="19" t="s">
        <v>5927</v>
      </c>
      <c r="E1654" s="2"/>
      <c r="F1654" s="19"/>
    </row>
    <row r="1655" ht="15.75" customHeight="1">
      <c r="A1655" s="1">
        <v>4.9035373E7</v>
      </c>
      <c r="B1655" s="2" t="s">
        <v>2349</v>
      </c>
      <c r="C1655" s="19" t="s">
        <v>5928</v>
      </c>
      <c r="D1655" s="19"/>
      <c r="E1655" s="2"/>
      <c r="F1655" s="19"/>
    </row>
    <row r="1656" ht="15.75" customHeight="1">
      <c r="A1656" s="1">
        <v>4.9042255E7</v>
      </c>
      <c r="B1656" s="2" t="s">
        <v>394</v>
      </c>
      <c r="C1656" s="19" t="s">
        <v>5929</v>
      </c>
      <c r="D1656" s="19" t="s">
        <v>5930</v>
      </c>
      <c r="E1656" s="2"/>
      <c r="F1656" s="19"/>
    </row>
    <row r="1657" ht="15.75" customHeight="1">
      <c r="A1657" s="1">
        <v>4.90515E7</v>
      </c>
      <c r="B1657" s="2" t="s">
        <v>713</v>
      </c>
      <c r="C1657" s="19" t="s">
        <v>5931</v>
      </c>
      <c r="D1657" s="19"/>
      <c r="E1657" s="2"/>
      <c r="F1657" s="19"/>
    </row>
    <row r="1658" ht="15.75" customHeight="1">
      <c r="A1658" s="1">
        <v>4.9097763E7</v>
      </c>
      <c r="B1658" s="2" t="s">
        <v>1386</v>
      </c>
      <c r="C1658" s="19" t="s">
        <v>5932</v>
      </c>
      <c r="D1658" s="19" t="s">
        <v>5933</v>
      </c>
      <c r="E1658" s="2"/>
      <c r="F1658" s="19"/>
    </row>
    <row r="1659" ht="15.75" customHeight="1">
      <c r="A1659" s="1">
        <v>4.910388E7</v>
      </c>
      <c r="B1659" s="2" t="s">
        <v>1036</v>
      </c>
      <c r="C1659" s="19" t="s">
        <v>5934</v>
      </c>
      <c r="D1659" s="19" t="s">
        <v>5935</v>
      </c>
      <c r="E1659" s="2"/>
      <c r="F1659" s="19"/>
    </row>
    <row r="1660" ht="15.75" customHeight="1">
      <c r="A1660" s="1">
        <v>4.91068E7</v>
      </c>
      <c r="B1660" s="2" t="s">
        <v>1762</v>
      </c>
      <c r="C1660" s="19" t="s">
        <v>5936</v>
      </c>
      <c r="D1660" s="19"/>
      <c r="E1660" s="2"/>
      <c r="F1660" s="19"/>
    </row>
    <row r="1661" ht="15.75" customHeight="1">
      <c r="A1661" s="1">
        <v>4.9138059E7</v>
      </c>
      <c r="B1661" s="2" t="s">
        <v>1693</v>
      </c>
      <c r="C1661" s="19" t="s">
        <v>5937</v>
      </c>
      <c r="D1661" s="19"/>
      <c r="E1661" s="2"/>
      <c r="F1661" s="19"/>
    </row>
    <row r="1662" ht="15.75" customHeight="1">
      <c r="A1662" s="1">
        <v>4.9143658E7</v>
      </c>
      <c r="B1662" s="2" t="s">
        <v>588</v>
      </c>
      <c r="C1662" s="19" t="s">
        <v>5938</v>
      </c>
      <c r="D1662" s="19"/>
      <c r="E1662" s="2"/>
      <c r="F1662" s="19"/>
    </row>
    <row r="1663" ht="15.75" customHeight="1">
      <c r="A1663" s="1">
        <v>4.9146043E7</v>
      </c>
      <c r="B1663" s="2" t="s">
        <v>749</v>
      </c>
      <c r="C1663" s="19" t="s">
        <v>5939</v>
      </c>
      <c r="D1663" s="19" t="s">
        <v>5940</v>
      </c>
      <c r="E1663" s="2"/>
      <c r="F1663" s="19"/>
    </row>
    <row r="1664" ht="15.75" customHeight="1">
      <c r="A1664" s="1">
        <v>4.9148407E7</v>
      </c>
      <c r="B1664" s="2" t="s">
        <v>1715</v>
      </c>
      <c r="C1664" s="19" t="s">
        <v>5941</v>
      </c>
      <c r="D1664" s="19"/>
      <c r="E1664" s="2"/>
      <c r="F1664" s="19"/>
    </row>
    <row r="1665" ht="15.75" customHeight="1">
      <c r="A1665" s="1">
        <v>4.9157019E7</v>
      </c>
      <c r="B1665" s="2" t="s">
        <v>1482</v>
      </c>
      <c r="C1665" s="19" t="s">
        <v>5942</v>
      </c>
      <c r="D1665" s="19"/>
      <c r="E1665" s="2"/>
      <c r="F1665" s="19"/>
    </row>
    <row r="1666" ht="15.75" customHeight="1">
      <c r="A1666" s="1">
        <v>4.9164897E7</v>
      </c>
      <c r="B1666" s="2" t="s">
        <v>1682</v>
      </c>
      <c r="C1666" s="19" t="s">
        <v>5943</v>
      </c>
      <c r="D1666" s="19"/>
      <c r="E1666" s="2"/>
      <c r="F1666" s="19"/>
    </row>
    <row r="1667" ht="15.75" customHeight="1">
      <c r="A1667" s="1">
        <v>4.9172417E7</v>
      </c>
      <c r="B1667" s="2" t="s">
        <v>2026</v>
      </c>
      <c r="C1667" s="19" t="s">
        <v>5944</v>
      </c>
      <c r="D1667" s="19"/>
      <c r="E1667" s="2"/>
      <c r="F1667" s="19"/>
    </row>
    <row r="1668" ht="15.75" customHeight="1">
      <c r="A1668" s="1">
        <v>4.9175094E7</v>
      </c>
      <c r="B1668" s="2" t="s">
        <v>1457</v>
      </c>
      <c r="C1668" s="19" t="s">
        <v>5945</v>
      </c>
      <c r="D1668" s="19" t="s">
        <v>5946</v>
      </c>
      <c r="E1668" s="2"/>
      <c r="F1668" s="19"/>
    </row>
    <row r="1669" ht="15.75" customHeight="1">
      <c r="A1669" s="1">
        <v>4.9192135E7</v>
      </c>
      <c r="B1669" s="2" t="s">
        <v>2583</v>
      </c>
      <c r="C1669" s="19" t="s">
        <v>5947</v>
      </c>
      <c r="D1669" s="19"/>
      <c r="E1669" s="2"/>
      <c r="F1669" s="19"/>
    </row>
    <row r="1670" ht="15.75" customHeight="1">
      <c r="A1670" s="1">
        <v>4.9200336E7</v>
      </c>
      <c r="B1670" s="2" t="s">
        <v>2363</v>
      </c>
      <c r="C1670" s="19" t="s">
        <v>5948</v>
      </c>
      <c r="D1670" s="19"/>
      <c r="E1670" s="2"/>
      <c r="F1670" s="19"/>
    </row>
    <row r="1671" ht="15.75" customHeight="1">
      <c r="A1671" s="1">
        <v>4.9220818E7</v>
      </c>
      <c r="B1671" s="2" t="s">
        <v>1444</v>
      </c>
      <c r="C1671" s="19" t="s">
        <v>5949</v>
      </c>
      <c r="D1671" s="19" t="s">
        <v>5950</v>
      </c>
      <c r="E1671" s="2"/>
      <c r="F1671" s="19"/>
    </row>
    <row r="1672" ht="15.75" customHeight="1">
      <c r="A1672" s="1">
        <v>4.9223721E7</v>
      </c>
      <c r="B1672" s="2" t="s">
        <v>2022</v>
      </c>
      <c r="C1672" s="19" t="s">
        <v>5951</v>
      </c>
      <c r="D1672" s="19" t="s">
        <v>5952</v>
      </c>
      <c r="E1672" s="2"/>
      <c r="F1672" s="19"/>
    </row>
    <row r="1673" ht="15.75" customHeight="1">
      <c r="A1673" s="1">
        <v>4.9229199E7</v>
      </c>
      <c r="B1673" s="2" t="s">
        <v>1088</v>
      </c>
      <c r="C1673" s="19" t="s">
        <v>5953</v>
      </c>
      <c r="D1673" s="19" t="s">
        <v>5954</v>
      </c>
      <c r="E1673" s="2"/>
      <c r="F1673" s="19"/>
    </row>
    <row r="1674" ht="15.75" customHeight="1">
      <c r="A1674" s="1">
        <v>4.9242888E7</v>
      </c>
      <c r="B1674" s="2" t="s">
        <v>1411</v>
      </c>
      <c r="C1674" s="19" t="s">
        <v>5955</v>
      </c>
      <c r="D1674" s="19" t="s">
        <v>5956</v>
      </c>
      <c r="E1674" s="2"/>
      <c r="F1674" s="19"/>
    </row>
    <row r="1675" ht="15.75" customHeight="1">
      <c r="A1675" s="1">
        <v>4.9249899E7</v>
      </c>
      <c r="B1675" s="2" t="s">
        <v>2364</v>
      </c>
      <c r="C1675" s="19" t="s">
        <v>5957</v>
      </c>
      <c r="D1675" s="19"/>
      <c r="E1675" s="2"/>
      <c r="F1675" s="19"/>
    </row>
    <row r="1676" ht="15.75" customHeight="1">
      <c r="A1676" s="1">
        <v>4.9261726E7</v>
      </c>
      <c r="B1676" s="2" t="s">
        <v>1063</v>
      </c>
      <c r="C1676" s="19" t="s">
        <v>5958</v>
      </c>
      <c r="D1676" s="19"/>
      <c r="E1676" s="2"/>
      <c r="F1676" s="19"/>
    </row>
    <row r="1677" ht="15.75" customHeight="1">
      <c r="A1677" s="1">
        <v>4.9263074E7</v>
      </c>
      <c r="B1677" s="2" t="s">
        <v>466</v>
      </c>
      <c r="C1677" s="19" t="s">
        <v>5959</v>
      </c>
      <c r="D1677" s="19"/>
      <c r="E1677" s="2"/>
      <c r="F1677" s="19"/>
    </row>
    <row r="1678" ht="15.75" customHeight="1">
      <c r="A1678" s="1">
        <v>4.9286426E7</v>
      </c>
      <c r="B1678" s="2" t="s">
        <v>1569</v>
      </c>
      <c r="C1678" s="19" t="s">
        <v>5960</v>
      </c>
      <c r="D1678" s="19"/>
      <c r="E1678" s="2"/>
      <c r="F1678" s="19"/>
    </row>
    <row r="1679" ht="15.75" customHeight="1">
      <c r="A1679" s="1">
        <v>4.928845E7</v>
      </c>
      <c r="B1679" s="2" t="s">
        <v>2259</v>
      </c>
      <c r="C1679" s="19" t="s">
        <v>5961</v>
      </c>
      <c r="D1679" s="19"/>
      <c r="E1679" s="2"/>
      <c r="F1679" s="19"/>
    </row>
    <row r="1680" ht="15.75" customHeight="1">
      <c r="A1680" s="1">
        <v>4.9298407E7</v>
      </c>
      <c r="B1680" s="2" t="s">
        <v>1703</v>
      </c>
      <c r="C1680" s="19" t="s">
        <v>5962</v>
      </c>
      <c r="D1680" s="19"/>
      <c r="E1680" s="2"/>
      <c r="F1680" s="19"/>
    </row>
    <row r="1681" ht="15.75" customHeight="1">
      <c r="A1681" s="1">
        <v>4.9301986E7</v>
      </c>
      <c r="B1681" s="2" t="s">
        <v>1930</v>
      </c>
      <c r="C1681" s="19" t="s">
        <v>5963</v>
      </c>
      <c r="D1681" s="19" t="s">
        <v>5964</v>
      </c>
      <c r="E1681" s="2"/>
      <c r="F1681" s="19"/>
    </row>
    <row r="1682" ht="15.75" customHeight="1">
      <c r="A1682" s="1">
        <v>4.9311336E7</v>
      </c>
      <c r="B1682" s="2" t="s">
        <v>2357</v>
      </c>
      <c r="C1682" s="19" t="s">
        <v>5965</v>
      </c>
      <c r="D1682" s="19" t="s">
        <v>5966</v>
      </c>
      <c r="E1682" s="2"/>
      <c r="F1682" s="19"/>
    </row>
    <row r="1683" ht="15.75" customHeight="1">
      <c r="A1683" s="1">
        <v>4.9320948E7</v>
      </c>
      <c r="B1683" s="2" t="s">
        <v>2119</v>
      </c>
      <c r="C1683" s="19" t="s">
        <v>5967</v>
      </c>
      <c r="D1683" s="19"/>
      <c r="E1683" s="2"/>
      <c r="F1683" s="19"/>
    </row>
    <row r="1684" ht="15.75" customHeight="1">
      <c r="A1684" s="1">
        <v>4.9326074E7</v>
      </c>
      <c r="B1684" s="2" t="s">
        <v>589</v>
      </c>
      <c r="C1684" s="19" t="s">
        <v>5968</v>
      </c>
      <c r="D1684" s="19"/>
      <c r="E1684" s="2"/>
      <c r="F1684" s="19"/>
    </row>
    <row r="1685" ht="15.75" customHeight="1">
      <c r="A1685" s="1">
        <v>4.9372027E7</v>
      </c>
      <c r="B1685" s="2" t="s">
        <v>1179</v>
      </c>
      <c r="C1685" s="19" t="s">
        <v>5969</v>
      </c>
      <c r="D1685" s="19"/>
      <c r="E1685" s="2"/>
      <c r="F1685" s="19"/>
    </row>
    <row r="1686" ht="15.75" customHeight="1">
      <c r="A1686" s="1">
        <v>4.9375184E7</v>
      </c>
      <c r="B1686" s="2" t="s">
        <v>2095</v>
      </c>
      <c r="C1686" s="19" t="s">
        <v>5970</v>
      </c>
      <c r="D1686" s="19"/>
      <c r="E1686" s="2"/>
      <c r="F1686" s="19"/>
    </row>
    <row r="1687" ht="15.75" customHeight="1">
      <c r="A1687" s="1">
        <v>4.9379459E7</v>
      </c>
      <c r="B1687" s="2" t="s">
        <v>1491</v>
      </c>
      <c r="C1687" s="19" t="s">
        <v>5971</v>
      </c>
      <c r="D1687" s="19" t="s">
        <v>5972</v>
      </c>
      <c r="E1687" s="2"/>
      <c r="F1687" s="19"/>
    </row>
    <row r="1688" ht="15.75" customHeight="1">
      <c r="A1688" s="1">
        <v>4.9400625E7</v>
      </c>
      <c r="B1688" s="2" t="s">
        <v>397</v>
      </c>
      <c r="C1688" s="19" t="s">
        <v>5973</v>
      </c>
      <c r="D1688" s="19"/>
      <c r="E1688" s="2"/>
      <c r="F1688" s="19"/>
    </row>
    <row r="1689" ht="15.75" customHeight="1">
      <c r="A1689" s="1">
        <v>4.9409218E7</v>
      </c>
      <c r="B1689" s="2" t="s">
        <v>1847</v>
      </c>
      <c r="C1689" s="19" t="s">
        <v>5974</v>
      </c>
      <c r="D1689" s="19"/>
      <c r="E1689" s="2"/>
      <c r="F1689" s="19"/>
    </row>
    <row r="1690" ht="15.75" customHeight="1">
      <c r="A1690" s="1">
        <v>4.9412482E7</v>
      </c>
      <c r="B1690" s="2" t="s">
        <v>1642</v>
      </c>
      <c r="C1690" s="19" t="s">
        <v>5975</v>
      </c>
      <c r="D1690" s="19"/>
      <c r="E1690" s="2"/>
      <c r="F1690" s="19"/>
    </row>
    <row r="1691" ht="15.75" customHeight="1">
      <c r="A1691" s="1">
        <v>4.9428459E7</v>
      </c>
      <c r="B1691" s="2" t="s">
        <v>1483</v>
      </c>
      <c r="C1691" s="19" t="s">
        <v>5976</v>
      </c>
      <c r="D1691" s="19" t="s">
        <v>5977</v>
      </c>
      <c r="E1691" s="2"/>
      <c r="F1691" s="19"/>
    </row>
    <row r="1692" ht="15.75" customHeight="1">
      <c r="A1692" s="1">
        <v>4.9434916E7</v>
      </c>
      <c r="B1692" s="2" t="s">
        <v>1535</v>
      </c>
      <c r="C1692" s="19" t="s">
        <v>5978</v>
      </c>
      <c r="D1692" s="19" t="s">
        <v>5979</v>
      </c>
      <c r="E1692" s="2"/>
      <c r="F1692" s="19"/>
    </row>
    <row r="1693" ht="15.75" customHeight="1">
      <c r="A1693" s="1">
        <v>4.9439737E7</v>
      </c>
      <c r="B1693" s="2" t="s">
        <v>1011</v>
      </c>
      <c r="C1693" s="19" t="s">
        <v>5980</v>
      </c>
      <c r="D1693" s="19"/>
      <c r="E1693" s="2"/>
      <c r="F1693" s="19"/>
    </row>
    <row r="1694" ht="15.75" customHeight="1">
      <c r="A1694" s="1">
        <v>4.9444662E7</v>
      </c>
      <c r="B1694" s="2" t="s">
        <v>395</v>
      </c>
      <c r="C1694" s="19" t="s">
        <v>5981</v>
      </c>
      <c r="D1694" s="19"/>
      <c r="E1694" s="2"/>
      <c r="F1694" s="19"/>
    </row>
    <row r="1695" ht="15.75" customHeight="1">
      <c r="A1695" s="1">
        <v>4.9447462E7</v>
      </c>
      <c r="B1695" s="2" t="s">
        <v>1124</v>
      </c>
      <c r="C1695" s="19" t="s">
        <v>5982</v>
      </c>
      <c r="D1695" s="19" t="s">
        <v>5983</v>
      </c>
      <c r="E1695" s="2"/>
      <c r="F1695" s="19"/>
    </row>
    <row r="1696" ht="15.75" customHeight="1">
      <c r="A1696" s="1">
        <v>4.9449205E7</v>
      </c>
      <c r="B1696" s="2" t="s">
        <v>1743</v>
      </c>
      <c r="C1696" s="19" t="s">
        <v>5984</v>
      </c>
      <c r="D1696" s="19" t="s">
        <v>5985</v>
      </c>
      <c r="E1696" s="2"/>
      <c r="F1696" s="19"/>
    </row>
    <row r="1697" ht="15.75" customHeight="1">
      <c r="A1697" s="1">
        <v>4.9467664E7</v>
      </c>
      <c r="B1697" s="2" t="s">
        <v>917</v>
      </c>
      <c r="C1697" s="19" t="s">
        <v>5986</v>
      </c>
      <c r="D1697" s="19" t="s">
        <v>5987</v>
      </c>
      <c r="E1697" s="2"/>
      <c r="F1697" s="19"/>
    </row>
    <row r="1698" ht="15.75" customHeight="1">
      <c r="A1698" s="1">
        <v>4.9488781E7</v>
      </c>
      <c r="B1698" s="2" t="s">
        <v>766</v>
      </c>
      <c r="C1698" s="19" t="s">
        <v>5988</v>
      </c>
      <c r="D1698" s="19" t="s">
        <v>5989</v>
      </c>
      <c r="E1698" s="2"/>
      <c r="F1698" s="19"/>
    </row>
    <row r="1699" ht="15.75" customHeight="1">
      <c r="A1699" s="1">
        <v>4.9493225E7</v>
      </c>
      <c r="B1699" s="2" t="s">
        <v>441</v>
      </c>
      <c r="C1699" s="19" t="s">
        <v>5990</v>
      </c>
      <c r="D1699" s="19"/>
      <c r="E1699" s="2"/>
      <c r="F1699" s="19"/>
    </row>
    <row r="1700" ht="15.75" customHeight="1">
      <c r="A1700" s="1">
        <v>4.9496987E7</v>
      </c>
      <c r="B1700" s="2" t="s">
        <v>1675</v>
      </c>
      <c r="C1700" s="19" t="s">
        <v>5991</v>
      </c>
      <c r="D1700" s="19" t="s">
        <v>5992</v>
      </c>
      <c r="E1700" s="2"/>
      <c r="F1700" s="19"/>
    </row>
    <row r="1701" ht="15.75" customHeight="1">
      <c r="A1701" s="1">
        <v>4.9503406E7</v>
      </c>
      <c r="B1701" s="2" t="s">
        <v>928</v>
      </c>
      <c r="C1701" s="19" t="s">
        <v>5993</v>
      </c>
      <c r="D1701" s="19"/>
      <c r="E1701" s="2"/>
      <c r="F1701" s="19"/>
    </row>
    <row r="1702" ht="15.75" customHeight="1">
      <c r="A1702" s="1">
        <v>4.9504777E7</v>
      </c>
      <c r="B1702" s="2" t="s">
        <v>978</v>
      </c>
      <c r="C1702" s="19" t="s">
        <v>5994</v>
      </c>
      <c r="D1702" s="19" t="s">
        <v>5995</v>
      </c>
      <c r="E1702" s="2"/>
      <c r="F1702" s="19"/>
    </row>
    <row r="1703" ht="15.75" customHeight="1">
      <c r="A1703" s="1">
        <v>4.9506812E7</v>
      </c>
      <c r="B1703" s="2" t="s">
        <v>1673</v>
      </c>
      <c r="C1703" s="19" t="s">
        <v>5996</v>
      </c>
      <c r="D1703" s="19" t="s">
        <v>5997</v>
      </c>
      <c r="E1703" s="2"/>
      <c r="F1703" s="19"/>
    </row>
    <row r="1704" ht="15.75" customHeight="1">
      <c r="A1704" s="1">
        <v>4.9509195E7</v>
      </c>
      <c r="B1704" s="2" t="s">
        <v>1562</v>
      </c>
      <c r="C1704" s="19" t="s">
        <v>5998</v>
      </c>
      <c r="D1704" s="19" t="s">
        <v>5999</v>
      </c>
      <c r="E1704" s="2"/>
      <c r="F1704" s="19"/>
    </row>
    <row r="1705" ht="15.75" customHeight="1">
      <c r="A1705" s="1">
        <v>4.9511434E7</v>
      </c>
      <c r="B1705" s="2" t="s">
        <v>788</v>
      </c>
      <c r="C1705" s="19" t="s">
        <v>6000</v>
      </c>
      <c r="D1705" s="19"/>
      <c r="E1705" s="2"/>
      <c r="F1705" s="19"/>
    </row>
    <row r="1706" ht="15.75" customHeight="1">
      <c r="A1706" s="1">
        <v>4.9517238E7</v>
      </c>
      <c r="B1706" s="2" t="s">
        <v>1746</v>
      </c>
      <c r="C1706" s="19" t="s">
        <v>6001</v>
      </c>
      <c r="D1706" s="19"/>
      <c r="E1706" s="2"/>
      <c r="F1706" s="19"/>
    </row>
    <row r="1707" ht="15.75" customHeight="1">
      <c r="A1707" s="1">
        <v>4.9528679E7</v>
      </c>
      <c r="B1707" s="2" t="s">
        <v>2155</v>
      </c>
      <c r="C1707" s="19" t="s">
        <v>6002</v>
      </c>
      <c r="D1707" s="19" t="s">
        <v>6003</v>
      </c>
      <c r="E1707" s="2"/>
      <c r="F1707" s="19"/>
    </row>
    <row r="1708" ht="15.75" customHeight="1">
      <c r="A1708" s="1">
        <v>4.9544447E7</v>
      </c>
      <c r="B1708" s="2" t="s">
        <v>1412</v>
      </c>
      <c r="C1708" s="19" t="s">
        <v>6004</v>
      </c>
      <c r="D1708" s="19" t="s">
        <v>6005</v>
      </c>
      <c r="E1708" s="2"/>
      <c r="F1708" s="19"/>
    </row>
    <row r="1709" ht="15.75" customHeight="1">
      <c r="A1709" s="1">
        <v>4.9544718E7</v>
      </c>
      <c r="B1709" s="2" t="s">
        <v>1271</v>
      </c>
      <c r="C1709" s="19" t="s">
        <v>6006</v>
      </c>
      <c r="D1709" s="19"/>
      <c r="E1709" s="2"/>
      <c r="F1709" s="19"/>
    </row>
    <row r="1710" ht="15.75" customHeight="1">
      <c r="A1710" s="1">
        <v>4.9550965E7</v>
      </c>
      <c r="B1710" s="2" t="s">
        <v>721</v>
      </c>
      <c r="C1710" s="19" t="s">
        <v>6007</v>
      </c>
      <c r="D1710" s="19"/>
      <c r="E1710" s="2"/>
      <c r="F1710" s="19"/>
    </row>
    <row r="1711" ht="15.75" customHeight="1">
      <c r="A1711" s="1">
        <v>4.9553459E7</v>
      </c>
      <c r="B1711" s="2" t="s">
        <v>267</v>
      </c>
      <c r="C1711" s="19" t="s">
        <v>6008</v>
      </c>
      <c r="D1711" s="19" t="s">
        <v>6009</v>
      </c>
      <c r="E1711" s="2"/>
      <c r="F1711" s="19"/>
    </row>
    <row r="1712" ht="15.75" customHeight="1">
      <c r="A1712" s="1">
        <v>4.956387E7</v>
      </c>
      <c r="B1712" s="2" t="s">
        <v>2544</v>
      </c>
      <c r="C1712" s="19" t="s">
        <v>6010</v>
      </c>
      <c r="D1712" s="19"/>
      <c r="E1712" s="2"/>
      <c r="F1712" s="19"/>
    </row>
    <row r="1713" ht="15.75" customHeight="1">
      <c r="A1713" s="1">
        <v>4.9565318E7</v>
      </c>
      <c r="B1713" s="2" t="s">
        <v>806</v>
      </c>
      <c r="C1713" s="19" t="s">
        <v>6011</v>
      </c>
      <c r="D1713" s="19" t="s">
        <v>6012</v>
      </c>
      <c r="E1713" s="2"/>
      <c r="F1713" s="19"/>
    </row>
    <row r="1714" ht="15.75" customHeight="1">
      <c r="A1714" s="1">
        <v>4.9573392E7</v>
      </c>
      <c r="B1714" s="2" t="s">
        <v>1052</v>
      </c>
      <c r="C1714" s="19" t="s">
        <v>6013</v>
      </c>
      <c r="D1714" s="19" t="s">
        <v>6014</v>
      </c>
      <c r="E1714" s="2"/>
      <c r="F1714" s="19"/>
    </row>
    <row r="1715" ht="15.75" customHeight="1">
      <c r="A1715" s="1">
        <v>4.9580441E7</v>
      </c>
      <c r="B1715" s="2" t="s">
        <v>2370</v>
      </c>
      <c r="C1715" s="19" t="s">
        <v>6015</v>
      </c>
      <c r="D1715" s="19"/>
      <c r="E1715" s="2"/>
      <c r="F1715" s="19"/>
    </row>
    <row r="1716" ht="15.75" customHeight="1">
      <c r="A1716" s="1">
        <v>4.9615281E7</v>
      </c>
      <c r="B1716" s="2" t="s">
        <v>1365</v>
      </c>
      <c r="C1716" s="19" t="s">
        <v>6016</v>
      </c>
      <c r="D1716" s="19" t="s">
        <v>6017</v>
      </c>
      <c r="E1716" s="2"/>
      <c r="F1716" s="19"/>
    </row>
    <row r="1717" ht="15.75" customHeight="1">
      <c r="A1717" s="1">
        <v>4.9642849E7</v>
      </c>
      <c r="B1717" s="2" t="s">
        <v>938</v>
      </c>
      <c r="C1717" s="19" t="s">
        <v>6018</v>
      </c>
      <c r="D1717" s="19"/>
      <c r="E1717" s="2"/>
      <c r="F1717" s="19"/>
    </row>
    <row r="1718" ht="15.75" customHeight="1">
      <c r="A1718" s="1">
        <v>4.964461E7</v>
      </c>
      <c r="B1718" s="2" t="s">
        <v>666</v>
      </c>
      <c r="C1718" s="19" t="s">
        <v>6019</v>
      </c>
      <c r="D1718" s="19"/>
      <c r="E1718" s="2"/>
      <c r="F1718" s="19"/>
    </row>
    <row r="1719" ht="15.75" customHeight="1">
      <c r="A1719" s="1">
        <v>4.9659166E7</v>
      </c>
      <c r="B1719" s="2" t="s">
        <v>230</v>
      </c>
      <c r="C1719" s="19" t="s">
        <v>6020</v>
      </c>
      <c r="D1719" s="19" t="s">
        <v>6021</v>
      </c>
      <c r="E1719" s="2"/>
      <c r="F1719" s="19"/>
    </row>
    <row r="1720" ht="15.75" customHeight="1">
      <c r="A1720" s="1">
        <v>4.9660802E7</v>
      </c>
      <c r="B1720" s="2" t="s">
        <v>3037</v>
      </c>
      <c r="C1720" s="19" t="s">
        <v>6022</v>
      </c>
      <c r="D1720" s="19"/>
      <c r="E1720" s="2"/>
      <c r="F1720" s="19"/>
    </row>
    <row r="1721" ht="15.75" customHeight="1">
      <c r="A1721" s="1">
        <v>4.9669653E7</v>
      </c>
      <c r="B1721" s="2" t="s">
        <v>174</v>
      </c>
      <c r="C1721" s="19" t="s">
        <v>6023</v>
      </c>
      <c r="D1721" s="19" t="s">
        <v>6024</v>
      </c>
      <c r="E1721" s="2"/>
      <c r="F1721" s="19"/>
    </row>
    <row r="1722" ht="15.75" customHeight="1">
      <c r="A1722" s="1">
        <v>4.9670353E7</v>
      </c>
      <c r="B1722" s="2" t="s">
        <v>116</v>
      </c>
      <c r="C1722" s="19" t="s">
        <v>6025</v>
      </c>
      <c r="D1722" s="19" t="s">
        <v>6026</v>
      </c>
      <c r="E1722" s="2"/>
      <c r="F1722" s="19"/>
    </row>
    <row r="1723" ht="15.75" customHeight="1">
      <c r="A1723" s="1">
        <v>4.9675462E7</v>
      </c>
      <c r="B1723" s="2" t="s">
        <v>227</v>
      </c>
      <c r="C1723" s="19" t="s">
        <v>6027</v>
      </c>
      <c r="D1723" s="19"/>
      <c r="E1723" s="2"/>
      <c r="F1723" s="19"/>
    </row>
    <row r="1724" ht="15.75" customHeight="1">
      <c r="A1724" s="1">
        <v>4.9689289E7</v>
      </c>
      <c r="B1724" s="2" t="s">
        <v>1515</v>
      </c>
      <c r="C1724" s="19" t="s">
        <v>6028</v>
      </c>
      <c r="D1724" s="19" t="s">
        <v>6029</v>
      </c>
      <c r="E1724" s="2"/>
      <c r="F1724" s="19"/>
    </row>
    <row r="1725" ht="15.75" customHeight="1">
      <c r="A1725" s="1">
        <v>4.9692206E7</v>
      </c>
      <c r="B1725" s="2" t="s">
        <v>152</v>
      </c>
      <c r="C1725" s="19" t="s">
        <v>6030</v>
      </c>
      <c r="D1725" s="19" t="s">
        <v>6031</v>
      </c>
      <c r="E1725" s="2"/>
      <c r="F1725" s="19"/>
    </row>
    <row r="1726" ht="15.75" customHeight="1">
      <c r="A1726" s="1">
        <v>4.9701465E7</v>
      </c>
      <c r="B1726" s="2" t="s">
        <v>1256</v>
      </c>
      <c r="C1726" s="19" t="s">
        <v>6032</v>
      </c>
      <c r="D1726" s="19"/>
      <c r="E1726" s="2"/>
      <c r="F1726" s="19"/>
    </row>
    <row r="1727" ht="15.75" customHeight="1">
      <c r="A1727" s="1">
        <v>4.9715967E7</v>
      </c>
      <c r="B1727" s="2" t="s">
        <v>1314</v>
      </c>
      <c r="C1727" s="19" t="s">
        <v>6033</v>
      </c>
      <c r="D1727" s="19" t="s">
        <v>6034</v>
      </c>
      <c r="E1727" s="2"/>
      <c r="F1727" s="19"/>
    </row>
    <row r="1728" ht="15.75" customHeight="1">
      <c r="A1728" s="1">
        <v>4.9717039E7</v>
      </c>
      <c r="B1728" s="2" t="s">
        <v>1830</v>
      </c>
      <c r="C1728" s="19" t="s">
        <v>6035</v>
      </c>
      <c r="D1728" s="19" t="s">
        <v>6036</v>
      </c>
      <c r="E1728" s="2"/>
      <c r="F1728" s="19"/>
    </row>
    <row r="1729" ht="15.75" customHeight="1">
      <c r="A1729" s="1">
        <v>4.9718975E7</v>
      </c>
      <c r="B1729" s="2" t="s">
        <v>1227</v>
      </c>
      <c r="C1729" s="19" t="s">
        <v>6037</v>
      </c>
      <c r="D1729" s="19"/>
      <c r="E1729" s="2"/>
      <c r="F1729" s="19"/>
    </row>
    <row r="1730" ht="15.75" customHeight="1">
      <c r="A1730" s="1">
        <v>4.9738995E7</v>
      </c>
      <c r="B1730" s="2" t="s">
        <v>1266</v>
      </c>
      <c r="C1730" s="19" t="s">
        <v>6038</v>
      </c>
      <c r="D1730" s="19" t="s">
        <v>6039</v>
      </c>
      <c r="E1730" s="2"/>
      <c r="F1730" s="19"/>
    </row>
    <row r="1731" ht="15.75" customHeight="1">
      <c r="A1731" s="1">
        <v>4.974087E7</v>
      </c>
      <c r="B1731" s="2" t="s">
        <v>1366</v>
      </c>
      <c r="C1731" s="19" t="s">
        <v>6040</v>
      </c>
      <c r="D1731" s="19"/>
      <c r="E1731" s="2"/>
      <c r="F1731" s="19"/>
    </row>
    <row r="1732" ht="15.75" customHeight="1">
      <c r="A1732" s="1">
        <v>4.9747691E7</v>
      </c>
      <c r="B1732" s="2" t="s">
        <v>558</v>
      </c>
      <c r="C1732" s="19" t="s">
        <v>6041</v>
      </c>
      <c r="D1732" s="19" t="s">
        <v>6042</v>
      </c>
      <c r="E1732" s="2"/>
      <c r="F1732" s="19"/>
    </row>
    <row r="1733" ht="15.75" customHeight="1">
      <c r="A1733" s="1">
        <v>4.9763535E7</v>
      </c>
      <c r="B1733" s="2" t="s">
        <v>367</v>
      </c>
      <c r="C1733" s="19" t="s">
        <v>6043</v>
      </c>
      <c r="D1733" s="19"/>
      <c r="E1733" s="2"/>
      <c r="F1733" s="19"/>
    </row>
    <row r="1734" ht="15.75" customHeight="1">
      <c r="A1734" s="1">
        <v>4.9770636E7</v>
      </c>
      <c r="B1734" s="2" t="s">
        <v>2064</v>
      </c>
      <c r="C1734" s="19" t="s">
        <v>6044</v>
      </c>
      <c r="D1734" s="19" t="s">
        <v>6045</v>
      </c>
      <c r="E1734" s="2"/>
      <c r="F1734" s="19"/>
    </row>
    <row r="1735" ht="15.75" customHeight="1">
      <c r="A1735" s="1">
        <v>4.9772445E7</v>
      </c>
      <c r="B1735" s="2" t="s">
        <v>1783</v>
      </c>
      <c r="C1735" s="19" t="s">
        <v>6046</v>
      </c>
      <c r="D1735" s="19"/>
      <c r="E1735" s="2"/>
      <c r="F1735" s="19"/>
    </row>
    <row r="1736" ht="15.75" customHeight="1">
      <c r="A1736" s="1">
        <v>4.9789544E7</v>
      </c>
      <c r="B1736" s="2" t="s">
        <v>1176</v>
      </c>
      <c r="C1736" s="19" t="s">
        <v>6047</v>
      </c>
      <c r="D1736" s="19" t="s">
        <v>6048</v>
      </c>
      <c r="E1736" s="2"/>
      <c r="F1736" s="19"/>
    </row>
    <row r="1737" ht="15.75" customHeight="1">
      <c r="A1737" s="1">
        <v>4.9803583E7</v>
      </c>
      <c r="B1737" s="2" t="s">
        <v>1463</v>
      </c>
      <c r="C1737" s="19" t="s">
        <v>6049</v>
      </c>
      <c r="D1737" s="19"/>
      <c r="E1737" s="2"/>
      <c r="F1737" s="19"/>
    </row>
    <row r="1738" ht="15.75" customHeight="1">
      <c r="A1738" s="1">
        <v>4.9809115E7</v>
      </c>
      <c r="B1738" s="2" t="s">
        <v>794</v>
      </c>
      <c r="C1738" s="19" t="s">
        <v>6050</v>
      </c>
      <c r="D1738" s="19" t="s">
        <v>6051</v>
      </c>
      <c r="E1738" s="2"/>
      <c r="F1738" s="19"/>
    </row>
    <row r="1739" ht="15.75" customHeight="1">
      <c r="A1739" s="1">
        <v>4.9838965E7</v>
      </c>
      <c r="B1739" s="2" t="s">
        <v>561</v>
      </c>
      <c r="C1739" s="19" t="s">
        <v>6052</v>
      </c>
      <c r="D1739" s="19"/>
      <c r="E1739" s="2"/>
      <c r="F1739" s="19"/>
    </row>
    <row r="1740" ht="15.75" customHeight="1">
      <c r="A1740" s="1">
        <v>4.9848538E7</v>
      </c>
      <c r="B1740" s="2" t="s">
        <v>1484</v>
      </c>
      <c r="C1740" s="19" t="s">
        <v>6053</v>
      </c>
      <c r="D1740" s="19"/>
      <c r="E1740" s="2"/>
      <c r="F1740" s="19"/>
    </row>
    <row r="1741" ht="15.75" customHeight="1">
      <c r="A1741" s="1">
        <v>4.9865996E7</v>
      </c>
      <c r="B1741" s="2" t="s">
        <v>1257</v>
      </c>
      <c r="C1741" s="19" t="s">
        <v>6054</v>
      </c>
      <c r="D1741" s="19"/>
      <c r="E1741" s="2"/>
      <c r="F1741" s="19"/>
    </row>
    <row r="1742" ht="15.75" customHeight="1">
      <c r="A1742" s="1">
        <v>4.9891856E7</v>
      </c>
      <c r="B1742" s="2" t="s">
        <v>1838</v>
      </c>
      <c r="C1742" s="19" t="s">
        <v>6055</v>
      </c>
      <c r="D1742" s="19"/>
      <c r="E1742" s="2"/>
      <c r="F1742" s="19"/>
    </row>
    <row r="1743" ht="15.75" customHeight="1">
      <c r="A1743" s="1">
        <v>4.9895043E7</v>
      </c>
      <c r="B1743" s="2" t="s">
        <v>1235</v>
      </c>
      <c r="C1743" s="19" t="s">
        <v>6056</v>
      </c>
      <c r="D1743" s="19" t="s">
        <v>6057</v>
      </c>
      <c r="E1743" s="2"/>
      <c r="F1743" s="19"/>
    </row>
    <row r="1744" ht="15.75" customHeight="1">
      <c r="A1744" s="1">
        <v>4.9897894E7</v>
      </c>
      <c r="B1744" s="2" t="s">
        <v>448</v>
      </c>
      <c r="C1744" s="19" t="s">
        <v>6058</v>
      </c>
      <c r="D1744" s="19" t="s">
        <v>6059</v>
      </c>
      <c r="E1744" s="2"/>
      <c r="F1744" s="19"/>
    </row>
    <row r="1745" ht="15.75" customHeight="1">
      <c r="A1745" s="1">
        <v>4.9913681E7</v>
      </c>
      <c r="B1745" s="2" t="s">
        <v>1590</v>
      </c>
      <c r="C1745" s="19" t="s">
        <v>6060</v>
      </c>
      <c r="D1745" s="19"/>
      <c r="E1745" s="2"/>
      <c r="F1745" s="19"/>
    </row>
    <row r="1746" ht="15.75" customHeight="1">
      <c r="A1746" s="1">
        <v>4.9914445E7</v>
      </c>
      <c r="B1746" s="2" t="s">
        <v>564</v>
      </c>
      <c r="C1746" s="19" t="s">
        <v>6061</v>
      </c>
      <c r="D1746" s="19"/>
      <c r="E1746" s="2"/>
      <c r="F1746" s="19"/>
    </row>
    <row r="1747" ht="15.75" customHeight="1">
      <c r="A1747" s="1">
        <v>4.9920361E7</v>
      </c>
      <c r="B1747" s="2" t="s">
        <v>726</v>
      </c>
      <c r="C1747" s="19" t="s">
        <v>6062</v>
      </c>
      <c r="D1747" s="19" t="s">
        <v>6063</v>
      </c>
      <c r="E1747" s="2"/>
      <c r="F1747" s="19"/>
    </row>
    <row r="1748" ht="15.75" customHeight="1">
      <c r="A1748" s="1">
        <v>4.9921038E7</v>
      </c>
      <c r="B1748" s="2" t="s">
        <v>3144</v>
      </c>
      <c r="C1748" s="19" t="s">
        <v>6064</v>
      </c>
      <c r="D1748" s="19"/>
      <c r="E1748" s="2"/>
      <c r="F1748" s="19"/>
    </row>
    <row r="1749" ht="15.75" customHeight="1">
      <c r="A1749" s="1">
        <v>4.9925236E7</v>
      </c>
      <c r="B1749" s="2" t="s">
        <v>1699</v>
      </c>
      <c r="C1749" s="19" t="s">
        <v>6065</v>
      </c>
      <c r="D1749" s="19" t="s">
        <v>6066</v>
      </c>
      <c r="E1749" s="2"/>
      <c r="F1749" s="19"/>
    </row>
    <row r="1750" ht="15.75" customHeight="1">
      <c r="A1750" s="1">
        <v>4.9928032E7</v>
      </c>
      <c r="B1750" s="2" t="s">
        <v>2178</v>
      </c>
      <c r="C1750" s="19" t="s">
        <v>6067</v>
      </c>
      <c r="D1750" s="19"/>
      <c r="E1750" s="2"/>
      <c r="F1750" s="19"/>
    </row>
    <row r="1751" ht="15.75" customHeight="1">
      <c r="A1751" s="1">
        <v>4.9929362E7</v>
      </c>
      <c r="B1751" s="2" t="s">
        <v>1172</v>
      </c>
      <c r="C1751" s="19" t="s">
        <v>6068</v>
      </c>
      <c r="D1751" s="19"/>
      <c r="E1751" s="2"/>
      <c r="F1751" s="19"/>
    </row>
    <row r="1752" ht="15.75" customHeight="1">
      <c r="A1752" s="1">
        <v>4.9933936E7</v>
      </c>
      <c r="B1752" s="2" t="s">
        <v>1143</v>
      </c>
      <c r="C1752" s="19" t="s">
        <v>6069</v>
      </c>
      <c r="D1752" s="19" t="s">
        <v>6070</v>
      </c>
      <c r="E1752" s="2"/>
      <c r="F1752" s="19"/>
    </row>
    <row r="1753" ht="15.75" customHeight="1">
      <c r="A1753" s="1">
        <v>4.9944261E7</v>
      </c>
      <c r="B1753" s="2" t="s">
        <v>2320</v>
      </c>
      <c r="C1753" s="19" t="s">
        <v>6071</v>
      </c>
      <c r="D1753" s="19" t="s">
        <v>6072</v>
      </c>
      <c r="E1753" s="2"/>
      <c r="F1753" s="19"/>
    </row>
    <row r="1754" ht="15.75" customHeight="1">
      <c r="A1754" s="1">
        <v>4.9954489E7</v>
      </c>
      <c r="B1754" s="2" t="s">
        <v>904</v>
      </c>
      <c r="C1754" s="19" t="s">
        <v>6073</v>
      </c>
      <c r="D1754" s="19"/>
      <c r="E1754" s="2"/>
      <c r="F1754" s="19"/>
    </row>
    <row r="1755" ht="15.75" customHeight="1">
      <c r="A1755" s="1">
        <v>4.9956884E7</v>
      </c>
      <c r="B1755" s="2" t="s">
        <v>723</v>
      </c>
      <c r="C1755" s="19" t="s">
        <v>6074</v>
      </c>
      <c r="D1755" s="19"/>
      <c r="E1755" s="2"/>
      <c r="F1755" s="19"/>
    </row>
    <row r="1756" ht="15.75" customHeight="1">
      <c r="A1756" s="1">
        <v>4.995758E7</v>
      </c>
      <c r="B1756" s="2" t="s">
        <v>2015</v>
      </c>
      <c r="C1756" s="19" t="s">
        <v>6075</v>
      </c>
      <c r="D1756" s="19" t="s">
        <v>6076</v>
      </c>
      <c r="E1756" s="2"/>
      <c r="F1756" s="19"/>
    </row>
    <row r="1757" ht="15.75" customHeight="1">
      <c r="A1757" s="1">
        <v>4.9958989E7</v>
      </c>
      <c r="B1757" s="2" t="s">
        <v>2669</v>
      </c>
      <c r="C1757" s="19" t="s">
        <v>6077</v>
      </c>
      <c r="D1757" s="19" t="s">
        <v>6078</v>
      </c>
      <c r="E1757" s="2"/>
      <c r="F1757" s="19"/>
    </row>
    <row r="1758" ht="15.75" customHeight="1">
      <c r="A1758" s="1">
        <v>4.9969127E7</v>
      </c>
      <c r="B1758" s="2" t="s">
        <v>1428</v>
      </c>
      <c r="C1758" s="19" t="s">
        <v>6079</v>
      </c>
      <c r="D1758" s="19"/>
      <c r="E1758" s="2"/>
      <c r="F1758" s="19"/>
    </row>
    <row r="1759" ht="15.75" customHeight="1">
      <c r="A1759" s="1">
        <v>4.9984925E7</v>
      </c>
      <c r="B1759" s="2" t="s">
        <v>1667</v>
      </c>
      <c r="C1759" s="19" t="s">
        <v>6080</v>
      </c>
      <c r="D1759" s="19"/>
      <c r="E1759" s="2"/>
      <c r="F1759" s="19"/>
    </row>
    <row r="1760" ht="15.75" customHeight="1">
      <c r="A1760" s="1">
        <v>4.9986234E7</v>
      </c>
      <c r="B1760" s="2" t="s">
        <v>1301</v>
      </c>
      <c r="C1760" s="19" t="s">
        <v>6081</v>
      </c>
      <c r="D1760" s="19"/>
      <c r="E1760" s="2"/>
      <c r="F1760" s="19"/>
    </row>
    <row r="1761" ht="15.75" customHeight="1">
      <c r="A1761" s="1">
        <v>4.9988947E7</v>
      </c>
      <c r="B1761" s="2" t="s">
        <v>1668</v>
      </c>
      <c r="C1761" s="19" t="s">
        <v>6082</v>
      </c>
      <c r="D1761" s="19" t="s">
        <v>6083</v>
      </c>
      <c r="E1761" s="2"/>
      <c r="F1761" s="19"/>
    </row>
    <row r="1762" ht="15.75" customHeight="1">
      <c r="A1762" s="1">
        <v>4.9994108E7</v>
      </c>
      <c r="B1762" s="2" t="s">
        <v>1118</v>
      </c>
      <c r="C1762" s="19" t="s">
        <v>6084</v>
      </c>
      <c r="D1762" s="19"/>
      <c r="E1762" s="2"/>
      <c r="F1762" s="19"/>
    </row>
    <row r="1763" ht="15.75" customHeight="1">
      <c r="A1763" s="1">
        <v>4.9997339E7</v>
      </c>
      <c r="B1763" s="2" t="s">
        <v>895</v>
      </c>
      <c r="C1763" s="19" t="s">
        <v>6085</v>
      </c>
      <c r="D1763" s="19" t="s">
        <v>6086</v>
      </c>
      <c r="E1763" s="2"/>
      <c r="F1763" s="19"/>
    </row>
    <row r="1764" ht="15.75" customHeight="1">
      <c r="A1764" s="1">
        <v>5.000589E7</v>
      </c>
      <c r="B1764" s="2" t="s">
        <v>555</v>
      </c>
      <c r="C1764" s="19" t="s">
        <v>6087</v>
      </c>
      <c r="D1764" s="19"/>
      <c r="E1764" s="2"/>
      <c r="F1764" s="19"/>
    </row>
    <row r="1765" ht="15.75" customHeight="1">
      <c r="A1765" s="1">
        <v>5.0013399E7</v>
      </c>
      <c r="B1765" s="2" t="s">
        <v>1054</v>
      </c>
      <c r="C1765" s="19" t="s">
        <v>6088</v>
      </c>
      <c r="D1765" s="19" t="s">
        <v>6089</v>
      </c>
      <c r="E1765" s="2"/>
      <c r="F1765" s="19"/>
    </row>
    <row r="1766" ht="15.75" customHeight="1">
      <c r="A1766" s="1">
        <v>5.0018204E7</v>
      </c>
      <c r="B1766" s="2" t="s">
        <v>3298</v>
      </c>
      <c r="C1766" s="19" t="s">
        <v>6090</v>
      </c>
      <c r="D1766" s="19"/>
      <c r="E1766" s="2"/>
      <c r="F1766" s="19"/>
    </row>
    <row r="1767" ht="15.75" customHeight="1">
      <c r="A1767" s="1">
        <v>5.0024563E7</v>
      </c>
      <c r="B1767" s="2" t="s">
        <v>1920</v>
      </c>
      <c r="C1767" s="19" t="s">
        <v>6091</v>
      </c>
      <c r="D1767" s="19" t="s">
        <v>6092</v>
      </c>
      <c r="E1767" s="2"/>
      <c r="F1767" s="19"/>
    </row>
    <row r="1768" ht="15.75" customHeight="1">
      <c r="A1768" s="1">
        <v>5.0027522E7</v>
      </c>
      <c r="B1768" s="2" t="s">
        <v>1853</v>
      </c>
      <c r="C1768" s="19" t="s">
        <v>6093</v>
      </c>
      <c r="D1768" s="19"/>
      <c r="E1768" s="2"/>
      <c r="F1768" s="19"/>
    </row>
    <row r="1769" ht="15.75" customHeight="1">
      <c r="A1769" s="1">
        <v>5.0028775E7</v>
      </c>
      <c r="B1769" s="2" t="s">
        <v>2087</v>
      </c>
      <c r="C1769" s="19" t="s">
        <v>6094</v>
      </c>
      <c r="D1769" s="19"/>
      <c r="E1769" s="2"/>
      <c r="F1769" s="19"/>
    </row>
    <row r="1770" ht="15.75" customHeight="1">
      <c r="A1770" s="1">
        <v>5.0031163E7</v>
      </c>
      <c r="B1770" s="2" t="s">
        <v>2963</v>
      </c>
      <c r="C1770" s="19" t="s">
        <v>6095</v>
      </c>
      <c r="D1770" s="19"/>
      <c r="E1770" s="2"/>
      <c r="F1770" s="19"/>
    </row>
    <row r="1771" ht="15.75" customHeight="1">
      <c r="A1771" s="1">
        <v>5.0036821E7</v>
      </c>
      <c r="B1771" s="2" t="s">
        <v>2572</v>
      </c>
      <c r="C1771" s="19" t="s">
        <v>6096</v>
      </c>
      <c r="D1771" s="19"/>
      <c r="E1771" s="2"/>
      <c r="F1771" s="19"/>
    </row>
    <row r="1772" ht="15.75" customHeight="1">
      <c r="A1772" s="1">
        <v>5.0038246E7</v>
      </c>
      <c r="B1772" s="2" t="s">
        <v>1913</v>
      </c>
      <c r="C1772" s="19" t="s">
        <v>6097</v>
      </c>
      <c r="D1772" s="19"/>
      <c r="E1772" s="2"/>
      <c r="F1772" s="19"/>
    </row>
    <row r="1773" ht="15.75" customHeight="1">
      <c r="A1773" s="1">
        <v>5.003874E7</v>
      </c>
      <c r="B1773" s="2" t="s">
        <v>1021</v>
      </c>
      <c r="C1773" s="19" t="s">
        <v>6098</v>
      </c>
      <c r="D1773" s="19" t="s">
        <v>6099</v>
      </c>
      <c r="E1773" s="2"/>
      <c r="F1773" s="19"/>
    </row>
    <row r="1774" ht="15.75" customHeight="1">
      <c r="A1774" s="1">
        <v>5.0084095E7</v>
      </c>
      <c r="B1774" s="2" t="s">
        <v>642</v>
      </c>
      <c r="C1774" s="19" t="s">
        <v>6100</v>
      </c>
      <c r="D1774" s="19" t="s">
        <v>6101</v>
      </c>
      <c r="E1774" s="2"/>
      <c r="F1774" s="19"/>
    </row>
    <row r="1775" ht="15.75" customHeight="1">
      <c r="A1775" s="1">
        <v>5.0102219E7</v>
      </c>
      <c r="B1775" s="2" t="s">
        <v>2878</v>
      </c>
      <c r="C1775" s="19" t="s">
        <v>6102</v>
      </c>
      <c r="D1775" s="19" t="s">
        <v>6103</v>
      </c>
      <c r="E1775" s="2"/>
      <c r="F1775" s="19"/>
    </row>
    <row r="1776" ht="15.75" customHeight="1">
      <c r="A1776" s="1">
        <v>5.0104914E7</v>
      </c>
      <c r="B1776" s="2" t="s">
        <v>200</v>
      </c>
      <c r="C1776" s="19" t="s">
        <v>6104</v>
      </c>
      <c r="D1776" s="19"/>
      <c r="E1776" s="2"/>
      <c r="F1776" s="19"/>
    </row>
    <row r="1777" ht="15.75" customHeight="1">
      <c r="A1777" s="1">
        <v>5.0115856E7</v>
      </c>
      <c r="B1777" s="2" t="s">
        <v>1831</v>
      </c>
      <c r="C1777" s="19" t="s">
        <v>6105</v>
      </c>
      <c r="D1777" s="19"/>
      <c r="E1777" s="2"/>
      <c r="F1777" s="19"/>
    </row>
    <row r="1778" ht="15.75" customHeight="1">
      <c r="A1778" s="1">
        <v>5.0116681E7</v>
      </c>
      <c r="B1778" s="2" t="s">
        <v>133</v>
      </c>
      <c r="C1778" s="19" t="s">
        <v>6106</v>
      </c>
      <c r="D1778" s="19"/>
      <c r="E1778" s="2"/>
      <c r="F1778" s="19"/>
    </row>
    <row r="1779" ht="15.75" customHeight="1">
      <c r="A1779" s="1">
        <v>5.0121723E7</v>
      </c>
      <c r="B1779" s="2" t="s">
        <v>1163</v>
      </c>
      <c r="C1779" s="19" t="s">
        <v>6107</v>
      </c>
      <c r="D1779" s="19"/>
      <c r="E1779" s="2"/>
      <c r="F1779" s="19"/>
    </row>
    <row r="1780" ht="15.75" customHeight="1">
      <c r="A1780" s="1">
        <v>5.0125193E7</v>
      </c>
      <c r="B1780" s="2" t="s">
        <v>1359</v>
      </c>
      <c r="C1780" s="19" t="s">
        <v>6108</v>
      </c>
      <c r="D1780" s="19" t="s">
        <v>6109</v>
      </c>
      <c r="E1780" s="2"/>
      <c r="F1780" s="19"/>
    </row>
    <row r="1781" ht="15.75" customHeight="1">
      <c r="A1781" s="1">
        <v>5.0128461E7</v>
      </c>
      <c r="B1781" s="2" t="s">
        <v>1856</v>
      </c>
      <c r="C1781" s="19" t="s">
        <v>6110</v>
      </c>
      <c r="D1781" s="19" t="s">
        <v>6111</v>
      </c>
      <c r="E1781" s="2"/>
      <c r="F1781" s="19"/>
    </row>
    <row r="1782" ht="15.75" customHeight="1">
      <c r="A1782" s="1">
        <v>5.0130057E7</v>
      </c>
      <c r="B1782" s="2" t="s">
        <v>605</v>
      </c>
      <c r="C1782" s="19" t="s">
        <v>6112</v>
      </c>
      <c r="D1782" s="19" t="s">
        <v>6113</v>
      </c>
      <c r="E1782" s="2"/>
      <c r="F1782" s="19"/>
    </row>
    <row r="1783" ht="15.75" customHeight="1">
      <c r="A1783" s="1">
        <v>5.0130081E7</v>
      </c>
      <c r="B1783" s="2" t="s">
        <v>1632</v>
      </c>
      <c r="C1783" s="19" t="s">
        <v>6114</v>
      </c>
      <c r="D1783" s="19" t="s">
        <v>6115</v>
      </c>
      <c r="E1783" s="2"/>
      <c r="F1783" s="19"/>
    </row>
    <row r="1784" ht="15.75" customHeight="1">
      <c r="A1784" s="1">
        <v>5.0130435E7</v>
      </c>
      <c r="B1784" s="2" t="s">
        <v>2071</v>
      </c>
      <c r="C1784" s="19" t="s">
        <v>6116</v>
      </c>
      <c r="D1784" s="19" t="s">
        <v>6117</v>
      </c>
      <c r="E1784" s="2"/>
      <c r="F1784" s="19"/>
    </row>
    <row r="1785" ht="15.75" customHeight="1">
      <c r="A1785" s="1">
        <v>5.0142255E7</v>
      </c>
      <c r="B1785" s="2" t="s">
        <v>1448</v>
      </c>
      <c r="C1785" s="19" t="s">
        <v>6118</v>
      </c>
      <c r="D1785" s="19" t="s">
        <v>6119</v>
      </c>
      <c r="E1785" s="2"/>
      <c r="F1785" s="19"/>
    </row>
    <row r="1786" ht="15.75" customHeight="1">
      <c r="A1786" s="1">
        <v>5.0149635E7</v>
      </c>
      <c r="B1786" s="2" t="s">
        <v>1676</v>
      </c>
      <c r="C1786" s="19" t="s">
        <v>6120</v>
      </c>
      <c r="D1786" s="19"/>
      <c r="E1786" s="2"/>
      <c r="F1786" s="19"/>
    </row>
    <row r="1787" ht="15.75" customHeight="1">
      <c r="A1787" s="1">
        <v>5.0152309E7</v>
      </c>
      <c r="B1787" s="2" t="s">
        <v>3097</v>
      </c>
      <c r="C1787" s="19" t="s">
        <v>6121</v>
      </c>
      <c r="D1787" s="19"/>
      <c r="E1787" s="2"/>
      <c r="F1787" s="19"/>
    </row>
    <row r="1788" ht="15.75" customHeight="1">
      <c r="A1788" s="1">
        <v>5.0156366E7</v>
      </c>
      <c r="B1788" s="2" t="s">
        <v>1369</v>
      </c>
      <c r="C1788" s="19" t="s">
        <v>6122</v>
      </c>
      <c r="D1788" s="19" t="s">
        <v>6123</v>
      </c>
      <c r="E1788" s="2"/>
      <c r="F1788" s="19"/>
    </row>
    <row r="1789" ht="15.75" customHeight="1">
      <c r="A1789" s="1">
        <v>5.0164098E7</v>
      </c>
      <c r="B1789" s="2" t="s">
        <v>1726</v>
      </c>
      <c r="C1789" s="19" t="s">
        <v>6124</v>
      </c>
      <c r="D1789" s="19"/>
      <c r="E1789" s="2"/>
      <c r="F1789" s="19"/>
    </row>
    <row r="1790" ht="15.75" customHeight="1">
      <c r="A1790" s="1">
        <v>5.0167772E7</v>
      </c>
      <c r="B1790" s="2" t="s">
        <v>147</v>
      </c>
      <c r="C1790" s="19" t="s">
        <v>6125</v>
      </c>
      <c r="D1790" s="19"/>
      <c r="E1790" s="2"/>
      <c r="F1790" s="19"/>
    </row>
    <row r="1791" ht="15.75" customHeight="1">
      <c r="A1791" s="1">
        <v>5.0168257E7</v>
      </c>
      <c r="B1791" s="2" t="s">
        <v>1857</v>
      </c>
      <c r="C1791" s="19" t="s">
        <v>6126</v>
      </c>
      <c r="D1791" s="19" t="s">
        <v>6127</v>
      </c>
      <c r="E1791" s="2"/>
      <c r="F1791" s="19"/>
    </row>
    <row r="1792" ht="15.75" customHeight="1">
      <c r="A1792" s="1">
        <v>5.0168921E7</v>
      </c>
      <c r="B1792" s="2" t="s">
        <v>893</v>
      </c>
      <c r="C1792" s="19" t="s">
        <v>6128</v>
      </c>
      <c r="D1792" s="19"/>
      <c r="E1792" s="2"/>
      <c r="F1792" s="19"/>
    </row>
    <row r="1793" ht="15.75" customHeight="1">
      <c r="A1793" s="1">
        <v>5.0170184E7</v>
      </c>
      <c r="B1793" s="2" t="s">
        <v>2628</v>
      </c>
      <c r="C1793" s="19" t="s">
        <v>6129</v>
      </c>
      <c r="D1793" s="19"/>
      <c r="E1793" s="2"/>
      <c r="F1793" s="19"/>
    </row>
    <row r="1794" ht="15.75" customHeight="1">
      <c r="A1794" s="1">
        <v>5.0171963E7</v>
      </c>
      <c r="B1794" s="2" t="s">
        <v>2442</v>
      </c>
      <c r="C1794" s="19" t="s">
        <v>6130</v>
      </c>
      <c r="D1794" s="19"/>
      <c r="E1794" s="2"/>
      <c r="F1794" s="19"/>
    </row>
    <row r="1795" ht="15.75" customHeight="1">
      <c r="A1795" s="1">
        <v>5.0184405E7</v>
      </c>
      <c r="B1795" s="2" t="s">
        <v>1206</v>
      </c>
      <c r="C1795" s="19" t="s">
        <v>6131</v>
      </c>
      <c r="D1795" s="19"/>
      <c r="E1795" s="2"/>
      <c r="F1795" s="19"/>
    </row>
    <row r="1796" ht="15.75" customHeight="1">
      <c r="A1796" s="1">
        <v>5.0191802E7</v>
      </c>
      <c r="B1796" s="2" t="s">
        <v>2675</v>
      </c>
      <c r="C1796" s="19" t="s">
        <v>6132</v>
      </c>
      <c r="D1796" s="19"/>
      <c r="E1796" s="2"/>
      <c r="F1796" s="19"/>
    </row>
    <row r="1797" ht="15.75" customHeight="1">
      <c r="A1797" s="1">
        <v>5.0194352E7</v>
      </c>
      <c r="B1797" s="2" t="s">
        <v>1679</v>
      </c>
      <c r="C1797" s="19" t="s">
        <v>6133</v>
      </c>
      <c r="D1797" s="19" t="s">
        <v>6134</v>
      </c>
      <c r="E1797" s="2"/>
      <c r="F1797" s="19"/>
    </row>
    <row r="1798" ht="15.75" customHeight="1">
      <c r="A1798" s="1">
        <v>5.0197317E7</v>
      </c>
      <c r="B1798" s="2" t="s">
        <v>1337</v>
      </c>
      <c r="C1798" s="19" t="s">
        <v>6135</v>
      </c>
      <c r="D1798" s="19"/>
      <c r="E1798" s="2"/>
      <c r="F1798" s="19"/>
    </row>
    <row r="1799" ht="15.75" customHeight="1">
      <c r="A1799" s="1">
        <v>5.0211166E7</v>
      </c>
      <c r="B1799" s="2" t="s">
        <v>434</v>
      </c>
      <c r="C1799" s="19" t="s">
        <v>6136</v>
      </c>
      <c r="D1799" s="19" t="s">
        <v>6137</v>
      </c>
      <c r="E1799" s="2"/>
      <c r="F1799" s="19"/>
    </row>
    <row r="1800" ht="15.75" customHeight="1">
      <c r="A1800" s="1">
        <v>5.0216642E7</v>
      </c>
      <c r="B1800" s="2" t="s">
        <v>811</v>
      </c>
      <c r="C1800" s="19" t="s">
        <v>6138</v>
      </c>
      <c r="D1800" s="19"/>
      <c r="E1800" s="2"/>
      <c r="F1800" s="19"/>
    </row>
    <row r="1801" ht="15.75" customHeight="1">
      <c r="A1801" s="1">
        <v>5.02185E7</v>
      </c>
      <c r="B1801" s="2" t="s">
        <v>1776</v>
      </c>
      <c r="C1801" s="19" t="s">
        <v>6139</v>
      </c>
      <c r="D1801" s="19" t="s">
        <v>6140</v>
      </c>
      <c r="E1801" s="2"/>
      <c r="F1801" s="19"/>
    </row>
    <row r="1802" ht="15.75" customHeight="1">
      <c r="A1802" s="1">
        <v>5.022318E7</v>
      </c>
      <c r="B1802" s="2" t="s">
        <v>1820</v>
      </c>
      <c r="C1802" s="19" t="s">
        <v>6141</v>
      </c>
      <c r="D1802" s="19"/>
      <c r="E1802" s="2"/>
      <c r="F1802" s="19"/>
    </row>
    <row r="1803" ht="15.75" customHeight="1">
      <c r="A1803" s="1">
        <v>5.0247642E7</v>
      </c>
      <c r="B1803" s="2" t="s">
        <v>694</v>
      </c>
      <c r="C1803" s="19" t="s">
        <v>6142</v>
      </c>
      <c r="D1803" s="19"/>
      <c r="E1803" s="2"/>
      <c r="F1803" s="19"/>
    </row>
    <row r="1804" ht="15.75" customHeight="1">
      <c r="A1804" s="1">
        <v>5.0247924E7</v>
      </c>
      <c r="B1804" s="2" t="s">
        <v>733</v>
      </c>
      <c r="C1804" s="19" t="s">
        <v>6143</v>
      </c>
      <c r="D1804" s="19" t="s">
        <v>6144</v>
      </c>
      <c r="E1804" s="2"/>
      <c r="F1804" s="19"/>
    </row>
    <row r="1805" ht="15.75" customHeight="1">
      <c r="A1805" s="1">
        <v>5.024895E7</v>
      </c>
      <c r="B1805" s="2" t="s">
        <v>973</v>
      </c>
      <c r="C1805" s="19" t="s">
        <v>6145</v>
      </c>
      <c r="D1805" s="19"/>
      <c r="E1805" s="2"/>
      <c r="F1805" s="19"/>
    </row>
    <row r="1806" ht="15.75" customHeight="1">
      <c r="A1806" s="1">
        <v>5.0267824E7</v>
      </c>
      <c r="B1806" s="2" t="s">
        <v>468</v>
      </c>
      <c r="C1806" s="19" t="s">
        <v>6146</v>
      </c>
      <c r="D1806" s="19" t="s">
        <v>6147</v>
      </c>
      <c r="E1806" s="2"/>
      <c r="F1806" s="19"/>
    </row>
    <row r="1807" ht="15.75" customHeight="1">
      <c r="A1807" s="1">
        <v>5.0280733E7</v>
      </c>
      <c r="B1807" s="2" t="s">
        <v>1487</v>
      </c>
      <c r="C1807" s="19" t="s">
        <v>6148</v>
      </c>
      <c r="D1807" s="19"/>
      <c r="E1807" s="2"/>
      <c r="F1807" s="19"/>
    </row>
    <row r="1808" ht="15.75" customHeight="1">
      <c r="A1808" s="1">
        <v>5.0285253E7</v>
      </c>
      <c r="B1808" s="2" t="s">
        <v>1272</v>
      </c>
      <c r="C1808" s="19" t="s">
        <v>6149</v>
      </c>
      <c r="D1808" s="19"/>
      <c r="E1808" s="2"/>
      <c r="F1808" s="19"/>
    </row>
    <row r="1809" ht="15.75" customHeight="1">
      <c r="A1809" s="1">
        <v>5.0299058E7</v>
      </c>
      <c r="B1809" s="2" t="s">
        <v>1834</v>
      </c>
      <c r="C1809" s="19" t="s">
        <v>6150</v>
      </c>
      <c r="D1809" s="19" t="s">
        <v>6151</v>
      </c>
      <c r="E1809" s="2"/>
      <c r="F1809" s="19"/>
    </row>
    <row r="1810" ht="15.75" customHeight="1">
      <c r="A1810" s="1">
        <v>5.0303866E7</v>
      </c>
      <c r="B1810" s="2" t="s">
        <v>1665</v>
      </c>
      <c r="C1810" s="19" t="s">
        <v>6152</v>
      </c>
      <c r="D1810" s="19"/>
      <c r="E1810" s="2"/>
      <c r="F1810" s="19"/>
    </row>
    <row r="1811" ht="15.75" customHeight="1">
      <c r="A1811" s="1">
        <v>5.0316386E7</v>
      </c>
      <c r="B1811" s="2" t="s">
        <v>1064</v>
      </c>
      <c r="C1811" s="19" t="s">
        <v>6153</v>
      </c>
      <c r="D1811" s="19"/>
      <c r="E1811" s="2"/>
      <c r="F1811" s="19"/>
    </row>
    <row r="1812" ht="15.75" customHeight="1">
      <c r="A1812" s="1">
        <v>5.0322178E7</v>
      </c>
      <c r="B1812" s="2" t="s">
        <v>378</v>
      </c>
      <c r="C1812" s="19" t="s">
        <v>6154</v>
      </c>
      <c r="D1812" s="19" t="s">
        <v>6155</v>
      </c>
      <c r="E1812" s="2"/>
      <c r="F1812" s="19"/>
    </row>
    <row r="1813" ht="15.75" customHeight="1">
      <c r="A1813" s="1">
        <v>5.0326508E7</v>
      </c>
      <c r="B1813" s="2" t="s">
        <v>343</v>
      </c>
      <c r="C1813" s="19" t="s">
        <v>6156</v>
      </c>
      <c r="D1813" s="19" t="s">
        <v>6157</v>
      </c>
      <c r="E1813" s="2"/>
      <c r="F1813" s="19"/>
    </row>
    <row r="1814" ht="15.75" customHeight="1">
      <c r="A1814" s="1">
        <v>5.0326783E7</v>
      </c>
      <c r="B1814" s="2" t="s">
        <v>810</v>
      </c>
      <c r="C1814" s="19" t="s">
        <v>6158</v>
      </c>
      <c r="D1814" s="19"/>
      <c r="E1814" s="2"/>
      <c r="F1814" s="19"/>
    </row>
    <row r="1815" ht="15.75" customHeight="1">
      <c r="A1815" s="1">
        <v>5.0330121E7</v>
      </c>
      <c r="B1815" s="2" t="s">
        <v>675</v>
      </c>
      <c r="C1815" s="19" t="s">
        <v>6159</v>
      </c>
      <c r="D1815" s="19" t="s">
        <v>6160</v>
      </c>
      <c r="E1815" s="2"/>
      <c r="F1815" s="19"/>
    </row>
    <row r="1816" ht="15.75" customHeight="1">
      <c r="A1816" s="1">
        <v>5.0339104E7</v>
      </c>
      <c r="B1816" s="2" t="s">
        <v>3577</v>
      </c>
      <c r="C1816" s="19" t="s">
        <v>6161</v>
      </c>
      <c r="D1816" s="19"/>
      <c r="E1816" s="2"/>
      <c r="F1816" s="19"/>
    </row>
    <row r="1817" ht="15.75" customHeight="1">
      <c r="A1817" s="1">
        <v>5.0339838E7</v>
      </c>
      <c r="B1817" s="2" t="s">
        <v>462</v>
      </c>
      <c r="C1817" s="19" t="s">
        <v>6162</v>
      </c>
      <c r="D1817" s="19"/>
      <c r="E1817" s="2"/>
      <c r="F1817" s="19"/>
    </row>
    <row r="1818" ht="15.75" customHeight="1">
      <c r="A1818" s="1">
        <v>5.0378352E7</v>
      </c>
      <c r="B1818" s="2" t="s">
        <v>1962</v>
      </c>
      <c r="C1818" s="19" t="s">
        <v>6163</v>
      </c>
      <c r="D1818" s="19"/>
      <c r="E1818" s="2"/>
      <c r="F1818" s="19"/>
    </row>
    <row r="1819" ht="15.75" customHeight="1">
      <c r="A1819" s="1">
        <v>5.0405394E7</v>
      </c>
      <c r="B1819" s="2" t="s">
        <v>1586</v>
      </c>
      <c r="C1819" s="19" t="s">
        <v>6164</v>
      </c>
      <c r="D1819" s="19"/>
      <c r="E1819" s="2"/>
      <c r="F1819" s="19"/>
    </row>
    <row r="1820" ht="15.75" customHeight="1">
      <c r="A1820" s="1">
        <v>5.0407983E7</v>
      </c>
      <c r="B1820" s="2" t="s">
        <v>2120</v>
      </c>
      <c r="C1820" s="19" t="s">
        <v>6165</v>
      </c>
      <c r="D1820" s="19"/>
      <c r="E1820" s="2"/>
      <c r="F1820" s="19"/>
    </row>
    <row r="1821" ht="15.75" customHeight="1">
      <c r="A1821" s="1">
        <v>5.0420941E7</v>
      </c>
      <c r="B1821" s="2" t="s">
        <v>1917</v>
      </c>
      <c r="C1821" s="19" t="s">
        <v>6166</v>
      </c>
      <c r="D1821" s="19"/>
      <c r="E1821" s="2"/>
      <c r="F1821" s="19"/>
    </row>
    <row r="1822" ht="15.75" customHeight="1">
      <c r="A1822" s="1">
        <v>5.0427696E7</v>
      </c>
      <c r="B1822" s="2" t="s">
        <v>2494</v>
      </c>
      <c r="C1822" s="19" t="s">
        <v>6167</v>
      </c>
      <c r="D1822" s="19"/>
      <c r="E1822" s="2"/>
      <c r="F1822" s="19"/>
    </row>
    <row r="1823" ht="15.75" customHeight="1">
      <c r="A1823" s="1">
        <v>5.0442085E7</v>
      </c>
      <c r="B1823" s="2" t="s">
        <v>1613</v>
      </c>
      <c r="C1823" s="19" t="s">
        <v>6168</v>
      </c>
      <c r="D1823" s="19" t="s">
        <v>6169</v>
      </c>
      <c r="E1823" s="2"/>
      <c r="F1823" s="19"/>
    </row>
    <row r="1824" ht="15.75" customHeight="1">
      <c r="A1824" s="1">
        <v>5.0450644E7</v>
      </c>
      <c r="B1824" s="2" t="s">
        <v>3547</v>
      </c>
      <c r="C1824" s="19" t="s">
        <v>6170</v>
      </c>
      <c r="D1824" s="19"/>
      <c r="E1824" s="2"/>
      <c r="F1824" s="19"/>
    </row>
    <row r="1825" ht="15.75" customHeight="1">
      <c r="A1825" s="1">
        <v>5.0454105E7</v>
      </c>
      <c r="B1825" s="2" t="s">
        <v>846</v>
      </c>
      <c r="C1825" s="19" t="s">
        <v>6171</v>
      </c>
      <c r="D1825" s="19" t="s">
        <v>6172</v>
      </c>
      <c r="E1825" s="2"/>
      <c r="F1825" s="19"/>
    </row>
    <row r="1826" ht="15.75" customHeight="1">
      <c r="A1826" s="1">
        <v>5.0462355E7</v>
      </c>
      <c r="B1826" s="2" t="s">
        <v>1002</v>
      </c>
      <c r="C1826" s="19" t="s">
        <v>6173</v>
      </c>
      <c r="D1826" s="19"/>
      <c r="E1826" s="2"/>
      <c r="F1826" s="19"/>
    </row>
    <row r="1827" ht="15.75" customHeight="1">
      <c r="A1827" s="1">
        <v>5.0466511E7</v>
      </c>
      <c r="B1827" s="2" t="s">
        <v>529</v>
      </c>
      <c r="C1827" s="19" t="s">
        <v>6174</v>
      </c>
      <c r="D1827" s="19"/>
      <c r="E1827" s="2"/>
      <c r="F1827" s="19"/>
    </row>
    <row r="1828" ht="15.75" customHeight="1">
      <c r="A1828" s="1">
        <v>5.0470391E7</v>
      </c>
      <c r="B1828" s="2" t="s">
        <v>776</v>
      </c>
      <c r="C1828" s="19" t="s">
        <v>6175</v>
      </c>
      <c r="D1828" s="19" t="s">
        <v>6176</v>
      </c>
      <c r="E1828" s="2"/>
      <c r="F1828" s="19"/>
    </row>
    <row r="1829" ht="15.75" customHeight="1">
      <c r="A1829" s="1">
        <v>5.0479987E7</v>
      </c>
      <c r="B1829" s="2" t="s">
        <v>967</v>
      </c>
      <c r="C1829" s="19" t="s">
        <v>6177</v>
      </c>
      <c r="D1829" s="19" t="s">
        <v>6178</v>
      </c>
      <c r="E1829" s="2"/>
      <c r="F1829" s="19"/>
    </row>
    <row r="1830" ht="15.75" customHeight="1">
      <c r="A1830" s="1">
        <v>5.0480858E7</v>
      </c>
      <c r="B1830" s="2" t="s">
        <v>645</v>
      </c>
      <c r="C1830" s="19" t="s">
        <v>6179</v>
      </c>
      <c r="D1830" s="19"/>
      <c r="E1830" s="2"/>
      <c r="F1830" s="19"/>
    </row>
    <row r="1831" ht="15.75" customHeight="1">
      <c r="A1831" s="1">
        <v>5.0487617E7</v>
      </c>
      <c r="B1831" s="2" t="s">
        <v>787</v>
      </c>
      <c r="C1831" s="19" t="s">
        <v>6180</v>
      </c>
      <c r="D1831" s="19"/>
      <c r="E1831" s="2"/>
      <c r="F1831" s="19"/>
    </row>
    <row r="1832" ht="15.75" customHeight="1">
      <c r="A1832" s="1">
        <v>5.0490209E7</v>
      </c>
      <c r="B1832" s="2" t="s">
        <v>2003</v>
      </c>
      <c r="C1832" s="19" t="s">
        <v>6181</v>
      </c>
      <c r="D1832" s="19" t="s">
        <v>6182</v>
      </c>
      <c r="E1832" s="2"/>
      <c r="F1832" s="19"/>
    </row>
    <row r="1833" ht="15.75" customHeight="1">
      <c r="A1833" s="1">
        <v>5.0491544E7</v>
      </c>
      <c r="B1833" s="2" t="s">
        <v>1071</v>
      </c>
      <c r="C1833" s="19" t="s">
        <v>6183</v>
      </c>
      <c r="D1833" s="19"/>
      <c r="E1833" s="2"/>
      <c r="F1833" s="19"/>
    </row>
    <row r="1834" ht="15.75" customHeight="1">
      <c r="A1834" s="1">
        <v>5.0502923E7</v>
      </c>
      <c r="B1834" s="2" t="s">
        <v>338</v>
      </c>
      <c r="C1834" s="19" t="s">
        <v>6184</v>
      </c>
      <c r="D1834" s="19" t="s">
        <v>6185</v>
      </c>
      <c r="E1834" s="2"/>
      <c r="F1834" s="19"/>
    </row>
    <row r="1835" ht="15.75" customHeight="1">
      <c r="A1835" s="1">
        <v>5.0506366E7</v>
      </c>
      <c r="B1835" s="2" t="s">
        <v>1336</v>
      </c>
      <c r="C1835" s="19" t="s">
        <v>6186</v>
      </c>
      <c r="D1835" s="19" t="s">
        <v>6187</v>
      </c>
      <c r="E1835" s="2"/>
      <c r="F1835" s="19"/>
    </row>
    <row r="1836" ht="15.75" customHeight="1">
      <c r="A1836" s="1">
        <v>5.051246E7</v>
      </c>
      <c r="B1836" s="2" t="s">
        <v>1604</v>
      </c>
      <c r="C1836" s="19" t="s">
        <v>6188</v>
      </c>
      <c r="D1836" s="19"/>
      <c r="E1836" s="2"/>
      <c r="F1836" s="19"/>
    </row>
    <row r="1837" ht="15.75" customHeight="1">
      <c r="A1837" s="1">
        <v>5.0529981E7</v>
      </c>
      <c r="B1837" s="2" t="s">
        <v>2138</v>
      </c>
      <c r="C1837" s="19" t="s">
        <v>6189</v>
      </c>
      <c r="D1837" s="19" t="s">
        <v>6190</v>
      </c>
      <c r="E1837" s="2"/>
      <c r="F1837" s="19"/>
    </row>
    <row r="1838" ht="15.75" customHeight="1">
      <c r="A1838" s="1">
        <v>5.0561808E7</v>
      </c>
      <c r="B1838" s="2" t="s">
        <v>260</v>
      </c>
      <c r="C1838" s="19" t="s">
        <v>6191</v>
      </c>
      <c r="D1838" s="19" t="s">
        <v>6192</v>
      </c>
      <c r="E1838" s="2"/>
      <c r="F1838" s="19"/>
    </row>
    <row r="1839" ht="15.75" customHeight="1">
      <c r="A1839" s="1">
        <v>5.0582355E7</v>
      </c>
      <c r="B1839" s="2" t="s">
        <v>670</v>
      </c>
      <c r="C1839" s="19" t="s">
        <v>6193</v>
      </c>
      <c r="D1839" s="19" t="s">
        <v>6194</v>
      </c>
      <c r="E1839" s="2"/>
      <c r="F1839" s="19"/>
    </row>
    <row r="1840" ht="15.75" customHeight="1">
      <c r="A1840" s="1">
        <v>5.05841E7</v>
      </c>
      <c r="B1840" s="2" t="s">
        <v>1563</v>
      </c>
      <c r="C1840" s="19" t="s">
        <v>6195</v>
      </c>
      <c r="D1840" s="19"/>
      <c r="E1840" s="2"/>
      <c r="F1840" s="19"/>
    </row>
    <row r="1841" ht="15.75" customHeight="1">
      <c r="A1841" s="1">
        <v>5.0584594E7</v>
      </c>
      <c r="B1841" s="2" t="s">
        <v>362</v>
      </c>
      <c r="C1841" s="19" t="s">
        <v>6196</v>
      </c>
      <c r="D1841" s="19"/>
      <c r="E1841" s="2"/>
      <c r="F1841" s="19"/>
    </row>
    <row r="1842" ht="15.75" customHeight="1">
      <c r="A1842" s="1">
        <v>5.0591528E7</v>
      </c>
      <c r="B1842" s="2" t="s">
        <v>2281</v>
      </c>
      <c r="C1842" s="19" t="s">
        <v>6197</v>
      </c>
      <c r="D1842" s="19" t="s">
        <v>6198</v>
      </c>
      <c r="E1842" s="2"/>
      <c r="F1842" s="19"/>
    </row>
    <row r="1843" ht="15.75" customHeight="1">
      <c r="A1843" s="1">
        <v>5.0597271E7</v>
      </c>
      <c r="B1843" s="2" t="s">
        <v>1034</v>
      </c>
      <c r="C1843" s="19" t="s">
        <v>6199</v>
      </c>
      <c r="D1843" s="19" t="s">
        <v>6200</v>
      </c>
      <c r="E1843" s="2"/>
      <c r="F1843" s="19"/>
    </row>
    <row r="1844" ht="15.75" customHeight="1">
      <c r="A1844" s="1">
        <v>5.0611776E7</v>
      </c>
      <c r="B1844" s="2" t="s">
        <v>1342</v>
      </c>
      <c r="C1844" s="19" t="s">
        <v>6201</v>
      </c>
      <c r="D1844" s="19"/>
      <c r="E1844" s="2"/>
      <c r="F1844" s="19"/>
    </row>
    <row r="1845" ht="15.75" customHeight="1">
      <c r="A1845" s="1">
        <v>5.0613764E7</v>
      </c>
      <c r="B1845" s="2" t="s">
        <v>2545</v>
      </c>
      <c r="C1845" s="19" t="s">
        <v>6202</v>
      </c>
      <c r="D1845" s="19"/>
      <c r="E1845" s="2"/>
      <c r="F1845" s="19"/>
    </row>
    <row r="1846" ht="15.75" customHeight="1">
      <c r="A1846" s="1">
        <v>5.0624609E7</v>
      </c>
      <c r="B1846" s="2" t="s">
        <v>1113</v>
      </c>
      <c r="C1846" s="19" t="s">
        <v>6203</v>
      </c>
      <c r="D1846" s="19"/>
      <c r="E1846" s="2"/>
      <c r="F1846" s="19"/>
    </row>
    <row r="1847" ht="15.75" customHeight="1">
      <c r="A1847" s="1">
        <v>5.0627461E7</v>
      </c>
      <c r="B1847" s="2" t="s">
        <v>650</v>
      </c>
      <c r="C1847" s="19" t="s">
        <v>6204</v>
      </c>
      <c r="D1847" s="19" t="s">
        <v>6205</v>
      </c>
      <c r="E1847" s="2"/>
      <c r="F1847" s="19"/>
    </row>
    <row r="1848" ht="15.75" customHeight="1">
      <c r="A1848" s="1">
        <v>5.0628776E7</v>
      </c>
      <c r="B1848" s="2" t="s">
        <v>148</v>
      </c>
      <c r="C1848" s="19" t="s">
        <v>6206</v>
      </c>
      <c r="D1848" s="19" t="s">
        <v>6207</v>
      </c>
      <c r="E1848" s="2"/>
      <c r="F1848" s="19"/>
    </row>
    <row r="1849" ht="15.75" customHeight="1">
      <c r="A1849" s="1">
        <v>5.0629028E7</v>
      </c>
      <c r="B1849" s="2" t="s">
        <v>1442</v>
      </c>
      <c r="C1849" s="19" t="s">
        <v>6208</v>
      </c>
      <c r="D1849" s="19"/>
      <c r="E1849" s="2"/>
      <c r="F1849" s="19"/>
    </row>
    <row r="1850" ht="15.75" customHeight="1">
      <c r="A1850" s="1">
        <v>5.0632954E7</v>
      </c>
      <c r="B1850" s="2" t="s">
        <v>1545</v>
      </c>
      <c r="C1850" s="19" t="s">
        <v>6209</v>
      </c>
      <c r="D1850" s="19" t="s">
        <v>6210</v>
      </c>
      <c r="E1850" s="2"/>
      <c r="F1850" s="19"/>
    </row>
    <row r="1851" ht="15.75" customHeight="1">
      <c r="A1851" s="1">
        <v>5.063383E7</v>
      </c>
      <c r="B1851" s="2" t="s">
        <v>465</v>
      </c>
      <c r="C1851" s="19" t="s">
        <v>6211</v>
      </c>
      <c r="D1851" s="19"/>
      <c r="E1851" s="2"/>
      <c r="F1851" s="19"/>
    </row>
    <row r="1852" ht="15.75" customHeight="1">
      <c r="A1852" s="1">
        <v>5.0635277E7</v>
      </c>
      <c r="B1852" s="2" t="s">
        <v>1166</v>
      </c>
      <c r="C1852" s="19" t="s">
        <v>6212</v>
      </c>
      <c r="D1852" s="19" t="s">
        <v>6213</v>
      </c>
      <c r="E1852" s="2"/>
      <c r="F1852" s="19"/>
    </row>
    <row r="1853" ht="15.75" customHeight="1">
      <c r="A1853" s="1">
        <v>5.0636935E7</v>
      </c>
      <c r="B1853" s="2" t="s">
        <v>1250</v>
      </c>
      <c r="C1853" s="19" t="s">
        <v>6214</v>
      </c>
      <c r="D1853" s="19"/>
      <c r="E1853" s="2"/>
      <c r="F1853" s="19"/>
    </row>
    <row r="1854" ht="15.75" customHeight="1">
      <c r="A1854" s="1">
        <v>5.0637765E7</v>
      </c>
      <c r="B1854" s="2" t="s">
        <v>1619</v>
      </c>
      <c r="C1854" s="19" t="s">
        <v>6215</v>
      </c>
      <c r="D1854" s="19"/>
      <c r="E1854" s="2"/>
      <c r="F1854" s="19"/>
    </row>
    <row r="1855" ht="15.75" customHeight="1">
      <c r="A1855" s="1">
        <v>5.0641477E7</v>
      </c>
      <c r="B1855" s="2" t="s">
        <v>1416</v>
      </c>
      <c r="C1855" s="19" t="s">
        <v>6216</v>
      </c>
      <c r="D1855" s="19"/>
      <c r="E1855" s="2"/>
      <c r="F1855" s="19"/>
    </row>
    <row r="1856" ht="15.75" customHeight="1">
      <c r="A1856" s="1">
        <v>5.0661246E7</v>
      </c>
      <c r="B1856" s="2" t="s">
        <v>3145</v>
      </c>
      <c r="C1856" s="19" t="s">
        <v>6217</v>
      </c>
      <c r="D1856" s="19"/>
      <c r="E1856" s="2"/>
      <c r="F1856" s="19"/>
    </row>
    <row r="1857" ht="15.75" customHeight="1">
      <c r="A1857" s="1">
        <v>5.067456E7</v>
      </c>
      <c r="B1857" s="2" t="s">
        <v>3275</v>
      </c>
      <c r="C1857" s="19" t="s">
        <v>6218</v>
      </c>
      <c r="D1857" s="19" t="s">
        <v>6219</v>
      </c>
      <c r="E1857" s="2"/>
      <c r="F1857" s="19"/>
    </row>
    <row r="1858" ht="15.75" customHeight="1">
      <c r="A1858" s="1">
        <v>5.0688958E7</v>
      </c>
      <c r="B1858" s="2" t="s">
        <v>1666</v>
      </c>
      <c r="C1858" s="19" t="s">
        <v>6220</v>
      </c>
      <c r="D1858" s="19"/>
      <c r="E1858" s="2"/>
      <c r="F1858" s="19"/>
    </row>
    <row r="1859" ht="15.75" customHeight="1">
      <c r="A1859" s="1">
        <v>5.0699695E7</v>
      </c>
      <c r="B1859" s="2" t="s">
        <v>3009</v>
      </c>
      <c r="C1859" s="19" t="s">
        <v>6221</v>
      </c>
      <c r="D1859" s="19" t="s">
        <v>6222</v>
      </c>
      <c r="E1859" s="2"/>
      <c r="F1859" s="19"/>
    </row>
    <row r="1860" ht="15.75" customHeight="1">
      <c r="A1860" s="1">
        <v>5.0701731E7</v>
      </c>
      <c r="B1860" s="2" t="s">
        <v>1315</v>
      </c>
      <c r="C1860" s="19" t="s">
        <v>6223</v>
      </c>
      <c r="D1860" s="19"/>
      <c r="E1860" s="2"/>
      <c r="F1860" s="19"/>
    </row>
    <row r="1861" ht="15.75" customHeight="1">
      <c r="A1861" s="1">
        <v>5.0705737E7</v>
      </c>
      <c r="B1861" s="2" t="s">
        <v>2914</v>
      </c>
      <c r="C1861" s="19" t="s">
        <v>6224</v>
      </c>
      <c r="D1861" s="19"/>
      <c r="E1861" s="2"/>
      <c r="F1861" s="19"/>
    </row>
    <row r="1862" ht="15.75" customHeight="1">
      <c r="A1862" s="1">
        <v>5.0710541E7</v>
      </c>
      <c r="B1862" s="2" t="s">
        <v>1375</v>
      </c>
      <c r="C1862" s="19" t="s">
        <v>6225</v>
      </c>
      <c r="D1862" s="19" t="s">
        <v>6226</v>
      </c>
      <c r="E1862" s="2"/>
      <c r="F1862" s="19"/>
    </row>
    <row r="1863" ht="15.75" customHeight="1">
      <c r="A1863" s="1">
        <v>5.0713215E7</v>
      </c>
      <c r="B1863" s="2" t="s">
        <v>1453</v>
      </c>
      <c r="C1863" s="19" t="s">
        <v>6227</v>
      </c>
      <c r="D1863" s="19" t="s">
        <v>6228</v>
      </c>
      <c r="E1863" s="2"/>
      <c r="F1863" s="19"/>
    </row>
    <row r="1864" ht="15.75" customHeight="1">
      <c r="A1864" s="1">
        <v>5.0718804E7</v>
      </c>
      <c r="B1864" s="2" t="s">
        <v>3247</v>
      </c>
      <c r="C1864" s="19" t="s">
        <v>6229</v>
      </c>
      <c r="D1864" s="19"/>
      <c r="E1864" s="2"/>
      <c r="F1864" s="19"/>
    </row>
    <row r="1865" ht="15.75" customHeight="1">
      <c r="A1865" s="1">
        <v>5.0730545E7</v>
      </c>
      <c r="B1865" s="2" t="s">
        <v>1684</v>
      </c>
      <c r="C1865" s="19" t="s">
        <v>6230</v>
      </c>
      <c r="D1865" s="19"/>
      <c r="E1865" s="2"/>
      <c r="F1865" s="19"/>
    </row>
    <row r="1866" ht="15.75" customHeight="1">
      <c r="A1866" s="1">
        <v>5.0749813E7</v>
      </c>
      <c r="B1866" s="2" t="s">
        <v>1530</v>
      </c>
      <c r="C1866" s="19" t="s">
        <v>6231</v>
      </c>
      <c r="D1866" s="19"/>
      <c r="E1866" s="2"/>
      <c r="F1866" s="19"/>
    </row>
    <row r="1867" ht="15.75" customHeight="1">
      <c r="A1867" s="1">
        <v>5.075225E7</v>
      </c>
      <c r="B1867" s="2" t="s">
        <v>1015</v>
      </c>
      <c r="C1867" s="19" t="s">
        <v>6232</v>
      </c>
      <c r="D1867" s="19"/>
      <c r="E1867" s="2"/>
      <c r="F1867" s="19"/>
    </row>
    <row r="1868" ht="15.75" customHeight="1">
      <c r="A1868" s="1">
        <v>5.0757567E7</v>
      </c>
      <c r="B1868" s="2" t="s">
        <v>207</v>
      </c>
      <c r="C1868" s="19" t="s">
        <v>6233</v>
      </c>
      <c r="D1868" s="19"/>
      <c r="E1868" s="2"/>
      <c r="F1868" s="19"/>
    </row>
    <row r="1869" ht="15.75" customHeight="1">
      <c r="A1869" s="1">
        <v>5.0764255E7</v>
      </c>
      <c r="B1869" s="2" t="s">
        <v>2157</v>
      </c>
      <c r="C1869" s="19" t="s">
        <v>6234</v>
      </c>
      <c r="D1869" s="19" t="s">
        <v>6235</v>
      </c>
      <c r="E1869" s="2"/>
      <c r="F1869" s="19"/>
    </row>
    <row r="1870" ht="15.75" customHeight="1">
      <c r="A1870" s="1">
        <v>5.0766363E7</v>
      </c>
      <c r="B1870" s="2" t="s">
        <v>2105</v>
      </c>
      <c r="C1870" s="19" t="s">
        <v>6236</v>
      </c>
      <c r="D1870" s="19" t="s">
        <v>6237</v>
      </c>
      <c r="E1870" s="2"/>
      <c r="F1870" s="19"/>
    </row>
    <row r="1871" ht="15.75" customHeight="1">
      <c r="A1871" s="1">
        <v>5.0783112E7</v>
      </c>
      <c r="B1871" s="2" t="s">
        <v>2097</v>
      </c>
      <c r="C1871" s="19" t="s">
        <v>6238</v>
      </c>
      <c r="D1871" s="19" t="s">
        <v>6239</v>
      </c>
      <c r="E1871" s="2"/>
      <c r="F1871" s="19"/>
    </row>
    <row r="1872" ht="15.75" customHeight="1">
      <c r="A1872" s="1">
        <v>5.0819321E7</v>
      </c>
      <c r="B1872" s="2" t="s">
        <v>668</v>
      </c>
      <c r="C1872" s="19" t="s">
        <v>6240</v>
      </c>
      <c r="D1872" s="19"/>
      <c r="E1872" s="2"/>
      <c r="F1872" s="19"/>
    </row>
    <row r="1873" ht="15.75" customHeight="1">
      <c r="A1873" s="1">
        <v>5.0822695E7</v>
      </c>
      <c r="B1873" s="2" t="s">
        <v>2127</v>
      </c>
      <c r="C1873" s="19" t="s">
        <v>6241</v>
      </c>
      <c r="D1873" s="19"/>
      <c r="E1873" s="2"/>
      <c r="F1873" s="19"/>
    </row>
    <row r="1874" ht="15.75" customHeight="1">
      <c r="A1874" s="1">
        <v>5.0823383E7</v>
      </c>
      <c r="B1874" s="2" t="s">
        <v>320</v>
      </c>
      <c r="C1874" s="19" t="s">
        <v>6242</v>
      </c>
      <c r="D1874" s="19"/>
      <c r="E1874" s="2"/>
      <c r="F1874" s="19"/>
    </row>
    <row r="1875" ht="15.75" customHeight="1">
      <c r="A1875" s="1">
        <v>5.0825507E7</v>
      </c>
      <c r="B1875" s="2" t="s">
        <v>1596</v>
      </c>
      <c r="C1875" s="19" t="s">
        <v>6243</v>
      </c>
      <c r="D1875" s="19"/>
      <c r="E1875" s="2"/>
      <c r="F1875" s="19"/>
    </row>
    <row r="1876" ht="15.75" customHeight="1">
      <c r="A1876" s="1">
        <v>5.0829992E7</v>
      </c>
      <c r="B1876" s="2" t="s">
        <v>1321</v>
      </c>
      <c r="C1876" s="19" t="s">
        <v>6244</v>
      </c>
      <c r="D1876" s="19"/>
      <c r="E1876" s="2"/>
      <c r="F1876" s="19"/>
    </row>
    <row r="1877" ht="15.75" customHeight="1">
      <c r="A1877" s="1">
        <v>5.0846243E7</v>
      </c>
      <c r="B1877" s="2" t="s">
        <v>1316</v>
      </c>
      <c r="C1877" s="19" t="s">
        <v>6245</v>
      </c>
      <c r="D1877" s="19"/>
      <c r="E1877" s="2"/>
      <c r="F1877" s="19"/>
    </row>
    <row r="1878" ht="15.75" customHeight="1">
      <c r="A1878" s="1">
        <v>5.0850661E7</v>
      </c>
      <c r="B1878" s="2" t="s">
        <v>626</v>
      </c>
      <c r="C1878" s="19" t="s">
        <v>6246</v>
      </c>
      <c r="D1878" s="19"/>
      <c r="E1878" s="2"/>
      <c r="F1878" s="19"/>
    </row>
    <row r="1879" ht="15.75" customHeight="1">
      <c r="A1879" s="1">
        <v>5.0851665E7</v>
      </c>
      <c r="B1879" s="2" t="s">
        <v>2760</v>
      </c>
      <c r="C1879" s="19" t="s">
        <v>6247</v>
      </c>
      <c r="D1879" s="19"/>
      <c r="E1879" s="2"/>
      <c r="F1879" s="19"/>
    </row>
    <row r="1880" ht="15.75" customHeight="1">
      <c r="A1880" s="1">
        <v>5.085215E7</v>
      </c>
      <c r="B1880" s="2" t="s">
        <v>862</v>
      </c>
      <c r="C1880" s="19" t="s">
        <v>6248</v>
      </c>
      <c r="D1880" s="19"/>
      <c r="E1880" s="2"/>
      <c r="F1880" s="19"/>
    </row>
    <row r="1881" ht="15.75" customHeight="1">
      <c r="A1881" s="1">
        <v>5.0856027E7</v>
      </c>
      <c r="B1881" s="2" t="s">
        <v>3191</v>
      </c>
      <c r="C1881" s="19" t="s">
        <v>6249</v>
      </c>
      <c r="D1881" s="19"/>
      <c r="E1881" s="2"/>
      <c r="F1881" s="19"/>
    </row>
    <row r="1882" ht="15.75" customHeight="1">
      <c r="A1882" s="1">
        <v>5.0862637E7</v>
      </c>
      <c r="B1882" s="2" t="s">
        <v>346</v>
      </c>
      <c r="C1882" s="19" t="s">
        <v>6250</v>
      </c>
      <c r="D1882" s="19"/>
      <c r="E1882" s="2"/>
      <c r="F1882" s="19"/>
    </row>
    <row r="1883" ht="15.75" customHeight="1">
      <c r="A1883" s="1">
        <v>5.0865772E7</v>
      </c>
      <c r="B1883" s="2" t="s">
        <v>2437</v>
      </c>
      <c r="C1883" s="19" t="s">
        <v>6251</v>
      </c>
      <c r="D1883" s="19" t="s">
        <v>6252</v>
      </c>
      <c r="E1883" s="2"/>
      <c r="F1883" s="19"/>
    </row>
    <row r="1884" ht="15.75" customHeight="1">
      <c r="A1884" s="1">
        <v>5.0867815E7</v>
      </c>
      <c r="B1884" s="2" t="s">
        <v>1132</v>
      </c>
      <c r="C1884" s="19" t="s">
        <v>6253</v>
      </c>
      <c r="D1884" s="19"/>
      <c r="E1884" s="2"/>
      <c r="F1884" s="19"/>
    </row>
    <row r="1885" ht="15.75" customHeight="1">
      <c r="A1885" s="1">
        <v>5.0868194E7</v>
      </c>
      <c r="B1885" s="2" t="s">
        <v>1128</v>
      </c>
      <c r="C1885" s="19" t="s">
        <v>6254</v>
      </c>
      <c r="D1885" s="19"/>
      <c r="E1885" s="2"/>
      <c r="F1885" s="19"/>
    </row>
    <row r="1886" ht="15.75" customHeight="1">
      <c r="A1886" s="1">
        <v>5.0872515E7</v>
      </c>
      <c r="B1886" s="2" t="s">
        <v>603</v>
      </c>
      <c r="C1886" s="19" t="s">
        <v>6255</v>
      </c>
      <c r="D1886" s="19"/>
      <c r="E1886" s="2"/>
      <c r="F1886" s="19"/>
    </row>
    <row r="1887" ht="15.75" customHeight="1">
      <c r="A1887" s="1">
        <v>5.0874376E7</v>
      </c>
      <c r="B1887" s="2" t="s">
        <v>903</v>
      </c>
      <c r="C1887" s="19" t="s">
        <v>6256</v>
      </c>
      <c r="D1887" s="19"/>
      <c r="E1887" s="2"/>
      <c r="F1887" s="19"/>
    </row>
    <row r="1888" ht="15.75" customHeight="1">
      <c r="A1888" s="1">
        <v>5.087628E7</v>
      </c>
      <c r="B1888" s="2" t="s">
        <v>2629</v>
      </c>
      <c r="C1888" s="19" t="s">
        <v>6257</v>
      </c>
      <c r="D1888" s="19"/>
      <c r="E1888" s="2"/>
      <c r="F1888" s="19"/>
    </row>
    <row r="1889" ht="15.75" customHeight="1">
      <c r="A1889" s="1">
        <v>5.0877919E7</v>
      </c>
      <c r="B1889" s="2" t="s">
        <v>1419</v>
      </c>
      <c r="C1889" s="19" t="s">
        <v>6258</v>
      </c>
      <c r="D1889" s="19" t="s">
        <v>6259</v>
      </c>
      <c r="E1889" s="2"/>
      <c r="F1889" s="19"/>
    </row>
    <row r="1890" ht="15.75" customHeight="1">
      <c r="A1890" s="1">
        <v>5.0877966E7</v>
      </c>
      <c r="B1890" s="2" t="s">
        <v>2061</v>
      </c>
      <c r="C1890" s="19" t="s">
        <v>6260</v>
      </c>
      <c r="D1890" s="19" t="s">
        <v>6261</v>
      </c>
      <c r="E1890" s="2"/>
      <c r="F1890" s="19"/>
    </row>
    <row r="1891" ht="15.75" customHeight="1">
      <c r="A1891" s="1">
        <v>5.0882936E7</v>
      </c>
      <c r="B1891" s="2" t="s">
        <v>1091</v>
      </c>
      <c r="C1891" s="19" t="s">
        <v>6262</v>
      </c>
      <c r="D1891" s="19" t="s">
        <v>6263</v>
      </c>
      <c r="E1891" s="2"/>
      <c r="F1891" s="19"/>
    </row>
    <row r="1892" ht="15.75" customHeight="1">
      <c r="A1892" s="1">
        <v>5.0903007E7</v>
      </c>
      <c r="B1892" s="2" t="s">
        <v>1914</v>
      </c>
      <c r="C1892" s="19" t="s">
        <v>6264</v>
      </c>
      <c r="D1892" s="19"/>
      <c r="E1892" s="2"/>
      <c r="F1892" s="19"/>
    </row>
    <row r="1893" ht="15.75" customHeight="1">
      <c r="A1893" s="1">
        <v>5.0932709E7</v>
      </c>
      <c r="B1893" s="2" t="s">
        <v>1281</v>
      </c>
      <c r="C1893" s="19" t="s">
        <v>6265</v>
      </c>
      <c r="D1893" s="19"/>
      <c r="E1893" s="2"/>
      <c r="F1893" s="19"/>
    </row>
    <row r="1894" ht="15.75" customHeight="1">
      <c r="A1894" s="1">
        <v>5.0936643E7</v>
      </c>
      <c r="B1894" s="2" t="s">
        <v>1945</v>
      </c>
      <c r="C1894" s="19" t="s">
        <v>6266</v>
      </c>
      <c r="D1894" s="19" t="s">
        <v>6267</v>
      </c>
      <c r="E1894" s="2"/>
      <c r="F1894" s="19"/>
    </row>
    <row r="1895" ht="15.75" customHeight="1">
      <c r="A1895" s="1">
        <v>5.0945866E7</v>
      </c>
      <c r="B1895" s="2" t="s">
        <v>2987</v>
      </c>
      <c r="C1895" s="19" t="s">
        <v>6268</v>
      </c>
      <c r="D1895" s="19"/>
      <c r="E1895" s="2"/>
      <c r="F1895" s="19"/>
    </row>
    <row r="1896" ht="15.75" customHeight="1">
      <c r="A1896" s="1">
        <v>5.097315E7</v>
      </c>
      <c r="B1896" s="2" t="s">
        <v>724</v>
      </c>
      <c r="C1896" s="19" t="s">
        <v>6269</v>
      </c>
      <c r="D1896" s="19"/>
      <c r="E1896" s="2"/>
      <c r="F1896" s="19"/>
    </row>
    <row r="1897" ht="15.75" customHeight="1">
      <c r="A1897" s="1">
        <v>5.0977178E7</v>
      </c>
      <c r="B1897" s="2" t="s">
        <v>612</v>
      </c>
      <c r="C1897" s="19" t="s">
        <v>6270</v>
      </c>
      <c r="D1897" s="19" t="s">
        <v>6271</v>
      </c>
      <c r="E1897" s="2"/>
      <c r="F1897" s="19"/>
    </row>
    <row r="1898" ht="15.75" customHeight="1">
      <c r="A1898" s="1">
        <v>5.0980779E7</v>
      </c>
      <c r="B1898" s="2" t="s">
        <v>164</v>
      </c>
      <c r="C1898" s="19" t="s">
        <v>6272</v>
      </c>
      <c r="D1898" s="19"/>
      <c r="E1898" s="2"/>
      <c r="F1898" s="19"/>
    </row>
    <row r="1899" ht="15.75" customHeight="1">
      <c r="A1899" s="1">
        <v>5.0986952E7</v>
      </c>
      <c r="B1899" s="2" t="s">
        <v>1585</v>
      </c>
      <c r="C1899" s="19" t="s">
        <v>6273</v>
      </c>
      <c r="D1899" s="19"/>
      <c r="E1899" s="2"/>
      <c r="F1899" s="19"/>
    </row>
    <row r="1900" ht="15.75" customHeight="1">
      <c r="A1900" s="1">
        <v>5.1000955E7</v>
      </c>
      <c r="B1900" s="2" t="s">
        <v>1406</v>
      </c>
      <c r="C1900" s="19" t="s">
        <v>6274</v>
      </c>
      <c r="D1900" s="19" t="s">
        <v>6275</v>
      </c>
      <c r="E1900" s="2"/>
      <c r="F1900" s="19"/>
    </row>
    <row r="1901" ht="15.75" customHeight="1">
      <c r="A1901" s="1">
        <v>5.1016243E7</v>
      </c>
      <c r="B1901" s="2" t="s">
        <v>2584</v>
      </c>
      <c r="C1901" s="19" t="s">
        <v>6276</v>
      </c>
      <c r="D1901" s="19"/>
      <c r="E1901" s="2"/>
      <c r="F1901" s="19"/>
    </row>
    <row r="1902" ht="15.75" customHeight="1">
      <c r="A1902" s="1">
        <v>5.1018281E7</v>
      </c>
      <c r="B1902" s="2" t="s">
        <v>1070</v>
      </c>
      <c r="C1902" s="19" t="s">
        <v>6277</v>
      </c>
      <c r="D1902" s="19"/>
      <c r="E1902" s="2"/>
      <c r="F1902" s="19"/>
    </row>
    <row r="1903" ht="15.75" customHeight="1">
      <c r="A1903" s="1">
        <v>5.1024525E7</v>
      </c>
      <c r="B1903" s="2" t="s">
        <v>3146</v>
      </c>
      <c r="C1903" s="19" t="s">
        <v>6278</v>
      </c>
      <c r="D1903" s="19"/>
      <c r="E1903" s="2"/>
      <c r="F1903" s="19"/>
    </row>
    <row r="1904" ht="15.75" customHeight="1">
      <c r="A1904" s="1">
        <v>5.1028474E7</v>
      </c>
      <c r="B1904" s="2" t="s">
        <v>2016</v>
      </c>
      <c r="C1904" s="19" t="s">
        <v>6279</v>
      </c>
      <c r="D1904" s="19" t="s">
        <v>6280</v>
      </c>
      <c r="E1904" s="2"/>
      <c r="F1904" s="19"/>
    </row>
    <row r="1905" ht="15.75" customHeight="1">
      <c r="A1905" s="1">
        <v>5.1031354E7</v>
      </c>
      <c r="B1905" s="2" t="s">
        <v>1393</v>
      </c>
      <c r="C1905" s="19" t="s">
        <v>6281</v>
      </c>
      <c r="D1905" s="19"/>
      <c r="E1905" s="2"/>
      <c r="F1905" s="19"/>
    </row>
    <row r="1906" ht="15.75" customHeight="1">
      <c r="A1906" s="1">
        <v>5.1031495E7</v>
      </c>
      <c r="B1906" s="2" t="s">
        <v>705</v>
      </c>
      <c r="C1906" s="19" t="s">
        <v>6282</v>
      </c>
      <c r="D1906" s="19"/>
      <c r="E1906" s="2"/>
      <c r="F1906" s="19"/>
    </row>
    <row r="1907" ht="15.75" customHeight="1">
      <c r="A1907" s="1">
        <v>5.1032451E7</v>
      </c>
      <c r="B1907" s="2" t="s">
        <v>1164</v>
      </c>
      <c r="C1907" s="19" t="s">
        <v>6283</v>
      </c>
      <c r="D1907" s="19" t="s">
        <v>6284</v>
      </c>
      <c r="E1907" s="2"/>
      <c r="F1907" s="19"/>
    </row>
    <row r="1908" ht="15.75" customHeight="1">
      <c r="A1908" s="1">
        <v>5.103332E7</v>
      </c>
      <c r="B1908" s="2" t="s">
        <v>1608</v>
      </c>
      <c r="C1908" s="19" t="s">
        <v>6285</v>
      </c>
      <c r="D1908" s="19"/>
      <c r="E1908" s="2"/>
      <c r="F1908" s="19"/>
    </row>
    <row r="1909" ht="15.75" customHeight="1">
      <c r="A1909" s="1">
        <v>5.1043227E7</v>
      </c>
      <c r="B1909" s="2" t="s">
        <v>2879</v>
      </c>
      <c r="C1909" s="19" t="s">
        <v>6286</v>
      </c>
      <c r="D1909" s="19"/>
      <c r="E1909" s="2"/>
      <c r="F1909" s="19"/>
    </row>
    <row r="1910" ht="15.75" customHeight="1">
      <c r="A1910" s="1">
        <v>5.1044647E7</v>
      </c>
      <c r="B1910" s="2" t="s">
        <v>1511</v>
      </c>
      <c r="C1910" s="19" t="s">
        <v>6287</v>
      </c>
      <c r="D1910" s="19"/>
      <c r="E1910" s="2"/>
      <c r="F1910" s="19"/>
    </row>
    <row r="1911" ht="15.75" customHeight="1">
      <c r="A1911" s="1">
        <v>5.1056684E7</v>
      </c>
      <c r="B1911" s="2" t="s">
        <v>2213</v>
      </c>
      <c r="C1911" s="19" t="s">
        <v>6288</v>
      </c>
      <c r="D1911" s="19" t="s">
        <v>6289</v>
      </c>
      <c r="E1911" s="2"/>
      <c r="F1911" s="19"/>
    </row>
    <row r="1912" ht="15.75" customHeight="1">
      <c r="A1912" s="1">
        <v>5.1066585E7</v>
      </c>
      <c r="B1912" s="2" t="s">
        <v>1083</v>
      </c>
      <c r="C1912" s="19" t="s">
        <v>6290</v>
      </c>
      <c r="D1912" s="19"/>
      <c r="E1912" s="2"/>
      <c r="F1912" s="19"/>
    </row>
    <row r="1913" ht="15.75" customHeight="1">
      <c r="A1913" s="1">
        <v>5.1069295E7</v>
      </c>
      <c r="B1913" s="2" t="s">
        <v>962</v>
      </c>
      <c r="C1913" s="19" t="s">
        <v>6291</v>
      </c>
      <c r="D1913" s="19" t="s">
        <v>6292</v>
      </c>
      <c r="E1913" s="2"/>
      <c r="F1913" s="19"/>
    </row>
    <row r="1914" ht="15.75" customHeight="1">
      <c r="A1914" s="1">
        <v>5.1072576E7</v>
      </c>
      <c r="B1914" s="2" t="s">
        <v>576</v>
      </c>
      <c r="C1914" s="19" t="s">
        <v>6293</v>
      </c>
      <c r="D1914" s="19"/>
      <c r="E1914" s="2"/>
      <c r="F1914" s="19"/>
    </row>
    <row r="1915" ht="15.75" customHeight="1">
      <c r="A1915" s="1">
        <v>5.1076243E7</v>
      </c>
      <c r="B1915" s="2" t="s">
        <v>211</v>
      </c>
      <c r="C1915" s="19" t="s">
        <v>6294</v>
      </c>
      <c r="D1915" s="19" t="s">
        <v>6295</v>
      </c>
      <c r="E1915" s="2"/>
      <c r="F1915" s="19"/>
    </row>
    <row r="1916" ht="15.75" customHeight="1">
      <c r="A1916" s="1">
        <v>5.1077496E7</v>
      </c>
      <c r="B1916" s="2" t="s">
        <v>1465</v>
      </c>
      <c r="C1916" s="19" t="s">
        <v>6296</v>
      </c>
      <c r="D1916" s="19"/>
      <c r="E1916" s="2"/>
      <c r="F1916" s="19"/>
    </row>
    <row r="1917" ht="15.75" customHeight="1">
      <c r="A1917" s="1">
        <v>5.1079139E7</v>
      </c>
      <c r="B1917" s="2" t="s">
        <v>1553</v>
      </c>
      <c r="C1917" s="19" t="s">
        <v>6297</v>
      </c>
      <c r="D1917" s="19" t="s">
        <v>6298</v>
      </c>
      <c r="E1917" s="2"/>
      <c r="F1917" s="19"/>
    </row>
    <row r="1918" ht="15.75" customHeight="1">
      <c r="A1918" s="1">
        <v>5.108679E7</v>
      </c>
      <c r="B1918" s="2" t="s">
        <v>1842</v>
      </c>
      <c r="C1918" s="19" t="s">
        <v>6299</v>
      </c>
      <c r="D1918" s="19"/>
      <c r="E1918" s="2"/>
      <c r="F1918" s="19"/>
    </row>
    <row r="1919" ht="15.75" customHeight="1">
      <c r="A1919" s="1">
        <v>5.1092787E7</v>
      </c>
      <c r="B1919" s="2" t="s">
        <v>154</v>
      </c>
      <c r="C1919" s="19" t="s">
        <v>6300</v>
      </c>
      <c r="D1919" s="19" t="s">
        <v>6301</v>
      </c>
      <c r="E1919" s="2"/>
      <c r="F1919" s="19"/>
    </row>
    <row r="1920" ht="15.75" customHeight="1">
      <c r="A1920" s="1">
        <v>5.1104084E7</v>
      </c>
      <c r="B1920" s="2" t="s">
        <v>241</v>
      </c>
      <c r="C1920" s="19" t="s">
        <v>6302</v>
      </c>
      <c r="D1920" s="19"/>
      <c r="E1920" s="2"/>
      <c r="F1920" s="19"/>
    </row>
    <row r="1921" ht="15.75" customHeight="1">
      <c r="A1921" s="1">
        <v>5.1105421E7</v>
      </c>
      <c r="B1921" s="2" t="s">
        <v>2249</v>
      </c>
      <c r="C1921" s="19" t="s">
        <v>6303</v>
      </c>
      <c r="D1921" s="19"/>
      <c r="E1921" s="2"/>
      <c r="F1921" s="19"/>
    </row>
    <row r="1922" ht="15.75" customHeight="1">
      <c r="A1922" s="1">
        <v>5.1105842E7</v>
      </c>
      <c r="B1922" s="2" t="s">
        <v>2383</v>
      </c>
      <c r="C1922" s="19" t="s">
        <v>6304</v>
      </c>
      <c r="D1922" s="19"/>
      <c r="E1922" s="2"/>
      <c r="F1922" s="19"/>
    </row>
    <row r="1923" ht="15.75" customHeight="1">
      <c r="A1923" s="1">
        <v>5.1110466E7</v>
      </c>
      <c r="B1923" s="2" t="s">
        <v>2645</v>
      </c>
      <c r="C1923" s="19" t="s">
        <v>6305</v>
      </c>
      <c r="D1923" s="19"/>
      <c r="E1923" s="2"/>
      <c r="F1923" s="19"/>
    </row>
    <row r="1924" ht="15.75" customHeight="1">
      <c r="A1924" s="1">
        <v>5.1133592E7</v>
      </c>
      <c r="B1924" s="2" t="s">
        <v>1055</v>
      </c>
      <c r="C1924" s="19" t="s">
        <v>6306</v>
      </c>
      <c r="D1924" s="19"/>
      <c r="E1924" s="2"/>
      <c r="F1924" s="19"/>
    </row>
    <row r="1925" ht="15.75" customHeight="1">
      <c r="A1925" s="1">
        <v>5.1142087E7</v>
      </c>
      <c r="B1925" s="2" t="s">
        <v>354</v>
      </c>
      <c r="C1925" s="19" t="s">
        <v>6307</v>
      </c>
      <c r="D1925" s="19"/>
      <c r="E1925" s="2"/>
      <c r="F1925" s="19"/>
    </row>
    <row r="1926" ht="15.75" customHeight="1">
      <c r="A1926" s="1">
        <v>5.1150942E7</v>
      </c>
      <c r="B1926" s="2" t="s">
        <v>3516</v>
      </c>
      <c r="C1926" s="19" t="s">
        <v>6308</v>
      </c>
      <c r="D1926" s="19"/>
      <c r="E1926" s="2"/>
      <c r="F1926" s="19"/>
    </row>
    <row r="1927" ht="15.75" customHeight="1">
      <c r="A1927" s="1">
        <v>5.1151926E7</v>
      </c>
      <c r="B1927" s="2" t="s">
        <v>155</v>
      </c>
      <c r="C1927" s="19" t="s">
        <v>6309</v>
      </c>
      <c r="D1927" s="19"/>
      <c r="E1927" s="2"/>
      <c r="F1927" s="19"/>
    </row>
    <row r="1928" ht="15.75" customHeight="1">
      <c r="A1928" s="1">
        <v>5.1157469E7</v>
      </c>
      <c r="B1928" s="2" t="s">
        <v>210</v>
      </c>
      <c r="C1928" s="19" t="s">
        <v>6310</v>
      </c>
      <c r="D1928" s="19" t="s">
        <v>6311</v>
      </c>
      <c r="E1928" s="2"/>
      <c r="F1928" s="19"/>
    </row>
    <row r="1929" ht="15.75" customHeight="1">
      <c r="A1929" s="1">
        <v>5.115776E7</v>
      </c>
      <c r="B1929" s="2" t="s">
        <v>436</v>
      </c>
      <c r="C1929" s="19" t="s">
        <v>6312</v>
      </c>
      <c r="D1929" s="19"/>
      <c r="E1929" s="2"/>
      <c r="F1929" s="19"/>
    </row>
    <row r="1930" ht="15.75" customHeight="1">
      <c r="A1930" s="1">
        <v>5.1162737E7</v>
      </c>
      <c r="B1930" s="2" t="s">
        <v>583</v>
      </c>
      <c r="C1930" s="19" t="s">
        <v>6313</v>
      </c>
      <c r="D1930" s="19"/>
      <c r="E1930" s="2"/>
      <c r="F1930" s="19"/>
    </row>
    <row r="1931" ht="15.75" customHeight="1">
      <c r="A1931" s="1">
        <v>5.1168207E7</v>
      </c>
      <c r="B1931" s="2" t="s">
        <v>571</v>
      </c>
      <c r="C1931" s="19" t="s">
        <v>6314</v>
      </c>
      <c r="D1931" s="19"/>
      <c r="E1931" s="2"/>
      <c r="F1931" s="19"/>
    </row>
    <row r="1932" ht="15.75" customHeight="1">
      <c r="A1932" s="1">
        <v>5.116853E7</v>
      </c>
      <c r="B1932" s="2" t="s">
        <v>2282</v>
      </c>
      <c r="C1932" s="19" t="s">
        <v>6315</v>
      </c>
      <c r="D1932" s="19"/>
      <c r="E1932" s="2"/>
      <c r="F1932" s="19"/>
    </row>
    <row r="1933" ht="15.75" customHeight="1">
      <c r="A1933" s="1">
        <v>5.1175074E7</v>
      </c>
      <c r="B1933" s="2" t="s">
        <v>2406</v>
      </c>
      <c r="C1933" s="19" t="s">
        <v>6316</v>
      </c>
      <c r="D1933" s="19"/>
      <c r="E1933" s="2"/>
      <c r="F1933" s="19"/>
    </row>
    <row r="1934" ht="15.75" customHeight="1">
      <c r="A1934" s="1">
        <v>5.117829E7</v>
      </c>
      <c r="B1934" s="2" t="s">
        <v>413</v>
      </c>
      <c r="C1934" s="19" t="s">
        <v>6317</v>
      </c>
      <c r="D1934" s="19"/>
      <c r="E1934" s="2"/>
      <c r="F1934" s="19"/>
    </row>
    <row r="1935" ht="15.75" customHeight="1">
      <c r="A1935" s="1">
        <v>5.1186512E7</v>
      </c>
      <c r="B1935" s="2" t="s">
        <v>1282</v>
      </c>
      <c r="C1935" s="19" t="s">
        <v>6318</v>
      </c>
      <c r="D1935" s="19" t="s">
        <v>6319</v>
      </c>
      <c r="E1935" s="2"/>
      <c r="F1935" s="19"/>
    </row>
    <row r="1936" ht="15.75" customHeight="1">
      <c r="A1936" s="1">
        <v>5.1193793E7</v>
      </c>
      <c r="B1936" s="2" t="s">
        <v>527</v>
      </c>
      <c r="C1936" s="19" t="s">
        <v>6320</v>
      </c>
      <c r="D1936" s="19" t="s">
        <v>6321</v>
      </c>
      <c r="E1936" s="2"/>
      <c r="F1936" s="19"/>
    </row>
    <row r="1937" ht="15.75" customHeight="1">
      <c r="A1937" s="1">
        <v>5.1194662E7</v>
      </c>
      <c r="B1937" s="2" t="s">
        <v>1614</v>
      </c>
      <c r="C1937" s="19" t="s">
        <v>6322</v>
      </c>
      <c r="D1937" s="19" t="s">
        <v>6323</v>
      </c>
      <c r="E1937" s="2"/>
      <c r="F1937" s="19"/>
    </row>
    <row r="1938" ht="15.75" customHeight="1">
      <c r="A1938" s="1">
        <v>5.1196057E7</v>
      </c>
      <c r="B1938" s="2" t="s">
        <v>1620</v>
      </c>
      <c r="C1938" s="19" t="s">
        <v>6324</v>
      </c>
      <c r="D1938" s="19"/>
      <c r="E1938" s="2"/>
      <c r="F1938" s="19"/>
    </row>
    <row r="1939" ht="15.75" customHeight="1">
      <c r="A1939" s="1">
        <v>5.1206764E7</v>
      </c>
      <c r="B1939" s="2" t="s">
        <v>1721</v>
      </c>
      <c r="C1939" s="19" t="s">
        <v>6325</v>
      </c>
      <c r="D1939" s="19"/>
      <c r="E1939" s="2"/>
      <c r="F1939" s="19"/>
    </row>
    <row r="1940" ht="15.75" customHeight="1">
      <c r="A1940" s="1">
        <v>5.1208243E7</v>
      </c>
      <c r="B1940" s="2" t="s">
        <v>1582</v>
      </c>
      <c r="C1940" s="19" t="s">
        <v>6326</v>
      </c>
      <c r="D1940" s="19"/>
      <c r="E1940" s="2"/>
      <c r="F1940" s="19"/>
    </row>
    <row r="1941" ht="15.75" customHeight="1">
      <c r="A1941" s="1">
        <v>5.1230134E7</v>
      </c>
      <c r="B1941" s="2" t="s">
        <v>1326</v>
      </c>
      <c r="C1941" s="19" t="s">
        <v>6327</v>
      </c>
      <c r="D1941" s="19" t="s">
        <v>6328</v>
      </c>
      <c r="E1941" s="2"/>
      <c r="F1941" s="19"/>
    </row>
    <row r="1942" ht="15.75" customHeight="1">
      <c r="A1942" s="1">
        <v>5.1242918E7</v>
      </c>
      <c r="B1942" s="2" t="s">
        <v>1946</v>
      </c>
      <c r="C1942" s="19" t="s">
        <v>6329</v>
      </c>
      <c r="D1942" s="19" t="s">
        <v>6330</v>
      </c>
      <c r="E1942" s="2"/>
      <c r="F1942" s="19"/>
    </row>
    <row r="1943" ht="15.75" customHeight="1">
      <c r="A1943" s="1">
        <v>5.1257658E7</v>
      </c>
      <c r="B1943" s="2" t="s">
        <v>1435</v>
      </c>
      <c r="C1943" s="19" t="s">
        <v>6331</v>
      </c>
      <c r="D1943" s="19"/>
      <c r="E1943" s="2"/>
      <c r="F1943" s="19"/>
    </row>
    <row r="1944" ht="15.75" customHeight="1">
      <c r="A1944" s="1">
        <v>5.1282275E7</v>
      </c>
      <c r="B1944" s="2" t="s">
        <v>547</v>
      </c>
      <c r="C1944" s="19" t="s">
        <v>6332</v>
      </c>
      <c r="D1944" s="19" t="s">
        <v>6333</v>
      </c>
      <c r="E1944" s="2"/>
      <c r="F1944" s="19"/>
    </row>
    <row r="1945" ht="15.75" customHeight="1">
      <c r="A1945" s="1">
        <v>5.1289884E7</v>
      </c>
      <c r="B1945" s="2" t="s">
        <v>1276</v>
      </c>
      <c r="C1945" s="19" t="s">
        <v>6334</v>
      </c>
      <c r="D1945" s="19"/>
      <c r="E1945" s="2"/>
      <c r="F1945" s="19"/>
    </row>
    <row r="1946" ht="15.75" customHeight="1">
      <c r="A1946" s="1">
        <v>5.1303561E7</v>
      </c>
      <c r="B1946" s="2" t="s">
        <v>834</v>
      </c>
      <c r="C1946" s="19" t="s">
        <v>6335</v>
      </c>
      <c r="D1946" s="19"/>
      <c r="E1946" s="2"/>
      <c r="F1946" s="19"/>
    </row>
    <row r="1947" ht="15.75" customHeight="1">
      <c r="A1947" s="1">
        <v>5.1306484E7</v>
      </c>
      <c r="B1947" s="2" t="s">
        <v>1151</v>
      </c>
      <c r="C1947" s="19" t="s">
        <v>6336</v>
      </c>
      <c r="D1947" s="19"/>
      <c r="E1947" s="2"/>
      <c r="F1947" s="19"/>
    </row>
    <row r="1948" ht="15.75" customHeight="1">
      <c r="A1948" s="1">
        <v>5.1306743E7</v>
      </c>
      <c r="B1948" s="2" t="s">
        <v>2843</v>
      </c>
      <c r="C1948" s="19" t="s">
        <v>6337</v>
      </c>
      <c r="D1948" s="19"/>
      <c r="E1948" s="2"/>
      <c r="F1948" s="19"/>
    </row>
    <row r="1949" ht="15.75" customHeight="1">
      <c r="A1949" s="1">
        <v>5.1394376E7</v>
      </c>
      <c r="B1949" s="2" t="s">
        <v>1214</v>
      </c>
      <c r="C1949" s="19" t="s">
        <v>6338</v>
      </c>
      <c r="D1949" s="19"/>
      <c r="E1949" s="2"/>
      <c r="F1949" s="19"/>
    </row>
    <row r="1950" ht="15.75" customHeight="1">
      <c r="A1950" s="1">
        <v>5.1398947E7</v>
      </c>
      <c r="B1950" s="2" t="s">
        <v>870</v>
      </c>
      <c r="C1950" s="19" t="s">
        <v>6339</v>
      </c>
      <c r="D1950" s="19" t="s">
        <v>6340</v>
      </c>
      <c r="E1950" s="2"/>
      <c r="F1950" s="19"/>
    </row>
    <row r="1951" ht="15.75" customHeight="1">
      <c r="A1951" s="1">
        <v>5.1411038E7</v>
      </c>
      <c r="B1951" s="2" t="s">
        <v>2179</v>
      </c>
      <c r="C1951" s="19" t="s">
        <v>6341</v>
      </c>
      <c r="D1951" s="19"/>
      <c r="E1951" s="2"/>
      <c r="F1951" s="19"/>
    </row>
    <row r="1952" ht="15.75" customHeight="1">
      <c r="A1952" s="1">
        <v>5.141599E7</v>
      </c>
      <c r="B1952" s="2" t="s">
        <v>1160</v>
      </c>
      <c r="C1952" s="19" t="s">
        <v>6342</v>
      </c>
      <c r="D1952" s="19"/>
      <c r="E1952" s="2"/>
      <c r="F1952" s="19"/>
    </row>
    <row r="1953" ht="15.75" customHeight="1">
      <c r="A1953" s="1">
        <v>5.1429292E7</v>
      </c>
      <c r="B1953" s="2" t="s">
        <v>1987</v>
      </c>
      <c r="C1953" s="19" t="s">
        <v>6343</v>
      </c>
      <c r="D1953" s="19"/>
      <c r="E1953" s="2"/>
      <c r="F1953" s="19"/>
    </row>
    <row r="1954" ht="15.75" customHeight="1">
      <c r="A1954" s="1">
        <v>5.1431318E7</v>
      </c>
      <c r="B1954" s="2" t="s">
        <v>1294</v>
      </c>
      <c r="C1954" s="19" t="s">
        <v>6344</v>
      </c>
      <c r="D1954" s="19"/>
      <c r="E1954" s="2"/>
      <c r="F1954" s="19"/>
    </row>
    <row r="1955" ht="15.75" customHeight="1">
      <c r="A1955" s="1">
        <v>5.1444586E7</v>
      </c>
      <c r="B1955" s="2" t="s">
        <v>3170</v>
      </c>
      <c r="C1955" s="19" t="s">
        <v>6345</v>
      </c>
      <c r="D1955" s="19"/>
      <c r="E1955" s="2"/>
      <c r="F1955" s="19"/>
    </row>
    <row r="1956" ht="15.75" customHeight="1">
      <c r="A1956" s="1">
        <v>5.1464538E7</v>
      </c>
      <c r="B1956" s="2" t="s">
        <v>1539</v>
      </c>
      <c r="C1956" s="19" t="s">
        <v>6346</v>
      </c>
      <c r="D1956" s="19" t="s">
        <v>6347</v>
      </c>
      <c r="E1956" s="2"/>
      <c r="F1956" s="19"/>
    </row>
    <row r="1957" ht="15.75" customHeight="1">
      <c r="A1957" s="1">
        <v>5.146848E7</v>
      </c>
      <c r="B1957" s="2" t="s">
        <v>1991</v>
      </c>
      <c r="C1957" s="19" t="s">
        <v>6348</v>
      </c>
      <c r="D1957" s="19" t="s">
        <v>6349</v>
      </c>
      <c r="E1957" s="2"/>
      <c r="F1957" s="19"/>
    </row>
    <row r="1958" ht="15.75" customHeight="1">
      <c r="A1958" s="1">
        <v>5.1472013E7</v>
      </c>
      <c r="B1958" s="2" t="s">
        <v>1222</v>
      </c>
      <c r="C1958" s="19" t="s">
        <v>6350</v>
      </c>
      <c r="D1958" s="19" t="s">
        <v>6351</v>
      </c>
      <c r="E1958" s="2"/>
      <c r="F1958" s="19"/>
    </row>
    <row r="1959" ht="15.75" customHeight="1">
      <c r="A1959" s="1">
        <v>5.1480081E7</v>
      </c>
      <c r="B1959" s="2" t="s">
        <v>391</v>
      </c>
      <c r="C1959" s="19" t="s">
        <v>6352</v>
      </c>
      <c r="D1959" s="19"/>
      <c r="E1959" s="2"/>
      <c r="F1959" s="19"/>
    </row>
    <row r="1960" ht="15.75" customHeight="1">
      <c r="A1960" s="1">
        <v>5.1483123E7</v>
      </c>
      <c r="B1960" s="2" t="s">
        <v>1472</v>
      </c>
      <c r="C1960" s="19" t="s">
        <v>6353</v>
      </c>
      <c r="D1960" s="19" t="s">
        <v>6354</v>
      </c>
      <c r="E1960" s="2"/>
      <c r="F1960" s="19"/>
    </row>
    <row r="1961" ht="15.75" customHeight="1">
      <c r="A1961" s="1">
        <v>5.148875E7</v>
      </c>
      <c r="B1961" s="2" t="s">
        <v>580</v>
      </c>
      <c r="C1961" s="19" t="s">
        <v>6355</v>
      </c>
      <c r="D1961" s="19" t="s">
        <v>6356</v>
      </c>
      <c r="E1961" s="2"/>
      <c r="F1961" s="19"/>
    </row>
    <row r="1962" ht="15.75" customHeight="1">
      <c r="A1962" s="1">
        <v>5.149346E7</v>
      </c>
      <c r="B1962" s="2" t="s">
        <v>513</v>
      </c>
      <c r="C1962" s="19" t="s">
        <v>6357</v>
      </c>
      <c r="D1962" s="19"/>
      <c r="E1962" s="2"/>
      <c r="F1962" s="19"/>
    </row>
    <row r="1963" ht="15.75" customHeight="1">
      <c r="A1963" s="1">
        <v>5.1496895E7</v>
      </c>
      <c r="B1963" s="2" t="s">
        <v>909</v>
      </c>
      <c r="C1963" s="19" t="s">
        <v>6358</v>
      </c>
      <c r="D1963" s="19"/>
      <c r="E1963" s="2"/>
      <c r="F1963" s="19"/>
    </row>
    <row r="1964" ht="15.75" customHeight="1">
      <c r="A1964" s="1">
        <v>5.1499885E7</v>
      </c>
      <c r="B1964" s="2" t="s">
        <v>141</v>
      </c>
      <c r="C1964" s="19" t="s">
        <v>6359</v>
      </c>
      <c r="D1964" s="19" t="s">
        <v>6360</v>
      </c>
      <c r="E1964" s="2"/>
      <c r="F1964" s="19"/>
    </row>
    <row r="1965" ht="15.75" customHeight="1">
      <c r="A1965" s="1">
        <v>5.1512628E7</v>
      </c>
      <c r="B1965" s="2" t="s">
        <v>330</v>
      </c>
      <c r="C1965" s="19" t="s">
        <v>6361</v>
      </c>
      <c r="D1965" s="19" t="s">
        <v>6362</v>
      </c>
      <c r="E1965" s="2"/>
      <c r="F1965" s="19"/>
    </row>
    <row r="1966" ht="15.75" customHeight="1">
      <c r="A1966" s="1">
        <v>5.1523396E7</v>
      </c>
      <c r="B1966" s="2" t="s">
        <v>2218</v>
      </c>
      <c r="C1966" s="19" t="s">
        <v>6363</v>
      </c>
      <c r="D1966" s="19"/>
      <c r="E1966" s="2"/>
      <c r="F1966" s="19"/>
    </row>
    <row r="1967" ht="15.75" customHeight="1">
      <c r="A1967" s="1">
        <v>5.1525766E7</v>
      </c>
      <c r="B1967" s="2" t="s">
        <v>3038</v>
      </c>
      <c r="C1967" s="19" t="s">
        <v>6364</v>
      </c>
      <c r="D1967" s="19" t="s">
        <v>6365</v>
      </c>
      <c r="E1967" s="2"/>
      <c r="F1967" s="19"/>
    </row>
    <row r="1968" ht="15.75" customHeight="1">
      <c r="A1968" s="1">
        <v>5.1529636E7</v>
      </c>
      <c r="B1968" s="2" t="s">
        <v>2236</v>
      </c>
      <c r="C1968" s="19" t="s">
        <v>6366</v>
      </c>
      <c r="D1968" s="19"/>
      <c r="E1968" s="2"/>
      <c r="F1968" s="19"/>
    </row>
    <row r="1969" ht="15.75" customHeight="1">
      <c r="A1969" s="1">
        <v>5.153503E7</v>
      </c>
      <c r="B1969" s="2" t="s">
        <v>2947</v>
      </c>
      <c r="C1969" s="19" t="s">
        <v>6367</v>
      </c>
      <c r="D1969" s="19" t="s">
        <v>6368</v>
      </c>
      <c r="E1969" s="2"/>
      <c r="F1969" s="19"/>
    </row>
    <row r="1970" ht="15.75" customHeight="1">
      <c r="A1970" s="1">
        <v>5.1537089E7</v>
      </c>
      <c r="B1970" s="2" t="s">
        <v>981</v>
      </c>
      <c r="C1970" s="19" t="s">
        <v>6369</v>
      </c>
      <c r="D1970" s="19"/>
      <c r="E1970" s="2"/>
      <c r="F1970" s="19"/>
    </row>
    <row r="1971" ht="15.75" customHeight="1">
      <c r="A1971" s="1">
        <v>5.1542863E7</v>
      </c>
      <c r="B1971" s="2" t="s">
        <v>435</v>
      </c>
      <c r="C1971" s="19" t="s">
        <v>6370</v>
      </c>
      <c r="D1971" s="19" t="s">
        <v>6371</v>
      </c>
      <c r="E1971" s="2"/>
      <c r="F1971" s="19"/>
    </row>
    <row r="1972" ht="15.75" customHeight="1">
      <c r="A1972" s="1">
        <v>5.1545104E7</v>
      </c>
      <c r="B1972" s="2" t="s">
        <v>732</v>
      </c>
      <c r="C1972" s="19" t="s">
        <v>6372</v>
      </c>
      <c r="D1972" s="19"/>
      <c r="E1972" s="2"/>
      <c r="F1972" s="19"/>
    </row>
    <row r="1973" ht="15.75" customHeight="1">
      <c r="A1973" s="1">
        <v>5.1555502E7</v>
      </c>
      <c r="B1973" s="2" t="s">
        <v>2676</v>
      </c>
      <c r="C1973" s="19" t="s">
        <v>6373</v>
      </c>
      <c r="D1973" s="19" t="s">
        <v>6374</v>
      </c>
      <c r="E1973" s="2"/>
      <c r="F1973" s="19"/>
    </row>
    <row r="1974" ht="15.75" customHeight="1">
      <c r="A1974" s="1">
        <v>5.1572657E7</v>
      </c>
      <c r="B1974" s="2" t="s">
        <v>2407</v>
      </c>
      <c r="C1974" s="19" t="s">
        <v>6375</v>
      </c>
      <c r="D1974" s="19"/>
      <c r="E1974" s="2"/>
      <c r="F1974" s="19"/>
    </row>
    <row r="1975" ht="15.75" customHeight="1">
      <c r="A1975" s="1">
        <v>5.1591812E7</v>
      </c>
      <c r="B1975" s="2" t="s">
        <v>1963</v>
      </c>
      <c r="C1975" s="19" t="s">
        <v>6376</v>
      </c>
      <c r="D1975" s="19" t="s">
        <v>6377</v>
      </c>
      <c r="E1975" s="2"/>
      <c r="F1975" s="19"/>
    </row>
    <row r="1976" ht="15.75" customHeight="1">
      <c r="A1976" s="1">
        <v>5.1592581E7</v>
      </c>
      <c r="B1976" s="2" t="s">
        <v>1382</v>
      </c>
      <c r="C1976" s="19" t="s">
        <v>6378</v>
      </c>
      <c r="D1976" s="19" t="s">
        <v>6379</v>
      </c>
      <c r="E1976" s="2"/>
      <c r="F1976" s="19"/>
    </row>
    <row r="1977" ht="15.75" customHeight="1">
      <c r="A1977" s="1">
        <v>5.1596007E7</v>
      </c>
      <c r="B1977" s="2" t="s">
        <v>1810</v>
      </c>
      <c r="C1977" s="19" t="s">
        <v>6380</v>
      </c>
      <c r="D1977" s="19" t="s">
        <v>6381</v>
      </c>
      <c r="E1977" s="2"/>
      <c r="F1977" s="19"/>
    </row>
    <row r="1978" ht="15.75" customHeight="1">
      <c r="A1978" s="1">
        <v>5.1603118E7</v>
      </c>
      <c r="B1978" s="2" t="s">
        <v>777</v>
      </c>
      <c r="C1978" s="19" t="s">
        <v>6382</v>
      </c>
      <c r="D1978" s="19"/>
      <c r="E1978" s="2"/>
      <c r="F1978" s="19"/>
    </row>
    <row r="1979" ht="15.75" customHeight="1">
      <c r="A1979" s="1">
        <v>5.1612458E7</v>
      </c>
      <c r="B1979" s="2" t="s">
        <v>1578</v>
      </c>
      <c r="C1979" s="19" t="s">
        <v>6383</v>
      </c>
      <c r="D1979" s="19" t="s">
        <v>6384</v>
      </c>
      <c r="E1979" s="2"/>
      <c r="F1979" s="19"/>
    </row>
    <row r="1980" ht="15.75" customHeight="1">
      <c r="A1980" s="1">
        <v>5.1623407E7</v>
      </c>
      <c r="B1980" s="2" t="s">
        <v>2250</v>
      </c>
      <c r="C1980" s="19" t="s">
        <v>6385</v>
      </c>
      <c r="D1980" s="19" t="s">
        <v>6386</v>
      </c>
      <c r="E1980" s="2"/>
      <c r="F1980" s="19"/>
    </row>
    <row r="1981" ht="15.75" customHeight="1">
      <c r="A1981" s="1">
        <v>5.1624741E7</v>
      </c>
      <c r="B1981" s="2" t="s">
        <v>2546</v>
      </c>
      <c r="C1981" s="19" t="s">
        <v>6387</v>
      </c>
      <c r="D1981" s="19" t="s">
        <v>6388</v>
      </c>
      <c r="E1981" s="2"/>
      <c r="F1981" s="19"/>
    </row>
    <row r="1982" ht="15.75" customHeight="1">
      <c r="A1982" s="1">
        <v>5.1626328E7</v>
      </c>
      <c r="B1982" s="2" t="s">
        <v>1672</v>
      </c>
      <c r="C1982" s="19" t="s">
        <v>6389</v>
      </c>
      <c r="D1982" s="19" t="s">
        <v>6390</v>
      </c>
      <c r="E1982" s="2"/>
      <c r="F1982" s="19"/>
    </row>
    <row r="1983" ht="15.75" customHeight="1">
      <c r="A1983" s="1">
        <v>5.1627648E7</v>
      </c>
      <c r="B1983" s="2" t="s">
        <v>940</v>
      </c>
      <c r="C1983" s="19" t="s">
        <v>6391</v>
      </c>
      <c r="D1983" s="19" t="s">
        <v>6392</v>
      </c>
      <c r="E1983" s="2"/>
      <c r="F1983" s="19"/>
    </row>
    <row r="1984" ht="15.75" customHeight="1">
      <c r="A1984" s="1">
        <v>5.1639748E7</v>
      </c>
      <c r="B1984" s="2" t="s">
        <v>932</v>
      </c>
      <c r="C1984" s="19" t="s">
        <v>6393</v>
      </c>
      <c r="D1984" s="19" t="s">
        <v>6394</v>
      </c>
      <c r="E1984" s="2"/>
      <c r="F1984" s="19"/>
    </row>
    <row r="1985" ht="15.75" customHeight="1">
      <c r="A1985" s="1">
        <v>5.1649558E7</v>
      </c>
      <c r="B1985" s="2" t="s">
        <v>2050</v>
      </c>
      <c r="C1985" s="19" t="s">
        <v>6395</v>
      </c>
      <c r="D1985" s="19"/>
      <c r="E1985" s="2"/>
      <c r="F1985" s="19"/>
    </row>
    <row r="1986" ht="15.75" customHeight="1">
      <c r="A1986" s="1">
        <v>5.1652025E7</v>
      </c>
      <c r="B1986" s="2" t="s">
        <v>453</v>
      </c>
      <c r="C1986" s="19" t="s">
        <v>6396</v>
      </c>
      <c r="D1986" s="19"/>
      <c r="E1986" s="2"/>
      <c r="F1986" s="19"/>
    </row>
    <row r="1987" ht="15.75" customHeight="1">
      <c r="A1987" s="1">
        <v>5.1653586E7</v>
      </c>
      <c r="B1987" s="2" t="s">
        <v>663</v>
      </c>
      <c r="C1987" s="19" t="s">
        <v>6397</v>
      </c>
      <c r="D1987" s="19" t="s">
        <v>6398</v>
      </c>
      <c r="E1987" s="2"/>
      <c r="F1987" s="19"/>
    </row>
    <row r="1988" ht="15.75" customHeight="1">
      <c r="A1988" s="1">
        <v>5.1653789E7</v>
      </c>
      <c r="B1988" s="2" t="s">
        <v>2251</v>
      </c>
      <c r="C1988" s="19" t="s">
        <v>6399</v>
      </c>
      <c r="D1988" s="19" t="s">
        <v>6400</v>
      </c>
      <c r="E1988" s="2"/>
      <c r="F1988" s="19"/>
    </row>
    <row r="1989" ht="15.75" customHeight="1">
      <c r="A1989" s="1">
        <v>5.1655129E7</v>
      </c>
      <c r="B1989" s="2" t="s">
        <v>1648</v>
      </c>
      <c r="C1989" s="19" t="s">
        <v>6401</v>
      </c>
      <c r="D1989" s="19"/>
      <c r="E1989" s="2"/>
      <c r="F1989" s="19"/>
    </row>
    <row r="1990" ht="15.75" customHeight="1">
      <c r="A1990" s="1">
        <v>5.1656823E7</v>
      </c>
      <c r="B1990" s="2" t="s">
        <v>1858</v>
      </c>
      <c r="C1990" s="19" t="s">
        <v>6402</v>
      </c>
      <c r="D1990" s="19"/>
      <c r="E1990" s="2"/>
      <c r="F1990" s="19"/>
    </row>
    <row r="1991" ht="15.75" customHeight="1">
      <c r="A1991" s="1">
        <v>5.1657195E7</v>
      </c>
      <c r="B1991" s="2" t="s">
        <v>1975</v>
      </c>
      <c r="C1991" s="19" t="s">
        <v>6403</v>
      </c>
      <c r="D1991" s="19"/>
      <c r="E1991" s="2"/>
      <c r="F1991" s="19"/>
    </row>
    <row r="1992" ht="15.75" customHeight="1">
      <c r="A1992" s="1">
        <v>5.1665421E7</v>
      </c>
      <c r="B1992" s="2" t="s">
        <v>1662</v>
      </c>
      <c r="C1992" s="19" t="s">
        <v>6404</v>
      </c>
      <c r="D1992" s="19" t="s">
        <v>6405</v>
      </c>
      <c r="E1992" s="2"/>
      <c r="F1992" s="19"/>
    </row>
    <row r="1993" ht="15.75" customHeight="1">
      <c r="A1993" s="1">
        <v>5.1666283E7</v>
      </c>
      <c r="B1993" s="2" t="s">
        <v>321</v>
      </c>
      <c r="C1993" s="19" t="s">
        <v>6406</v>
      </c>
      <c r="D1993" s="19"/>
      <c r="E1993" s="2"/>
      <c r="F1993" s="19"/>
    </row>
    <row r="1994" ht="15.75" customHeight="1">
      <c r="A1994" s="1">
        <v>5.1671846E7</v>
      </c>
      <c r="B1994" s="2" t="s">
        <v>847</v>
      </c>
      <c r="C1994" s="19" t="s">
        <v>6407</v>
      </c>
      <c r="D1994" s="19"/>
      <c r="E1994" s="2"/>
      <c r="F1994" s="19"/>
    </row>
    <row r="1995" ht="15.75" customHeight="1">
      <c r="A1995" s="1">
        <v>5.1674308E7</v>
      </c>
      <c r="B1995" s="2" t="s">
        <v>205</v>
      </c>
      <c r="C1995" s="19" t="s">
        <v>6408</v>
      </c>
      <c r="D1995" s="19"/>
      <c r="E1995" s="2"/>
      <c r="F1995" s="19"/>
    </row>
    <row r="1996" ht="15.75" customHeight="1">
      <c r="A1996" s="1">
        <v>5.1675435E7</v>
      </c>
      <c r="B1996" s="2" t="s">
        <v>1649</v>
      </c>
      <c r="C1996" s="19" t="s">
        <v>6409</v>
      </c>
      <c r="D1996" s="19" t="s">
        <v>6410</v>
      </c>
      <c r="E1996" s="2"/>
      <c r="F1996" s="19"/>
    </row>
    <row r="1997" ht="15.75" customHeight="1">
      <c r="A1997" s="1">
        <v>5.1678234E7</v>
      </c>
      <c r="B1997" s="2" t="s">
        <v>916</v>
      </c>
      <c r="C1997" s="19" t="s">
        <v>6411</v>
      </c>
      <c r="D1997" s="19" t="s">
        <v>6412</v>
      </c>
      <c r="E1997" s="2"/>
      <c r="F1997" s="19"/>
    </row>
    <row r="1998" ht="15.75" customHeight="1">
      <c r="A1998" s="1">
        <v>5.1685009E7</v>
      </c>
      <c r="B1998" s="2" t="s">
        <v>2432</v>
      </c>
      <c r="C1998" s="19" t="s">
        <v>6413</v>
      </c>
      <c r="D1998" s="19"/>
      <c r="E1998" s="2"/>
      <c r="F1998" s="19"/>
    </row>
    <row r="1999" ht="15.75" customHeight="1">
      <c r="A1999" s="1">
        <v>5.1700472E7</v>
      </c>
      <c r="B1999" s="2" t="s">
        <v>368</v>
      </c>
      <c r="C1999" s="19" t="s">
        <v>6414</v>
      </c>
      <c r="D1999" s="19" t="s">
        <v>6415</v>
      </c>
      <c r="E1999" s="2"/>
      <c r="F1999" s="19"/>
    </row>
    <row r="2000" ht="15.75" customHeight="1">
      <c r="A2000" s="1">
        <v>5.1730232E7</v>
      </c>
      <c r="B2000" s="2" t="s">
        <v>226</v>
      </c>
      <c r="C2000" s="19" t="s">
        <v>6416</v>
      </c>
      <c r="D2000" s="19"/>
      <c r="E2000" s="2"/>
      <c r="F2000" s="19"/>
    </row>
    <row r="2001" ht="15.75" customHeight="1">
      <c r="A2001" s="1">
        <v>5.1731481E7</v>
      </c>
      <c r="B2001" s="2" t="s">
        <v>1378</v>
      </c>
      <c r="C2001" s="19" t="s">
        <v>6417</v>
      </c>
      <c r="D2001" s="19"/>
      <c r="E2001" s="2"/>
      <c r="F2001" s="19"/>
    </row>
    <row r="2002" ht="15.75" customHeight="1">
      <c r="A2002" s="1">
        <v>5.1739637E7</v>
      </c>
      <c r="B2002" s="2" t="s">
        <v>1456</v>
      </c>
      <c r="C2002" s="19" t="s">
        <v>6418</v>
      </c>
      <c r="D2002" s="19"/>
      <c r="E2002" s="2"/>
      <c r="F2002" s="19"/>
    </row>
    <row r="2003" ht="15.75" customHeight="1">
      <c r="A2003" s="1">
        <v>5.1744626E7</v>
      </c>
      <c r="B2003" s="2" t="s">
        <v>1583</v>
      </c>
      <c r="C2003" s="19" t="s">
        <v>6419</v>
      </c>
      <c r="D2003" s="19" t="s">
        <v>6420</v>
      </c>
      <c r="E2003" s="2"/>
      <c r="F2003" s="19"/>
    </row>
    <row r="2004" ht="15.75" customHeight="1">
      <c r="A2004" s="1">
        <v>5.1748181E7</v>
      </c>
      <c r="B2004" s="2" t="s">
        <v>2229</v>
      </c>
      <c r="C2004" s="19" t="s">
        <v>6421</v>
      </c>
      <c r="D2004" s="19"/>
      <c r="E2004" s="2"/>
      <c r="F2004" s="19"/>
    </row>
    <row r="2005" ht="15.75" customHeight="1">
      <c r="A2005" s="1">
        <v>5.1750774E7</v>
      </c>
      <c r="B2005" s="2" t="s">
        <v>859</v>
      </c>
      <c r="C2005" s="19" t="s">
        <v>6422</v>
      </c>
      <c r="D2005" s="19" t="s">
        <v>6423</v>
      </c>
      <c r="E2005" s="2"/>
      <c r="F2005" s="19"/>
    </row>
    <row r="2006" ht="15.75" customHeight="1">
      <c r="A2006" s="1">
        <v>5.1759572E7</v>
      </c>
      <c r="B2006" s="2" t="s">
        <v>2529</v>
      </c>
      <c r="C2006" s="19" t="s">
        <v>6424</v>
      </c>
      <c r="D2006" s="19"/>
      <c r="E2006" s="2"/>
      <c r="F2006" s="19"/>
    </row>
    <row r="2007" ht="15.75" customHeight="1">
      <c r="A2007" s="1">
        <v>5.1764889E7</v>
      </c>
      <c r="B2007" s="2" t="s">
        <v>204</v>
      </c>
      <c r="C2007" s="19" t="s">
        <v>6425</v>
      </c>
      <c r="D2007" s="19" t="s">
        <v>6426</v>
      </c>
      <c r="E2007" s="2"/>
      <c r="F2007" s="19"/>
    </row>
    <row r="2008" ht="15.75" customHeight="1">
      <c r="A2008" s="1">
        <v>5.1769448E7</v>
      </c>
      <c r="B2008" s="2" t="s">
        <v>2121</v>
      </c>
      <c r="C2008" s="19" t="s">
        <v>6427</v>
      </c>
      <c r="D2008" s="19" t="s">
        <v>6428</v>
      </c>
      <c r="E2008" s="2"/>
      <c r="F2008" s="19"/>
    </row>
    <row r="2009" ht="15.75" customHeight="1">
      <c r="A2009" s="1">
        <v>5.1775608E7</v>
      </c>
      <c r="B2009" s="2" t="s">
        <v>1379</v>
      </c>
      <c r="C2009" s="19" t="s">
        <v>6429</v>
      </c>
      <c r="D2009" s="19"/>
      <c r="E2009" s="2"/>
      <c r="F2009" s="19"/>
    </row>
    <row r="2010" ht="15.75" customHeight="1">
      <c r="A2010" s="1">
        <v>5.1779833E7</v>
      </c>
      <c r="B2010" s="2" t="s">
        <v>1349</v>
      </c>
      <c r="C2010" s="19" t="s">
        <v>6430</v>
      </c>
      <c r="D2010" s="19" t="s">
        <v>6431</v>
      </c>
      <c r="E2010" s="2"/>
      <c r="F2010" s="19"/>
    </row>
    <row r="2011" ht="15.75" customHeight="1">
      <c r="A2011" s="1">
        <v>5.1789832E7</v>
      </c>
      <c r="B2011" s="2" t="s">
        <v>1966</v>
      </c>
      <c r="C2011" s="19" t="s">
        <v>6432</v>
      </c>
      <c r="D2011" s="19"/>
      <c r="E2011" s="2"/>
      <c r="F2011" s="19"/>
    </row>
    <row r="2012" ht="15.75" customHeight="1">
      <c r="A2012" s="1">
        <v>5.1817025E7</v>
      </c>
      <c r="B2012" s="2" t="s">
        <v>173</v>
      </c>
      <c r="C2012" s="19" t="s">
        <v>6433</v>
      </c>
      <c r="D2012" s="19" t="s">
        <v>6434</v>
      </c>
      <c r="E2012" s="2"/>
      <c r="F2012" s="19"/>
    </row>
    <row r="2013" ht="15.75" customHeight="1">
      <c r="A2013" s="1">
        <v>5.1820368E7</v>
      </c>
      <c r="B2013" s="2" t="s">
        <v>177</v>
      </c>
      <c r="C2013" s="19" t="s">
        <v>6435</v>
      </c>
      <c r="D2013" s="19" t="s">
        <v>6436</v>
      </c>
      <c r="E2013" s="2"/>
      <c r="F2013" s="19"/>
    </row>
    <row r="2014" ht="15.75" customHeight="1">
      <c r="A2014" s="1">
        <v>5.1828297E7</v>
      </c>
      <c r="B2014" s="2" t="s">
        <v>1171</v>
      </c>
      <c r="C2014" s="19" t="s">
        <v>6437</v>
      </c>
      <c r="D2014" s="19"/>
      <c r="E2014" s="2"/>
      <c r="F2014" s="19"/>
    </row>
    <row r="2015" ht="15.75" customHeight="1">
      <c r="A2015" s="1">
        <v>5.18316E7</v>
      </c>
      <c r="B2015" s="2" t="s">
        <v>1925</v>
      </c>
      <c r="C2015" s="19" t="s">
        <v>6438</v>
      </c>
      <c r="D2015" s="19" t="s">
        <v>6439</v>
      </c>
      <c r="E2015" s="2"/>
      <c r="F2015" s="19"/>
    </row>
    <row r="2016" ht="15.75" customHeight="1">
      <c r="A2016" s="1">
        <v>5.1836618E7</v>
      </c>
      <c r="B2016" s="2" t="s">
        <v>1223</v>
      </c>
      <c r="C2016" s="19" t="s">
        <v>6440</v>
      </c>
      <c r="D2016" s="19" t="s">
        <v>6441</v>
      </c>
      <c r="E2016" s="2"/>
      <c r="F2016" s="19"/>
    </row>
    <row r="2017" ht="15.75" customHeight="1">
      <c r="A2017" s="1">
        <v>5.1840153E7</v>
      </c>
      <c r="B2017" s="2" t="s">
        <v>2408</v>
      </c>
      <c r="C2017" s="19" t="s">
        <v>6442</v>
      </c>
      <c r="D2017" s="19" t="s">
        <v>6443</v>
      </c>
      <c r="E2017" s="2"/>
      <c r="F2017" s="19"/>
    </row>
    <row r="2018" ht="15.75" customHeight="1">
      <c r="A2018" s="1">
        <v>5.1845292E7</v>
      </c>
      <c r="B2018" s="2" t="s">
        <v>1043</v>
      </c>
      <c r="C2018" s="19" t="s">
        <v>6444</v>
      </c>
      <c r="D2018" s="19"/>
      <c r="E2018" s="2"/>
      <c r="F2018" s="19"/>
    </row>
    <row r="2019" ht="15.75" customHeight="1">
      <c r="A2019" s="1">
        <v>5.184763E7</v>
      </c>
      <c r="B2019" s="2" t="s">
        <v>2895</v>
      </c>
      <c r="C2019" s="19" t="s">
        <v>6445</v>
      </c>
      <c r="D2019" s="19"/>
      <c r="E2019" s="2"/>
      <c r="F2019" s="19"/>
    </row>
    <row r="2020" ht="15.75" customHeight="1">
      <c r="A2020" s="1">
        <v>5.1847975E7</v>
      </c>
      <c r="B2020" s="2" t="s">
        <v>1429</v>
      </c>
      <c r="C2020" s="19" t="s">
        <v>6446</v>
      </c>
      <c r="D2020" s="19"/>
      <c r="E2020" s="2"/>
      <c r="F2020" s="19"/>
    </row>
    <row r="2021" ht="15.75" customHeight="1">
      <c r="A2021" s="1">
        <v>5.1849298E7</v>
      </c>
      <c r="B2021" s="2" t="s">
        <v>2260</v>
      </c>
      <c r="C2021" s="19" t="s">
        <v>6447</v>
      </c>
      <c r="D2021" s="19" t="s">
        <v>6448</v>
      </c>
      <c r="E2021" s="2"/>
      <c r="F2021" s="19"/>
    </row>
    <row r="2022" ht="15.75" customHeight="1">
      <c r="A2022" s="1">
        <v>5.185331E7</v>
      </c>
      <c r="B2022" s="2" t="s">
        <v>1461</v>
      </c>
      <c r="C2022" s="19" t="s">
        <v>6449</v>
      </c>
      <c r="D2022" s="19"/>
      <c r="E2022" s="2"/>
      <c r="F2022" s="19"/>
    </row>
    <row r="2023" ht="15.75" customHeight="1">
      <c r="A2023" s="1">
        <v>5.1857872E7</v>
      </c>
      <c r="B2023" s="2" t="s">
        <v>1727</v>
      </c>
      <c r="C2023" s="19" t="s">
        <v>6450</v>
      </c>
      <c r="D2023" s="19"/>
      <c r="E2023" s="2"/>
      <c r="F2023" s="19"/>
    </row>
    <row r="2024" ht="15.75" customHeight="1">
      <c r="A2024" s="1">
        <v>5.1865071E7</v>
      </c>
      <c r="B2024" s="2" t="s">
        <v>1039</v>
      </c>
      <c r="C2024" s="19" t="s">
        <v>6451</v>
      </c>
      <c r="D2024" s="19" t="s">
        <v>6452</v>
      </c>
      <c r="E2024" s="2"/>
      <c r="F2024" s="19"/>
    </row>
    <row r="2025" ht="15.75" customHeight="1">
      <c r="A2025" s="1">
        <v>5.1865601E7</v>
      </c>
      <c r="B2025" s="2" t="s">
        <v>1763</v>
      </c>
      <c r="C2025" s="19" t="s">
        <v>6453</v>
      </c>
      <c r="D2025" s="19"/>
      <c r="E2025" s="2"/>
      <c r="F2025" s="19"/>
    </row>
    <row r="2026" ht="15.75" customHeight="1">
      <c r="A2026" s="1">
        <v>5.1869363E7</v>
      </c>
      <c r="B2026" s="2" t="s">
        <v>1279</v>
      </c>
      <c r="C2026" s="19" t="s">
        <v>6454</v>
      </c>
      <c r="D2026" s="19" t="s">
        <v>6455</v>
      </c>
      <c r="E2026" s="2"/>
      <c r="F2026" s="19"/>
    </row>
    <row r="2027" ht="15.75" customHeight="1">
      <c r="A2027" s="1">
        <v>5.1870216E7</v>
      </c>
      <c r="B2027" s="2" t="s">
        <v>353</v>
      </c>
      <c r="C2027" s="19" t="s">
        <v>6456</v>
      </c>
      <c r="D2027" s="19" t="s">
        <v>6457</v>
      </c>
      <c r="E2027" s="2"/>
      <c r="F2027" s="19"/>
    </row>
    <row r="2028" ht="15.75" customHeight="1">
      <c r="A2028" s="1">
        <v>5.1874604E7</v>
      </c>
      <c r="B2028" s="2" t="s">
        <v>2988</v>
      </c>
      <c r="C2028" s="19" t="s">
        <v>6458</v>
      </c>
      <c r="D2028" s="19"/>
      <c r="E2028" s="2"/>
      <c r="F2028" s="19"/>
    </row>
    <row r="2029" ht="15.75" customHeight="1">
      <c r="A2029" s="1">
        <v>5.1875348E7</v>
      </c>
      <c r="B2029" s="2" t="s">
        <v>1074</v>
      </c>
      <c r="C2029" s="19" t="s">
        <v>6459</v>
      </c>
      <c r="D2029" s="19" t="s">
        <v>6460</v>
      </c>
      <c r="E2029" s="2"/>
      <c r="F2029" s="19"/>
    </row>
    <row r="2030" ht="15.75" customHeight="1">
      <c r="A2030" s="1">
        <v>5.1876478E7</v>
      </c>
      <c r="B2030" s="2" t="s">
        <v>1200</v>
      </c>
      <c r="C2030" s="19" t="s">
        <v>6461</v>
      </c>
      <c r="D2030" s="19"/>
      <c r="E2030" s="2"/>
      <c r="F2030" s="19"/>
    </row>
    <row r="2031" ht="15.75" customHeight="1">
      <c r="A2031" s="1">
        <v>5.1881224E7</v>
      </c>
      <c r="B2031" s="2" t="s">
        <v>1931</v>
      </c>
      <c r="C2031" s="19" t="s">
        <v>6462</v>
      </c>
      <c r="D2031" s="19"/>
      <c r="E2031" s="2"/>
      <c r="F2031" s="19"/>
    </row>
    <row r="2032" ht="15.75" customHeight="1">
      <c r="A2032" s="1">
        <v>5.188513E7</v>
      </c>
      <c r="B2032" s="2" t="s">
        <v>593</v>
      </c>
      <c r="C2032" s="19" t="s">
        <v>6463</v>
      </c>
      <c r="D2032" s="19" t="s">
        <v>6464</v>
      </c>
      <c r="E2032" s="2"/>
      <c r="F2032" s="19"/>
    </row>
    <row r="2033" ht="15.75" customHeight="1">
      <c r="A2033" s="1">
        <v>5.1888709E7</v>
      </c>
      <c r="B2033" s="2" t="s">
        <v>501</v>
      </c>
      <c r="C2033" s="19" t="s">
        <v>6465</v>
      </c>
      <c r="D2033" s="19" t="s">
        <v>6466</v>
      </c>
      <c r="E2033" s="2"/>
      <c r="F2033" s="19"/>
    </row>
    <row r="2034" ht="15.75" customHeight="1">
      <c r="A2034" s="1">
        <v>5.1893056E7</v>
      </c>
      <c r="B2034" s="2" t="s">
        <v>2350</v>
      </c>
      <c r="C2034" s="19" t="s">
        <v>6467</v>
      </c>
      <c r="D2034" s="19"/>
      <c r="E2034" s="2"/>
      <c r="F2034" s="19"/>
    </row>
    <row r="2035" ht="15.75" customHeight="1">
      <c r="A2035" s="1">
        <v>5.1895945E7</v>
      </c>
      <c r="B2035" s="2" t="s">
        <v>1524</v>
      </c>
      <c r="C2035" s="19" t="s">
        <v>6468</v>
      </c>
      <c r="D2035" s="19" t="s">
        <v>6469</v>
      </c>
      <c r="E2035" s="2"/>
      <c r="F2035" s="19"/>
    </row>
    <row r="2036" ht="15.75" customHeight="1">
      <c r="A2036" s="1">
        <v>5.1923404E7</v>
      </c>
      <c r="B2036" s="2" t="s">
        <v>2547</v>
      </c>
      <c r="C2036" s="19" t="s">
        <v>6470</v>
      </c>
      <c r="D2036" s="19" t="s">
        <v>6471</v>
      </c>
      <c r="E2036" s="2"/>
      <c r="F2036" s="19"/>
    </row>
    <row r="2037" ht="15.75" customHeight="1">
      <c r="A2037" s="1">
        <v>5.1927332E7</v>
      </c>
      <c r="B2037" s="2" t="s">
        <v>1839</v>
      </c>
      <c r="C2037" s="19" t="s">
        <v>6472</v>
      </c>
      <c r="D2037" s="19"/>
      <c r="E2037" s="2"/>
      <c r="F2037" s="19"/>
    </row>
    <row r="2038" ht="15.75" customHeight="1">
      <c r="A2038" s="1">
        <v>5.1950209E7</v>
      </c>
      <c r="B2038" s="2" t="s">
        <v>953</v>
      </c>
      <c r="C2038" s="19" t="s">
        <v>6473</v>
      </c>
      <c r="D2038" s="19" t="s">
        <v>6474</v>
      </c>
      <c r="E2038" s="2"/>
      <c r="F2038" s="19"/>
    </row>
    <row r="2039" ht="15.75" customHeight="1">
      <c r="A2039" s="1">
        <v>5.1960443E7</v>
      </c>
      <c r="B2039" s="2" t="s">
        <v>1880</v>
      </c>
      <c r="C2039" s="19" t="s">
        <v>6475</v>
      </c>
      <c r="D2039" s="19"/>
      <c r="E2039" s="2"/>
      <c r="F2039" s="19"/>
    </row>
    <row r="2040" ht="15.75" customHeight="1">
      <c r="A2040" s="1">
        <v>5.1964843E7</v>
      </c>
      <c r="B2040" s="2" t="s">
        <v>997</v>
      </c>
      <c r="C2040" s="19" t="s">
        <v>6476</v>
      </c>
      <c r="D2040" s="19"/>
      <c r="E2040" s="2"/>
      <c r="F2040" s="19"/>
    </row>
    <row r="2041" ht="15.75" customHeight="1">
      <c r="A2041" s="1">
        <v>5.1965019E7</v>
      </c>
      <c r="B2041" s="2" t="s">
        <v>1224</v>
      </c>
      <c r="C2041" s="19" t="s">
        <v>6477</v>
      </c>
      <c r="D2041" s="19" t="s">
        <v>6478</v>
      </c>
      <c r="E2041" s="2"/>
      <c r="F2041" s="19"/>
    </row>
    <row r="2042" ht="15.75" customHeight="1">
      <c r="A2042" s="1">
        <v>5.1966939E7</v>
      </c>
      <c r="B2042" s="2" t="s">
        <v>475</v>
      </c>
      <c r="C2042" s="19" t="s">
        <v>6479</v>
      </c>
      <c r="D2042" s="19" t="s">
        <v>6480</v>
      </c>
      <c r="E2042" s="2"/>
      <c r="F2042" s="19"/>
    </row>
    <row r="2043" ht="15.75" customHeight="1">
      <c r="A2043" s="1">
        <v>5.1973751E7</v>
      </c>
      <c r="B2043" s="2" t="s">
        <v>153</v>
      </c>
      <c r="C2043" s="19" t="s">
        <v>6481</v>
      </c>
      <c r="D2043" s="19" t="s">
        <v>6482</v>
      </c>
      <c r="E2043" s="2"/>
      <c r="F2043" s="19"/>
    </row>
    <row r="2044" ht="15.75" customHeight="1">
      <c r="A2044" s="1">
        <v>5.1973789E7</v>
      </c>
      <c r="B2044" s="2" t="s">
        <v>1258</v>
      </c>
      <c r="C2044" s="19" t="s">
        <v>6483</v>
      </c>
      <c r="D2044" s="19"/>
      <c r="E2044" s="2"/>
      <c r="F2044" s="19"/>
    </row>
    <row r="2045" ht="15.75" customHeight="1">
      <c r="A2045" s="1">
        <v>5.1977391E7</v>
      </c>
      <c r="B2045" s="2" t="s">
        <v>1636</v>
      </c>
      <c r="C2045" s="19" t="s">
        <v>6484</v>
      </c>
      <c r="D2045" s="19"/>
      <c r="E2045" s="2"/>
      <c r="F2045" s="19"/>
    </row>
    <row r="2046" ht="15.75" customHeight="1">
      <c r="A2046" s="1">
        <v>5.1977946E7</v>
      </c>
      <c r="B2046" s="2" t="s">
        <v>2054</v>
      </c>
      <c r="C2046" s="19" t="s">
        <v>6485</v>
      </c>
      <c r="D2046" s="19"/>
      <c r="E2046" s="2"/>
      <c r="F2046" s="19"/>
    </row>
    <row r="2047" ht="15.75" customHeight="1">
      <c r="A2047" s="1">
        <v>5.1980747E7</v>
      </c>
      <c r="B2047" s="2" t="s">
        <v>296</v>
      </c>
      <c r="C2047" s="19" t="s">
        <v>6486</v>
      </c>
      <c r="D2047" s="19"/>
      <c r="E2047" s="2"/>
      <c r="F2047" s="19"/>
    </row>
    <row r="2048" ht="15.75" customHeight="1">
      <c r="A2048" s="1">
        <v>5.1993959E7</v>
      </c>
      <c r="B2048" s="2" t="s">
        <v>1591</v>
      </c>
      <c r="C2048" s="19" t="s">
        <v>6487</v>
      </c>
      <c r="D2048" s="19"/>
      <c r="E2048" s="2"/>
      <c r="F2048" s="19"/>
    </row>
    <row r="2049" ht="15.75" customHeight="1">
      <c r="A2049" s="1">
        <v>5.1996744E7</v>
      </c>
      <c r="B2049" s="2" t="s">
        <v>2844</v>
      </c>
      <c r="C2049" s="19" t="s">
        <v>6488</v>
      </c>
      <c r="D2049" s="19"/>
      <c r="E2049" s="2"/>
      <c r="F2049" s="19"/>
    </row>
    <row r="2050" ht="15.75" customHeight="1">
      <c r="A2050" s="1">
        <v>5.1999779E7</v>
      </c>
      <c r="B2050" s="2" t="s">
        <v>1360</v>
      </c>
      <c r="C2050" s="19" t="s">
        <v>6489</v>
      </c>
      <c r="D2050" s="19"/>
      <c r="E2050" s="2"/>
      <c r="F2050" s="19"/>
    </row>
    <row r="2051" ht="15.75" customHeight="1">
      <c r="A2051" s="1">
        <v>5.2003746E7</v>
      </c>
      <c r="B2051" s="2" t="s">
        <v>2803</v>
      </c>
      <c r="C2051" s="19" t="s">
        <v>6490</v>
      </c>
      <c r="D2051" s="19"/>
      <c r="E2051" s="2"/>
      <c r="F2051" s="19"/>
    </row>
    <row r="2052" ht="15.75" customHeight="1">
      <c r="A2052" s="1">
        <v>5.201622E7</v>
      </c>
      <c r="B2052" s="2" t="s">
        <v>1652</v>
      </c>
      <c r="C2052" s="19" t="s">
        <v>6491</v>
      </c>
      <c r="D2052" s="19" t="s">
        <v>6492</v>
      </c>
      <c r="E2052" s="2"/>
      <c r="F2052" s="19"/>
    </row>
    <row r="2053" ht="15.75" customHeight="1">
      <c r="A2053" s="1">
        <v>5.2023042E7</v>
      </c>
      <c r="B2053" s="2" t="s">
        <v>526</v>
      </c>
      <c r="C2053" s="19" t="s">
        <v>6493</v>
      </c>
      <c r="D2053" s="19"/>
      <c r="E2053" s="2"/>
      <c r="F2053" s="19"/>
    </row>
    <row r="2054" ht="15.75" customHeight="1">
      <c r="A2054" s="1">
        <v>5.2034362E7</v>
      </c>
      <c r="B2054" s="2" t="s">
        <v>1947</v>
      </c>
      <c r="C2054" s="19" t="s">
        <v>6494</v>
      </c>
      <c r="D2054" s="19"/>
      <c r="E2054" s="2"/>
      <c r="F2054" s="19"/>
    </row>
    <row r="2055" ht="15.75" customHeight="1">
      <c r="A2055" s="1">
        <v>5.2045267E7</v>
      </c>
      <c r="B2055" s="2" t="s">
        <v>1473</v>
      </c>
      <c r="C2055" s="19" t="s">
        <v>6495</v>
      </c>
      <c r="D2055" s="19"/>
      <c r="E2055" s="2"/>
      <c r="F2055" s="19"/>
    </row>
    <row r="2056" ht="15.75" customHeight="1">
      <c r="A2056" s="1">
        <v>5.2046824E7</v>
      </c>
      <c r="B2056" s="2" t="s">
        <v>2585</v>
      </c>
      <c r="C2056" s="19" t="s">
        <v>6496</v>
      </c>
      <c r="D2056" s="19"/>
      <c r="E2056" s="2"/>
      <c r="F2056" s="19"/>
    </row>
    <row r="2057" ht="15.75" customHeight="1">
      <c r="A2057" s="1">
        <v>5.2052148E7</v>
      </c>
      <c r="B2057" s="2" t="s">
        <v>192</v>
      </c>
      <c r="C2057" s="19" t="s">
        <v>6497</v>
      </c>
      <c r="D2057" s="19" t="s">
        <v>6498</v>
      </c>
      <c r="E2057" s="2"/>
      <c r="F2057" s="19"/>
    </row>
    <row r="2058" ht="15.75" customHeight="1">
      <c r="A2058" s="1">
        <v>5.2054618E7</v>
      </c>
      <c r="B2058" s="2" t="s">
        <v>1401</v>
      </c>
      <c r="C2058" s="19" t="s">
        <v>6499</v>
      </c>
      <c r="D2058" s="19"/>
      <c r="E2058" s="2"/>
      <c r="F2058" s="19"/>
    </row>
    <row r="2059" ht="15.75" customHeight="1">
      <c r="A2059" s="1">
        <v>5.2057206E7</v>
      </c>
      <c r="B2059" s="2" t="s">
        <v>2586</v>
      </c>
      <c r="C2059" s="19" t="s">
        <v>6500</v>
      </c>
      <c r="D2059" s="19"/>
      <c r="E2059" s="2"/>
      <c r="F2059" s="19"/>
    </row>
    <row r="2060" ht="15.75" customHeight="1">
      <c r="A2060" s="1">
        <v>5.2058662E7</v>
      </c>
      <c r="B2060" s="2" t="s">
        <v>1988</v>
      </c>
      <c r="C2060" s="19" t="s">
        <v>6501</v>
      </c>
      <c r="D2060" s="19"/>
      <c r="E2060" s="2"/>
      <c r="F2060" s="19"/>
    </row>
    <row r="2061" ht="15.75" customHeight="1">
      <c r="A2061" s="1">
        <v>5.2058813E7</v>
      </c>
      <c r="B2061" s="2" t="s">
        <v>185</v>
      </c>
      <c r="C2061" s="19" t="s">
        <v>6502</v>
      </c>
      <c r="D2061" s="19" t="s">
        <v>6503</v>
      </c>
      <c r="E2061" s="2"/>
      <c r="F2061" s="19"/>
    </row>
    <row r="2062" ht="15.75" customHeight="1">
      <c r="A2062" s="1">
        <v>5.2070481E7</v>
      </c>
      <c r="B2062" s="2" t="s">
        <v>1568</v>
      </c>
      <c r="C2062" s="19" t="s">
        <v>6504</v>
      </c>
      <c r="D2062" s="19"/>
      <c r="E2062" s="2"/>
      <c r="F2062" s="19"/>
    </row>
    <row r="2063" ht="15.75" customHeight="1">
      <c r="A2063" s="1">
        <v>5.2078776E7</v>
      </c>
      <c r="B2063" s="2" t="s">
        <v>921</v>
      </c>
      <c r="C2063" s="19" t="s">
        <v>6505</v>
      </c>
      <c r="D2063" s="19"/>
      <c r="E2063" s="2"/>
      <c r="F2063" s="19"/>
    </row>
    <row r="2064" ht="15.75" customHeight="1">
      <c r="A2064" s="1">
        <v>5.2083694E7</v>
      </c>
      <c r="B2064" s="2" t="s">
        <v>1280</v>
      </c>
      <c r="C2064" s="19" t="s">
        <v>6506</v>
      </c>
      <c r="D2064" s="19" t="s">
        <v>6507</v>
      </c>
      <c r="E2064" s="2"/>
      <c r="F2064" s="19"/>
    </row>
    <row r="2065" ht="15.75" customHeight="1">
      <c r="A2065" s="1">
        <v>5.2085701E7</v>
      </c>
      <c r="B2065" s="2" t="s">
        <v>1423</v>
      </c>
      <c r="C2065" s="19" t="s">
        <v>6508</v>
      </c>
      <c r="D2065" s="19"/>
      <c r="E2065" s="2"/>
      <c r="F2065" s="19"/>
    </row>
    <row r="2066" ht="15.75" customHeight="1">
      <c r="A2066" s="1">
        <v>5.2088202E7</v>
      </c>
      <c r="B2066" s="2" t="s">
        <v>1980</v>
      </c>
      <c r="C2066" s="19" t="s">
        <v>6509</v>
      </c>
      <c r="D2066" s="19" t="s">
        <v>6510</v>
      </c>
      <c r="E2066" s="2"/>
      <c r="F2066" s="19"/>
    </row>
    <row r="2067" ht="15.75" customHeight="1">
      <c r="A2067" s="1">
        <v>5.2088852E7</v>
      </c>
      <c r="B2067" s="2" t="s">
        <v>2880</v>
      </c>
      <c r="C2067" s="19" t="s">
        <v>6511</v>
      </c>
      <c r="D2067" s="19"/>
      <c r="E2067" s="2"/>
      <c r="F2067" s="19"/>
    </row>
    <row r="2068" ht="15.75" customHeight="1">
      <c r="A2068" s="1">
        <v>5.2098303E7</v>
      </c>
      <c r="B2068" s="2" t="s">
        <v>1295</v>
      </c>
      <c r="C2068" s="19" t="s">
        <v>6512</v>
      </c>
      <c r="D2068" s="19"/>
      <c r="E2068" s="2"/>
      <c r="F2068" s="19"/>
    </row>
    <row r="2069" ht="15.75" customHeight="1">
      <c r="A2069" s="1">
        <v>5.212097E7</v>
      </c>
      <c r="B2069" s="2" t="s">
        <v>2433</v>
      </c>
      <c r="C2069" s="19" t="s">
        <v>6513</v>
      </c>
      <c r="D2069" s="19"/>
      <c r="E2069" s="2"/>
      <c r="F2069" s="19"/>
    </row>
    <row r="2070" ht="15.75" customHeight="1">
      <c r="A2070" s="1">
        <v>5.2126309E7</v>
      </c>
      <c r="B2070" s="2" t="s">
        <v>884</v>
      </c>
      <c r="C2070" s="19" t="s">
        <v>6514</v>
      </c>
      <c r="D2070" s="19" t="s">
        <v>6515</v>
      </c>
      <c r="E2070" s="2"/>
      <c r="F2070" s="19"/>
    </row>
    <row r="2071" ht="15.75" customHeight="1">
      <c r="A2071" s="1">
        <v>5.2133532E7</v>
      </c>
      <c r="B2071" s="2" t="s">
        <v>2715</v>
      </c>
      <c r="C2071" s="19" t="s">
        <v>6516</v>
      </c>
      <c r="D2071" s="19"/>
      <c r="E2071" s="2"/>
      <c r="F2071" s="19"/>
    </row>
    <row r="2072" ht="15.75" customHeight="1">
      <c r="A2072" s="1">
        <v>5.2143938E7</v>
      </c>
      <c r="B2072" s="2" t="s">
        <v>1854</v>
      </c>
      <c r="C2072" s="19" t="s">
        <v>6517</v>
      </c>
      <c r="D2072" s="19" t="s">
        <v>6518</v>
      </c>
      <c r="E2072" s="2"/>
      <c r="F2072" s="19"/>
    </row>
    <row r="2073" ht="15.75" customHeight="1">
      <c r="A2073" s="1">
        <v>5.2144189E7</v>
      </c>
      <c r="B2073" s="2" t="s">
        <v>1550</v>
      </c>
      <c r="C2073" s="19" t="s">
        <v>6519</v>
      </c>
      <c r="D2073" s="19"/>
      <c r="E2073" s="2"/>
      <c r="F2073" s="19"/>
    </row>
    <row r="2074" ht="15.75" customHeight="1">
      <c r="A2074" s="1">
        <v>5.2144934E7</v>
      </c>
      <c r="B2074" s="2" t="s">
        <v>785</v>
      </c>
      <c r="C2074" s="19" t="s">
        <v>6520</v>
      </c>
      <c r="D2074" s="19"/>
      <c r="E2074" s="2"/>
      <c r="F2074" s="19"/>
    </row>
    <row r="2075" ht="15.75" customHeight="1">
      <c r="A2075" s="1">
        <v>5.2145113E7</v>
      </c>
      <c r="B2075" s="2" t="s">
        <v>552</v>
      </c>
      <c r="C2075" s="19" t="s">
        <v>6521</v>
      </c>
      <c r="D2075" s="19"/>
      <c r="E2075" s="2"/>
      <c r="F2075" s="19"/>
    </row>
    <row r="2076" ht="15.75" customHeight="1">
      <c r="A2076" s="1">
        <v>5.215479E7</v>
      </c>
      <c r="B2076" s="2" t="s">
        <v>1066</v>
      </c>
      <c r="C2076" s="19" t="s">
        <v>6522</v>
      </c>
      <c r="D2076" s="19" t="s">
        <v>6523</v>
      </c>
      <c r="E2076" s="2"/>
      <c r="F2076" s="19"/>
    </row>
    <row r="2077" ht="15.75" customHeight="1">
      <c r="A2077" s="1">
        <v>5.2163958E7</v>
      </c>
      <c r="B2077" s="2" t="s">
        <v>1051</v>
      </c>
      <c r="C2077" s="19" t="s">
        <v>6524</v>
      </c>
      <c r="D2077" s="19" t="s">
        <v>6525</v>
      </c>
      <c r="E2077" s="2"/>
      <c r="F2077" s="19"/>
    </row>
    <row r="2078" ht="15.75" customHeight="1">
      <c r="A2078" s="1">
        <v>5.2186852E7</v>
      </c>
      <c r="B2078" s="2" t="s">
        <v>1237</v>
      </c>
      <c r="C2078" s="19" t="s">
        <v>6526</v>
      </c>
      <c r="D2078" s="19"/>
      <c r="E2078" s="2"/>
      <c r="F2078" s="19"/>
    </row>
    <row r="2079" ht="15.75" customHeight="1">
      <c r="A2079" s="1">
        <v>5.2187749E7</v>
      </c>
      <c r="B2079" s="2" t="s">
        <v>1290</v>
      </c>
      <c r="C2079" s="19" t="s">
        <v>6527</v>
      </c>
      <c r="D2079" s="19"/>
      <c r="E2079" s="2"/>
      <c r="F2079" s="19"/>
    </row>
    <row r="2080" ht="15.75" customHeight="1">
      <c r="A2080" s="1">
        <v>5.2191591E7</v>
      </c>
      <c r="B2080" s="2" t="s">
        <v>2293</v>
      </c>
      <c r="C2080" s="19" t="s">
        <v>6528</v>
      </c>
      <c r="D2080" s="19" t="s">
        <v>6529</v>
      </c>
      <c r="E2080" s="2"/>
      <c r="F2080" s="19"/>
    </row>
    <row r="2081" ht="15.75" customHeight="1">
      <c r="A2081" s="1">
        <v>5.2194258E7</v>
      </c>
      <c r="B2081" s="2" t="s">
        <v>1722</v>
      </c>
      <c r="C2081" s="19" t="s">
        <v>6530</v>
      </c>
      <c r="D2081" s="19" t="s">
        <v>6531</v>
      </c>
      <c r="E2081" s="2"/>
      <c r="F2081" s="19"/>
    </row>
    <row r="2082" ht="15.75" customHeight="1">
      <c r="A2082" s="1">
        <v>5.2201545E7</v>
      </c>
      <c r="B2082" s="2" t="s">
        <v>2283</v>
      </c>
      <c r="C2082" s="19" t="s">
        <v>6532</v>
      </c>
      <c r="D2082" s="19" t="s">
        <v>6533</v>
      </c>
      <c r="E2082" s="2"/>
      <c r="F2082" s="19"/>
    </row>
    <row r="2083" ht="15.75" customHeight="1">
      <c r="A2083" s="1">
        <v>5.2205477E7</v>
      </c>
      <c r="B2083" s="2" t="s">
        <v>1621</v>
      </c>
      <c r="C2083" s="19" t="s">
        <v>6534</v>
      </c>
      <c r="D2083" s="19" t="s">
        <v>6535</v>
      </c>
      <c r="E2083" s="2"/>
      <c r="F2083" s="19"/>
    </row>
    <row r="2084" ht="15.75" customHeight="1">
      <c r="A2084" s="1">
        <v>5.2205799E7</v>
      </c>
      <c r="B2084" s="2" t="s">
        <v>2351</v>
      </c>
      <c r="C2084" s="19" t="s">
        <v>6536</v>
      </c>
      <c r="D2084" s="19"/>
      <c r="E2084" s="2"/>
      <c r="F2084" s="19"/>
    </row>
    <row r="2085" ht="15.75" customHeight="1">
      <c r="A2085" s="1">
        <v>5.2213181E7</v>
      </c>
      <c r="B2085" s="2" t="s">
        <v>2837</v>
      </c>
      <c r="C2085" s="19" t="s">
        <v>6537</v>
      </c>
      <c r="D2085" s="19"/>
      <c r="E2085" s="2"/>
      <c r="F2085" s="19"/>
    </row>
    <row r="2086" ht="15.75" customHeight="1">
      <c r="A2086" s="1">
        <v>5.221387E7</v>
      </c>
      <c r="B2086" s="2" t="s">
        <v>2140</v>
      </c>
      <c r="C2086" s="19" t="s">
        <v>6538</v>
      </c>
      <c r="D2086" s="19" t="s">
        <v>6539</v>
      </c>
      <c r="E2086" s="2"/>
      <c r="F2086" s="19"/>
    </row>
    <row r="2087" ht="15.75" customHeight="1">
      <c r="A2087" s="1">
        <v>5.2215513E7</v>
      </c>
      <c r="B2087" s="2" t="s">
        <v>2133</v>
      </c>
      <c r="C2087" s="19" t="s">
        <v>6540</v>
      </c>
      <c r="D2087" s="19" t="s">
        <v>6541</v>
      </c>
      <c r="E2087" s="2"/>
      <c r="F2087" s="19"/>
    </row>
    <row r="2088" ht="15.75" customHeight="1">
      <c r="A2088" s="1">
        <v>5.2215703E7</v>
      </c>
      <c r="B2088" s="2" t="s">
        <v>1403</v>
      </c>
      <c r="C2088" s="19" t="s">
        <v>6542</v>
      </c>
      <c r="D2088" s="19"/>
      <c r="E2088" s="2"/>
      <c r="F2088" s="19"/>
    </row>
    <row r="2089" ht="15.75" customHeight="1">
      <c r="A2089" s="1">
        <v>5.2217414E7</v>
      </c>
      <c r="B2089" s="2" t="s">
        <v>841</v>
      </c>
      <c r="C2089" s="19" t="s">
        <v>6543</v>
      </c>
      <c r="D2089" s="19" t="s">
        <v>6544</v>
      </c>
      <c r="E2089" s="2"/>
      <c r="F2089" s="19"/>
    </row>
    <row r="2090" ht="15.75" customHeight="1">
      <c r="A2090" s="1">
        <v>5.2223085E7</v>
      </c>
      <c r="B2090" s="2" t="s">
        <v>1100</v>
      </c>
      <c r="C2090" s="19" t="s">
        <v>6545</v>
      </c>
      <c r="D2090" s="19"/>
      <c r="E2090" s="2"/>
      <c r="F2090" s="19"/>
    </row>
    <row r="2091" ht="15.75" customHeight="1">
      <c r="A2091" s="1">
        <v>5.2224883E7</v>
      </c>
      <c r="B2091" s="2" t="s">
        <v>1104</v>
      </c>
      <c r="C2091" s="19" t="s">
        <v>6546</v>
      </c>
      <c r="D2091" s="19" t="s">
        <v>6547</v>
      </c>
      <c r="E2091" s="2"/>
      <c r="F2091" s="19"/>
    </row>
    <row r="2092" ht="15.75" customHeight="1">
      <c r="A2092" s="1">
        <v>5.2242599E7</v>
      </c>
      <c r="B2092" s="2" t="s">
        <v>3381</v>
      </c>
      <c r="C2092" s="19" t="s">
        <v>6548</v>
      </c>
      <c r="D2092" s="19"/>
      <c r="E2092" s="2"/>
      <c r="F2092" s="19"/>
    </row>
    <row r="2093" ht="15.75" customHeight="1">
      <c r="A2093" s="1">
        <v>5.2260506E7</v>
      </c>
      <c r="B2093" s="2" t="s">
        <v>1005</v>
      </c>
      <c r="C2093" s="19" t="s">
        <v>6549</v>
      </c>
      <c r="D2093" s="19"/>
      <c r="E2093" s="2"/>
      <c r="F2093" s="19"/>
    </row>
    <row r="2094" ht="15.75" customHeight="1">
      <c r="A2094" s="1">
        <v>5.226199E7</v>
      </c>
      <c r="B2094" s="2" t="s">
        <v>1932</v>
      </c>
      <c r="C2094" s="19" t="s">
        <v>6550</v>
      </c>
      <c r="D2094" s="19"/>
      <c r="E2094" s="2"/>
      <c r="F2094" s="19"/>
    </row>
    <row r="2095" ht="15.75" customHeight="1">
      <c r="A2095" s="1">
        <v>5.2264141E7</v>
      </c>
      <c r="B2095" s="2" t="s">
        <v>2122</v>
      </c>
      <c r="C2095" s="19" t="s">
        <v>6551</v>
      </c>
      <c r="D2095" s="19" t="s">
        <v>6552</v>
      </c>
      <c r="E2095" s="2"/>
      <c r="F2095" s="19"/>
    </row>
    <row r="2096" ht="15.75" customHeight="1">
      <c r="A2096" s="1">
        <v>5.2282777E7</v>
      </c>
      <c r="B2096" s="2" t="s">
        <v>2964</v>
      </c>
      <c r="C2096" s="19" t="s">
        <v>6553</v>
      </c>
      <c r="D2096" s="19"/>
      <c r="E2096" s="2"/>
      <c r="F2096" s="19"/>
    </row>
    <row r="2097" ht="15.75" customHeight="1">
      <c r="A2097" s="1">
        <v>5.2287773E7</v>
      </c>
      <c r="B2097" s="2" t="s">
        <v>2820</v>
      </c>
      <c r="C2097" s="19" t="s">
        <v>6554</v>
      </c>
      <c r="D2097" s="19" t="s">
        <v>6555</v>
      </c>
      <c r="E2097" s="2"/>
      <c r="F2097" s="19"/>
    </row>
    <row r="2098" ht="15.75" customHeight="1">
      <c r="A2098" s="1">
        <v>5.228899E7</v>
      </c>
      <c r="B2098" s="2" t="s">
        <v>146</v>
      </c>
      <c r="C2098" s="19" t="s">
        <v>6556</v>
      </c>
      <c r="D2098" s="19" t="s">
        <v>6557</v>
      </c>
      <c r="E2098" s="2"/>
      <c r="F2098" s="19"/>
    </row>
    <row r="2099" ht="15.75" customHeight="1">
      <c r="A2099" s="1">
        <v>5.229027E7</v>
      </c>
      <c r="B2099" s="2" t="s">
        <v>3248</v>
      </c>
      <c r="C2099" s="19" t="s">
        <v>6558</v>
      </c>
      <c r="D2099" s="19"/>
      <c r="E2099" s="2"/>
      <c r="F2099" s="19"/>
    </row>
    <row r="2100" ht="15.75" customHeight="1">
      <c r="A2100" s="1">
        <v>5.2294271E7</v>
      </c>
      <c r="B2100" s="2" t="s">
        <v>974</v>
      </c>
      <c r="C2100" s="19" t="s">
        <v>6559</v>
      </c>
      <c r="D2100" s="19"/>
      <c r="E2100" s="2"/>
      <c r="F2100" s="19"/>
    </row>
    <row r="2101" ht="15.75" customHeight="1">
      <c r="A2101" s="1">
        <v>5.2294548E7</v>
      </c>
      <c r="B2101" s="2" t="s">
        <v>2845</v>
      </c>
      <c r="C2101" s="19" t="s">
        <v>6560</v>
      </c>
      <c r="D2101" s="19" t="s">
        <v>6561</v>
      </c>
      <c r="E2101" s="2"/>
      <c r="F2101" s="19"/>
    </row>
    <row r="2102" ht="15.75" customHeight="1">
      <c r="A2102" s="1">
        <v>5.2294863E7</v>
      </c>
      <c r="B2102" s="2" t="s">
        <v>1605</v>
      </c>
      <c r="C2102" s="19" t="s">
        <v>6562</v>
      </c>
      <c r="D2102" s="19"/>
      <c r="E2102" s="2"/>
      <c r="F2102" s="19"/>
    </row>
    <row r="2103" ht="15.75" customHeight="1">
      <c r="A2103" s="1">
        <v>5.2296498E7</v>
      </c>
      <c r="B2103" s="2" t="s">
        <v>1863</v>
      </c>
      <c r="C2103" s="19" t="s">
        <v>6563</v>
      </c>
      <c r="D2103" s="19"/>
      <c r="E2103" s="2"/>
      <c r="F2103" s="19"/>
    </row>
    <row r="2104" ht="15.75" customHeight="1">
      <c r="A2104" s="1">
        <v>5.2299979E7</v>
      </c>
      <c r="B2104" s="2" t="s">
        <v>1570</v>
      </c>
      <c r="C2104" s="19" t="s">
        <v>6564</v>
      </c>
      <c r="D2104" s="19"/>
      <c r="E2104" s="2"/>
      <c r="F2104" s="19"/>
    </row>
    <row r="2105" ht="15.75" customHeight="1">
      <c r="A2105" s="1">
        <v>5.2300209E7</v>
      </c>
      <c r="B2105" s="2" t="s">
        <v>1547</v>
      </c>
      <c r="C2105" s="19" t="s">
        <v>6565</v>
      </c>
      <c r="D2105" s="19" t="s">
        <v>6566</v>
      </c>
      <c r="E2105" s="2"/>
      <c r="F2105" s="19"/>
    </row>
    <row r="2106" ht="15.75" customHeight="1">
      <c r="A2106" s="1">
        <v>5.2316754E7</v>
      </c>
      <c r="B2106" s="2" t="s">
        <v>1048</v>
      </c>
      <c r="C2106" s="19" t="s">
        <v>6567</v>
      </c>
      <c r="D2106" s="19" t="s">
        <v>6568</v>
      </c>
      <c r="E2106" s="2"/>
      <c r="F2106" s="19"/>
    </row>
    <row r="2107" ht="15.75" customHeight="1">
      <c r="A2107" s="1">
        <v>5.2325612E7</v>
      </c>
      <c r="B2107" s="2" t="s">
        <v>1238</v>
      </c>
      <c r="C2107" s="19" t="s">
        <v>6569</v>
      </c>
      <c r="D2107" s="19" t="s">
        <v>6570</v>
      </c>
      <c r="E2107" s="2"/>
      <c r="F2107" s="19"/>
    </row>
    <row r="2108" ht="15.75" customHeight="1">
      <c r="A2108" s="1">
        <v>5.2332025E7</v>
      </c>
      <c r="B2108" s="2" t="s">
        <v>2965</v>
      </c>
      <c r="C2108" s="19" t="s">
        <v>6571</v>
      </c>
      <c r="D2108" s="19" t="s">
        <v>6572</v>
      </c>
      <c r="E2108" s="2"/>
      <c r="F2108" s="19"/>
    </row>
    <row r="2109" ht="15.75" customHeight="1">
      <c r="A2109" s="1">
        <v>5.2353918E7</v>
      </c>
      <c r="B2109" s="2" t="s">
        <v>660</v>
      </c>
      <c r="C2109" s="19" t="s">
        <v>6573</v>
      </c>
      <c r="D2109" s="19" t="s">
        <v>6574</v>
      </c>
      <c r="E2109" s="2"/>
      <c r="F2109" s="19"/>
    </row>
    <row r="2110" ht="15.75" customHeight="1">
      <c r="A2110" s="1">
        <v>5.2363765E7</v>
      </c>
      <c r="B2110" s="2" t="s">
        <v>2443</v>
      </c>
      <c r="C2110" s="19" t="s">
        <v>6575</v>
      </c>
      <c r="D2110" s="19"/>
      <c r="E2110" s="2"/>
      <c r="F2110" s="19"/>
    </row>
    <row r="2111" ht="15.75" customHeight="1">
      <c r="A2111" s="1">
        <v>5.2370349E7</v>
      </c>
      <c r="B2111" s="2" t="s">
        <v>878</v>
      </c>
      <c r="C2111" s="19" t="s">
        <v>6576</v>
      </c>
      <c r="D2111" s="19"/>
      <c r="E2111" s="2"/>
      <c r="F2111" s="19"/>
    </row>
    <row r="2112" ht="15.75" customHeight="1">
      <c r="A2112" s="1">
        <v>5.2370474E7</v>
      </c>
      <c r="B2112" s="2" t="s">
        <v>3249</v>
      </c>
      <c r="C2112" s="19" t="s">
        <v>6577</v>
      </c>
      <c r="D2112" s="19"/>
      <c r="E2112" s="2"/>
      <c r="F2112" s="19"/>
    </row>
    <row r="2113" ht="15.75" customHeight="1">
      <c r="A2113" s="1">
        <v>5.2370526E7</v>
      </c>
      <c r="B2113" s="2" t="s">
        <v>1548</v>
      </c>
      <c r="C2113" s="19" t="s">
        <v>6578</v>
      </c>
      <c r="D2113" s="19"/>
      <c r="E2113" s="2"/>
      <c r="F2113" s="19"/>
    </row>
    <row r="2114" ht="15.75" customHeight="1">
      <c r="A2114" s="1">
        <v>5.2406269E7</v>
      </c>
      <c r="B2114" s="2" t="s">
        <v>410</v>
      </c>
      <c r="C2114" s="19" t="s">
        <v>6579</v>
      </c>
      <c r="D2114" s="19"/>
      <c r="E2114" s="2"/>
      <c r="F2114" s="19"/>
    </row>
    <row r="2115" ht="15.75" customHeight="1">
      <c r="A2115" s="1">
        <v>5.2406753E7</v>
      </c>
      <c r="B2115" s="2" t="s">
        <v>1855</v>
      </c>
      <c r="C2115" s="19" t="s">
        <v>6580</v>
      </c>
      <c r="D2115" s="19" t="s">
        <v>6581</v>
      </c>
      <c r="E2115" s="2"/>
      <c r="F2115" s="19"/>
    </row>
    <row r="2116" ht="15.75" customHeight="1">
      <c r="A2116" s="1">
        <v>5.2421026E7</v>
      </c>
      <c r="B2116" s="2" t="s">
        <v>2931</v>
      </c>
      <c r="C2116" s="19" t="s">
        <v>6582</v>
      </c>
      <c r="D2116" s="19" t="s">
        <v>6583</v>
      </c>
      <c r="E2116" s="2"/>
      <c r="F2116" s="19"/>
    </row>
    <row r="2117" ht="15.75" customHeight="1">
      <c r="A2117" s="1">
        <v>5.2424944E7</v>
      </c>
      <c r="B2117" s="2" t="s">
        <v>301</v>
      </c>
      <c r="C2117" s="19" t="s">
        <v>6584</v>
      </c>
      <c r="D2117" s="19"/>
      <c r="E2117" s="2"/>
      <c r="F2117" s="19"/>
    </row>
    <row r="2118" ht="15.75" customHeight="1">
      <c r="A2118" s="1">
        <v>5.2425738E7</v>
      </c>
      <c r="B2118" s="2" t="s">
        <v>2859</v>
      </c>
      <c r="C2118" s="19" t="s">
        <v>6585</v>
      </c>
      <c r="D2118" s="19"/>
      <c r="E2118" s="2"/>
      <c r="F2118" s="19"/>
    </row>
    <row r="2119" ht="15.75" customHeight="1">
      <c r="A2119" s="1">
        <v>5.2427085E7</v>
      </c>
      <c r="B2119" s="2" t="s">
        <v>2821</v>
      </c>
      <c r="C2119" s="19" t="s">
        <v>6586</v>
      </c>
      <c r="D2119" s="19"/>
      <c r="E2119" s="2"/>
      <c r="F2119" s="19"/>
    </row>
    <row r="2120" ht="15.75" customHeight="1">
      <c r="A2120" s="1">
        <v>5.2436007E7</v>
      </c>
      <c r="B2120" s="2" t="s">
        <v>1475</v>
      </c>
      <c r="C2120" s="19" t="s">
        <v>6587</v>
      </c>
      <c r="D2120" s="19"/>
      <c r="E2120" s="2"/>
      <c r="F2120" s="19"/>
    </row>
    <row r="2121" ht="15.75" customHeight="1">
      <c r="A2121" s="1">
        <v>5.244144E7</v>
      </c>
      <c r="B2121" s="2" t="s">
        <v>1298</v>
      </c>
      <c r="C2121" s="19" t="s">
        <v>6588</v>
      </c>
      <c r="D2121" s="19"/>
      <c r="E2121" s="2"/>
      <c r="F2121" s="19"/>
    </row>
    <row r="2122" ht="15.75" customHeight="1">
      <c r="A2122" s="1">
        <v>5.2443062E7</v>
      </c>
      <c r="B2122" s="2" t="s">
        <v>300</v>
      </c>
      <c r="C2122" s="19" t="s">
        <v>6589</v>
      </c>
      <c r="D2122" s="19" t="s">
        <v>6590</v>
      </c>
      <c r="E2122" s="2"/>
      <c r="F2122" s="19"/>
    </row>
    <row r="2123" ht="15.75" customHeight="1">
      <c r="A2123" s="1">
        <v>5.2480985E7</v>
      </c>
      <c r="B2123" s="2" t="s">
        <v>1212</v>
      </c>
      <c r="C2123" s="19" t="s">
        <v>6591</v>
      </c>
      <c r="D2123" s="19" t="s">
        <v>6592</v>
      </c>
      <c r="E2123" s="2"/>
      <c r="F2123" s="19"/>
    </row>
    <row r="2124" ht="15.75" customHeight="1">
      <c r="A2124" s="1">
        <v>5.2486527E7</v>
      </c>
      <c r="B2124" s="2" t="s">
        <v>1421</v>
      </c>
      <c r="C2124" s="19" t="s">
        <v>6593</v>
      </c>
      <c r="D2124" s="19"/>
      <c r="E2124" s="2"/>
      <c r="F2124" s="19"/>
    </row>
    <row r="2125" ht="15.75" customHeight="1">
      <c r="A2125" s="1">
        <v>5.2492264E7</v>
      </c>
      <c r="B2125" s="2" t="s">
        <v>1689</v>
      </c>
      <c r="C2125" s="19" t="s">
        <v>6594</v>
      </c>
      <c r="D2125" s="19"/>
      <c r="E2125" s="2"/>
      <c r="F2125" s="19"/>
    </row>
    <row r="2126" ht="15.75" customHeight="1">
      <c r="A2126" s="1">
        <v>5.2497823E7</v>
      </c>
      <c r="B2126" s="2" t="s">
        <v>1228</v>
      </c>
      <c r="C2126" s="19" t="s">
        <v>6595</v>
      </c>
      <c r="D2126" s="19" t="s">
        <v>6596</v>
      </c>
      <c r="E2126" s="2"/>
      <c r="F2126" s="19"/>
    </row>
    <row r="2127" ht="15.75" customHeight="1">
      <c r="A2127" s="1">
        <v>5.249814E7</v>
      </c>
      <c r="B2127" s="2" t="s">
        <v>2141</v>
      </c>
      <c r="C2127" s="19" t="s">
        <v>6597</v>
      </c>
      <c r="D2127" s="19"/>
      <c r="E2127" s="2"/>
      <c r="F2127" s="19"/>
    </row>
    <row r="2128" ht="15.75" customHeight="1">
      <c r="A2128" s="1">
        <v>5.2499067E7</v>
      </c>
      <c r="B2128" s="2" t="s">
        <v>1594</v>
      </c>
      <c r="C2128" s="19" t="s">
        <v>6598</v>
      </c>
      <c r="D2128" s="19"/>
      <c r="E2128" s="2"/>
      <c r="F2128" s="19"/>
    </row>
    <row r="2129" ht="15.75" customHeight="1">
      <c r="A2129" s="1">
        <v>5.2510724E7</v>
      </c>
      <c r="B2129" s="2" t="s">
        <v>1534</v>
      </c>
      <c r="C2129" s="19" t="s">
        <v>6599</v>
      </c>
      <c r="D2129" s="19"/>
      <c r="E2129" s="2"/>
      <c r="F2129" s="19"/>
    </row>
    <row r="2130" ht="15.75" customHeight="1">
      <c r="A2130" s="1">
        <v>5.2518944E7</v>
      </c>
      <c r="B2130" s="2" t="s">
        <v>1267</v>
      </c>
      <c r="C2130" s="19" t="s">
        <v>6600</v>
      </c>
      <c r="D2130" s="19" t="s">
        <v>6601</v>
      </c>
      <c r="E2130" s="2"/>
      <c r="F2130" s="19"/>
    </row>
    <row r="2131" ht="15.75" customHeight="1">
      <c r="A2131" s="1">
        <v>5.2519202E7</v>
      </c>
      <c r="B2131" s="2" t="s">
        <v>1363</v>
      </c>
      <c r="C2131" s="19" t="s">
        <v>6602</v>
      </c>
      <c r="D2131" s="19"/>
      <c r="E2131" s="2"/>
      <c r="F2131" s="19"/>
    </row>
    <row r="2132" ht="15.75" customHeight="1">
      <c r="A2132" s="1">
        <v>5.252532E7</v>
      </c>
      <c r="B2132" s="2" t="s">
        <v>1125</v>
      </c>
      <c r="C2132" s="19" t="s">
        <v>6603</v>
      </c>
      <c r="D2132" s="19"/>
      <c r="E2132" s="2"/>
      <c r="F2132" s="19"/>
    </row>
    <row r="2133" ht="15.75" customHeight="1">
      <c r="A2133" s="1">
        <v>5.2529279E7</v>
      </c>
      <c r="B2133" s="2" t="s">
        <v>129</v>
      </c>
      <c r="C2133" s="19" t="s">
        <v>6604</v>
      </c>
      <c r="D2133" s="19"/>
      <c r="E2133" s="2"/>
      <c r="F2133" s="19"/>
    </row>
    <row r="2134" ht="15.75" customHeight="1">
      <c r="A2134" s="1">
        <v>5.2534581E7</v>
      </c>
      <c r="B2134" s="2" t="s">
        <v>781</v>
      </c>
      <c r="C2134" s="19" t="s">
        <v>6605</v>
      </c>
      <c r="D2134" s="19"/>
      <c r="E2134" s="2"/>
      <c r="F2134" s="19"/>
    </row>
    <row r="2135" ht="15.75" customHeight="1">
      <c r="A2135" s="1">
        <v>5.2544025E7</v>
      </c>
      <c r="B2135" s="2" t="s">
        <v>2896</v>
      </c>
      <c r="C2135" s="19" t="s">
        <v>6606</v>
      </c>
      <c r="D2135" s="19"/>
      <c r="E2135" s="2"/>
      <c r="F2135" s="19"/>
    </row>
    <row r="2136" ht="15.75" customHeight="1">
      <c r="A2136" s="1">
        <v>5.2559551E7</v>
      </c>
      <c r="B2136" s="2" t="s">
        <v>1526</v>
      </c>
      <c r="C2136" s="19" t="s">
        <v>6607</v>
      </c>
      <c r="D2136" s="19"/>
      <c r="E2136" s="2"/>
      <c r="F2136" s="19"/>
    </row>
    <row r="2137" ht="15.75" customHeight="1">
      <c r="A2137" s="1">
        <v>5.2563232E7</v>
      </c>
      <c r="B2137" s="2" t="s">
        <v>875</v>
      </c>
      <c r="C2137" s="19" t="s">
        <v>6608</v>
      </c>
      <c r="D2137" s="19"/>
      <c r="E2137" s="2"/>
      <c r="F2137" s="19"/>
    </row>
    <row r="2138" ht="15.75" customHeight="1">
      <c r="A2138" s="1">
        <v>5.257449E7</v>
      </c>
      <c r="B2138" s="2" t="s">
        <v>1057</v>
      </c>
      <c r="C2138" s="19" t="s">
        <v>6609</v>
      </c>
      <c r="D2138" s="19"/>
      <c r="E2138" s="2"/>
      <c r="F2138" s="19"/>
    </row>
    <row r="2139" ht="15.75" customHeight="1">
      <c r="A2139" s="1">
        <v>5.2585467E7</v>
      </c>
      <c r="B2139" s="2" t="s">
        <v>883</v>
      </c>
      <c r="C2139" s="19" t="s">
        <v>6610</v>
      </c>
      <c r="D2139" s="19"/>
      <c r="E2139" s="2"/>
      <c r="F2139" s="19"/>
    </row>
    <row r="2140" ht="15.75" customHeight="1">
      <c r="A2140" s="1">
        <v>5.2593036E7</v>
      </c>
      <c r="B2140" s="2" t="s">
        <v>2573</v>
      </c>
      <c r="C2140" s="19" t="s">
        <v>6611</v>
      </c>
      <c r="D2140" s="19"/>
      <c r="E2140" s="2"/>
      <c r="F2140" s="19"/>
    </row>
    <row r="2141" ht="15.75" customHeight="1">
      <c r="A2141" s="1">
        <v>5.260001E7</v>
      </c>
      <c r="B2141" s="2" t="s">
        <v>539</v>
      </c>
      <c r="C2141" s="19" t="s">
        <v>6612</v>
      </c>
      <c r="D2141" s="19" t="s">
        <v>6613</v>
      </c>
      <c r="E2141" s="2"/>
      <c r="F2141" s="19"/>
    </row>
    <row r="2142" ht="15.75" customHeight="1">
      <c r="A2142" s="1">
        <v>5.2605791E7</v>
      </c>
      <c r="B2142" s="2" t="s">
        <v>1747</v>
      </c>
      <c r="C2142" s="19" t="s">
        <v>6614</v>
      </c>
      <c r="D2142" s="19" t="s">
        <v>6615</v>
      </c>
      <c r="E2142" s="2"/>
      <c r="F2142" s="19"/>
    </row>
    <row r="2143" ht="15.75" customHeight="1">
      <c r="A2143" s="1">
        <v>5.2612424E7</v>
      </c>
      <c r="B2143" s="2" t="s">
        <v>2414</v>
      </c>
      <c r="C2143" s="19" t="s">
        <v>6616</v>
      </c>
      <c r="D2143" s="19"/>
      <c r="E2143" s="2"/>
      <c r="F2143" s="19"/>
    </row>
    <row r="2144" ht="15.75" customHeight="1">
      <c r="A2144" s="1">
        <v>5.2626952E7</v>
      </c>
      <c r="B2144" s="2" t="s">
        <v>2423</v>
      </c>
      <c r="C2144" s="19" t="s">
        <v>6617</v>
      </c>
      <c r="D2144" s="19"/>
      <c r="E2144" s="2"/>
      <c r="F2144" s="19"/>
    </row>
    <row r="2145" ht="15.75" customHeight="1">
      <c r="A2145" s="1">
        <v>5.2642674E7</v>
      </c>
      <c r="B2145" s="2" t="s">
        <v>2183</v>
      </c>
      <c r="C2145" s="19" t="s">
        <v>6618</v>
      </c>
      <c r="D2145" s="19"/>
      <c r="E2145" s="2"/>
      <c r="F2145" s="19"/>
    </row>
    <row r="2146" ht="15.75" customHeight="1">
      <c r="A2146" s="1">
        <v>5.2648963E7</v>
      </c>
      <c r="B2146" s="2" t="s">
        <v>2160</v>
      </c>
      <c r="C2146" s="19" t="s">
        <v>6619</v>
      </c>
      <c r="D2146" s="19"/>
      <c r="E2146" s="2"/>
      <c r="F2146" s="19"/>
    </row>
    <row r="2147" ht="15.75" customHeight="1">
      <c r="A2147" s="1">
        <v>5.2656748E7</v>
      </c>
      <c r="B2147" s="2" t="s">
        <v>2846</v>
      </c>
      <c r="C2147" s="19" t="s">
        <v>6620</v>
      </c>
      <c r="D2147" s="19"/>
      <c r="E2147" s="2"/>
      <c r="F2147" s="19"/>
    </row>
    <row r="2148" ht="15.75" customHeight="1">
      <c r="A2148" s="1">
        <v>5.26681E7</v>
      </c>
      <c r="B2148" s="2" t="s">
        <v>2530</v>
      </c>
      <c r="C2148" s="19" t="s">
        <v>6621</v>
      </c>
      <c r="D2148" s="19"/>
      <c r="E2148" s="2"/>
      <c r="F2148" s="19"/>
    </row>
    <row r="2149" ht="15.75" customHeight="1">
      <c r="A2149" s="1">
        <v>5.2670156E7</v>
      </c>
      <c r="B2149" s="2" t="s">
        <v>1789</v>
      </c>
      <c r="C2149" s="19" t="s">
        <v>6622</v>
      </c>
      <c r="D2149" s="19" t="s">
        <v>6623</v>
      </c>
      <c r="E2149" s="2"/>
      <c r="F2149" s="19"/>
    </row>
    <row r="2150" ht="15.75" customHeight="1">
      <c r="A2150" s="1">
        <v>5.2673505E7</v>
      </c>
      <c r="B2150" s="2" t="s">
        <v>406</v>
      </c>
      <c r="C2150" s="19" t="s">
        <v>6624</v>
      </c>
      <c r="D2150" s="19"/>
      <c r="E2150" s="2"/>
      <c r="F2150" s="19"/>
    </row>
    <row r="2151" ht="15.75" customHeight="1">
      <c r="A2151" s="1">
        <v>5.2684091E7</v>
      </c>
      <c r="B2151" s="2" t="s">
        <v>876</v>
      </c>
      <c r="C2151" s="19" t="s">
        <v>6625</v>
      </c>
      <c r="D2151" s="19"/>
      <c r="E2151" s="2"/>
      <c r="F2151" s="19"/>
    </row>
    <row r="2152" ht="15.75" customHeight="1">
      <c r="A2152" s="1">
        <v>5.2706803E7</v>
      </c>
      <c r="B2152" s="2" t="s">
        <v>2261</v>
      </c>
      <c r="C2152" s="19" t="s">
        <v>6626</v>
      </c>
      <c r="D2152" s="19" t="s">
        <v>6627</v>
      </c>
      <c r="E2152" s="2"/>
      <c r="F2152" s="19"/>
    </row>
    <row r="2153" ht="15.75" customHeight="1">
      <c r="A2153" s="1">
        <v>5.2715914E7</v>
      </c>
      <c r="B2153" s="2" t="s">
        <v>2703</v>
      </c>
      <c r="C2153" s="19" t="s">
        <v>6628</v>
      </c>
      <c r="D2153" s="19"/>
      <c r="E2153" s="2"/>
      <c r="F2153" s="19"/>
    </row>
    <row r="2154" ht="15.75" customHeight="1">
      <c r="A2154" s="1">
        <v>5.2719697E7</v>
      </c>
      <c r="B2154" s="2" t="s">
        <v>2128</v>
      </c>
      <c r="C2154" s="19" t="s">
        <v>6629</v>
      </c>
      <c r="D2154" s="19"/>
      <c r="E2154" s="2"/>
      <c r="F2154" s="19"/>
    </row>
    <row r="2155" ht="15.75" customHeight="1">
      <c r="A2155" s="1">
        <v>5.2720455E7</v>
      </c>
      <c r="B2155" s="2" t="s">
        <v>802</v>
      </c>
      <c r="C2155" s="19" t="s">
        <v>6630</v>
      </c>
      <c r="D2155" s="19" t="s">
        <v>6631</v>
      </c>
      <c r="E2155" s="2"/>
      <c r="F2155" s="19"/>
    </row>
    <row r="2156" ht="15.75" customHeight="1">
      <c r="A2156" s="1">
        <v>5.2733497E7</v>
      </c>
      <c r="B2156" s="2" t="s">
        <v>1110</v>
      </c>
      <c r="C2156" s="19" t="s">
        <v>6632</v>
      </c>
      <c r="D2156" s="19" t="s">
        <v>6633</v>
      </c>
      <c r="E2156" s="2"/>
      <c r="F2156" s="19"/>
    </row>
    <row r="2157" ht="15.75" customHeight="1">
      <c r="A2157" s="1">
        <v>5.2736363E7</v>
      </c>
      <c r="B2157" s="2" t="s">
        <v>597</v>
      </c>
      <c r="C2157" s="19" t="s">
        <v>6634</v>
      </c>
      <c r="D2157" s="19" t="s">
        <v>6635</v>
      </c>
      <c r="E2157" s="2"/>
      <c r="F2157" s="19"/>
    </row>
    <row r="2158" ht="15.75" customHeight="1">
      <c r="A2158" s="1">
        <v>5.2737691E7</v>
      </c>
      <c r="B2158" s="2" t="s">
        <v>2822</v>
      </c>
      <c r="C2158" s="19" t="s">
        <v>6636</v>
      </c>
      <c r="D2158" s="19"/>
      <c r="E2158" s="2"/>
      <c r="F2158" s="19"/>
    </row>
    <row r="2159" ht="15.75" customHeight="1">
      <c r="A2159" s="1">
        <v>5.2753965E7</v>
      </c>
      <c r="B2159" s="2" t="s">
        <v>2781</v>
      </c>
      <c r="C2159" s="19" t="s">
        <v>6637</v>
      </c>
      <c r="D2159" s="19"/>
      <c r="E2159" s="2"/>
      <c r="F2159" s="19"/>
    </row>
    <row r="2160" ht="15.75" customHeight="1">
      <c r="A2160" s="1">
        <v>5.2761661E7</v>
      </c>
      <c r="B2160" s="2" t="s">
        <v>1690</v>
      </c>
      <c r="C2160" s="19" t="s">
        <v>6638</v>
      </c>
      <c r="D2160" s="19" t="s">
        <v>6639</v>
      </c>
      <c r="E2160" s="2"/>
      <c r="F2160" s="19"/>
    </row>
    <row r="2161" ht="15.75" customHeight="1">
      <c r="A2161" s="1">
        <v>5.2772128E7</v>
      </c>
      <c r="B2161" s="2" t="s">
        <v>427</v>
      </c>
      <c r="C2161" s="19" t="s">
        <v>6640</v>
      </c>
      <c r="D2161" s="19" t="s">
        <v>6641</v>
      </c>
      <c r="E2161" s="2"/>
      <c r="F2161" s="19"/>
    </row>
    <row r="2162" ht="15.75" customHeight="1">
      <c r="A2162" s="1">
        <v>5.2776119E7</v>
      </c>
      <c r="B2162" s="2" t="s">
        <v>1537</v>
      </c>
      <c r="C2162" s="19" t="s">
        <v>6642</v>
      </c>
      <c r="D2162" s="19"/>
      <c r="E2162" s="2"/>
      <c r="F2162" s="19"/>
    </row>
    <row r="2163" ht="15.75" customHeight="1">
      <c r="A2163" s="1">
        <v>5.2781309E7</v>
      </c>
      <c r="B2163" s="2" t="s">
        <v>554</v>
      </c>
      <c r="C2163" s="19" t="s">
        <v>6643</v>
      </c>
      <c r="D2163" s="19" t="s">
        <v>6644</v>
      </c>
      <c r="E2163" s="2"/>
      <c r="F2163" s="19"/>
    </row>
    <row r="2164" ht="15.75" customHeight="1">
      <c r="A2164" s="1">
        <v>5.2805378E7</v>
      </c>
      <c r="B2164" s="2" t="s">
        <v>741</v>
      </c>
      <c r="C2164" s="19" t="s">
        <v>6645</v>
      </c>
      <c r="D2164" s="19"/>
      <c r="E2164" s="2"/>
      <c r="F2164" s="19"/>
    </row>
    <row r="2165" ht="15.75" customHeight="1">
      <c r="A2165" s="1">
        <v>5.2814608E7</v>
      </c>
      <c r="B2165" s="2" t="s">
        <v>692</v>
      </c>
      <c r="C2165" s="19" t="s">
        <v>6646</v>
      </c>
      <c r="D2165" s="19" t="s">
        <v>6647</v>
      </c>
      <c r="E2165" s="2"/>
      <c r="F2165" s="19"/>
    </row>
    <row r="2166" ht="15.75" customHeight="1">
      <c r="A2166" s="1">
        <v>5.2816757E7</v>
      </c>
      <c r="B2166" s="2" t="s">
        <v>2740</v>
      </c>
      <c r="C2166" s="19" t="s">
        <v>6648</v>
      </c>
      <c r="D2166" s="19"/>
      <c r="E2166" s="2"/>
      <c r="F2166" s="19"/>
    </row>
    <row r="2167" ht="15.75" customHeight="1">
      <c r="A2167" s="1">
        <v>5.2821168E7</v>
      </c>
      <c r="B2167" s="2" t="s">
        <v>995</v>
      </c>
      <c r="C2167" s="19" t="s">
        <v>6649</v>
      </c>
      <c r="D2167" s="19"/>
      <c r="E2167" s="2"/>
      <c r="F2167" s="19"/>
    </row>
    <row r="2168" ht="15.75" customHeight="1">
      <c r="A2168" s="1">
        <v>5.2825572E7</v>
      </c>
      <c r="B2168" s="2" t="s">
        <v>1207</v>
      </c>
      <c r="C2168" s="19" t="s">
        <v>6650</v>
      </c>
      <c r="D2168" s="19"/>
      <c r="E2168" s="2"/>
      <c r="F2168" s="19"/>
    </row>
    <row r="2169" ht="15.75" customHeight="1">
      <c r="A2169" s="1">
        <v>5.2838421E7</v>
      </c>
      <c r="B2169" s="2" t="s">
        <v>1918</v>
      </c>
      <c r="C2169" s="19" t="s">
        <v>6651</v>
      </c>
      <c r="D2169" s="19"/>
      <c r="E2169" s="2"/>
      <c r="F2169" s="19"/>
    </row>
    <row r="2170" ht="15.75" customHeight="1">
      <c r="A2170" s="1">
        <v>5.2840363E7</v>
      </c>
      <c r="B2170" s="2" t="s">
        <v>1275</v>
      </c>
      <c r="C2170" s="19" t="s">
        <v>6652</v>
      </c>
      <c r="D2170" s="19" t="s">
        <v>6653</v>
      </c>
      <c r="E2170" s="2"/>
      <c r="F2170" s="19"/>
    </row>
    <row r="2171" ht="15.75" customHeight="1">
      <c r="A2171" s="1">
        <v>5.2843956E7</v>
      </c>
      <c r="B2171" s="2" t="s">
        <v>657</v>
      </c>
      <c r="C2171" s="19" t="s">
        <v>6654</v>
      </c>
      <c r="D2171" s="19" t="s">
        <v>6655</v>
      </c>
      <c r="E2171" s="2"/>
      <c r="F2171" s="19"/>
    </row>
    <row r="2172" ht="15.75" customHeight="1">
      <c r="A2172" s="1">
        <v>5.2854298E7</v>
      </c>
      <c r="B2172" s="2" t="s">
        <v>2691</v>
      </c>
      <c r="C2172" s="19" t="s">
        <v>6656</v>
      </c>
      <c r="D2172" s="19"/>
      <c r="E2172" s="2"/>
      <c r="F2172" s="19"/>
    </row>
    <row r="2173" ht="15.75" customHeight="1">
      <c r="A2173" s="1">
        <v>5.2872674E7</v>
      </c>
      <c r="B2173" s="2" t="s">
        <v>1188</v>
      </c>
      <c r="C2173" s="19" t="s">
        <v>6657</v>
      </c>
      <c r="D2173" s="19"/>
      <c r="E2173" s="2"/>
      <c r="F2173" s="19"/>
    </row>
    <row r="2174" ht="15.75" customHeight="1">
      <c r="A2174" s="1">
        <v>5.2874947E7</v>
      </c>
      <c r="B2174" s="2" t="s">
        <v>2088</v>
      </c>
      <c r="C2174" s="19" t="s">
        <v>6658</v>
      </c>
      <c r="D2174" s="19"/>
      <c r="E2174" s="2"/>
      <c r="F2174" s="19"/>
    </row>
    <row r="2175" ht="15.75" customHeight="1">
      <c r="A2175" s="1">
        <v>5.2880268E7</v>
      </c>
      <c r="B2175" s="2" t="s">
        <v>1922</v>
      </c>
      <c r="C2175" s="19" t="s">
        <v>6659</v>
      </c>
      <c r="D2175" s="19"/>
      <c r="E2175" s="2"/>
      <c r="F2175" s="19"/>
    </row>
    <row r="2176" ht="15.75" customHeight="1">
      <c r="A2176" s="1">
        <v>5.2888222E7</v>
      </c>
      <c r="B2176" s="2" t="s">
        <v>2335</v>
      </c>
      <c r="C2176" s="19" t="s">
        <v>6660</v>
      </c>
      <c r="D2176" s="19"/>
      <c r="E2176" s="2"/>
      <c r="F2176" s="19"/>
    </row>
    <row r="2177" ht="15.75" customHeight="1">
      <c r="A2177" s="1">
        <v>5.2890757E7</v>
      </c>
      <c r="B2177" s="2" t="s">
        <v>329</v>
      </c>
      <c r="C2177" s="19" t="s">
        <v>6661</v>
      </c>
      <c r="D2177" s="19"/>
      <c r="E2177" s="2"/>
      <c r="F2177" s="19"/>
    </row>
    <row r="2178" ht="15.75" customHeight="1">
      <c r="A2178" s="1">
        <v>5.289267E7</v>
      </c>
      <c r="B2178" s="2" t="s">
        <v>3039</v>
      </c>
      <c r="C2178" s="19" t="s">
        <v>6662</v>
      </c>
      <c r="D2178" s="19"/>
      <c r="E2178" s="2"/>
      <c r="F2178" s="19"/>
    </row>
    <row r="2179" ht="15.75" customHeight="1">
      <c r="A2179" s="1">
        <v>5.2894062E7</v>
      </c>
      <c r="B2179" s="2" t="s">
        <v>2741</v>
      </c>
      <c r="C2179" s="19" t="s">
        <v>6663</v>
      </c>
      <c r="D2179" s="19" t="s">
        <v>6664</v>
      </c>
      <c r="E2179" s="2"/>
      <c r="F2179" s="19"/>
    </row>
    <row r="2180" ht="15.75" customHeight="1">
      <c r="A2180" s="1">
        <v>5.2897466E7</v>
      </c>
      <c r="B2180" s="2" t="s">
        <v>2548</v>
      </c>
      <c r="C2180" s="19" t="s">
        <v>6665</v>
      </c>
      <c r="D2180" s="19"/>
      <c r="E2180" s="2"/>
      <c r="F2180" s="19"/>
    </row>
    <row r="2181" ht="15.75" customHeight="1">
      <c r="A2181" s="1">
        <v>5.2898741E7</v>
      </c>
      <c r="B2181" s="2" t="s">
        <v>2194</v>
      </c>
      <c r="C2181" s="19" t="s">
        <v>6666</v>
      </c>
      <c r="D2181" s="19" t="s">
        <v>6667</v>
      </c>
      <c r="E2181" s="2"/>
      <c r="F2181" s="19"/>
    </row>
    <row r="2182" ht="15.75" customHeight="1">
      <c r="A2182" s="1">
        <v>5.2904363E7</v>
      </c>
      <c r="B2182" s="2" t="s">
        <v>1291</v>
      </c>
      <c r="C2182" s="19" t="s">
        <v>6668</v>
      </c>
      <c r="D2182" s="19"/>
      <c r="E2182" s="2"/>
      <c r="F2182" s="19"/>
    </row>
    <row r="2183" ht="15.75" customHeight="1">
      <c r="A2183" s="1">
        <v>5.2917737E7</v>
      </c>
      <c r="B2183" s="2" t="s">
        <v>249</v>
      </c>
      <c r="C2183" s="19" t="s">
        <v>6669</v>
      </c>
      <c r="D2183" s="19" t="s">
        <v>6670</v>
      </c>
      <c r="E2183" s="2"/>
      <c r="F2183" s="19"/>
    </row>
    <row r="2184" ht="15.75" customHeight="1">
      <c r="A2184" s="1">
        <v>5.2919137E7</v>
      </c>
      <c r="B2184" s="2" t="s">
        <v>1512</v>
      </c>
      <c r="C2184" s="19" t="s">
        <v>6671</v>
      </c>
      <c r="D2184" s="19" t="s">
        <v>6672</v>
      </c>
      <c r="E2184" s="2"/>
      <c r="F2184" s="19"/>
    </row>
    <row r="2185" ht="15.75" customHeight="1">
      <c r="A2185" s="1">
        <v>5.2923228E7</v>
      </c>
      <c r="B2185" s="2" t="s">
        <v>2195</v>
      </c>
      <c r="C2185" s="19" t="s">
        <v>6673</v>
      </c>
      <c r="D2185" s="19" t="s">
        <v>6674</v>
      </c>
      <c r="E2185" s="2"/>
      <c r="F2185" s="19"/>
    </row>
    <row r="2186" ht="15.75" customHeight="1">
      <c r="A2186" s="1">
        <v>5.293968E7</v>
      </c>
      <c r="B2186" s="2" t="s">
        <v>1964</v>
      </c>
      <c r="C2186" s="19" t="s">
        <v>6675</v>
      </c>
      <c r="D2186" s="19" t="s">
        <v>6676</v>
      </c>
      <c r="E2186" s="2"/>
      <c r="F2186" s="19"/>
    </row>
    <row r="2187" ht="15.75" customHeight="1">
      <c r="A2187" s="1">
        <v>5.2953534E7</v>
      </c>
      <c r="B2187" s="2" t="s">
        <v>1358</v>
      </c>
      <c r="C2187" s="19" t="s">
        <v>6677</v>
      </c>
      <c r="D2187" s="19" t="s">
        <v>6678</v>
      </c>
      <c r="E2187" s="2"/>
      <c r="F2187" s="19"/>
    </row>
    <row r="2188" ht="15.75" customHeight="1">
      <c r="A2188" s="1">
        <v>5.2954065E7</v>
      </c>
      <c r="B2188" s="2" t="s">
        <v>474</v>
      </c>
      <c r="C2188" s="19" t="s">
        <v>6679</v>
      </c>
      <c r="D2188" s="19"/>
      <c r="E2188" s="2"/>
      <c r="F2188" s="19"/>
    </row>
    <row r="2189" ht="15.75" customHeight="1">
      <c r="A2189" s="1">
        <v>5.2958536E7</v>
      </c>
      <c r="B2189" s="2" t="s">
        <v>2204</v>
      </c>
      <c r="C2189" s="19" t="s">
        <v>6680</v>
      </c>
      <c r="D2189" s="19"/>
      <c r="E2189" s="2"/>
      <c r="F2189" s="19"/>
    </row>
    <row r="2190" ht="15.75" customHeight="1">
      <c r="A2190" s="1">
        <v>5.2960863E7</v>
      </c>
      <c r="B2190" s="2" t="s">
        <v>1606</v>
      </c>
      <c r="C2190" s="19" t="s">
        <v>6681</v>
      </c>
      <c r="D2190" s="19"/>
      <c r="E2190" s="2"/>
      <c r="F2190" s="19"/>
    </row>
    <row r="2191" ht="15.75" customHeight="1">
      <c r="A2191" s="1">
        <v>5.2961393E7</v>
      </c>
      <c r="B2191" s="2" t="s">
        <v>2630</v>
      </c>
      <c r="C2191" s="19" t="s">
        <v>6682</v>
      </c>
      <c r="D2191" s="19"/>
      <c r="E2191" s="2"/>
      <c r="F2191" s="19"/>
    </row>
    <row r="2192" ht="15.75" customHeight="1">
      <c r="A2192" s="1">
        <v>5.2975602E7</v>
      </c>
      <c r="B2192" s="2" t="s">
        <v>1105</v>
      </c>
      <c r="C2192" s="19" t="s">
        <v>6683</v>
      </c>
      <c r="D2192" s="19" t="s">
        <v>6684</v>
      </c>
      <c r="E2192" s="2"/>
      <c r="F2192" s="19"/>
    </row>
    <row r="2193" ht="15.75" customHeight="1">
      <c r="A2193" s="1">
        <v>5.3008138E7</v>
      </c>
      <c r="B2193" s="2" t="s">
        <v>2384</v>
      </c>
      <c r="C2193" s="19" t="s">
        <v>6685</v>
      </c>
      <c r="D2193" s="19"/>
      <c r="E2193" s="2"/>
      <c r="F2193" s="19"/>
    </row>
    <row r="2194" ht="15.75" customHeight="1">
      <c r="A2194" s="1">
        <v>5.3015958E7</v>
      </c>
      <c r="B2194" s="2" t="s">
        <v>2782</v>
      </c>
      <c r="C2194" s="19" t="s">
        <v>6686</v>
      </c>
      <c r="D2194" s="19"/>
      <c r="E2194" s="2"/>
      <c r="F2194" s="19"/>
    </row>
    <row r="2195" ht="15.75" customHeight="1">
      <c r="A2195" s="1">
        <v>5.3027157E7</v>
      </c>
      <c r="B2195" s="2" t="s">
        <v>933</v>
      </c>
      <c r="C2195" s="19" t="s">
        <v>6687</v>
      </c>
      <c r="D2195" s="19"/>
      <c r="E2195" s="2"/>
      <c r="F2195" s="19"/>
    </row>
    <row r="2196" ht="15.75" customHeight="1">
      <c r="A2196" s="1">
        <v>5.3039094E7</v>
      </c>
      <c r="B2196" s="2" t="s">
        <v>1723</v>
      </c>
      <c r="C2196" s="19" t="s">
        <v>6688</v>
      </c>
      <c r="D2196" s="19"/>
      <c r="E2196" s="2"/>
      <c r="F2196" s="19"/>
    </row>
    <row r="2197" ht="15.75" customHeight="1">
      <c r="A2197" s="1">
        <v>5.3043346E7</v>
      </c>
      <c r="B2197" s="2" t="s">
        <v>2027</v>
      </c>
      <c r="C2197" s="19" t="s">
        <v>6689</v>
      </c>
      <c r="D2197" s="19"/>
      <c r="E2197" s="2"/>
      <c r="F2197" s="19"/>
    </row>
    <row r="2198" ht="15.75" customHeight="1">
      <c r="A2198" s="1">
        <v>5.3051838E7</v>
      </c>
      <c r="B2198" s="2" t="s">
        <v>3098</v>
      </c>
      <c r="C2198" s="19" t="s">
        <v>6690</v>
      </c>
      <c r="D2198" s="19"/>
      <c r="E2198" s="2"/>
      <c r="F2198" s="19"/>
    </row>
    <row r="2199" ht="15.75" customHeight="1">
      <c r="A2199" s="1">
        <v>5.3082382E7</v>
      </c>
      <c r="B2199" s="2" t="s">
        <v>1593</v>
      </c>
      <c r="C2199" s="19" t="s">
        <v>6691</v>
      </c>
      <c r="D2199" s="19"/>
      <c r="E2199" s="2"/>
      <c r="F2199" s="19"/>
    </row>
    <row r="2200" ht="15.75" customHeight="1">
      <c r="A2200" s="1">
        <v>5.3082622E7</v>
      </c>
      <c r="B2200" s="2" t="s">
        <v>1044</v>
      </c>
      <c r="C2200" s="19" t="s">
        <v>6692</v>
      </c>
      <c r="D2200" s="19" t="s">
        <v>6693</v>
      </c>
      <c r="E2200" s="2"/>
      <c r="F2200" s="19"/>
    </row>
    <row r="2201" ht="15.75" customHeight="1">
      <c r="A2201" s="1">
        <v>5.3095373E7</v>
      </c>
      <c r="B2201" s="2" t="s">
        <v>175</v>
      </c>
      <c r="C2201" s="19" t="s">
        <v>6694</v>
      </c>
      <c r="D2201" s="19"/>
      <c r="E2201" s="2"/>
      <c r="F2201" s="19"/>
    </row>
    <row r="2202" ht="15.75" customHeight="1">
      <c r="A2202" s="1">
        <v>5.3108026E7</v>
      </c>
      <c r="B2202" s="2" t="s">
        <v>377</v>
      </c>
      <c r="C2202" s="19" t="s">
        <v>6695</v>
      </c>
      <c r="D2202" s="19"/>
      <c r="E2202" s="2"/>
      <c r="F2202" s="19"/>
    </row>
    <row r="2203" ht="15.75" customHeight="1">
      <c r="A2203" s="1">
        <v>5.310913E7</v>
      </c>
      <c r="B2203" s="2" t="s">
        <v>2574</v>
      </c>
      <c r="C2203" s="19" t="s">
        <v>6696</v>
      </c>
      <c r="D2203" s="19"/>
      <c r="E2203" s="2"/>
      <c r="F2203" s="19"/>
    </row>
    <row r="2204" ht="15.75" customHeight="1">
      <c r="A2204" s="1">
        <v>5.3110268E7</v>
      </c>
      <c r="B2204" s="2" t="s">
        <v>1584</v>
      </c>
      <c r="C2204" s="19" t="s">
        <v>6697</v>
      </c>
      <c r="D2204" s="19" t="s">
        <v>6698</v>
      </c>
      <c r="E2204" s="2"/>
      <c r="F2204" s="19"/>
    </row>
    <row r="2205" ht="15.75" customHeight="1">
      <c r="A2205" s="1">
        <v>5.3115362E7</v>
      </c>
      <c r="B2205" s="2" t="s">
        <v>621</v>
      </c>
      <c r="C2205" s="19" t="s">
        <v>6699</v>
      </c>
      <c r="D2205" s="19" t="s">
        <v>6700</v>
      </c>
      <c r="E2205" s="2"/>
      <c r="F2205" s="19"/>
    </row>
    <row r="2206" ht="15.75" customHeight="1">
      <c r="A2206" s="1">
        <v>5.3154744E7</v>
      </c>
      <c r="B2206" s="2" t="s">
        <v>1111</v>
      </c>
      <c r="C2206" s="19" t="s">
        <v>6701</v>
      </c>
      <c r="D2206" s="19" t="s">
        <v>6702</v>
      </c>
      <c r="E2206" s="2"/>
      <c r="F2206" s="19"/>
    </row>
    <row r="2207" ht="15.75" customHeight="1">
      <c r="A2207" s="1">
        <v>5.3161038E7</v>
      </c>
      <c r="B2207" s="2" t="s">
        <v>2352</v>
      </c>
      <c r="C2207" s="19" t="s">
        <v>6703</v>
      </c>
      <c r="D2207" s="19"/>
      <c r="E2207" s="2"/>
      <c r="F2207" s="19"/>
    </row>
    <row r="2208" ht="15.75" customHeight="1">
      <c r="A2208" s="1">
        <v>5.3167215E7</v>
      </c>
      <c r="B2208" s="2" t="s">
        <v>1033</v>
      </c>
      <c r="C2208" s="19" t="s">
        <v>6704</v>
      </c>
      <c r="D2208" s="19" t="s">
        <v>6705</v>
      </c>
      <c r="E2208" s="2"/>
      <c r="F2208" s="19"/>
    </row>
    <row r="2209" ht="15.75" customHeight="1">
      <c r="A2209" s="1">
        <v>5.3169033E7</v>
      </c>
      <c r="B2209" s="2" t="s">
        <v>1971</v>
      </c>
      <c r="C2209" s="19" t="s">
        <v>6706</v>
      </c>
      <c r="D2209" s="19" t="s">
        <v>6707</v>
      </c>
      <c r="E2209" s="2"/>
      <c r="F2209" s="19"/>
    </row>
    <row r="2210" ht="15.75" customHeight="1">
      <c r="A2210" s="1">
        <v>5.3170139E7</v>
      </c>
      <c r="B2210" s="2" t="s">
        <v>1935</v>
      </c>
      <c r="C2210" s="19" t="s">
        <v>6708</v>
      </c>
      <c r="D2210" s="19"/>
      <c r="E2210" s="2"/>
      <c r="F2210" s="19"/>
    </row>
    <row r="2211" ht="15.75" customHeight="1">
      <c r="A2211" s="1">
        <v>5.3170292E7</v>
      </c>
      <c r="B2211" s="2" t="s">
        <v>2631</v>
      </c>
      <c r="C2211" s="19" t="s">
        <v>6709</v>
      </c>
      <c r="D2211" s="19" t="s">
        <v>6710</v>
      </c>
      <c r="E2211" s="2"/>
      <c r="F2211" s="19"/>
    </row>
    <row r="2212" ht="15.75" customHeight="1">
      <c r="A2212" s="1">
        <v>5.3171048E7</v>
      </c>
      <c r="B2212" s="2" t="s">
        <v>1542</v>
      </c>
      <c r="C2212" s="19" t="s">
        <v>6711</v>
      </c>
      <c r="D2212" s="19"/>
      <c r="E2212" s="2"/>
      <c r="F2212" s="19"/>
    </row>
    <row r="2213" ht="15.75" customHeight="1">
      <c r="A2213" s="1">
        <v>5.3173969E7</v>
      </c>
      <c r="B2213" s="2" t="s">
        <v>2704</v>
      </c>
      <c r="C2213" s="19" t="s">
        <v>6712</v>
      </c>
      <c r="D2213" s="19" t="s">
        <v>6713</v>
      </c>
      <c r="E2213" s="2"/>
      <c r="F2213" s="19"/>
    </row>
    <row r="2214" ht="15.75" customHeight="1">
      <c r="A2214" s="1">
        <v>5.3174186E7</v>
      </c>
      <c r="B2214" s="2" t="s">
        <v>1114</v>
      </c>
      <c r="C2214" s="19" t="s">
        <v>6714</v>
      </c>
      <c r="D2214" s="19"/>
      <c r="E2214" s="2"/>
      <c r="F2214" s="19"/>
    </row>
    <row r="2215" ht="15.75" customHeight="1">
      <c r="A2215" s="1">
        <v>5.3175144E7</v>
      </c>
      <c r="B2215" s="2" t="s">
        <v>496</v>
      </c>
      <c r="C2215" s="19" t="s">
        <v>6715</v>
      </c>
      <c r="D2215" s="19" t="s">
        <v>6716</v>
      </c>
      <c r="E2215" s="2"/>
      <c r="F2215" s="19"/>
    </row>
    <row r="2216" ht="15.75" customHeight="1">
      <c r="A2216" s="1">
        <v>5.3192185E7</v>
      </c>
      <c r="B2216" s="2" t="s">
        <v>2495</v>
      </c>
      <c r="C2216" s="19" t="s">
        <v>6717</v>
      </c>
      <c r="D2216" s="19"/>
      <c r="E2216" s="2"/>
      <c r="F2216" s="19"/>
    </row>
    <row r="2217" ht="15.75" customHeight="1">
      <c r="A2217" s="1">
        <v>5.3192332E7</v>
      </c>
      <c r="B2217" s="2" t="s">
        <v>1730</v>
      </c>
      <c r="C2217" s="19" t="s">
        <v>6718</v>
      </c>
      <c r="D2217" s="19"/>
      <c r="E2217" s="2"/>
      <c r="F2217" s="19"/>
    </row>
    <row r="2218" ht="15.75" customHeight="1">
      <c r="A2218" s="1">
        <v>5.3195363E7</v>
      </c>
      <c r="B2218" s="2" t="s">
        <v>1381</v>
      </c>
      <c r="C2218" s="19" t="s">
        <v>6719</v>
      </c>
      <c r="D2218" s="19" t="s">
        <v>6720</v>
      </c>
      <c r="E2218" s="2"/>
      <c r="F2218" s="19"/>
    </row>
    <row r="2219" ht="15.75" customHeight="1">
      <c r="A2219" s="1">
        <v>5.3197839E7</v>
      </c>
      <c r="B2219" s="2" t="s">
        <v>2455</v>
      </c>
      <c r="C2219" s="19" t="s">
        <v>6721</v>
      </c>
      <c r="D2219" s="19"/>
      <c r="E2219" s="2"/>
      <c r="F2219" s="19"/>
    </row>
    <row r="2220" ht="15.75" customHeight="1">
      <c r="A2220" s="1">
        <v>5.319968E7</v>
      </c>
      <c r="B2220" s="2" t="s">
        <v>2424</v>
      </c>
      <c r="C2220" s="19" t="s">
        <v>6722</v>
      </c>
      <c r="D2220" s="19" t="s">
        <v>6723</v>
      </c>
      <c r="E2220" s="2"/>
      <c r="F2220" s="19"/>
    </row>
    <row r="2221" ht="15.75" customHeight="1">
      <c r="A2221" s="1">
        <v>5.3207169E7</v>
      </c>
      <c r="B2221" s="2" t="s">
        <v>2135</v>
      </c>
      <c r="C2221" s="19" t="s">
        <v>6724</v>
      </c>
      <c r="D2221" s="19"/>
      <c r="E2221" s="2"/>
      <c r="F2221" s="19"/>
    </row>
    <row r="2222" ht="15.75" customHeight="1">
      <c r="A2222" s="1">
        <v>5.3207653E7</v>
      </c>
      <c r="B2222" s="2" t="s">
        <v>2136</v>
      </c>
      <c r="C2222" s="19" t="s">
        <v>6725</v>
      </c>
      <c r="D2222" s="19"/>
      <c r="E2222" s="2"/>
      <c r="F2222" s="19"/>
    </row>
    <row r="2223" ht="15.75" customHeight="1">
      <c r="A2223" s="1">
        <v>5.3208833E7</v>
      </c>
      <c r="B2223" s="2" t="s">
        <v>2531</v>
      </c>
      <c r="C2223" s="19" t="s">
        <v>6726</v>
      </c>
      <c r="D2223" s="19"/>
      <c r="E2223" s="2"/>
      <c r="F2223" s="19"/>
    </row>
    <row r="2224" ht="15.75" customHeight="1">
      <c r="A2224" s="1">
        <v>5.3218116E7</v>
      </c>
      <c r="B2224" s="2" t="s">
        <v>568</v>
      </c>
      <c r="C2224" s="19" t="s">
        <v>6727</v>
      </c>
      <c r="D2224" s="19"/>
      <c r="E2224" s="2"/>
      <c r="F2224" s="19"/>
    </row>
    <row r="2225" ht="15.75" customHeight="1">
      <c r="A2225" s="1">
        <v>5.3232272E7</v>
      </c>
      <c r="B2225" s="2" t="s">
        <v>1003</v>
      </c>
      <c r="C2225" s="19" t="s">
        <v>6728</v>
      </c>
      <c r="D2225" s="19"/>
      <c r="E2225" s="2"/>
      <c r="F2225" s="19"/>
    </row>
    <row r="2226" ht="15.75" customHeight="1">
      <c r="A2226" s="1">
        <v>5.3244788E7</v>
      </c>
      <c r="B2226" s="2" t="s">
        <v>3065</v>
      </c>
      <c r="C2226" s="19" t="s">
        <v>6729</v>
      </c>
      <c r="D2226" s="19"/>
      <c r="E2226" s="2"/>
      <c r="F2226" s="19"/>
    </row>
    <row r="2227" ht="15.75" customHeight="1">
      <c r="A2227" s="1">
        <v>5.3257076E7</v>
      </c>
      <c r="B2227" s="2" t="s">
        <v>1262</v>
      </c>
      <c r="C2227" s="19" t="s">
        <v>6730</v>
      </c>
      <c r="D2227" s="19"/>
      <c r="E2227" s="2"/>
      <c r="F2227" s="19"/>
    </row>
    <row r="2228" ht="15.75" customHeight="1">
      <c r="A2228" s="1">
        <v>5.3258037E7</v>
      </c>
      <c r="B2228" s="2" t="s">
        <v>2028</v>
      </c>
      <c r="C2228" s="19" t="s">
        <v>6731</v>
      </c>
      <c r="D2228" s="19" t="s">
        <v>6732</v>
      </c>
      <c r="E2228" s="2"/>
      <c r="F2228" s="19"/>
    </row>
    <row r="2229" ht="15.75" customHeight="1">
      <c r="A2229" s="1">
        <v>5.3260499E7</v>
      </c>
      <c r="B2229" s="2" t="s">
        <v>2496</v>
      </c>
      <c r="C2229" s="19" t="s">
        <v>6733</v>
      </c>
      <c r="D2229" s="19" t="s">
        <v>6734</v>
      </c>
      <c r="E2229" s="2"/>
      <c r="F2229" s="19"/>
    </row>
    <row r="2230" ht="15.75" customHeight="1">
      <c r="A2230" s="1">
        <v>5.3262784E7</v>
      </c>
      <c r="B2230" s="2" t="s">
        <v>1433</v>
      </c>
      <c r="C2230" s="19" t="s">
        <v>6735</v>
      </c>
      <c r="D2230" s="19"/>
      <c r="E2230" s="2"/>
      <c r="F2230" s="19"/>
    </row>
    <row r="2231" ht="15.75" customHeight="1">
      <c r="A2231" s="1">
        <v>5.3264791E7</v>
      </c>
      <c r="B2231" s="2" t="s">
        <v>2804</v>
      </c>
      <c r="C2231" s="19" t="s">
        <v>6736</v>
      </c>
      <c r="D2231" s="19"/>
      <c r="E2231" s="2"/>
      <c r="F2231" s="19"/>
    </row>
    <row r="2232" ht="15.75" customHeight="1">
      <c r="A2232" s="1">
        <v>5.3267924E7</v>
      </c>
      <c r="B2232" s="2" t="s">
        <v>1492</v>
      </c>
      <c r="C2232" s="19" t="s">
        <v>6737</v>
      </c>
      <c r="D2232" s="19" t="s">
        <v>6738</v>
      </c>
      <c r="E2232" s="2"/>
      <c r="F2232" s="19"/>
    </row>
    <row r="2233" ht="15.75" customHeight="1">
      <c r="A2233" s="1">
        <v>5.3279941E7</v>
      </c>
      <c r="B2233" s="2" t="s">
        <v>2617</v>
      </c>
      <c r="C2233" s="19" t="s">
        <v>6739</v>
      </c>
      <c r="D2233" s="19"/>
      <c r="E2233" s="2"/>
      <c r="F2233" s="19"/>
    </row>
    <row r="2234" ht="15.75" customHeight="1">
      <c r="A2234" s="1">
        <v>5.3287555E7</v>
      </c>
      <c r="B2234" s="2" t="s">
        <v>1764</v>
      </c>
      <c r="C2234" s="19" t="s">
        <v>6740</v>
      </c>
      <c r="D2234" s="19"/>
      <c r="E2234" s="2"/>
      <c r="F2234" s="19"/>
    </row>
    <row r="2235" ht="15.75" customHeight="1">
      <c r="A2235" s="1">
        <v>5.3288846E7</v>
      </c>
      <c r="B2235" s="2" t="s">
        <v>2392</v>
      </c>
      <c r="C2235" s="19" t="s">
        <v>6741</v>
      </c>
      <c r="D2235" s="19"/>
      <c r="E2235" s="2"/>
      <c r="F2235" s="19"/>
    </row>
    <row r="2236" ht="15.75" customHeight="1">
      <c r="A2236" s="1">
        <v>5.3290593E7</v>
      </c>
      <c r="B2236" s="2" t="s">
        <v>1283</v>
      </c>
      <c r="C2236" s="19" t="s">
        <v>6742</v>
      </c>
      <c r="D2236" s="19" t="s">
        <v>6743</v>
      </c>
      <c r="E2236" s="2"/>
      <c r="F2236" s="19"/>
    </row>
    <row r="2237" ht="15.75" customHeight="1">
      <c r="A2237" s="1">
        <v>5.3299189E7</v>
      </c>
      <c r="B2237" s="2" t="s">
        <v>1615</v>
      </c>
      <c r="C2237" s="19" t="s">
        <v>6744</v>
      </c>
      <c r="D2237" s="19"/>
      <c r="E2237" s="2"/>
      <c r="F2237" s="19"/>
    </row>
    <row r="2238" ht="15.75" customHeight="1">
      <c r="A2238" s="1">
        <v>5.3303701E7</v>
      </c>
      <c r="B2238" s="2" t="s">
        <v>2161</v>
      </c>
      <c r="C2238" s="19" t="s">
        <v>6745</v>
      </c>
      <c r="D2238" s="19" t="s">
        <v>6746</v>
      </c>
      <c r="E2238" s="2"/>
      <c r="F2238" s="19"/>
    </row>
    <row r="2239" ht="15.75" customHeight="1">
      <c r="A2239" s="1">
        <v>5.3305663E7</v>
      </c>
      <c r="B2239" s="2" t="s">
        <v>1148</v>
      </c>
      <c r="C2239" s="19" t="s">
        <v>6747</v>
      </c>
      <c r="D2239" s="19"/>
      <c r="E2239" s="2"/>
      <c r="F2239" s="19"/>
    </row>
    <row r="2240" ht="15.75" customHeight="1">
      <c r="A2240" s="1">
        <v>5.3319236E7</v>
      </c>
      <c r="B2240" s="2" t="s">
        <v>546</v>
      </c>
      <c r="C2240" s="19" t="s">
        <v>6748</v>
      </c>
      <c r="D2240" s="19"/>
      <c r="E2240" s="2"/>
      <c r="F2240" s="19"/>
    </row>
    <row r="2241" ht="15.75" customHeight="1">
      <c r="A2241" s="1">
        <v>5.3326262E7</v>
      </c>
      <c r="B2241" s="2" t="s">
        <v>1967</v>
      </c>
      <c r="C2241" s="19" t="s">
        <v>6749</v>
      </c>
      <c r="D2241" s="19"/>
      <c r="E2241" s="2"/>
      <c r="F2241" s="19"/>
    </row>
    <row r="2242" ht="15.75" customHeight="1">
      <c r="A2242" s="1">
        <v>5.3344801E7</v>
      </c>
      <c r="B2242" s="2" t="s">
        <v>1973</v>
      </c>
      <c r="C2242" s="19" t="s">
        <v>6750</v>
      </c>
      <c r="D2242" s="19"/>
      <c r="E2242" s="2"/>
      <c r="F2242" s="19"/>
    </row>
    <row r="2243" ht="15.75" customHeight="1">
      <c r="A2243" s="1">
        <v>5.3388231E7</v>
      </c>
      <c r="B2243" s="2" t="s">
        <v>3250</v>
      </c>
      <c r="C2243" s="19" t="s">
        <v>6751</v>
      </c>
      <c r="D2243" s="19"/>
      <c r="E2243" s="2"/>
      <c r="F2243" s="19"/>
    </row>
    <row r="2244" ht="15.75" customHeight="1">
      <c r="A2244" s="1">
        <v>5.3398068E7</v>
      </c>
      <c r="B2244" s="2" t="s">
        <v>2742</v>
      </c>
      <c r="C2244" s="19" t="s">
        <v>6752</v>
      </c>
      <c r="D2244" s="19" t="s">
        <v>6753</v>
      </c>
      <c r="E2244" s="2"/>
      <c r="F2244" s="19"/>
    </row>
    <row r="2245" ht="15.75" customHeight="1">
      <c r="A2245" s="1">
        <v>5.341029E7</v>
      </c>
      <c r="B2245" s="2" t="s">
        <v>553</v>
      </c>
      <c r="C2245" s="19" t="s">
        <v>6754</v>
      </c>
      <c r="D2245" s="19"/>
      <c r="E2245" s="2"/>
      <c r="F2245" s="19"/>
    </row>
    <row r="2246" ht="15.75" customHeight="1">
      <c r="A2246" s="1">
        <v>5.3412187E7</v>
      </c>
      <c r="B2246" s="2" t="s">
        <v>2989</v>
      </c>
      <c r="C2246" s="19" t="s">
        <v>6755</v>
      </c>
      <c r="D2246" s="19" t="s">
        <v>6756</v>
      </c>
      <c r="E2246" s="2"/>
      <c r="F2246" s="19"/>
    </row>
    <row r="2247" ht="15.75" customHeight="1">
      <c r="A2247" s="1">
        <v>5.3413258E7</v>
      </c>
      <c r="B2247" s="2" t="s">
        <v>842</v>
      </c>
      <c r="C2247" s="19" t="s">
        <v>6757</v>
      </c>
      <c r="D2247" s="19"/>
      <c r="E2247" s="2"/>
      <c r="F2247" s="19"/>
    </row>
    <row r="2248" ht="15.75" customHeight="1">
      <c r="A2248" s="1">
        <v>5.3433521E7</v>
      </c>
      <c r="B2248" s="2" t="s">
        <v>1516</v>
      </c>
      <c r="C2248" s="19" t="s">
        <v>6758</v>
      </c>
      <c r="D2248" s="19"/>
      <c r="E2248" s="2"/>
      <c r="F2248" s="19"/>
    </row>
    <row r="2249" ht="15.75" customHeight="1">
      <c r="A2249" s="1">
        <v>5.3439446E7</v>
      </c>
      <c r="B2249" s="2" t="s">
        <v>1540</v>
      </c>
      <c r="C2249" s="19" t="s">
        <v>6759</v>
      </c>
      <c r="D2249" s="19" t="s">
        <v>6760</v>
      </c>
      <c r="E2249" s="2"/>
      <c r="F2249" s="19"/>
    </row>
    <row r="2250" ht="15.75" customHeight="1">
      <c r="A2250" s="1">
        <v>5.3449627E7</v>
      </c>
      <c r="B2250" s="2" t="s">
        <v>1795</v>
      </c>
      <c r="C2250" s="19" t="s">
        <v>6761</v>
      </c>
      <c r="D2250" s="19" t="s">
        <v>6762</v>
      </c>
      <c r="E2250" s="2"/>
      <c r="F2250" s="19"/>
    </row>
    <row r="2251" ht="15.75" customHeight="1">
      <c r="A2251" s="1">
        <v>5.3472963E7</v>
      </c>
      <c r="B2251" s="2" t="s">
        <v>914</v>
      </c>
      <c r="C2251" s="19" t="s">
        <v>6763</v>
      </c>
      <c r="D2251" s="19"/>
      <c r="E2251" s="2"/>
      <c r="F2251" s="19"/>
    </row>
    <row r="2252" ht="15.75" customHeight="1">
      <c r="A2252" s="1">
        <v>5.3478159E7</v>
      </c>
      <c r="B2252" s="2" t="s">
        <v>2000</v>
      </c>
      <c r="C2252" s="19" t="s">
        <v>6764</v>
      </c>
      <c r="D2252" s="19"/>
      <c r="E2252" s="2"/>
      <c r="F2252" s="19"/>
    </row>
    <row r="2253" ht="15.75" customHeight="1">
      <c r="A2253" s="1">
        <v>5.348649E7</v>
      </c>
      <c r="B2253" s="2" t="s">
        <v>2385</v>
      </c>
      <c r="C2253" s="19" t="s">
        <v>6765</v>
      </c>
      <c r="D2253" s="19"/>
      <c r="E2253" s="2"/>
      <c r="F2253" s="19"/>
    </row>
    <row r="2254" ht="15.75" customHeight="1">
      <c r="A2254" s="1">
        <v>5.3487133E7</v>
      </c>
      <c r="B2254" s="2" t="s">
        <v>1180</v>
      </c>
      <c r="C2254" s="19" t="s">
        <v>6766</v>
      </c>
      <c r="D2254" s="19"/>
      <c r="E2254" s="2"/>
      <c r="F2254" s="19"/>
    </row>
    <row r="2255" ht="15.75" customHeight="1">
      <c r="A2255" s="1">
        <v>5.3499572E7</v>
      </c>
      <c r="B2255" s="2" t="s">
        <v>3299</v>
      </c>
      <c r="C2255" s="19" t="s">
        <v>6767</v>
      </c>
      <c r="D2255" s="19"/>
      <c r="E2255" s="2"/>
      <c r="F2255" s="19"/>
    </row>
    <row r="2256" ht="15.75" customHeight="1">
      <c r="A2256" s="1">
        <v>5.3503894E7</v>
      </c>
      <c r="B2256" s="2" t="s">
        <v>1270</v>
      </c>
      <c r="C2256" s="19" t="s">
        <v>6768</v>
      </c>
      <c r="D2256" s="19"/>
      <c r="E2256" s="2"/>
      <c r="F2256" s="19"/>
    </row>
    <row r="2257" ht="15.75" customHeight="1">
      <c r="A2257" s="1">
        <v>5.3504268E7</v>
      </c>
      <c r="B2257" s="2" t="s">
        <v>1007</v>
      </c>
      <c r="C2257" s="19" t="s">
        <v>6769</v>
      </c>
      <c r="D2257" s="19" t="s">
        <v>6770</v>
      </c>
      <c r="E2257" s="2"/>
      <c r="F2257" s="19"/>
    </row>
    <row r="2258" ht="15.75" customHeight="1">
      <c r="A2258" s="1">
        <v>5.3506323E7</v>
      </c>
      <c r="B2258" s="2" t="s">
        <v>191</v>
      </c>
      <c r="C2258" s="19" t="s">
        <v>6771</v>
      </c>
      <c r="D2258" s="19"/>
      <c r="E2258" s="2"/>
      <c r="F2258" s="19"/>
    </row>
    <row r="2259" ht="15.75" customHeight="1">
      <c r="A2259" s="1">
        <v>5.3513775E7</v>
      </c>
      <c r="B2259" s="2" t="s">
        <v>2162</v>
      </c>
      <c r="C2259" s="19" t="s">
        <v>6772</v>
      </c>
      <c r="D2259" s="19"/>
      <c r="E2259" s="2"/>
      <c r="F2259" s="19"/>
    </row>
    <row r="2260" ht="15.75" customHeight="1">
      <c r="A2260" s="1">
        <v>5.3518146E7</v>
      </c>
      <c r="B2260" s="2" t="s">
        <v>2761</v>
      </c>
      <c r="C2260" s="19" t="s">
        <v>6773</v>
      </c>
      <c r="D2260" s="19" t="s">
        <v>6774</v>
      </c>
      <c r="E2260" s="2"/>
      <c r="F2260" s="19"/>
    </row>
    <row r="2261" ht="15.75" customHeight="1">
      <c r="A2261" s="1">
        <v>5.3518737E7</v>
      </c>
      <c r="B2261" s="2" t="s">
        <v>710</v>
      </c>
      <c r="C2261" s="19" t="s">
        <v>6775</v>
      </c>
      <c r="D2261" s="19" t="s">
        <v>6776</v>
      </c>
      <c r="E2261" s="2"/>
      <c r="F2261" s="19"/>
    </row>
    <row r="2262" ht="15.75" customHeight="1">
      <c r="A2262" s="1">
        <v>5.3522196E7</v>
      </c>
      <c r="B2262" s="2" t="s">
        <v>1072</v>
      </c>
      <c r="C2262" s="19" t="s">
        <v>6777</v>
      </c>
      <c r="D2262" s="19"/>
      <c r="E2262" s="2"/>
      <c r="F2262" s="19"/>
    </row>
    <row r="2263" ht="15.75" customHeight="1">
      <c r="A2263" s="1">
        <v>5.3528663E7</v>
      </c>
      <c r="B2263" s="2" t="s">
        <v>1541</v>
      </c>
      <c r="C2263" s="19" t="s">
        <v>6778</v>
      </c>
      <c r="D2263" s="19"/>
      <c r="E2263" s="2"/>
      <c r="F2263" s="19"/>
    </row>
    <row r="2264" ht="15.75" customHeight="1">
      <c r="A2264" s="1">
        <v>5.3534973E7</v>
      </c>
      <c r="B2264" s="2" t="s">
        <v>2353</v>
      </c>
      <c r="C2264" s="19" t="s">
        <v>6779</v>
      </c>
      <c r="D2264" s="19"/>
      <c r="E2264" s="2"/>
      <c r="F2264" s="19"/>
    </row>
    <row r="2265" ht="15.75" customHeight="1">
      <c r="A2265" s="1">
        <v>5.3538056E7</v>
      </c>
      <c r="B2265" s="2" t="s">
        <v>1488</v>
      </c>
      <c r="C2265" s="19" t="s">
        <v>6780</v>
      </c>
      <c r="D2265" s="19"/>
      <c r="E2265" s="2"/>
      <c r="F2265" s="19"/>
    </row>
    <row r="2266" ht="15.75" customHeight="1">
      <c r="A2266" s="1">
        <v>5.3539159E7</v>
      </c>
      <c r="B2266" s="2" t="s">
        <v>1564</v>
      </c>
      <c r="C2266" s="19" t="s">
        <v>6781</v>
      </c>
      <c r="D2266" s="19"/>
      <c r="E2266" s="2"/>
      <c r="F2266" s="19"/>
    </row>
    <row r="2267" ht="15.75" customHeight="1">
      <c r="A2267" s="1">
        <v>5.3544934E7</v>
      </c>
      <c r="B2267" s="2" t="s">
        <v>3192</v>
      </c>
      <c r="C2267" s="19" t="s">
        <v>6782</v>
      </c>
      <c r="D2267" s="19"/>
      <c r="E2267" s="2"/>
      <c r="F2267" s="19"/>
    </row>
    <row r="2268" ht="15.75" customHeight="1">
      <c r="A2268" s="1">
        <v>5.3571219E7</v>
      </c>
      <c r="B2268" s="2" t="s">
        <v>2618</v>
      </c>
      <c r="C2268" s="19" t="s">
        <v>6783</v>
      </c>
      <c r="D2268" s="19"/>
      <c r="E2268" s="2"/>
      <c r="F2268" s="19"/>
    </row>
    <row r="2269" ht="15.75" customHeight="1">
      <c r="A2269" s="1">
        <v>5.3577204E7</v>
      </c>
      <c r="B2269" s="2" t="s">
        <v>1389</v>
      </c>
      <c r="C2269" s="19" t="s">
        <v>6784</v>
      </c>
      <c r="D2269" s="19"/>
      <c r="E2269" s="2"/>
      <c r="F2269" s="19"/>
    </row>
    <row r="2270" ht="15.75" customHeight="1">
      <c r="A2270" s="1">
        <v>5.3580445E7</v>
      </c>
      <c r="B2270" s="2" t="s">
        <v>2294</v>
      </c>
      <c r="C2270" s="19" t="s">
        <v>6785</v>
      </c>
      <c r="D2270" s="19"/>
      <c r="E2270" s="2"/>
      <c r="F2270" s="19"/>
    </row>
    <row r="2271" ht="15.75" customHeight="1">
      <c r="A2271" s="1">
        <v>5.358246E7</v>
      </c>
      <c r="B2271" s="2" t="s">
        <v>2038</v>
      </c>
      <c r="C2271" s="19" t="s">
        <v>6786</v>
      </c>
      <c r="D2271" s="19"/>
      <c r="E2271" s="2"/>
      <c r="F2271" s="19"/>
    </row>
    <row r="2272" ht="15.75" customHeight="1">
      <c r="A2272" s="1">
        <v>5.3586428E7</v>
      </c>
      <c r="B2272" s="2" t="s">
        <v>220</v>
      </c>
      <c r="C2272" s="19" t="s">
        <v>6787</v>
      </c>
      <c r="D2272" s="19" t="s">
        <v>6788</v>
      </c>
      <c r="E2272" s="2"/>
      <c r="F2272" s="19"/>
    </row>
    <row r="2273" ht="15.75" customHeight="1">
      <c r="A2273" s="1">
        <v>5.3590054E7</v>
      </c>
      <c r="B2273" s="2" t="s">
        <v>2692</v>
      </c>
      <c r="C2273" s="19" t="s">
        <v>6789</v>
      </c>
      <c r="D2273" s="19"/>
      <c r="E2273" s="2"/>
      <c r="F2273" s="19"/>
    </row>
    <row r="2274" ht="15.75" customHeight="1">
      <c r="A2274" s="1">
        <v>5.3590585E7</v>
      </c>
      <c r="B2274" s="2" t="s">
        <v>3432</v>
      </c>
      <c r="C2274" s="19" t="s">
        <v>6790</v>
      </c>
      <c r="D2274" s="19"/>
      <c r="E2274" s="2"/>
      <c r="F2274" s="19"/>
    </row>
    <row r="2275" ht="15.75" customHeight="1">
      <c r="A2275" s="1">
        <v>5.3604501E7</v>
      </c>
      <c r="B2275" s="2" t="s">
        <v>2079</v>
      </c>
      <c r="C2275" s="19" t="s">
        <v>6791</v>
      </c>
      <c r="D2275" s="19"/>
      <c r="E2275" s="2"/>
      <c r="F2275" s="19"/>
    </row>
    <row r="2276" ht="15.75" customHeight="1">
      <c r="A2276" s="1">
        <v>5.3606563E7</v>
      </c>
      <c r="B2276" s="2" t="s">
        <v>181</v>
      </c>
      <c r="C2276" s="19" t="s">
        <v>6792</v>
      </c>
      <c r="D2276" s="19" t="s">
        <v>6793</v>
      </c>
      <c r="E2276" s="2"/>
      <c r="F2276" s="19"/>
    </row>
    <row r="2277" ht="15.75" customHeight="1">
      <c r="A2277" s="1">
        <v>5.3618469E7</v>
      </c>
      <c r="B2277" s="2" t="s">
        <v>2321</v>
      </c>
      <c r="C2277" s="19" t="s">
        <v>6794</v>
      </c>
      <c r="D2277" s="19" t="s">
        <v>6795</v>
      </c>
      <c r="E2277" s="2"/>
      <c r="F2277" s="19"/>
    </row>
    <row r="2278" ht="15.75" customHeight="1">
      <c r="A2278" s="1">
        <v>5.3623673E7</v>
      </c>
      <c r="B2278" s="2" t="s">
        <v>980</v>
      </c>
      <c r="C2278" s="19" t="s">
        <v>6796</v>
      </c>
      <c r="D2278" s="19" t="s">
        <v>6797</v>
      </c>
      <c r="E2278" s="2"/>
      <c r="F2278" s="19"/>
    </row>
    <row r="2279" ht="15.75" customHeight="1">
      <c r="A2279" s="1">
        <v>5.3644174E7</v>
      </c>
      <c r="B2279" s="2" t="s">
        <v>2098</v>
      </c>
      <c r="C2279" s="19" t="s">
        <v>6798</v>
      </c>
      <c r="D2279" s="19" t="s">
        <v>6799</v>
      </c>
      <c r="E2279" s="2"/>
      <c r="F2279" s="19"/>
    </row>
    <row r="2280" ht="15.75" customHeight="1">
      <c r="A2280" s="1">
        <v>5.3648077E7</v>
      </c>
      <c r="B2280" s="2" t="s">
        <v>890</v>
      </c>
      <c r="C2280" s="19" t="s">
        <v>6800</v>
      </c>
      <c r="D2280" s="19"/>
      <c r="E2280" s="2"/>
      <c r="F2280" s="19"/>
    </row>
    <row r="2281" ht="15.75" customHeight="1">
      <c r="A2281" s="1">
        <v>5.3649899E7</v>
      </c>
      <c r="B2281" s="2" t="s">
        <v>473</v>
      </c>
      <c r="C2281" s="19" t="s">
        <v>6801</v>
      </c>
      <c r="D2281" s="19" t="s">
        <v>6802</v>
      </c>
      <c r="E2281" s="2"/>
      <c r="F2281" s="19"/>
    </row>
    <row r="2282" ht="15.75" customHeight="1">
      <c r="A2282" s="1">
        <v>5.3662108E7</v>
      </c>
      <c r="B2282" s="2" t="s">
        <v>2512</v>
      </c>
      <c r="C2282" s="19" t="s">
        <v>6803</v>
      </c>
      <c r="D2282" s="19" t="s">
        <v>6804</v>
      </c>
      <c r="E2282" s="2"/>
      <c r="F2282" s="19"/>
    </row>
    <row r="2283" ht="15.75" customHeight="1">
      <c r="A2283" s="1">
        <v>5.3664484E7</v>
      </c>
      <c r="B2283" s="2" t="s">
        <v>2134</v>
      </c>
      <c r="C2283" s="19" t="s">
        <v>6805</v>
      </c>
      <c r="D2283" s="19"/>
      <c r="E2283" s="2"/>
      <c r="F2283" s="19"/>
    </row>
    <row r="2284" ht="15.75" customHeight="1">
      <c r="A2284" s="1">
        <v>5.3666484E7</v>
      </c>
      <c r="B2284" s="2" t="s">
        <v>889</v>
      </c>
      <c r="C2284" s="19" t="s">
        <v>6806</v>
      </c>
      <c r="D2284" s="19"/>
      <c r="E2284" s="2"/>
      <c r="F2284" s="19"/>
    </row>
    <row r="2285" ht="15.75" customHeight="1">
      <c r="A2285" s="1">
        <v>5.3669169E7</v>
      </c>
      <c r="B2285" s="2" t="s">
        <v>2336</v>
      </c>
      <c r="C2285" s="19" t="s">
        <v>6807</v>
      </c>
      <c r="D2285" s="19"/>
      <c r="E2285" s="2"/>
      <c r="F2285" s="19"/>
    </row>
    <row r="2286" ht="15.75" customHeight="1">
      <c r="A2286" s="1">
        <v>5.3670395E7</v>
      </c>
      <c r="B2286" s="2" t="s">
        <v>2337</v>
      </c>
      <c r="C2286" s="19" t="s">
        <v>6808</v>
      </c>
      <c r="D2286" s="19"/>
      <c r="E2286" s="2"/>
      <c r="F2286" s="19"/>
    </row>
    <row r="2287" ht="15.75" customHeight="1">
      <c r="A2287" s="1">
        <v>5.3677413E7</v>
      </c>
      <c r="B2287" s="2" t="s">
        <v>2532</v>
      </c>
      <c r="C2287" s="19" t="s">
        <v>6809</v>
      </c>
      <c r="D2287" s="19"/>
      <c r="E2287" s="2"/>
      <c r="F2287" s="19"/>
    </row>
    <row r="2288" ht="15.75" customHeight="1">
      <c r="A2288" s="1">
        <v>5.3690242E7</v>
      </c>
      <c r="B2288" s="2" t="s">
        <v>2338</v>
      </c>
      <c r="C2288" s="19" t="s">
        <v>6810</v>
      </c>
      <c r="D2288" s="19"/>
      <c r="E2288" s="2"/>
      <c r="F2288" s="19"/>
    </row>
    <row r="2289" ht="15.75" customHeight="1">
      <c r="A2289" s="1">
        <v>5.3698558E7</v>
      </c>
      <c r="B2289" s="2" t="s">
        <v>3320</v>
      </c>
      <c r="C2289" s="19" t="s">
        <v>6811</v>
      </c>
      <c r="D2289" s="19"/>
      <c r="E2289" s="2"/>
      <c r="F2289" s="19"/>
    </row>
    <row r="2290" ht="15.75" customHeight="1">
      <c r="A2290" s="1">
        <v>5.3701218E7</v>
      </c>
      <c r="B2290" s="2" t="s">
        <v>1150</v>
      </c>
      <c r="C2290" s="19" t="s">
        <v>6812</v>
      </c>
      <c r="D2290" s="19"/>
      <c r="E2290" s="2"/>
      <c r="F2290" s="19"/>
    </row>
    <row r="2291" ht="15.75" customHeight="1">
      <c r="A2291" s="1">
        <v>5.3702258E7</v>
      </c>
      <c r="B2291" s="2" t="s">
        <v>2029</v>
      </c>
      <c r="C2291" s="19" t="s">
        <v>6813</v>
      </c>
      <c r="D2291" s="19"/>
      <c r="E2291" s="2"/>
      <c r="F2291" s="19"/>
    </row>
    <row r="2292" ht="15.75" customHeight="1">
      <c r="A2292" s="1">
        <v>5.3707341E7</v>
      </c>
      <c r="B2292" s="2" t="s">
        <v>531</v>
      </c>
      <c r="C2292" s="19" t="s">
        <v>6814</v>
      </c>
      <c r="D2292" s="19"/>
      <c r="E2292" s="2"/>
      <c r="F2292" s="19"/>
    </row>
    <row r="2293" ht="15.75" customHeight="1">
      <c r="A2293" s="1">
        <v>5.3708352E7</v>
      </c>
      <c r="B2293" s="2" t="s">
        <v>2897</v>
      </c>
      <c r="C2293" s="19" t="s">
        <v>6815</v>
      </c>
      <c r="D2293" s="19"/>
      <c r="E2293" s="2"/>
      <c r="F2293" s="19"/>
    </row>
    <row r="2294" ht="15.75" customHeight="1">
      <c r="A2294" s="1">
        <v>5.3728623E7</v>
      </c>
      <c r="B2294" s="2" t="s">
        <v>1247</v>
      </c>
      <c r="C2294" s="19" t="s">
        <v>6816</v>
      </c>
      <c r="D2294" s="19"/>
      <c r="E2294" s="2"/>
      <c r="F2294" s="19"/>
    </row>
    <row r="2295" ht="15.75" customHeight="1">
      <c r="A2295" s="1">
        <v>5.3729079E7</v>
      </c>
      <c r="B2295" s="2" t="s">
        <v>2226</v>
      </c>
      <c r="C2295" s="19" t="s">
        <v>6817</v>
      </c>
      <c r="D2295" s="19"/>
      <c r="E2295" s="2"/>
      <c r="F2295" s="19"/>
    </row>
    <row r="2296" ht="15.75" customHeight="1">
      <c r="A2296" s="1">
        <v>5.3734879E7</v>
      </c>
      <c r="B2296" s="2" t="s">
        <v>2805</v>
      </c>
      <c r="C2296" s="19" t="s">
        <v>6818</v>
      </c>
      <c r="D2296" s="19"/>
      <c r="E2296" s="2"/>
      <c r="F2296" s="19"/>
    </row>
    <row r="2297" ht="15.75" customHeight="1">
      <c r="A2297" s="1">
        <v>5.373772E7</v>
      </c>
      <c r="B2297" s="2" t="s">
        <v>217</v>
      </c>
      <c r="C2297" s="19" t="s">
        <v>6819</v>
      </c>
      <c r="D2297" s="19"/>
      <c r="E2297" s="2"/>
      <c r="F2297" s="19"/>
    </row>
    <row r="2298" ht="15.75" customHeight="1">
      <c r="A2298" s="1">
        <v>5.3739089E7</v>
      </c>
      <c r="B2298" s="2" t="s">
        <v>2860</v>
      </c>
      <c r="C2298" s="19" t="s">
        <v>6820</v>
      </c>
      <c r="D2298" s="19" t="s">
        <v>6821</v>
      </c>
      <c r="E2298" s="2"/>
      <c r="F2298" s="19"/>
    </row>
    <row r="2299" ht="15.75" customHeight="1">
      <c r="A2299" s="1">
        <v>5.3742356E7</v>
      </c>
      <c r="B2299" s="2" t="s">
        <v>2170</v>
      </c>
      <c r="C2299" s="19" t="s">
        <v>6822</v>
      </c>
      <c r="D2299" s="19" t="s">
        <v>6823</v>
      </c>
      <c r="E2299" s="2"/>
      <c r="F2299" s="19"/>
    </row>
    <row r="2300" ht="15.75" customHeight="1">
      <c r="A2300" s="1">
        <v>5.3743401E7</v>
      </c>
      <c r="B2300" s="2" t="s">
        <v>2456</v>
      </c>
      <c r="C2300" s="19" t="s">
        <v>6824</v>
      </c>
      <c r="D2300" s="19"/>
      <c r="E2300" s="2"/>
      <c r="F2300" s="19"/>
    </row>
    <row r="2301" ht="15.75" customHeight="1">
      <c r="A2301" s="1">
        <v>5.3748256E7</v>
      </c>
      <c r="B2301" s="2" t="s">
        <v>1923</v>
      </c>
      <c r="C2301" s="19" t="s">
        <v>6825</v>
      </c>
      <c r="D2301" s="19" t="s">
        <v>6826</v>
      </c>
      <c r="E2301" s="2"/>
      <c r="F2301" s="19"/>
    </row>
    <row r="2302" ht="15.75" customHeight="1">
      <c r="A2302" s="1">
        <v>5.3750539E7</v>
      </c>
      <c r="B2302" s="2" t="s">
        <v>127</v>
      </c>
      <c r="C2302" s="19" t="s">
        <v>6827</v>
      </c>
      <c r="D2302" s="19"/>
      <c r="E2302" s="2"/>
      <c r="F2302" s="19"/>
    </row>
    <row r="2303" ht="15.75" customHeight="1">
      <c r="A2303" s="1">
        <v>5.3751429E7</v>
      </c>
      <c r="B2303" s="2" t="s">
        <v>2444</v>
      </c>
      <c r="C2303" s="19" t="s">
        <v>6828</v>
      </c>
      <c r="D2303" s="19"/>
      <c r="E2303" s="2"/>
      <c r="F2303" s="19"/>
    </row>
    <row r="2304" ht="15.75" customHeight="1">
      <c r="A2304" s="1">
        <v>5.3755821E7</v>
      </c>
      <c r="B2304" s="2" t="s">
        <v>1061</v>
      </c>
      <c r="C2304" s="19" t="s">
        <v>6829</v>
      </c>
      <c r="D2304" s="19" t="s">
        <v>6830</v>
      </c>
      <c r="E2304" s="2"/>
      <c r="F2304" s="19"/>
    </row>
    <row r="2305" ht="15.75" customHeight="1">
      <c r="A2305" s="1">
        <v>5.376397E7</v>
      </c>
      <c r="B2305" s="2" t="s">
        <v>1225</v>
      </c>
      <c r="C2305" s="19" t="s">
        <v>6831</v>
      </c>
      <c r="D2305" s="19"/>
      <c r="E2305" s="2"/>
      <c r="F2305" s="19"/>
    </row>
    <row r="2306" ht="15.75" customHeight="1">
      <c r="A2306" s="1">
        <v>5.3784092E7</v>
      </c>
      <c r="B2306" s="2" t="s">
        <v>2415</v>
      </c>
      <c r="C2306" s="19" t="s">
        <v>6832</v>
      </c>
      <c r="D2306" s="19"/>
      <c r="E2306" s="2"/>
      <c r="F2306" s="19"/>
    </row>
    <row r="2307" ht="15.75" customHeight="1">
      <c r="A2307" s="1">
        <v>5.3801839E7</v>
      </c>
      <c r="B2307" s="2" t="s">
        <v>1696</v>
      </c>
      <c r="C2307" s="19" t="s">
        <v>6833</v>
      </c>
      <c r="D2307" s="19"/>
      <c r="E2307" s="2"/>
      <c r="F2307" s="19"/>
    </row>
    <row r="2308" ht="15.75" customHeight="1">
      <c r="A2308" s="1">
        <v>5.3808662E7</v>
      </c>
      <c r="B2308" s="2" t="s">
        <v>2219</v>
      </c>
      <c r="C2308" s="19" t="s">
        <v>6834</v>
      </c>
      <c r="D2308" s="19" t="s">
        <v>6835</v>
      </c>
      <c r="E2308" s="2"/>
      <c r="F2308" s="19"/>
    </row>
    <row r="2309" ht="15.75" customHeight="1">
      <c r="A2309" s="1">
        <v>5.3820097E7</v>
      </c>
      <c r="B2309" s="2" t="s">
        <v>2932</v>
      </c>
      <c r="C2309" s="19" t="s">
        <v>6836</v>
      </c>
      <c r="D2309" s="19"/>
      <c r="E2309" s="2"/>
      <c r="F2309" s="19"/>
    </row>
    <row r="2310" ht="15.75" customHeight="1">
      <c r="A2310" s="1">
        <v>5.3821137E7</v>
      </c>
      <c r="B2310" s="2" t="s">
        <v>2677</v>
      </c>
      <c r="C2310" s="19" t="s">
        <v>6837</v>
      </c>
      <c r="D2310" s="19" t="s">
        <v>6838</v>
      </c>
      <c r="E2310" s="2"/>
      <c r="F2310" s="19"/>
    </row>
    <row r="2311" ht="15.75" customHeight="1">
      <c r="A2311" s="1">
        <v>5.4113212E7</v>
      </c>
      <c r="B2311" s="2" t="s">
        <v>656</v>
      </c>
      <c r="C2311" s="19" t="s">
        <v>6839</v>
      </c>
      <c r="D2311" s="19"/>
      <c r="E2311" s="2"/>
      <c r="F2311" s="19"/>
    </row>
    <row r="2312" ht="15.75" customHeight="1">
      <c r="A2312" s="1">
        <v>5.4121067E7</v>
      </c>
      <c r="B2312" s="2" t="s">
        <v>256</v>
      </c>
      <c r="C2312" s="19" t="s">
        <v>6840</v>
      </c>
      <c r="D2312" s="19"/>
      <c r="E2312" s="2"/>
      <c r="F2312" s="19"/>
    </row>
    <row r="2313" ht="15.75" customHeight="1">
      <c r="A2313" s="1">
        <v>5.4123965E7</v>
      </c>
      <c r="B2313" s="2" t="s">
        <v>1989</v>
      </c>
      <c r="C2313" s="19" t="s">
        <v>6841</v>
      </c>
      <c r="D2313" s="19" t="s">
        <v>6842</v>
      </c>
      <c r="E2313" s="2"/>
      <c r="F2313" s="19"/>
    </row>
    <row r="2314" ht="15.75" customHeight="1">
      <c r="A2314" s="1">
        <v>5.4134476E7</v>
      </c>
      <c r="B2314" s="2" t="s">
        <v>636</v>
      </c>
      <c r="C2314" s="19" t="s">
        <v>6843</v>
      </c>
      <c r="D2314" s="19"/>
      <c r="E2314" s="2"/>
      <c r="F2314" s="19"/>
    </row>
    <row r="2315" ht="15.75" customHeight="1">
      <c r="A2315" s="1">
        <v>5.4138914E7</v>
      </c>
      <c r="B2315" s="2" t="s">
        <v>2237</v>
      </c>
      <c r="C2315" s="19" t="s">
        <v>6844</v>
      </c>
      <c r="D2315" s="19" t="s">
        <v>6845</v>
      </c>
      <c r="E2315" s="2"/>
      <c r="F2315" s="19"/>
    </row>
    <row r="2316" ht="15.75" customHeight="1">
      <c r="A2316" s="1">
        <v>5.4143107E7</v>
      </c>
      <c r="B2316" s="2" t="s">
        <v>1394</v>
      </c>
      <c r="C2316" s="19" t="s">
        <v>6846</v>
      </c>
      <c r="D2316" s="19" t="s">
        <v>6847</v>
      </c>
      <c r="E2316" s="2"/>
      <c r="F2316" s="19"/>
    </row>
    <row r="2317" ht="15.75" customHeight="1">
      <c r="A2317" s="1">
        <v>5.4143408E7</v>
      </c>
      <c r="B2317" s="2" t="s">
        <v>311</v>
      </c>
      <c r="C2317" s="19" t="s">
        <v>6848</v>
      </c>
      <c r="D2317" s="19"/>
      <c r="E2317" s="2"/>
      <c r="F2317" s="19"/>
    </row>
    <row r="2318" ht="15.75" customHeight="1">
      <c r="A2318" s="1">
        <v>5.4171073E7</v>
      </c>
      <c r="B2318" s="2" t="s">
        <v>1259</v>
      </c>
      <c r="C2318" s="19" t="s">
        <v>6849</v>
      </c>
      <c r="D2318" s="19"/>
      <c r="E2318" s="2"/>
      <c r="F2318" s="19"/>
    </row>
    <row r="2319" ht="15.75" customHeight="1">
      <c r="A2319" s="1">
        <v>5.4174575E7</v>
      </c>
      <c r="B2319" s="2" t="s">
        <v>1149</v>
      </c>
      <c r="C2319" s="19" t="s">
        <v>6850</v>
      </c>
      <c r="D2319" s="19"/>
      <c r="E2319" s="2"/>
      <c r="F2319" s="19"/>
    </row>
    <row r="2320" ht="15.75" customHeight="1">
      <c r="A2320" s="1">
        <v>5.4175015E7</v>
      </c>
      <c r="B2320" s="2" t="s">
        <v>949</v>
      </c>
      <c r="C2320" s="19" t="s">
        <v>6851</v>
      </c>
      <c r="D2320" s="19" t="s">
        <v>6852</v>
      </c>
      <c r="E2320" s="2"/>
      <c r="F2320" s="19"/>
    </row>
    <row r="2321" ht="15.75" customHeight="1">
      <c r="A2321" s="1">
        <v>5.4333889E7</v>
      </c>
      <c r="B2321" s="2" t="s">
        <v>517</v>
      </c>
      <c r="C2321" s="19" t="s">
        <v>6853</v>
      </c>
      <c r="D2321" s="19"/>
      <c r="E2321" s="2"/>
      <c r="F2321" s="19"/>
    </row>
    <row r="2322" ht="15.75" customHeight="1">
      <c r="A2322" s="1">
        <v>5.4557467E7</v>
      </c>
      <c r="B2322" s="2" t="s">
        <v>2575</v>
      </c>
      <c r="C2322" s="19" t="s">
        <v>6854</v>
      </c>
      <c r="D2322" s="19"/>
      <c r="E2322" s="2"/>
      <c r="F2322" s="19"/>
    </row>
    <row r="2323" ht="15.75" customHeight="1">
      <c r="A2323" s="1">
        <v>5.4744615E7</v>
      </c>
      <c r="B2323" s="2" t="s">
        <v>2823</v>
      </c>
      <c r="C2323" s="19" t="s">
        <v>6855</v>
      </c>
      <c r="D2323" s="19"/>
      <c r="E2323" s="2"/>
      <c r="F2323" s="19"/>
    </row>
    <row r="2324" ht="15.75" customHeight="1">
      <c r="A2324" s="1">
        <v>5.5117661E7</v>
      </c>
      <c r="B2324" s="2" t="s">
        <v>1430</v>
      </c>
      <c r="C2324" s="19" t="s">
        <v>6856</v>
      </c>
      <c r="D2324" s="19" t="s">
        <v>6857</v>
      </c>
      <c r="E2324" s="2"/>
      <c r="F2324" s="19"/>
    </row>
    <row r="2325" ht="15.75" customHeight="1">
      <c r="A2325" s="1">
        <v>5.5135069E7</v>
      </c>
      <c r="B2325" s="2" t="s">
        <v>201</v>
      </c>
      <c r="C2325" s="19" t="s">
        <v>6858</v>
      </c>
      <c r="D2325" s="19"/>
      <c r="E2325" s="2"/>
      <c r="F2325" s="19"/>
    </row>
    <row r="2326" ht="15.75" customHeight="1">
      <c r="A2326" s="1">
        <v>5.5224716E7</v>
      </c>
      <c r="B2326" s="2" t="s">
        <v>2039</v>
      </c>
      <c r="C2326" s="19" t="s">
        <v>6859</v>
      </c>
      <c r="D2326" s="19" t="s">
        <v>6860</v>
      </c>
      <c r="E2326" s="2"/>
      <c r="F2326" s="19"/>
    </row>
    <row r="2327" ht="15.75" customHeight="1">
      <c r="A2327" s="1">
        <v>5.5244842E7</v>
      </c>
      <c r="B2327" s="2" t="s">
        <v>2716</v>
      </c>
      <c r="C2327" s="19" t="s">
        <v>6861</v>
      </c>
      <c r="D2327" s="19"/>
      <c r="E2327" s="2"/>
      <c r="F2327" s="19"/>
    </row>
    <row r="2328" ht="15.75" customHeight="1">
      <c r="A2328" s="1">
        <v>5.5491667E7</v>
      </c>
      <c r="B2328" s="2" t="s">
        <v>1804</v>
      </c>
      <c r="C2328" s="19" t="s">
        <v>6862</v>
      </c>
      <c r="D2328" s="19"/>
      <c r="E2328" s="2"/>
      <c r="F2328" s="19"/>
    </row>
    <row r="2329" ht="15.75" customHeight="1">
      <c r="A2329" s="1">
        <v>5.559642E7</v>
      </c>
      <c r="B2329" s="2" t="s">
        <v>2861</v>
      </c>
      <c r="C2329" s="19" t="s">
        <v>6863</v>
      </c>
      <c r="D2329" s="19"/>
      <c r="E2329" s="2"/>
      <c r="F2329" s="19"/>
    </row>
    <row r="2330" ht="15.75" customHeight="1">
      <c r="A2330" s="1">
        <v>5.5614003E7</v>
      </c>
      <c r="B2330" s="2" t="s">
        <v>3193</v>
      </c>
      <c r="C2330" s="19" t="s">
        <v>6864</v>
      </c>
      <c r="D2330" s="19"/>
      <c r="E2330" s="2"/>
      <c r="F2330" s="19"/>
    </row>
    <row r="2331" ht="15.75" customHeight="1">
      <c r="A2331" s="1">
        <v>5.5614851E7</v>
      </c>
      <c r="B2331" s="2" t="s">
        <v>2227</v>
      </c>
      <c r="C2331" s="19" t="s">
        <v>6865</v>
      </c>
      <c r="D2331" s="19" t="s">
        <v>6866</v>
      </c>
      <c r="E2331" s="2"/>
      <c r="F2331" s="19"/>
    </row>
    <row r="2332" ht="15.75" customHeight="1">
      <c r="A2332" s="1">
        <v>5.5617E7</v>
      </c>
      <c r="B2332" s="2" t="s">
        <v>2533</v>
      </c>
      <c r="C2332" s="19" t="s">
        <v>6867</v>
      </c>
      <c r="D2332" s="19" t="s">
        <v>6868</v>
      </c>
      <c r="E2332" s="2"/>
      <c r="F2332" s="19"/>
    </row>
    <row r="2333" ht="15.75" customHeight="1">
      <c r="A2333" s="1">
        <v>5.5619739E7</v>
      </c>
      <c r="B2333" s="2" t="s">
        <v>2665</v>
      </c>
      <c r="C2333" s="19" t="s">
        <v>6869</v>
      </c>
      <c r="D2333" s="19"/>
      <c r="E2333" s="2"/>
      <c r="F2333" s="19"/>
    </row>
    <row r="2334" ht="15.75" customHeight="1">
      <c r="A2334" s="1">
        <v>5.5623926E7</v>
      </c>
      <c r="B2334" s="2" t="s">
        <v>1769</v>
      </c>
      <c r="C2334" s="19" t="s">
        <v>6870</v>
      </c>
      <c r="D2334" s="19"/>
      <c r="E2334" s="2"/>
      <c r="F2334" s="19"/>
    </row>
    <row r="2335" ht="15.75" customHeight="1">
      <c r="A2335" s="1">
        <v>5.5628468E7</v>
      </c>
      <c r="B2335" s="2" t="s">
        <v>1152</v>
      </c>
      <c r="C2335" s="19" t="s">
        <v>6871</v>
      </c>
      <c r="D2335" s="19"/>
      <c r="E2335" s="2"/>
      <c r="F2335" s="19"/>
    </row>
    <row r="2336" ht="15.75" customHeight="1">
      <c r="A2336" s="1">
        <v>5.5632717E7</v>
      </c>
      <c r="B2336" s="2" t="s">
        <v>1770</v>
      </c>
      <c r="C2336" s="19" t="s">
        <v>6872</v>
      </c>
      <c r="D2336" s="19"/>
      <c r="E2336" s="2"/>
      <c r="F2336" s="19"/>
    </row>
    <row r="2337" ht="15.75" customHeight="1">
      <c r="A2337" s="1">
        <v>5.5644204E7</v>
      </c>
      <c r="B2337" s="2" t="s">
        <v>2322</v>
      </c>
      <c r="C2337" s="19" t="s">
        <v>6873</v>
      </c>
      <c r="D2337" s="19"/>
      <c r="E2337" s="2"/>
      <c r="F2337" s="19"/>
    </row>
    <row r="2338" ht="15.75" customHeight="1">
      <c r="A2338" s="1">
        <v>5.5645981E7</v>
      </c>
      <c r="B2338" s="2" t="s">
        <v>2727</v>
      </c>
      <c r="C2338" s="19" t="s">
        <v>6874</v>
      </c>
      <c r="D2338" s="19" t="s">
        <v>6875</v>
      </c>
      <c r="E2338" s="2"/>
      <c r="F2338" s="19"/>
    </row>
    <row r="2339" ht="15.75" customHeight="1">
      <c r="A2339" s="1">
        <v>5.5647262E7</v>
      </c>
      <c r="B2339" s="2" t="s">
        <v>2040</v>
      </c>
      <c r="C2339" s="19" t="s">
        <v>6876</v>
      </c>
      <c r="D2339" s="19"/>
      <c r="E2339" s="2"/>
      <c r="F2339" s="19"/>
    </row>
    <row r="2340" ht="15.75" customHeight="1">
      <c r="A2340" s="1">
        <v>5.5647746E7</v>
      </c>
      <c r="B2340" s="2" t="s">
        <v>894</v>
      </c>
      <c r="C2340" s="19" t="s">
        <v>6877</v>
      </c>
      <c r="D2340" s="19"/>
      <c r="E2340" s="2"/>
      <c r="F2340" s="19"/>
    </row>
    <row r="2341" ht="15.75" customHeight="1">
      <c r="A2341" s="1">
        <v>5.5649403E7</v>
      </c>
      <c r="B2341" s="2" t="s">
        <v>799</v>
      </c>
      <c r="C2341" s="19" t="s">
        <v>6878</v>
      </c>
      <c r="D2341" s="19"/>
      <c r="E2341" s="2"/>
      <c r="F2341" s="19"/>
    </row>
    <row r="2342" ht="15.75" customHeight="1">
      <c r="A2342" s="1">
        <v>5.5684883E7</v>
      </c>
      <c r="B2342" s="2" t="s">
        <v>2123</v>
      </c>
      <c r="C2342" s="19" t="s">
        <v>6879</v>
      </c>
      <c r="D2342" s="19" t="s">
        <v>6880</v>
      </c>
      <c r="E2342" s="2"/>
      <c r="F2342" s="19"/>
    </row>
    <row r="2343" ht="15.75" customHeight="1">
      <c r="A2343" s="1">
        <v>5.5695608E7</v>
      </c>
      <c r="B2343" s="2" t="s">
        <v>2272</v>
      </c>
      <c r="C2343" s="19" t="s">
        <v>6881</v>
      </c>
      <c r="D2343" s="19"/>
      <c r="E2343" s="2"/>
      <c r="F2343" s="19"/>
    </row>
    <row r="2344" ht="15.75" customHeight="1">
      <c r="A2344" s="1">
        <v>5.5710608E7</v>
      </c>
      <c r="B2344" s="2" t="s">
        <v>1380</v>
      </c>
      <c r="C2344" s="19" t="s">
        <v>6882</v>
      </c>
      <c r="D2344" s="19"/>
      <c r="E2344" s="2"/>
      <c r="F2344" s="19"/>
    </row>
    <row r="2345" ht="15.75" customHeight="1">
      <c r="A2345" s="1">
        <v>5.5714301E7</v>
      </c>
      <c r="B2345" s="2" t="s">
        <v>1040</v>
      </c>
      <c r="C2345" s="19" t="s">
        <v>6883</v>
      </c>
      <c r="D2345" s="19"/>
      <c r="E2345" s="2"/>
      <c r="F2345" s="19"/>
    </row>
    <row r="2346" ht="15.75" customHeight="1">
      <c r="A2346" s="1">
        <v>5.5718762E7</v>
      </c>
      <c r="B2346" s="2" t="s">
        <v>2743</v>
      </c>
      <c r="C2346" s="19" t="s">
        <v>6884</v>
      </c>
      <c r="D2346" s="19"/>
      <c r="E2346" s="2"/>
      <c r="F2346" s="19"/>
    </row>
    <row r="2347" ht="15.75" customHeight="1">
      <c r="A2347" s="1">
        <v>5.5721339E7</v>
      </c>
      <c r="B2347" s="2" t="s">
        <v>2163</v>
      </c>
      <c r="C2347" s="19" t="s">
        <v>6885</v>
      </c>
      <c r="D2347" s="19" t="s">
        <v>6886</v>
      </c>
      <c r="E2347" s="2"/>
      <c r="F2347" s="19"/>
    </row>
    <row r="2348" ht="15.75" customHeight="1">
      <c r="A2348" s="1">
        <v>5.5726162E7</v>
      </c>
      <c r="B2348" s="2" t="s">
        <v>2587</v>
      </c>
      <c r="C2348" s="19" t="s">
        <v>6887</v>
      </c>
      <c r="D2348" s="19"/>
      <c r="E2348" s="2"/>
      <c r="F2348" s="19"/>
    </row>
    <row r="2349" ht="15.75" customHeight="1">
      <c r="A2349" s="1">
        <v>5.5726281E7</v>
      </c>
      <c r="B2349" s="2" t="s">
        <v>1655</v>
      </c>
      <c r="C2349" s="19" t="s">
        <v>6888</v>
      </c>
      <c r="D2349" s="19"/>
      <c r="E2349" s="2"/>
      <c r="F2349" s="19"/>
    </row>
    <row r="2350" ht="15.75" customHeight="1">
      <c r="A2350" s="1">
        <v>5.5726611E7</v>
      </c>
      <c r="B2350" s="2" t="s">
        <v>361</v>
      </c>
      <c r="C2350" s="19" t="s">
        <v>6889</v>
      </c>
      <c r="D2350" s="19"/>
      <c r="E2350" s="2"/>
      <c r="F2350" s="19"/>
    </row>
    <row r="2351" ht="15.75" customHeight="1">
      <c r="A2351" s="1">
        <v>5.5729338E7</v>
      </c>
      <c r="B2351" s="2" t="s">
        <v>1268</v>
      </c>
      <c r="C2351" s="19" t="s">
        <v>6890</v>
      </c>
      <c r="D2351" s="19"/>
      <c r="E2351" s="2"/>
      <c r="F2351" s="19"/>
    </row>
    <row r="2352" ht="15.75" customHeight="1">
      <c r="A2352" s="1">
        <v>5.573813E7</v>
      </c>
      <c r="B2352" s="2" t="s">
        <v>2273</v>
      </c>
      <c r="C2352" s="19" t="s">
        <v>6891</v>
      </c>
      <c r="D2352" s="19"/>
      <c r="E2352" s="2"/>
      <c r="F2352" s="19"/>
    </row>
    <row r="2353" ht="15.75" customHeight="1">
      <c r="A2353" s="1">
        <v>5.5740306E7</v>
      </c>
      <c r="B2353" s="2" t="s">
        <v>1976</v>
      </c>
      <c r="C2353" s="19" t="s">
        <v>6892</v>
      </c>
      <c r="D2353" s="19"/>
      <c r="E2353" s="2"/>
      <c r="F2353" s="19"/>
    </row>
    <row r="2354" ht="15.75" customHeight="1">
      <c r="A2354" s="1">
        <v>5.5745397E7</v>
      </c>
      <c r="B2354" s="2" t="s">
        <v>783</v>
      </c>
      <c r="C2354" s="19" t="s">
        <v>6893</v>
      </c>
      <c r="D2354" s="19"/>
      <c r="E2354" s="2"/>
      <c r="F2354" s="19"/>
    </row>
    <row r="2355" ht="15.75" customHeight="1">
      <c r="A2355" s="1">
        <v>5.5748694E7</v>
      </c>
      <c r="B2355" s="2" t="s">
        <v>2255</v>
      </c>
      <c r="C2355" s="19" t="s">
        <v>6894</v>
      </c>
      <c r="D2355" s="19"/>
      <c r="E2355" s="2"/>
      <c r="F2355" s="19"/>
    </row>
    <row r="2356" ht="15.75" customHeight="1">
      <c r="A2356" s="1">
        <v>5.5764425E7</v>
      </c>
      <c r="B2356" s="2" t="s">
        <v>2678</v>
      </c>
      <c r="C2356" s="19" t="s">
        <v>6895</v>
      </c>
      <c r="D2356" s="19"/>
      <c r="E2356" s="2"/>
      <c r="F2356" s="19"/>
    </row>
    <row r="2357" ht="15.75" customHeight="1">
      <c r="A2357" s="1">
        <v>5.577858E7</v>
      </c>
      <c r="B2357" s="2" t="s">
        <v>2438</v>
      </c>
      <c r="C2357" s="19" t="s">
        <v>6896</v>
      </c>
      <c r="D2357" s="19"/>
      <c r="E2357" s="2"/>
      <c r="F2357" s="19"/>
    </row>
    <row r="2358" ht="15.75" customHeight="1">
      <c r="A2358" s="1">
        <v>5.5781743E7</v>
      </c>
      <c r="B2358" s="2" t="s">
        <v>1643</v>
      </c>
      <c r="C2358" s="19" t="s">
        <v>6897</v>
      </c>
      <c r="D2358" s="19"/>
      <c r="E2358" s="2"/>
      <c r="F2358" s="19"/>
    </row>
    <row r="2359" ht="15.75" customHeight="1">
      <c r="A2359" s="1">
        <v>5.5791116E7</v>
      </c>
      <c r="B2359" s="2" t="s">
        <v>1777</v>
      </c>
      <c r="C2359" s="19" t="s">
        <v>6898</v>
      </c>
      <c r="D2359" s="19" t="s">
        <v>6899</v>
      </c>
      <c r="E2359" s="2"/>
      <c r="F2359" s="19"/>
    </row>
    <row r="2360" ht="15.75" customHeight="1">
      <c r="A2360" s="1">
        <v>5.579449E7</v>
      </c>
      <c r="B2360" s="2" t="s">
        <v>910</v>
      </c>
      <c r="C2360" s="19" t="s">
        <v>6900</v>
      </c>
      <c r="D2360" s="19" t="s">
        <v>6901</v>
      </c>
      <c r="E2360" s="2"/>
      <c r="F2360" s="19"/>
    </row>
    <row r="2361" ht="15.75" customHeight="1">
      <c r="A2361" s="1">
        <v>5.579552E7</v>
      </c>
      <c r="B2361" s="2" t="s">
        <v>3499</v>
      </c>
      <c r="C2361" s="19" t="s">
        <v>6902</v>
      </c>
      <c r="D2361" s="19"/>
      <c r="E2361" s="2"/>
      <c r="F2361" s="19"/>
    </row>
    <row r="2362" ht="15.75" customHeight="1">
      <c r="A2362" s="1">
        <v>5.5796166E7</v>
      </c>
      <c r="B2362" s="2" t="s">
        <v>1607</v>
      </c>
      <c r="C2362" s="19" t="s">
        <v>6903</v>
      </c>
      <c r="D2362" s="19"/>
      <c r="E2362" s="2"/>
      <c r="F2362" s="19"/>
    </row>
    <row r="2363" ht="15.75" customHeight="1">
      <c r="A2363" s="1">
        <v>5.580129E7</v>
      </c>
      <c r="B2363" s="2" t="s">
        <v>2103</v>
      </c>
      <c r="C2363" s="19" t="s">
        <v>6904</v>
      </c>
      <c r="D2363" s="19"/>
      <c r="E2363" s="2"/>
      <c r="F2363" s="19"/>
    </row>
    <row r="2364" ht="15.75" customHeight="1">
      <c r="A2364" s="1">
        <v>5.5803032E7</v>
      </c>
      <c r="B2364" s="2" t="s">
        <v>1821</v>
      </c>
      <c r="C2364" s="19" t="s">
        <v>6905</v>
      </c>
      <c r="D2364" s="19" t="s">
        <v>6906</v>
      </c>
      <c r="E2364" s="2"/>
      <c r="F2364" s="19"/>
    </row>
    <row r="2365" ht="15.75" customHeight="1">
      <c r="A2365" s="1">
        <v>5.5805996E7</v>
      </c>
      <c r="B2365" s="2" t="s">
        <v>144</v>
      </c>
      <c r="C2365" s="19" t="s">
        <v>6907</v>
      </c>
      <c r="D2365" s="19"/>
      <c r="E2365" s="2"/>
      <c r="F2365" s="19"/>
    </row>
    <row r="2366" ht="15.75" customHeight="1">
      <c r="A2366" s="1">
        <v>5.5807363E7</v>
      </c>
      <c r="B2366" s="2" t="s">
        <v>2632</v>
      </c>
      <c r="C2366" s="19" t="s">
        <v>6908</v>
      </c>
      <c r="D2366" s="19"/>
      <c r="E2366" s="2"/>
      <c r="F2366" s="19"/>
    </row>
    <row r="2367" ht="15.75" customHeight="1">
      <c r="A2367" s="1">
        <v>5.5827343E7</v>
      </c>
      <c r="B2367" s="2" t="s">
        <v>3194</v>
      </c>
      <c r="C2367" s="19" t="s">
        <v>6909</v>
      </c>
      <c r="D2367" s="19"/>
      <c r="E2367" s="2"/>
      <c r="F2367" s="19"/>
    </row>
    <row r="2368" ht="15.75" customHeight="1">
      <c r="A2368" s="1">
        <v>5.5832224E7</v>
      </c>
      <c r="B2368" s="2" t="s">
        <v>2323</v>
      </c>
      <c r="C2368" s="19" t="s">
        <v>6910</v>
      </c>
      <c r="D2368" s="19"/>
      <c r="E2368" s="2"/>
      <c r="F2368" s="19"/>
    </row>
    <row r="2369" ht="15.75" customHeight="1">
      <c r="A2369" s="1">
        <v>5.5835107E7</v>
      </c>
      <c r="B2369" s="2" t="s">
        <v>1895</v>
      </c>
      <c r="C2369" s="19" t="s">
        <v>6911</v>
      </c>
      <c r="D2369" s="19" t="s">
        <v>6912</v>
      </c>
      <c r="E2369" s="2"/>
      <c r="F2369" s="19"/>
    </row>
    <row r="2370" ht="15.75" customHeight="1">
      <c r="A2370" s="1">
        <v>5.583564E7</v>
      </c>
      <c r="B2370" s="2" t="s">
        <v>774</v>
      </c>
      <c r="C2370" s="19" t="s">
        <v>6913</v>
      </c>
      <c r="D2370" s="19" t="s">
        <v>6914</v>
      </c>
      <c r="E2370" s="2"/>
      <c r="F2370" s="19"/>
    </row>
    <row r="2371" ht="15.75" customHeight="1">
      <c r="A2371" s="1">
        <v>5.5847405E7</v>
      </c>
      <c r="B2371" s="2" t="s">
        <v>1881</v>
      </c>
      <c r="C2371" s="19" t="s">
        <v>6915</v>
      </c>
      <c r="D2371" s="19"/>
      <c r="E2371" s="2"/>
      <c r="F2371" s="19"/>
    </row>
    <row r="2372" ht="15.75" customHeight="1">
      <c r="A2372" s="1">
        <v>5.5851306E7</v>
      </c>
      <c r="B2372" s="2" t="s">
        <v>1217</v>
      </c>
      <c r="C2372" s="19" t="s">
        <v>6916</v>
      </c>
      <c r="D2372" s="19"/>
      <c r="E2372" s="2"/>
      <c r="F2372" s="19"/>
    </row>
    <row r="2373" ht="15.75" customHeight="1">
      <c r="A2373" s="1">
        <v>5.5853297E7</v>
      </c>
      <c r="B2373" s="2" t="s">
        <v>1700</v>
      </c>
      <c r="C2373" s="19" t="s">
        <v>6917</v>
      </c>
      <c r="D2373" s="19"/>
      <c r="E2373" s="2"/>
      <c r="F2373" s="19"/>
    </row>
    <row r="2374" ht="15.75" customHeight="1">
      <c r="A2374" s="1">
        <v>5.5853588E7</v>
      </c>
      <c r="B2374" s="2" t="s">
        <v>610</v>
      </c>
      <c r="C2374" s="19" t="s">
        <v>6918</v>
      </c>
      <c r="D2374" s="19"/>
      <c r="E2374" s="2"/>
      <c r="F2374" s="19"/>
    </row>
    <row r="2375" ht="15.75" customHeight="1">
      <c r="A2375" s="1">
        <v>5.5864354E7</v>
      </c>
      <c r="B2375" s="2" t="s">
        <v>2114</v>
      </c>
      <c r="C2375" s="19" t="s">
        <v>6919</v>
      </c>
      <c r="D2375" s="19" t="s">
        <v>6920</v>
      </c>
      <c r="E2375" s="2"/>
      <c r="F2375" s="19"/>
    </row>
    <row r="2376" ht="15.75" customHeight="1">
      <c r="A2376" s="1">
        <v>5.5866393E7</v>
      </c>
      <c r="B2376" s="2" t="s">
        <v>1707</v>
      </c>
      <c r="C2376" s="19" t="s">
        <v>6921</v>
      </c>
      <c r="D2376" s="19" t="s">
        <v>6922</v>
      </c>
      <c r="E2376" s="2"/>
      <c r="F2376" s="19"/>
    </row>
    <row r="2377" ht="15.75" customHeight="1">
      <c r="A2377" s="1">
        <v>5.5866962E7</v>
      </c>
      <c r="B2377" s="2" t="s">
        <v>2979</v>
      </c>
      <c r="C2377" s="19" t="s">
        <v>6923</v>
      </c>
      <c r="D2377" s="19"/>
      <c r="E2377" s="2"/>
      <c r="F2377" s="19"/>
    </row>
    <row r="2378" ht="15.75" customHeight="1">
      <c r="A2378" s="1">
        <v>5.5868931E7</v>
      </c>
      <c r="B2378" s="2" t="s">
        <v>969</v>
      </c>
      <c r="C2378" s="19" t="s">
        <v>6924</v>
      </c>
      <c r="D2378" s="19" t="s">
        <v>6925</v>
      </c>
      <c r="E2378" s="2"/>
      <c r="F2378" s="19"/>
    </row>
    <row r="2379" ht="15.75" customHeight="1">
      <c r="A2379" s="1">
        <v>5.5870883E7</v>
      </c>
      <c r="B2379" s="2" t="s">
        <v>2109</v>
      </c>
      <c r="C2379" s="19" t="s">
        <v>6926</v>
      </c>
      <c r="D2379" s="19" t="s">
        <v>6927</v>
      </c>
      <c r="E2379" s="2"/>
      <c r="F2379" s="19"/>
    </row>
    <row r="2380" ht="15.75" customHeight="1">
      <c r="A2380" s="1">
        <v>5.5873748E7</v>
      </c>
      <c r="B2380" s="2" t="s">
        <v>996</v>
      </c>
      <c r="C2380" s="19" t="s">
        <v>6928</v>
      </c>
      <c r="D2380" s="19" t="s">
        <v>6929</v>
      </c>
      <c r="E2380" s="2"/>
      <c r="F2380" s="19"/>
    </row>
    <row r="2381" ht="15.75" customHeight="1">
      <c r="A2381" s="1">
        <v>5.587549E7</v>
      </c>
      <c r="B2381" s="2" t="s">
        <v>2188</v>
      </c>
      <c r="C2381" s="19" t="s">
        <v>6930</v>
      </c>
      <c r="D2381" s="19"/>
      <c r="E2381" s="2"/>
      <c r="F2381" s="19"/>
    </row>
    <row r="2382" ht="15.75" customHeight="1">
      <c r="A2382" s="1">
        <v>5.5881794E7</v>
      </c>
      <c r="B2382" s="2" t="s">
        <v>2171</v>
      </c>
      <c r="C2382" s="19" t="s">
        <v>6931</v>
      </c>
      <c r="D2382" s="19"/>
      <c r="E2382" s="2"/>
      <c r="F2382" s="19"/>
    </row>
    <row r="2383" ht="15.75" customHeight="1">
      <c r="A2383" s="1">
        <v>5.5882359E7</v>
      </c>
      <c r="B2383" s="2" t="s">
        <v>1982</v>
      </c>
      <c r="C2383" s="19" t="s">
        <v>6932</v>
      </c>
      <c r="D2383" s="19"/>
      <c r="E2383" s="2"/>
      <c r="F2383" s="19"/>
    </row>
    <row r="2384" ht="15.75" customHeight="1">
      <c r="A2384" s="1">
        <v>5.58962E7</v>
      </c>
      <c r="B2384" s="2" t="s">
        <v>3040</v>
      </c>
      <c r="C2384" s="19" t="s">
        <v>6933</v>
      </c>
      <c r="D2384" s="19" t="s">
        <v>6934</v>
      </c>
      <c r="E2384" s="2"/>
      <c r="F2384" s="19"/>
    </row>
    <row r="2385" ht="15.75" customHeight="1">
      <c r="A2385" s="1">
        <v>5.5905651E7</v>
      </c>
      <c r="B2385" s="2" t="s">
        <v>907</v>
      </c>
      <c r="C2385" s="19" t="s">
        <v>6935</v>
      </c>
      <c r="D2385" s="19" t="s">
        <v>6936</v>
      </c>
      <c r="E2385" s="2"/>
      <c r="F2385" s="19"/>
    </row>
    <row r="2386" ht="15.75" customHeight="1">
      <c r="A2386" s="1">
        <v>5.5929236E7</v>
      </c>
      <c r="B2386" s="2" t="s">
        <v>1748</v>
      </c>
      <c r="C2386" s="19" t="s">
        <v>6937</v>
      </c>
      <c r="D2386" s="19" t="s">
        <v>6938</v>
      </c>
      <c r="E2386" s="2"/>
      <c r="F2386" s="19"/>
    </row>
    <row r="2387" ht="15.75" customHeight="1">
      <c r="A2387" s="1">
        <v>5.5938858E7</v>
      </c>
      <c r="B2387" s="2" t="s">
        <v>2679</v>
      </c>
      <c r="C2387" s="19" t="s">
        <v>6939</v>
      </c>
      <c r="D2387" s="19"/>
      <c r="E2387" s="2"/>
      <c r="F2387" s="19"/>
    </row>
    <row r="2388" ht="15.75" customHeight="1">
      <c r="A2388" s="1">
        <v>5.5945647E7</v>
      </c>
      <c r="B2388" s="2" t="s">
        <v>2274</v>
      </c>
      <c r="C2388" s="19" t="s">
        <v>6940</v>
      </c>
      <c r="D2388" s="19"/>
      <c r="E2388" s="2"/>
      <c r="F2388" s="19"/>
    </row>
    <row r="2389" ht="15.75" customHeight="1">
      <c r="A2389" s="1">
        <v>5.5958319E7</v>
      </c>
      <c r="B2389" s="2" t="s">
        <v>2576</v>
      </c>
      <c r="C2389" s="19" t="s">
        <v>6941</v>
      </c>
      <c r="D2389" s="19"/>
      <c r="E2389" s="2"/>
      <c r="F2389" s="19"/>
    </row>
    <row r="2390" ht="15.75" customHeight="1">
      <c r="A2390" s="1">
        <v>5.5967992E7</v>
      </c>
      <c r="B2390" s="2" t="s">
        <v>1407</v>
      </c>
      <c r="C2390" s="19" t="s">
        <v>6942</v>
      </c>
      <c r="D2390" s="19"/>
      <c r="E2390" s="2"/>
      <c r="F2390" s="19"/>
    </row>
    <row r="2391" ht="15.75" customHeight="1">
      <c r="A2391" s="1">
        <v>5.5971394E7</v>
      </c>
      <c r="B2391" s="2" t="s">
        <v>1915</v>
      </c>
      <c r="C2391" s="19" t="s">
        <v>6943</v>
      </c>
      <c r="D2391" s="19"/>
      <c r="E2391" s="2"/>
      <c r="F2391" s="19"/>
    </row>
    <row r="2392" ht="15.75" customHeight="1">
      <c r="A2392" s="1">
        <v>5.5991295E7</v>
      </c>
      <c r="B2392" s="2" t="s">
        <v>1876</v>
      </c>
      <c r="C2392" s="19" t="s">
        <v>6944</v>
      </c>
      <c r="D2392" s="19"/>
      <c r="E2392" s="2"/>
      <c r="F2392" s="19"/>
    </row>
    <row r="2393" ht="15.75" customHeight="1">
      <c r="A2393" s="1">
        <v>5.5999786E7</v>
      </c>
      <c r="B2393" s="2" t="s">
        <v>1864</v>
      </c>
      <c r="C2393" s="19" t="s">
        <v>6945</v>
      </c>
      <c r="D2393" s="19"/>
      <c r="E2393" s="2"/>
      <c r="F2393" s="19"/>
    </row>
    <row r="2394" ht="15.75" customHeight="1">
      <c r="A2394" s="1">
        <v>5.6001929E7</v>
      </c>
      <c r="B2394" s="2" t="s">
        <v>2862</v>
      </c>
      <c r="C2394" s="19" t="s">
        <v>6946</v>
      </c>
      <c r="D2394" s="19"/>
      <c r="E2394" s="2"/>
      <c r="F2394" s="19"/>
    </row>
    <row r="2395" ht="15.75" customHeight="1">
      <c r="A2395" s="1">
        <v>5.600219E7</v>
      </c>
      <c r="B2395" s="2" t="s">
        <v>3066</v>
      </c>
      <c r="C2395" s="19" t="s">
        <v>6947</v>
      </c>
      <c r="D2395" s="19"/>
      <c r="E2395" s="2"/>
      <c r="F2395" s="19"/>
    </row>
    <row r="2396" ht="15.75" customHeight="1">
      <c r="A2396" s="1">
        <v>5.6006287E7</v>
      </c>
      <c r="B2396" s="2" t="s">
        <v>2806</v>
      </c>
      <c r="C2396" s="19" t="s">
        <v>6948</v>
      </c>
      <c r="D2396" s="19"/>
      <c r="E2396" s="2"/>
      <c r="F2396" s="19"/>
    </row>
    <row r="2397" ht="15.75" customHeight="1">
      <c r="A2397" s="1">
        <v>5.6006399E7</v>
      </c>
      <c r="B2397" s="2" t="s">
        <v>2295</v>
      </c>
      <c r="C2397" s="19" t="s">
        <v>6949</v>
      </c>
      <c r="D2397" s="19"/>
      <c r="E2397" s="2"/>
      <c r="F2397" s="19"/>
    </row>
    <row r="2398" ht="15.75" customHeight="1">
      <c r="A2398" s="1">
        <v>5.600728E7</v>
      </c>
      <c r="B2398" s="2" t="s">
        <v>2633</v>
      </c>
      <c r="C2398" s="19" t="s">
        <v>6950</v>
      </c>
      <c r="D2398" s="19"/>
      <c r="E2398" s="2"/>
      <c r="F2398" s="19"/>
    </row>
    <row r="2399" ht="15.75" customHeight="1">
      <c r="A2399" s="1">
        <v>5.601351E7</v>
      </c>
      <c r="B2399" s="2" t="s">
        <v>2080</v>
      </c>
      <c r="C2399" s="19" t="s">
        <v>6951</v>
      </c>
      <c r="D2399" s="19"/>
      <c r="E2399" s="2"/>
      <c r="F2399" s="19"/>
    </row>
    <row r="2400" ht="15.75" customHeight="1">
      <c r="A2400" s="1">
        <v>5.6024475E7</v>
      </c>
      <c r="B2400" s="2" t="s">
        <v>1517</v>
      </c>
      <c r="C2400" s="19" t="s">
        <v>6952</v>
      </c>
      <c r="D2400" s="19" t="s">
        <v>6953</v>
      </c>
      <c r="E2400" s="2"/>
      <c r="F2400" s="19"/>
    </row>
    <row r="2401" ht="15.75" customHeight="1">
      <c r="A2401" s="1">
        <v>5.602478E7</v>
      </c>
      <c r="B2401" s="2" t="s">
        <v>2284</v>
      </c>
      <c r="C2401" s="19" t="s">
        <v>6954</v>
      </c>
      <c r="D2401" s="19"/>
      <c r="E2401" s="2"/>
      <c r="F2401" s="19"/>
    </row>
    <row r="2402" ht="15.75" customHeight="1">
      <c r="A2402" s="1">
        <v>5.602891E7</v>
      </c>
      <c r="B2402" s="2" t="s">
        <v>158</v>
      </c>
      <c r="C2402" s="19" t="s">
        <v>6955</v>
      </c>
      <c r="D2402" s="19"/>
      <c r="E2402" s="2"/>
      <c r="F2402" s="19"/>
    </row>
    <row r="2403" ht="15.75" customHeight="1">
      <c r="A2403" s="1">
        <v>5.6033799E7</v>
      </c>
      <c r="B2403" s="2" t="s">
        <v>2948</v>
      </c>
      <c r="C2403" s="19" t="s">
        <v>6956</v>
      </c>
      <c r="D2403" s="19" t="s">
        <v>6957</v>
      </c>
      <c r="E2403" s="2"/>
      <c r="F2403" s="19"/>
    </row>
    <row r="2404" ht="15.75" customHeight="1">
      <c r="A2404" s="1">
        <v>5.6042376E7</v>
      </c>
      <c r="B2404" s="2" t="s">
        <v>1644</v>
      </c>
      <c r="C2404" s="19" t="s">
        <v>6958</v>
      </c>
      <c r="D2404" s="19"/>
      <c r="E2404" s="2"/>
      <c r="F2404" s="19"/>
    </row>
    <row r="2405" ht="15.75" customHeight="1">
      <c r="A2405" s="1">
        <v>5.6043124E7</v>
      </c>
      <c r="B2405" s="2" t="s">
        <v>2933</v>
      </c>
      <c r="C2405" s="19" t="s">
        <v>6959</v>
      </c>
      <c r="D2405" s="19" t="s">
        <v>6960</v>
      </c>
      <c r="E2405" s="2"/>
      <c r="F2405" s="19"/>
    </row>
    <row r="2406" ht="15.75" customHeight="1">
      <c r="A2406" s="1">
        <v>5.6055688E7</v>
      </c>
      <c r="B2406" s="2" t="s">
        <v>1957</v>
      </c>
      <c r="C2406" s="19" t="s">
        <v>6961</v>
      </c>
      <c r="D2406" s="19"/>
      <c r="E2406" s="2"/>
      <c r="F2406" s="19"/>
    </row>
    <row r="2407" ht="15.75" customHeight="1">
      <c r="A2407" s="1">
        <v>5.6065738E7</v>
      </c>
      <c r="B2407" s="2" t="s">
        <v>2497</v>
      </c>
      <c r="C2407" s="19" t="s">
        <v>6962</v>
      </c>
      <c r="D2407" s="19" t="s">
        <v>6963</v>
      </c>
      <c r="E2407" s="2"/>
      <c r="F2407" s="19"/>
    </row>
    <row r="2408" ht="15.75" customHeight="1">
      <c r="A2408" s="1">
        <v>5.6069823E7</v>
      </c>
      <c r="B2408" s="2" t="s">
        <v>2847</v>
      </c>
      <c r="C2408" s="19" t="s">
        <v>6964</v>
      </c>
      <c r="D2408" s="19"/>
      <c r="E2408" s="2"/>
      <c r="F2408" s="19"/>
    </row>
    <row r="2409" ht="15.75" customHeight="1">
      <c r="A2409" s="1">
        <v>5.6072556E7</v>
      </c>
      <c r="B2409" s="2" t="s">
        <v>1527</v>
      </c>
      <c r="C2409" s="19" t="s">
        <v>6965</v>
      </c>
      <c r="D2409" s="19" t="s">
        <v>6966</v>
      </c>
      <c r="E2409" s="2"/>
      <c r="F2409" s="19"/>
    </row>
    <row r="2410" ht="15.75" customHeight="1">
      <c r="A2410" s="1">
        <v>5.6074106E7</v>
      </c>
      <c r="B2410" s="2" t="s">
        <v>2848</v>
      </c>
      <c r="C2410" s="19" t="s">
        <v>6967</v>
      </c>
      <c r="D2410" s="19"/>
      <c r="E2410" s="2"/>
      <c r="F2410" s="19"/>
    </row>
    <row r="2411" ht="15.75" customHeight="1">
      <c r="A2411" s="1">
        <v>5.6078834E7</v>
      </c>
      <c r="B2411" s="2" t="s">
        <v>2549</v>
      </c>
      <c r="C2411" s="19" t="s">
        <v>6968</v>
      </c>
      <c r="D2411" s="19" t="s">
        <v>6969</v>
      </c>
      <c r="E2411" s="2"/>
      <c r="F2411" s="19"/>
    </row>
    <row r="2412" ht="15.75" customHeight="1">
      <c r="A2412" s="1">
        <v>5.6080699E7</v>
      </c>
      <c r="B2412" s="2" t="s">
        <v>731</v>
      </c>
      <c r="C2412" s="19" t="s">
        <v>6970</v>
      </c>
      <c r="D2412" s="19"/>
      <c r="E2412" s="2"/>
      <c r="F2412" s="19"/>
    </row>
    <row r="2413" ht="15.75" customHeight="1">
      <c r="A2413" s="1">
        <v>5.6084123E7</v>
      </c>
      <c r="B2413" s="2" t="s">
        <v>3433</v>
      </c>
      <c r="C2413" s="19" t="s">
        <v>6971</v>
      </c>
      <c r="D2413" s="19" t="s">
        <v>6972</v>
      </c>
      <c r="E2413" s="2"/>
      <c r="F2413" s="19"/>
    </row>
    <row r="2414" ht="15.75" customHeight="1">
      <c r="A2414" s="1">
        <v>5.6104228E7</v>
      </c>
      <c r="B2414" s="2" t="s">
        <v>2245</v>
      </c>
      <c r="C2414" s="19" t="s">
        <v>6973</v>
      </c>
      <c r="D2414" s="19"/>
      <c r="E2414" s="2"/>
      <c r="F2414" s="19"/>
    </row>
    <row r="2415" ht="15.75" customHeight="1">
      <c r="A2415" s="1">
        <v>5.6111559E7</v>
      </c>
      <c r="B2415" s="2" t="s">
        <v>2849</v>
      </c>
      <c r="C2415" s="19" t="s">
        <v>6974</v>
      </c>
      <c r="D2415" s="19"/>
      <c r="E2415" s="2"/>
      <c r="F2415" s="19"/>
    </row>
    <row r="2416" ht="15.75" customHeight="1">
      <c r="A2416" s="1">
        <v>5.6116677E7</v>
      </c>
      <c r="B2416" s="2" t="s">
        <v>2783</v>
      </c>
      <c r="C2416" s="19" t="s">
        <v>6975</v>
      </c>
      <c r="D2416" s="19"/>
      <c r="E2416" s="2"/>
      <c r="F2416" s="19"/>
    </row>
    <row r="2417" ht="15.75" customHeight="1">
      <c r="A2417" s="1">
        <v>5.611808E7</v>
      </c>
      <c r="B2417" s="2" t="s">
        <v>347</v>
      </c>
      <c r="C2417" s="19" t="s">
        <v>6976</v>
      </c>
      <c r="D2417" s="19" t="s">
        <v>6977</v>
      </c>
      <c r="E2417" s="2"/>
      <c r="F2417" s="19"/>
    </row>
    <row r="2418" ht="15.75" customHeight="1">
      <c r="A2418" s="1">
        <v>5.6119353E7</v>
      </c>
      <c r="B2418" s="2" t="s">
        <v>3010</v>
      </c>
      <c r="C2418" s="19" t="s">
        <v>6978</v>
      </c>
      <c r="D2418" s="19"/>
      <c r="E2418" s="2"/>
      <c r="F2418" s="19"/>
    </row>
    <row r="2419" ht="15.75" customHeight="1">
      <c r="A2419" s="1">
        <v>5.6127535E7</v>
      </c>
      <c r="B2419" s="2" t="s">
        <v>1554</v>
      </c>
      <c r="C2419" s="19" t="s">
        <v>6979</v>
      </c>
      <c r="D2419" s="19"/>
      <c r="E2419" s="2"/>
      <c r="F2419" s="19"/>
    </row>
    <row r="2420" ht="15.75" customHeight="1">
      <c r="A2420" s="1">
        <v>5.6128042E7</v>
      </c>
      <c r="B2420" s="2" t="s">
        <v>2498</v>
      </c>
      <c r="C2420" s="19" t="s">
        <v>6980</v>
      </c>
      <c r="D2420" s="19"/>
      <c r="E2420" s="2"/>
      <c r="F2420" s="19"/>
    </row>
    <row r="2421" ht="15.75" customHeight="1">
      <c r="A2421" s="1">
        <v>5.6130522E7</v>
      </c>
      <c r="B2421" s="2" t="s">
        <v>528</v>
      </c>
      <c r="C2421" s="19" t="s">
        <v>6981</v>
      </c>
      <c r="D2421" s="19"/>
      <c r="E2421" s="2"/>
      <c r="F2421" s="19"/>
    </row>
    <row r="2422" ht="15.75" customHeight="1">
      <c r="A2422" s="1">
        <v>5.6139909E7</v>
      </c>
      <c r="B2422" s="2" t="s">
        <v>2588</v>
      </c>
      <c r="C2422" s="19" t="s">
        <v>6982</v>
      </c>
      <c r="D2422" s="19"/>
      <c r="E2422" s="2"/>
      <c r="F2422" s="19"/>
    </row>
    <row r="2423" ht="15.75" customHeight="1">
      <c r="A2423" s="1">
        <v>5.6140676E7</v>
      </c>
      <c r="B2423" s="2" t="s">
        <v>1466</v>
      </c>
      <c r="C2423" s="19" t="s">
        <v>6983</v>
      </c>
      <c r="D2423" s="19" t="s">
        <v>6984</v>
      </c>
      <c r="E2423" s="2"/>
      <c r="F2423" s="19"/>
    </row>
    <row r="2424" ht="15.75" customHeight="1">
      <c r="A2424" s="1">
        <v>5.6148445E7</v>
      </c>
      <c r="B2424" s="2" t="s">
        <v>1796</v>
      </c>
      <c r="C2424" s="19" t="s">
        <v>6985</v>
      </c>
      <c r="D2424" s="19" t="s">
        <v>6986</v>
      </c>
      <c r="E2424" s="2"/>
      <c r="F2424" s="19"/>
    </row>
    <row r="2425" ht="15.75" customHeight="1">
      <c r="A2425" s="1">
        <v>5.6154215E7</v>
      </c>
      <c r="B2425" s="2" t="s">
        <v>844</v>
      </c>
      <c r="C2425" s="19" t="s">
        <v>6987</v>
      </c>
      <c r="D2425" s="19" t="s">
        <v>6988</v>
      </c>
      <c r="E2425" s="2"/>
      <c r="F2425" s="19"/>
    </row>
    <row r="2426" ht="15.75" customHeight="1">
      <c r="A2426" s="1">
        <v>5.6154406E7</v>
      </c>
      <c r="B2426" s="2" t="s">
        <v>687</v>
      </c>
      <c r="C2426" s="19" t="s">
        <v>6989</v>
      </c>
      <c r="D2426" s="19"/>
      <c r="E2426" s="2"/>
      <c r="F2426" s="19"/>
    </row>
    <row r="2427" ht="15.75" customHeight="1">
      <c r="A2427" s="1">
        <v>5.6159484E7</v>
      </c>
      <c r="B2427" s="2" t="s">
        <v>2230</v>
      </c>
      <c r="C2427" s="19" t="s">
        <v>6990</v>
      </c>
      <c r="D2427" s="19"/>
      <c r="E2427" s="2"/>
      <c r="F2427" s="19"/>
    </row>
    <row r="2428" ht="15.75" customHeight="1">
      <c r="A2428" s="1">
        <v>5.6159595E7</v>
      </c>
      <c r="B2428" s="2" t="s">
        <v>349</v>
      </c>
      <c r="C2428" s="19" t="s">
        <v>6991</v>
      </c>
      <c r="D2428" s="19" t="s">
        <v>6992</v>
      </c>
      <c r="E2428" s="2"/>
      <c r="F2428" s="19"/>
    </row>
    <row r="2429" ht="15.75" customHeight="1">
      <c r="A2429" s="1">
        <v>5.6162698E7</v>
      </c>
      <c r="B2429" s="2" t="s">
        <v>1919</v>
      </c>
      <c r="C2429" s="19" t="s">
        <v>6993</v>
      </c>
      <c r="D2429" s="19"/>
      <c r="E2429" s="2"/>
      <c r="F2429" s="19"/>
    </row>
    <row r="2430" ht="15.75" customHeight="1">
      <c r="A2430" s="1">
        <v>5.6164428E7</v>
      </c>
      <c r="B2430" s="2" t="s">
        <v>2513</v>
      </c>
      <c r="C2430" s="19" t="s">
        <v>6994</v>
      </c>
      <c r="D2430" s="19" t="s">
        <v>6995</v>
      </c>
      <c r="E2430" s="2"/>
      <c r="F2430" s="19"/>
    </row>
    <row r="2431" ht="15.75" customHeight="1">
      <c r="A2431" s="1">
        <v>5.6165773E7</v>
      </c>
      <c r="B2431" s="2" t="s">
        <v>792</v>
      </c>
      <c r="C2431" s="19" t="s">
        <v>6996</v>
      </c>
      <c r="D2431" s="19"/>
      <c r="E2431" s="2"/>
      <c r="F2431" s="19"/>
    </row>
    <row r="2432" ht="15.75" customHeight="1">
      <c r="A2432" s="1">
        <v>5.6166973E7</v>
      </c>
      <c r="B2432" s="2" t="s">
        <v>322</v>
      </c>
      <c r="C2432" s="19" t="s">
        <v>6997</v>
      </c>
      <c r="D2432" s="19" t="s">
        <v>6998</v>
      </c>
      <c r="E2432" s="2"/>
      <c r="F2432" s="19"/>
    </row>
    <row r="2433" ht="15.75" customHeight="1">
      <c r="A2433" s="1">
        <v>5.6177386E7</v>
      </c>
      <c r="B2433" s="2" t="s">
        <v>2534</v>
      </c>
      <c r="C2433" s="19" t="s">
        <v>6999</v>
      </c>
      <c r="D2433" s="19"/>
      <c r="E2433" s="2"/>
      <c r="F2433" s="19"/>
    </row>
    <row r="2434" ht="15.75" customHeight="1">
      <c r="A2434" s="1">
        <v>5.617858E7</v>
      </c>
      <c r="B2434" s="2" t="s">
        <v>2457</v>
      </c>
      <c r="C2434" s="19" t="s">
        <v>7000</v>
      </c>
      <c r="D2434" s="19"/>
      <c r="E2434" s="2"/>
      <c r="F2434" s="19"/>
    </row>
    <row r="2435" ht="15.75" customHeight="1">
      <c r="A2435" s="1">
        <v>5.618034E7</v>
      </c>
      <c r="B2435" s="2" t="s">
        <v>2660</v>
      </c>
      <c r="C2435" s="19" t="s">
        <v>7001</v>
      </c>
      <c r="D2435" s="19"/>
      <c r="E2435" s="2"/>
      <c r="F2435" s="19"/>
    </row>
    <row r="2436" ht="15.75" customHeight="1">
      <c r="A2436" s="1">
        <v>5.6183981E7</v>
      </c>
      <c r="B2436" s="2" t="s">
        <v>310</v>
      </c>
      <c r="C2436" s="19" t="s">
        <v>7002</v>
      </c>
      <c r="D2436" s="19" t="s">
        <v>7003</v>
      </c>
      <c r="E2436" s="2"/>
      <c r="F2436" s="19"/>
    </row>
    <row r="2437" ht="15.75" customHeight="1">
      <c r="A2437" s="1">
        <v>5.6190648E7</v>
      </c>
      <c r="B2437" s="2" t="s">
        <v>371</v>
      </c>
      <c r="C2437" s="19" t="s">
        <v>7004</v>
      </c>
      <c r="D2437" s="19"/>
      <c r="E2437" s="2"/>
      <c r="F2437" s="19"/>
    </row>
    <row r="2438" ht="15.75" customHeight="1">
      <c r="A2438" s="1">
        <v>5.6205989E7</v>
      </c>
      <c r="B2438" s="2" t="s">
        <v>2762</v>
      </c>
      <c r="C2438" s="19" t="s">
        <v>7005</v>
      </c>
      <c r="D2438" s="19"/>
      <c r="E2438" s="2"/>
      <c r="F2438" s="19"/>
    </row>
    <row r="2439" ht="15.75" customHeight="1">
      <c r="A2439" s="1">
        <v>5.6213578E7</v>
      </c>
      <c r="B2439" s="2" t="s">
        <v>2898</v>
      </c>
      <c r="C2439" s="19" t="s">
        <v>7006</v>
      </c>
      <c r="D2439" s="19"/>
      <c r="E2439" s="2"/>
      <c r="F2439" s="19"/>
    </row>
    <row r="2440" ht="15.75" customHeight="1">
      <c r="A2440" s="1">
        <v>5.6215583E7</v>
      </c>
      <c r="B2440" s="2" t="s">
        <v>1084</v>
      </c>
      <c r="C2440" s="19" t="s">
        <v>7007</v>
      </c>
      <c r="D2440" s="19"/>
      <c r="E2440" s="2"/>
      <c r="F2440" s="19"/>
    </row>
    <row r="2441" ht="15.75" customHeight="1">
      <c r="A2441" s="1">
        <v>5.6227348E7</v>
      </c>
      <c r="B2441" s="2" t="s">
        <v>2180</v>
      </c>
      <c r="C2441" s="19" t="s">
        <v>7008</v>
      </c>
      <c r="D2441" s="19" t="s">
        <v>7009</v>
      </c>
      <c r="E2441" s="2"/>
      <c r="F2441" s="19"/>
    </row>
    <row r="2442" ht="15.75" customHeight="1">
      <c r="A2442" s="1">
        <v>5.6227556E7</v>
      </c>
      <c r="B2442" s="2" t="s">
        <v>2491</v>
      </c>
      <c r="C2442" s="19" t="s">
        <v>7010</v>
      </c>
      <c r="D2442" s="19"/>
      <c r="E2442" s="2"/>
      <c r="F2442" s="19"/>
    </row>
    <row r="2443" ht="15.75" customHeight="1">
      <c r="A2443" s="1">
        <v>5.6228164E7</v>
      </c>
      <c r="B2443" s="2" t="s">
        <v>1873</v>
      </c>
      <c r="C2443" s="19" t="s">
        <v>7011</v>
      </c>
      <c r="D2443" s="19"/>
      <c r="E2443" s="2"/>
      <c r="F2443" s="19"/>
    </row>
    <row r="2444" ht="15.75" customHeight="1">
      <c r="A2444" s="1">
        <v>5.6229332E7</v>
      </c>
      <c r="B2444" s="2" t="s">
        <v>634</v>
      </c>
      <c r="C2444" s="19" t="s">
        <v>7012</v>
      </c>
      <c r="D2444" s="19" t="s">
        <v>7013</v>
      </c>
      <c r="E2444" s="2"/>
      <c r="F2444" s="19"/>
    </row>
    <row r="2445" ht="15.75" customHeight="1">
      <c r="A2445" s="1">
        <v>5.623551E7</v>
      </c>
      <c r="B2445" s="2" t="s">
        <v>1531</v>
      </c>
      <c r="C2445" s="19" t="s">
        <v>7014</v>
      </c>
      <c r="D2445" s="19"/>
      <c r="E2445" s="2"/>
      <c r="F2445" s="19"/>
    </row>
    <row r="2446" ht="15.75" customHeight="1">
      <c r="A2446" s="1">
        <v>5.6239055E7</v>
      </c>
      <c r="B2446" s="2" t="s">
        <v>2314</v>
      </c>
      <c r="C2446" s="19" t="s">
        <v>7015</v>
      </c>
      <c r="D2446" s="19"/>
      <c r="E2446" s="2"/>
      <c r="F2446" s="19"/>
    </row>
    <row r="2447" ht="15.75" customHeight="1">
      <c r="A2447" s="1">
        <v>5.6243818E7</v>
      </c>
      <c r="B2447" s="2" t="s">
        <v>1874</v>
      </c>
      <c r="C2447" s="19" t="s">
        <v>7016</v>
      </c>
      <c r="D2447" s="19"/>
      <c r="E2447" s="2"/>
      <c r="F2447" s="19"/>
    </row>
    <row r="2448" ht="15.75" customHeight="1">
      <c r="A2448" s="1">
        <v>5.6257533E7</v>
      </c>
      <c r="B2448" s="2" t="s">
        <v>2990</v>
      </c>
      <c r="C2448" s="19" t="s">
        <v>7017</v>
      </c>
      <c r="D2448" s="19" t="s">
        <v>7018</v>
      </c>
      <c r="E2448" s="2"/>
      <c r="F2448" s="19"/>
    </row>
    <row r="2449" ht="15.75" customHeight="1">
      <c r="A2449" s="1">
        <v>5.6264042E7</v>
      </c>
      <c r="B2449" s="2" t="s">
        <v>2296</v>
      </c>
      <c r="C2449" s="19" t="s">
        <v>7019</v>
      </c>
      <c r="D2449" s="19"/>
      <c r="E2449" s="2"/>
      <c r="F2449" s="19"/>
    </row>
    <row r="2450" ht="15.75" customHeight="1">
      <c r="A2450" s="1">
        <v>5.6264549E7</v>
      </c>
      <c r="B2450" s="2" t="s">
        <v>1896</v>
      </c>
      <c r="C2450" s="19" t="s">
        <v>7020</v>
      </c>
      <c r="D2450" s="19"/>
      <c r="E2450" s="2"/>
      <c r="F2450" s="19"/>
    </row>
    <row r="2451" ht="15.75" customHeight="1">
      <c r="A2451" s="1">
        <v>5.6271708E7</v>
      </c>
      <c r="B2451" s="2" t="s">
        <v>2275</v>
      </c>
      <c r="C2451" s="19" t="s">
        <v>7021</v>
      </c>
      <c r="D2451" s="19" t="s">
        <v>7022</v>
      </c>
      <c r="E2451" s="2"/>
      <c r="F2451" s="19"/>
    </row>
    <row r="2452" ht="15.75" customHeight="1">
      <c r="A2452" s="1">
        <v>5.6276882E7</v>
      </c>
      <c r="B2452" s="2" t="s">
        <v>1891</v>
      </c>
      <c r="C2452" s="19" t="s">
        <v>7023</v>
      </c>
      <c r="D2452" s="19"/>
      <c r="E2452" s="2"/>
      <c r="F2452" s="19"/>
    </row>
    <row r="2453" ht="15.75" customHeight="1">
      <c r="A2453" s="1">
        <v>5.6280365E7</v>
      </c>
      <c r="B2453" s="2" t="s">
        <v>2680</v>
      </c>
      <c r="C2453" s="19" t="s">
        <v>7024</v>
      </c>
      <c r="D2453" s="19" t="s">
        <v>7025</v>
      </c>
      <c r="E2453" s="2"/>
      <c r="F2453" s="19"/>
    </row>
    <row r="2454" ht="15.75" customHeight="1">
      <c r="A2454" s="1">
        <v>5.6284033E7</v>
      </c>
      <c r="B2454" s="2" t="s">
        <v>863</v>
      </c>
      <c r="C2454" s="19" t="s">
        <v>7026</v>
      </c>
      <c r="D2454" s="19"/>
      <c r="E2454" s="2"/>
      <c r="F2454" s="19"/>
    </row>
    <row r="2455" ht="15.75" customHeight="1">
      <c r="A2455" s="1">
        <v>5.6284148E7</v>
      </c>
      <c r="B2455" s="2" t="s">
        <v>2605</v>
      </c>
      <c r="C2455" s="19" t="s">
        <v>7027</v>
      </c>
      <c r="D2455" s="19"/>
      <c r="E2455" s="2"/>
      <c r="F2455" s="19"/>
    </row>
    <row r="2456" ht="15.75" customHeight="1">
      <c r="A2456" s="1">
        <v>5.6295166E7</v>
      </c>
      <c r="B2456" s="2" t="s">
        <v>1784</v>
      </c>
      <c r="C2456" s="19" t="s">
        <v>7028</v>
      </c>
      <c r="D2456" s="19"/>
      <c r="E2456" s="2"/>
      <c r="F2456" s="19"/>
    </row>
    <row r="2457" ht="15.75" customHeight="1">
      <c r="A2457" s="1">
        <v>5.6298441E7</v>
      </c>
      <c r="B2457" s="2" t="s">
        <v>2863</v>
      </c>
      <c r="C2457" s="19" t="s">
        <v>7029</v>
      </c>
      <c r="D2457" s="19"/>
      <c r="E2457" s="2"/>
      <c r="F2457" s="19"/>
    </row>
    <row r="2458" ht="15.75" customHeight="1">
      <c r="A2458" s="1">
        <v>5.629898E7</v>
      </c>
      <c r="B2458" s="2" t="s">
        <v>2966</v>
      </c>
      <c r="C2458" s="19" t="s">
        <v>7030</v>
      </c>
      <c r="D2458" s="19"/>
      <c r="E2458" s="2"/>
      <c r="F2458" s="19"/>
    </row>
    <row r="2459" ht="15.75" customHeight="1">
      <c r="A2459" s="1">
        <v>5.6300833E7</v>
      </c>
      <c r="B2459" s="2" t="s">
        <v>1218</v>
      </c>
      <c r="C2459" s="19" t="s">
        <v>7031</v>
      </c>
      <c r="D2459" s="19"/>
      <c r="E2459" s="2"/>
      <c r="F2459" s="19"/>
    </row>
    <row r="2460" ht="15.75" customHeight="1">
      <c r="A2460" s="1">
        <v>5.6300912E7</v>
      </c>
      <c r="B2460" s="2" t="s">
        <v>1801</v>
      </c>
      <c r="C2460" s="19" t="s">
        <v>7032</v>
      </c>
      <c r="D2460" s="19"/>
      <c r="E2460" s="2"/>
      <c r="F2460" s="19"/>
    </row>
    <row r="2461" ht="15.75" customHeight="1">
      <c r="A2461" s="1">
        <v>5.6305835E7</v>
      </c>
      <c r="B2461" s="2" t="s">
        <v>1754</v>
      </c>
      <c r="C2461" s="19" t="s">
        <v>7033</v>
      </c>
      <c r="D2461" s="19"/>
      <c r="E2461" s="2"/>
      <c r="F2461" s="19"/>
    </row>
    <row r="2462" ht="15.75" customHeight="1">
      <c r="A2462" s="1">
        <v>5.6312879E7</v>
      </c>
      <c r="B2462" s="2" t="s">
        <v>1233</v>
      </c>
      <c r="C2462" s="19" t="s">
        <v>7034</v>
      </c>
      <c r="D2462" s="19"/>
      <c r="E2462" s="2"/>
      <c r="F2462" s="19"/>
    </row>
    <row r="2463" ht="15.75" customHeight="1">
      <c r="A2463" s="1">
        <v>5.6321389E7</v>
      </c>
      <c r="B2463" s="2" t="s">
        <v>1410</v>
      </c>
      <c r="C2463" s="19" t="s">
        <v>7035</v>
      </c>
      <c r="D2463" s="19"/>
      <c r="E2463" s="2"/>
      <c r="F2463" s="19"/>
    </row>
    <row r="2464" ht="15.75" customHeight="1">
      <c r="A2464" s="1">
        <v>5.6336076E7</v>
      </c>
      <c r="B2464" s="2" t="s">
        <v>2205</v>
      </c>
      <c r="C2464" s="19" t="s">
        <v>7036</v>
      </c>
      <c r="D2464" s="19"/>
      <c r="E2464" s="2"/>
      <c r="F2464" s="19"/>
    </row>
    <row r="2465" ht="15.75" customHeight="1">
      <c r="A2465" s="1">
        <v>5.6336917E7</v>
      </c>
      <c r="B2465" s="2" t="s">
        <v>3122</v>
      </c>
      <c r="C2465" s="19" t="s">
        <v>7037</v>
      </c>
      <c r="D2465" s="19"/>
      <c r="E2465" s="2"/>
      <c r="F2465" s="19"/>
    </row>
    <row r="2466" ht="15.75" customHeight="1">
      <c r="A2466" s="1">
        <v>5.6349526E7</v>
      </c>
      <c r="B2466" s="2" t="s">
        <v>2881</v>
      </c>
      <c r="C2466" s="19" t="s">
        <v>7038</v>
      </c>
      <c r="D2466" s="19"/>
      <c r="E2466" s="2"/>
      <c r="F2466" s="19"/>
    </row>
    <row r="2467" ht="15.75" customHeight="1">
      <c r="A2467" s="1">
        <v>5.6355331E7</v>
      </c>
      <c r="B2467" s="2" t="s">
        <v>1153</v>
      </c>
      <c r="C2467" s="19" t="s">
        <v>7039</v>
      </c>
      <c r="D2467" s="19"/>
      <c r="E2467" s="2"/>
      <c r="F2467" s="19"/>
    </row>
    <row r="2468" ht="15.75" customHeight="1">
      <c r="A2468" s="1">
        <v>5.6363028E7</v>
      </c>
      <c r="B2468" s="2" t="s">
        <v>2705</v>
      </c>
      <c r="C2468" s="19" t="s">
        <v>7040</v>
      </c>
      <c r="D2468" s="19"/>
      <c r="E2468" s="2"/>
      <c r="F2468" s="19"/>
    </row>
    <row r="2469" ht="15.75" customHeight="1">
      <c r="A2469" s="1">
        <v>5.6363143E7</v>
      </c>
      <c r="B2469" s="2" t="s">
        <v>2807</v>
      </c>
      <c r="C2469" s="19" t="s">
        <v>7041</v>
      </c>
      <c r="D2469" s="19"/>
      <c r="E2469" s="2"/>
      <c r="F2469" s="19"/>
    </row>
    <row r="2470" ht="15.75" customHeight="1">
      <c r="A2470" s="1">
        <v>5.6366496E7</v>
      </c>
      <c r="B2470" s="2" t="s">
        <v>3067</v>
      </c>
      <c r="C2470" s="19" t="s">
        <v>7042</v>
      </c>
      <c r="D2470" s="19"/>
      <c r="E2470" s="2"/>
      <c r="F2470" s="19"/>
    </row>
    <row r="2471" ht="15.75" customHeight="1">
      <c r="A2471" s="1">
        <v>5.6367478E7</v>
      </c>
      <c r="B2471" s="2" t="s">
        <v>3147</v>
      </c>
      <c r="C2471" s="19" t="s">
        <v>7043</v>
      </c>
      <c r="D2471" s="19"/>
      <c r="E2471" s="2"/>
      <c r="F2471" s="19"/>
    </row>
    <row r="2472" ht="15.75" customHeight="1">
      <c r="A2472" s="1">
        <v>5.637325E7</v>
      </c>
      <c r="B2472" s="2" t="s">
        <v>2142</v>
      </c>
      <c r="C2472" s="19" t="s">
        <v>7044</v>
      </c>
      <c r="D2472" s="19"/>
      <c r="E2472" s="2"/>
      <c r="F2472" s="19"/>
    </row>
    <row r="2473" ht="15.75" customHeight="1">
      <c r="A2473" s="1">
        <v>5.6377658E7</v>
      </c>
      <c r="B2473" s="2" t="s">
        <v>3068</v>
      </c>
      <c r="C2473" s="19" t="s">
        <v>7045</v>
      </c>
      <c r="D2473" s="19"/>
      <c r="E2473" s="2"/>
      <c r="F2473" s="19"/>
    </row>
    <row r="2474" ht="15.75" customHeight="1">
      <c r="A2474" s="1">
        <v>5.6380637E7</v>
      </c>
      <c r="B2474" s="2" t="s">
        <v>711</v>
      </c>
      <c r="C2474" s="19" t="s">
        <v>7046</v>
      </c>
      <c r="D2474" s="19" t="s">
        <v>7047</v>
      </c>
      <c r="E2474" s="2"/>
      <c r="F2474" s="19"/>
    </row>
    <row r="2475" ht="15.75" customHeight="1">
      <c r="A2475" s="1">
        <v>5.6380897E7</v>
      </c>
      <c r="B2475" s="2" t="s">
        <v>2346</v>
      </c>
      <c r="C2475" s="19" t="s">
        <v>7048</v>
      </c>
      <c r="D2475" s="19" t="s">
        <v>7049</v>
      </c>
      <c r="E2475" s="2"/>
      <c r="F2475" s="19"/>
    </row>
    <row r="2476" ht="15.75" customHeight="1">
      <c r="A2476" s="1">
        <v>5.6382577E7</v>
      </c>
      <c r="B2476" s="2" t="s">
        <v>3088</v>
      </c>
      <c r="C2476" s="19" t="s">
        <v>7050</v>
      </c>
      <c r="D2476" s="19"/>
      <c r="E2476" s="2"/>
      <c r="F2476" s="19"/>
    </row>
    <row r="2477" ht="15.75" customHeight="1">
      <c r="A2477" s="1">
        <v>5.6389333E7</v>
      </c>
      <c r="B2477" s="2" t="s">
        <v>1790</v>
      </c>
      <c r="C2477" s="19" t="s">
        <v>7051</v>
      </c>
      <c r="D2477" s="19" t="s">
        <v>7052</v>
      </c>
      <c r="E2477" s="2"/>
      <c r="F2477" s="19"/>
    </row>
    <row r="2478" ht="15.75" customHeight="1">
      <c r="A2478" s="1">
        <v>5.6389977E7</v>
      </c>
      <c r="B2478" s="2" t="s">
        <v>1877</v>
      </c>
      <c r="C2478" s="19" t="s">
        <v>7053</v>
      </c>
      <c r="D2478" s="19"/>
      <c r="E2478" s="2"/>
      <c r="F2478" s="19"/>
    </row>
    <row r="2479" ht="15.75" customHeight="1">
      <c r="A2479" s="1">
        <v>5.639471E7</v>
      </c>
      <c r="B2479" s="2" t="s">
        <v>1848</v>
      </c>
      <c r="C2479" s="19" t="s">
        <v>7054</v>
      </c>
      <c r="D2479" s="19"/>
      <c r="E2479" s="2"/>
      <c r="F2479" s="19"/>
    </row>
    <row r="2480" ht="15.75" customHeight="1">
      <c r="A2480" s="1">
        <v>5.6403311E7</v>
      </c>
      <c r="B2480" s="2" t="s">
        <v>2784</v>
      </c>
      <c r="C2480" s="19" t="s">
        <v>7055</v>
      </c>
      <c r="D2480" s="19"/>
      <c r="E2480" s="2"/>
      <c r="F2480" s="19"/>
    </row>
    <row r="2481" ht="15.75" customHeight="1">
      <c r="A2481" s="1">
        <v>5.6414466E7</v>
      </c>
      <c r="B2481" s="2" t="s">
        <v>3434</v>
      </c>
      <c r="C2481" s="19" t="s">
        <v>7056</v>
      </c>
      <c r="D2481" s="19"/>
      <c r="E2481" s="2"/>
      <c r="F2481" s="19"/>
    </row>
    <row r="2482" ht="15.75" customHeight="1">
      <c r="A2482" s="1">
        <v>5.6420263E7</v>
      </c>
      <c r="B2482" s="2" t="s">
        <v>1474</v>
      </c>
      <c r="C2482" s="19" t="s">
        <v>7057</v>
      </c>
      <c r="D2482" s="19"/>
      <c r="E2482" s="2"/>
      <c r="F2482" s="19"/>
    </row>
    <row r="2483" ht="15.75" customHeight="1">
      <c r="A2483" s="1">
        <v>5.642176E7</v>
      </c>
      <c r="B2483" s="2" t="s">
        <v>3517</v>
      </c>
      <c r="C2483" s="19" t="s">
        <v>7058</v>
      </c>
      <c r="D2483" s="19"/>
      <c r="E2483" s="2"/>
      <c r="F2483" s="19"/>
    </row>
    <row r="2484" ht="15.75" customHeight="1">
      <c r="A2484" s="1">
        <v>5.64294E7</v>
      </c>
      <c r="B2484" s="2" t="s">
        <v>500</v>
      </c>
      <c r="C2484" s="19" t="s">
        <v>7059</v>
      </c>
      <c r="D2484" s="19"/>
      <c r="E2484" s="2"/>
      <c r="F2484" s="19"/>
    </row>
    <row r="2485" ht="15.75" customHeight="1">
      <c r="A2485" s="1">
        <v>5.6430977E7</v>
      </c>
      <c r="B2485" s="2" t="s">
        <v>2850</v>
      </c>
      <c r="C2485" s="19" t="s">
        <v>7060</v>
      </c>
      <c r="D2485" s="19"/>
      <c r="E2485" s="2"/>
      <c r="F2485" s="19"/>
    </row>
    <row r="2486" ht="15.75" customHeight="1">
      <c r="A2486" s="1">
        <v>5.6440735E7</v>
      </c>
      <c r="B2486" s="2" t="s">
        <v>624</v>
      </c>
      <c r="C2486" s="19" t="s">
        <v>7061</v>
      </c>
      <c r="D2486" s="19" t="s">
        <v>7062</v>
      </c>
      <c r="E2486" s="2"/>
      <c r="F2486" s="19"/>
    </row>
    <row r="2487" ht="15.75" customHeight="1">
      <c r="A2487" s="1">
        <v>5.6444605E7</v>
      </c>
      <c r="B2487" s="2" t="s">
        <v>1702</v>
      </c>
      <c r="C2487" s="19" t="s">
        <v>7063</v>
      </c>
      <c r="D2487" s="19" t="s">
        <v>7064</v>
      </c>
      <c r="E2487" s="2"/>
      <c r="F2487" s="19"/>
    </row>
    <row r="2488" ht="15.75" customHeight="1">
      <c r="A2488" s="1">
        <v>5.6446803E7</v>
      </c>
      <c r="B2488" s="2" t="s">
        <v>3369</v>
      </c>
      <c r="C2488" s="19" t="s">
        <v>7065</v>
      </c>
      <c r="D2488" s="19"/>
      <c r="E2488" s="2"/>
      <c r="F2488" s="19"/>
    </row>
    <row r="2489" ht="15.75" customHeight="1">
      <c r="A2489" s="1">
        <v>5.6450083E7</v>
      </c>
      <c r="B2489" s="2" t="s">
        <v>3041</v>
      </c>
      <c r="C2489" s="19" t="s">
        <v>7066</v>
      </c>
      <c r="D2489" s="19"/>
      <c r="E2489" s="2"/>
      <c r="F2489" s="19"/>
    </row>
    <row r="2490" ht="15.75" customHeight="1">
      <c r="A2490" s="1">
        <v>5.6457283E7</v>
      </c>
      <c r="B2490" s="2" t="s">
        <v>1997</v>
      </c>
      <c r="C2490" s="19" t="s">
        <v>7067</v>
      </c>
      <c r="D2490" s="19"/>
      <c r="E2490" s="2"/>
      <c r="F2490" s="19"/>
    </row>
    <row r="2491" ht="15.75" customHeight="1">
      <c r="A2491" s="1">
        <v>5.6465E7</v>
      </c>
      <c r="B2491" s="2" t="s">
        <v>3123</v>
      </c>
      <c r="C2491" s="19" t="s">
        <v>7068</v>
      </c>
      <c r="D2491" s="19" t="s">
        <v>7069</v>
      </c>
      <c r="E2491" s="2"/>
      <c r="F2491" s="19"/>
    </row>
    <row r="2492" ht="15.75" customHeight="1">
      <c r="A2492" s="1">
        <v>5.6467589E7</v>
      </c>
      <c r="B2492" s="2" t="s">
        <v>1408</v>
      </c>
      <c r="C2492" s="19" t="s">
        <v>7070</v>
      </c>
      <c r="D2492" s="19" t="s">
        <v>7071</v>
      </c>
      <c r="E2492" s="2"/>
      <c r="F2492" s="19"/>
    </row>
    <row r="2493" ht="15.75" customHeight="1">
      <c r="A2493" s="1">
        <v>5.6469964E7</v>
      </c>
      <c r="B2493" s="2" t="s">
        <v>2967</v>
      </c>
      <c r="C2493" s="19" t="s">
        <v>7072</v>
      </c>
      <c r="D2493" s="19"/>
      <c r="E2493" s="2"/>
      <c r="F2493" s="19"/>
    </row>
    <row r="2494" ht="15.75" customHeight="1">
      <c r="A2494" s="1">
        <v>5.6481283E7</v>
      </c>
      <c r="B2494" s="2" t="s">
        <v>2339</v>
      </c>
      <c r="C2494" s="19" t="s">
        <v>7073</v>
      </c>
      <c r="D2494" s="19"/>
      <c r="E2494" s="2"/>
      <c r="F2494" s="19"/>
    </row>
    <row r="2495" ht="15.75" customHeight="1">
      <c r="A2495" s="1">
        <v>5.6498638E7</v>
      </c>
      <c r="B2495" s="2" t="s">
        <v>2646</v>
      </c>
      <c r="C2495" s="19" t="s">
        <v>7074</v>
      </c>
      <c r="D2495" s="19" t="s">
        <v>7075</v>
      </c>
      <c r="E2495" s="2"/>
      <c r="F2495" s="19"/>
    </row>
    <row r="2496" ht="15.75" customHeight="1">
      <c r="A2496" s="1">
        <v>5.650897E7</v>
      </c>
      <c r="B2496" s="2" t="s">
        <v>2124</v>
      </c>
      <c r="C2496" s="19" t="s">
        <v>7076</v>
      </c>
      <c r="D2496" s="19" t="s">
        <v>7077</v>
      </c>
      <c r="E2496" s="2"/>
      <c r="F2496" s="19"/>
    </row>
    <row r="2497" ht="15.75" customHeight="1">
      <c r="A2497" s="1">
        <v>5.6513338E7</v>
      </c>
      <c r="B2497" s="2" t="s">
        <v>1733</v>
      </c>
      <c r="C2497" s="19" t="s">
        <v>7078</v>
      </c>
      <c r="D2497" s="19"/>
      <c r="E2497" s="2"/>
      <c r="F2497" s="19"/>
    </row>
    <row r="2498" ht="15.75" customHeight="1">
      <c r="A2498" s="1">
        <v>5.6535605E7</v>
      </c>
      <c r="B2498" s="2" t="s">
        <v>2393</v>
      </c>
      <c r="C2498" s="19" t="s">
        <v>7079</v>
      </c>
      <c r="D2498" s="19"/>
      <c r="E2498" s="2"/>
      <c r="F2498" s="19"/>
    </row>
    <row r="2499" ht="15.75" customHeight="1">
      <c r="A2499" s="1">
        <v>5.6537526E7</v>
      </c>
      <c r="B2499" s="2" t="s">
        <v>2055</v>
      </c>
      <c r="C2499" s="19" t="s">
        <v>7080</v>
      </c>
      <c r="D2499" s="19"/>
      <c r="E2499" s="2"/>
      <c r="F2499" s="19"/>
    </row>
    <row r="2500" ht="15.75" customHeight="1">
      <c r="A2500" s="1">
        <v>5.6538252E7</v>
      </c>
      <c r="B2500" s="2" t="s">
        <v>3358</v>
      </c>
      <c r="C2500" s="19" t="s">
        <v>7081</v>
      </c>
      <c r="D2500" s="19"/>
      <c r="E2500" s="2"/>
      <c r="F2500" s="19"/>
    </row>
    <row r="2501" ht="15.75" customHeight="1">
      <c r="A2501" s="1">
        <v>5.6539668E7</v>
      </c>
      <c r="B2501" s="2" t="s">
        <v>2458</v>
      </c>
      <c r="C2501" s="19" t="s">
        <v>7082</v>
      </c>
      <c r="D2501" s="19"/>
      <c r="E2501" s="2"/>
      <c r="F2501" s="19"/>
    </row>
    <row r="2502" ht="15.75" customHeight="1">
      <c r="A2502" s="1">
        <v>5.6540608E7</v>
      </c>
      <c r="B2502" s="2" t="s">
        <v>1219</v>
      </c>
      <c r="C2502" s="19" t="s">
        <v>7083</v>
      </c>
      <c r="D2502" s="19"/>
      <c r="E2502" s="2"/>
      <c r="F2502" s="19"/>
    </row>
    <row r="2503" ht="15.75" customHeight="1">
      <c r="A2503" s="1">
        <v>5.6542464E7</v>
      </c>
      <c r="B2503" s="2" t="s">
        <v>1797</v>
      </c>
      <c r="C2503" s="19" t="s">
        <v>7084</v>
      </c>
      <c r="D2503" s="19" t="s">
        <v>7085</v>
      </c>
      <c r="E2503" s="2"/>
      <c r="F2503" s="19"/>
    </row>
    <row r="2504" ht="15.75" customHeight="1">
      <c r="A2504" s="1">
        <v>5.6548526E7</v>
      </c>
      <c r="B2504" s="2" t="s">
        <v>3216</v>
      </c>
      <c r="C2504" s="19" t="s">
        <v>7086</v>
      </c>
      <c r="D2504" s="19"/>
      <c r="E2504" s="2"/>
      <c r="F2504" s="19"/>
    </row>
    <row r="2505" ht="15.75" customHeight="1">
      <c r="A2505" s="1">
        <v>5.6551738E7</v>
      </c>
      <c r="B2505" s="2" t="s">
        <v>3518</v>
      </c>
      <c r="C2505" s="19" t="s">
        <v>7087</v>
      </c>
      <c r="D2505" s="19"/>
      <c r="E2505" s="2"/>
      <c r="F2505" s="19"/>
    </row>
    <row r="2506" ht="15.75" customHeight="1">
      <c r="A2506" s="1">
        <v>5.6556456E7</v>
      </c>
      <c r="B2506" s="2" t="s">
        <v>3148</v>
      </c>
      <c r="C2506" s="19" t="s">
        <v>7088</v>
      </c>
      <c r="D2506" s="19"/>
      <c r="E2506" s="2"/>
      <c r="F2506" s="19"/>
    </row>
    <row r="2507" ht="15.75" customHeight="1">
      <c r="A2507" s="1">
        <v>5.6561002E7</v>
      </c>
      <c r="B2507" s="2" t="s">
        <v>3639</v>
      </c>
      <c r="C2507" s="19" t="s">
        <v>7089</v>
      </c>
      <c r="D2507" s="19"/>
      <c r="E2507" s="2"/>
      <c r="F2507" s="19"/>
    </row>
    <row r="2508" ht="15.75" customHeight="1">
      <c r="A2508" s="1">
        <v>5.6564515E7</v>
      </c>
      <c r="B2508" s="2" t="s">
        <v>2445</v>
      </c>
      <c r="C2508" s="19" t="s">
        <v>7090</v>
      </c>
      <c r="D2508" s="19" t="s">
        <v>7091</v>
      </c>
      <c r="E2508" s="2"/>
      <c r="F2508" s="19"/>
    </row>
    <row r="2509" ht="15.75" customHeight="1">
      <c r="A2509" s="1">
        <v>5.6564738E7</v>
      </c>
      <c r="B2509" s="2" t="s">
        <v>2589</v>
      </c>
      <c r="C2509" s="19" t="s">
        <v>7092</v>
      </c>
      <c r="D2509" s="19" t="s">
        <v>7093</v>
      </c>
      <c r="E2509" s="2"/>
      <c r="F2509" s="19"/>
    </row>
    <row r="2510" ht="15.75" customHeight="1">
      <c r="A2510" s="1">
        <v>5.6570383E7</v>
      </c>
      <c r="B2510" s="2" t="s">
        <v>1826</v>
      </c>
      <c r="C2510" s="19" t="s">
        <v>7094</v>
      </c>
      <c r="D2510" s="19" t="s">
        <v>7095</v>
      </c>
      <c r="E2510" s="2"/>
      <c r="F2510" s="19"/>
    </row>
    <row r="2511" ht="15.75" customHeight="1">
      <c r="A2511" s="1">
        <v>5.6573602E7</v>
      </c>
      <c r="B2511" s="2" t="s">
        <v>2386</v>
      </c>
      <c r="C2511" s="19" t="s">
        <v>7096</v>
      </c>
      <c r="D2511" s="19"/>
      <c r="E2511" s="2"/>
      <c r="F2511" s="19"/>
    </row>
    <row r="2512" ht="15.75" customHeight="1">
      <c r="A2512" s="1">
        <v>5.6577667E7</v>
      </c>
      <c r="B2512" s="2" t="s">
        <v>2606</v>
      </c>
      <c r="C2512" s="19" t="s">
        <v>7097</v>
      </c>
      <c r="D2512" s="19" t="s">
        <v>7098</v>
      </c>
      <c r="E2512" s="2"/>
      <c r="F2512" s="19"/>
    </row>
    <row r="2513" ht="15.75" customHeight="1">
      <c r="A2513" s="1">
        <v>5.657871E7</v>
      </c>
      <c r="B2513" s="2" t="s">
        <v>3390</v>
      </c>
      <c r="C2513" s="19" t="s">
        <v>7099</v>
      </c>
      <c r="D2513" s="19"/>
      <c r="E2513" s="2"/>
      <c r="F2513" s="19"/>
    </row>
    <row r="2514" ht="15.75" customHeight="1">
      <c r="A2514" s="1">
        <v>5.6580338E7</v>
      </c>
      <c r="B2514" s="2" t="s">
        <v>357</v>
      </c>
      <c r="C2514" s="19" t="s">
        <v>7100</v>
      </c>
      <c r="D2514" s="19" t="s">
        <v>7101</v>
      </c>
      <c r="E2514" s="2"/>
      <c r="F2514" s="19"/>
    </row>
    <row r="2515" ht="15.75" customHeight="1">
      <c r="A2515" s="1">
        <v>5.6586268E7</v>
      </c>
      <c r="B2515" s="2" t="s">
        <v>759</v>
      </c>
      <c r="C2515" s="19" t="s">
        <v>7102</v>
      </c>
      <c r="D2515" s="19"/>
      <c r="E2515" s="2"/>
      <c r="F2515" s="19"/>
    </row>
    <row r="2516" ht="15.75" customHeight="1">
      <c r="A2516" s="1">
        <v>5.6587997E7</v>
      </c>
      <c r="B2516" s="2" t="s">
        <v>2824</v>
      </c>
      <c r="C2516" s="19" t="s">
        <v>7103</v>
      </c>
      <c r="D2516" s="19"/>
      <c r="E2516" s="2"/>
      <c r="F2516" s="19"/>
    </row>
    <row r="2517" ht="15.75" customHeight="1">
      <c r="A2517" s="1">
        <v>5.6595252E7</v>
      </c>
      <c r="B2517" s="2" t="s">
        <v>3042</v>
      </c>
      <c r="C2517" s="19" t="s">
        <v>7104</v>
      </c>
      <c r="D2517" s="19"/>
      <c r="E2517" s="2"/>
      <c r="F2517" s="19"/>
    </row>
    <row r="2518" ht="15.75" customHeight="1">
      <c r="A2518" s="1">
        <v>5.6596515E7</v>
      </c>
      <c r="B2518" s="2" t="s">
        <v>521</v>
      </c>
      <c r="C2518" s="19" t="s">
        <v>7105</v>
      </c>
      <c r="D2518" s="19"/>
      <c r="E2518" s="2"/>
      <c r="F2518" s="19"/>
    </row>
    <row r="2519" ht="15.75" customHeight="1">
      <c r="A2519" s="1">
        <v>5.6599145E7</v>
      </c>
      <c r="B2519" s="2" t="s">
        <v>3116</v>
      </c>
      <c r="C2519" s="19" t="s">
        <v>7106</v>
      </c>
      <c r="D2519" s="19"/>
      <c r="E2519" s="2"/>
      <c r="F2519" s="19"/>
    </row>
    <row r="2520" ht="15.75" customHeight="1">
      <c r="A2520" s="1">
        <v>5.6600624E7</v>
      </c>
      <c r="B2520" s="2" t="s">
        <v>3217</v>
      </c>
      <c r="C2520" s="19" t="s">
        <v>7107</v>
      </c>
      <c r="D2520" s="19"/>
      <c r="E2520" s="2"/>
      <c r="F2520" s="19"/>
    </row>
    <row r="2521" ht="15.75" customHeight="1">
      <c r="A2521" s="1">
        <v>5.6603377E7</v>
      </c>
      <c r="B2521" s="2" t="s">
        <v>2484</v>
      </c>
      <c r="C2521" s="19" t="s">
        <v>7108</v>
      </c>
      <c r="D2521" s="19"/>
      <c r="E2521" s="2"/>
      <c r="F2521" s="19"/>
    </row>
    <row r="2522" ht="15.75" customHeight="1">
      <c r="A2522" s="1">
        <v>5.6603585E7</v>
      </c>
      <c r="B2522" s="2" t="s">
        <v>2220</v>
      </c>
      <c r="C2522" s="19" t="s">
        <v>7109</v>
      </c>
      <c r="D2522" s="19" t="s">
        <v>7110</v>
      </c>
      <c r="E2522" s="2"/>
      <c r="F2522" s="19"/>
    </row>
    <row r="2523" ht="15.75" customHeight="1">
      <c r="A2523" s="1">
        <v>5.6612308E7</v>
      </c>
      <c r="B2523" s="2" t="s">
        <v>3099</v>
      </c>
      <c r="C2523" s="19" t="s">
        <v>7111</v>
      </c>
      <c r="D2523" s="19"/>
      <c r="E2523" s="2"/>
      <c r="F2523" s="19"/>
    </row>
    <row r="2524" ht="15.75" customHeight="1">
      <c r="A2524" s="1">
        <v>5.6615245E7</v>
      </c>
      <c r="B2524" s="2" t="s">
        <v>1883</v>
      </c>
      <c r="C2524" s="19" t="s">
        <v>7112</v>
      </c>
      <c r="D2524" s="19" t="s">
        <v>7113</v>
      </c>
      <c r="E2524" s="2"/>
      <c r="F2524" s="19"/>
    </row>
    <row r="2525" ht="15.75" customHeight="1">
      <c r="A2525" s="1">
        <v>5.6625748E7</v>
      </c>
      <c r="B2525" s="2" t="s">
        <v>3011</v>
      </c>
      <c r="C2525" s="19" t="s">
        <v>7114</v>
      </c>
      <c r="D2525" s="19"/>
      <c r="E2525" s="2"/>
      <c r="F2525" s="19"/>
    </row>
    <row r="2526" ht="15.75" customHeight="1">
      <c r="A2526" s="1">
        <v>5.6633307E7</v>
      </c>
      <c r="B2526" s="2" t="s">
        <v>998</v>
      </c>
      <c r="C2526" s="19" t="s">
        <v>7115</v>
      </c>
      <c r="D2526" s="19"/>
      <c r="E2526" s="2"/>
      <c r="F2526" s="19"/>
    </row>
    <row r="2527" ht="15.75" customHeight="1">
      <c r="A2527" s="1">
        <v>5.6635352E7</v>
      </c>
      <c r="B2527" s="2" t="s">
        <v>3500</v>
      </c>
      <c r="C2527" s="19" t="s">
        <v>7116</v>
      </c>
      <c r="D2527" s="19"/>
      <c r="E2527" s="2"/>
      <c r="F2527" s="19"/>
    </row>
    <row r="2528" ht="15.75" customHeight="1">
      <c r="A2528" s="1">
        <v>5.6637616E7</v>
      </c>
      <c r="B2528" s="2" t="s">
        <v>3300</v>
      </c>
      <c r="C2528" s="19" t="s">
        <v>7117</v>
      </c>
      <c r="D2528" s="19"/>
      <c r="E2528" s="2"/>
      <c r="F2528" s="19"/>
    </row>
    <row r="2529" ht="15.75" customHeight="1">
      <c r="A2529" s="1">
        <v>5.6646153E7</v>
      </c>
      <c r="B2529" s="2" t="s">
        <v>2324</v>
      </c>
      <c r="C2529" s="19" t="s">
        <v>7118</v>
      </c>
      <c r="D2529" s="19"/>
      <c r="E2529" s="2"/>
      <c r="F2529" s="19"/>
    </row>
    <row r="2530" ht="15.75" customHeight="1">
      <c r="A2530" s="1">
        <v>5.6649946E7</v>
      </c>
      <c r="B2530" s="2" t="s">
        <v>2825</v>
      </c>
      <c r="C2530" s="19" t="s">
        <v>7119</v>
      </c>
      <c r="D2530" s="19"/>
      <c r="E2530" s="2"/>
      <c r="F2530" s="19"/>
    </row>
    <row r="2531" ht="15.75" customHeight="1">
      <c r="A2531" s="1">
        <v>5.6650002E7</v>
      </c>
      <c r="B2531" s="2" t="s">
        <v>3321</v>
      </c>
      <c r="C2531" s="19" t="s">
        <v>7120</v>
      </c>
      <c r="D2531" s="19"/>
      <c r="E2531" s="2"/>
      <c r="F2531" s="19"/>
    </row>
    <row r="2532" ht="15.75" customHeight="1">
      <c r="A2532" s="1">
        <v>5.6650929E7</v>
      </c>
      <c r="B2532" s="2" t="s">
        <v>911</v>
      </c>
      <c r="C2532" s="19" t="s">
        <v>7121</v>
      </c>
      <c r="D2532" s="19"/>
      <c r="E2532" s="2"/>
      <c r="F2532" s="19"/>
    </row>
    <row r="2533" ht="15.75" customHeight="1">
      <c r="A2533" s="1">
        <v>5.6654096E7</v>
      </c>
      <c r="B2533" s="2" t="s">
        <v>1352</v>
      </c>
      <c r="C2533" s="19" t="s">
        <v>7122</v>
      </c>
      <c r="D2533" s="19"/>
      <c r="E2533" s="2"/>
      <c r="F2533" s="19"/>
    </row>
    <row r="2534" ht="15.75" customHeight="1">
      <c r="A2534" s="1">
        <v>5.6657103E7</v>
      </c>
      <c r="B2534" s="2" t="s">
        <v>3218</v>
      </c>
      <c r="C2534" s="19" t="s">
        <v>7123</v>
      </c>
      <c r="D2534" s="19"/>
      <c r="E2534" s="2"/>
      <c r="F2534" s="19"/>
    </row>
    <row r="2535" ht="15.75" customHeight="1">
      <c r="A2535" s="1">
        <v>5.6659832E7</v>
      </c>
      <c r="B2535" s="2" t="s">
        <v>212</v>
      </c>
      <c r="C2535" s="19" t="s">
        <v>7124</v>
      </c>
      <c r="D2535" s="19" t="s">
        <v>7125</v>
      </c>
      <c r="E2535" s="2"/>
      <c r="F2535" s="19"/>
    </row>
    <row r="2536" ht="15.75" customHeight="1">
      <c r="A2536" s="1">
        <v>5.6661461E7</v>
      </c>
      <c r="B2536" s="2" t="s">
        <v>2968</v>
      </c>
      <c r="C2536" s="19" t="s">
        <v>7126</v>
      </c>
      <c r="D2536" s="19" t="s">
        <v>7127</v>
      </c>
      <c r="E2536" s="2"/>
      <c r="F2536" s="19"/>
    </row>
    <row r="2537" ht="15.75" customHeight="1">
      <c r="A2537" s="1">
        <v>5.666234E7</v>
      </c>
      <c r="B2537" s="2" t="s">
        <v>2535</v>
      </c>
      <c r="C2537" s="19" t="s">
        <v>7128</v>
      </c>
      <c r="D2537" s="19" t="s">
        <v>7129</v>
      </c>
      <c r="E2537" s="2"/>
      <c r="F2537" s="19"/>
    </row>
    <row r="2538" ht="15.75" customHeight="1">
      <c r="A2538" s="1">
        <v>5.6669375E7</v>
      </c>
      <c r="B2538" s="2" t="s">
        <v>2899</v>
      </c>
      <c r="C2538" s="19" t="s">
        <v>7130</v>
      </c>
      <c r="D2538" s="19"/>
      <c r="E2538" s="2"/>
      <c r="F2538" s="19"/>
    </row>
    <row r="2539" ht="15.75" customHeight="1">
      <c r="A2539" s="1">
        <v>5.667448E7</v>
      </c>
      <c r="B2539" s="2" t="s">
        <v>3219</v>
      </c>
      <c r="C2539" s="19" t="s">
        <v>7131</v>
      </c>
      <c r="D2539" s="19"/>
      <c r="E2539" s="2"/>
      <c r="F2539" s="19"/>
    </row>
    <row r="2540" ht="15.75" customHeight="1">
      <c r="A2540" s="1">
        <v>5.6675025E7</v>
      </c>
      <c r="B2540" s="2" t="s">
        <v>2826</v>
      </c>
      <c r="C2540" s="19" t="s">
        <v>7132</v>
      </c>
      <c r="D2540" s="19"/>
      <c r="E2540" s="2"/>
      <c r="F2540" s="19"/>
    </row>
    <row r="2541" ht="15.75" customHeight="1">
      <c r="A2541" s="1">
        <v>5.6679178E7</v>
      </c>
      <c r="B2541" s="2" t="s">
        <v>2065</v>
      </c>
      <c r="C2541" s="19" t="s">
        <v>7133</v>
      </c>
      <c r="D2541" s="19"/>
      <c r="E2541" s="2"/>
      <c r="F2541" s="19"/>
    </row>
    <row r="2542" ht="15.75" customHeight="1">
      <c r="A2542" s="1">
        <v>5.6679749E7</v>
      </c>
      <c r="B2542" s="2" t="s">
        <v>2387</v>
      </c>
      <c r="C2542" s="19" t="s">
        <v>7134</v>
      </c>
      <c r="D2542" s="19"/>
      <c r="E2542" s="2"/>
      <c r="F2542" s="19"/>
    </row>
    <row r="2543" ht="15.75" customHeight="1">
      <c r="A2543" s="1">
        <v>5.6690282E7</v>
      </c>
      <c r="B2543" s="2" t="s">
        <v>1716</v>
      </c>
      <c r="C2543" s="19" t="s">
        <v>7135</v>
      </c>
      <c r="D2543" s="19"/>
      <c r="E2543" s="2"/>
      <c r="F2543" s="19"/>
    </row>
    <row r="2544" ht="15.75" customHeight="1">
      <c r="A2544" s="1">
        <v>5.6700759E7</v>
      </c>
      <c r="B2544" s="2" t="s">
        <v>302</v>
      </c>
      <c r="C2544" s="19" t="s">
        <v>7136</v>
      </c>
      <c r="D2544" s="19"/>
      <c r="E2544" s="2"/>
      <c r="F2544" s="19"/>
    </row>
    <row r="2545" ht="15.75" customHeight="1">
      <c r="A2545" s="1">
        <v>5.6701895E7</v>
      </c>
      <c r="B2545" s="2" t="s">
        <v>3322</v>
      </c>
      <c r="C2545" s="19" t="s">
        <v>7137</v>
      </c>
      <c r="D2545" s="19"/>
      <c r="E2545" s="2"/>
      <c r="F2545" s="19"/>
    </row>
    <row r="2546" ht="15.75" customHeight="1">
      <c r="A2546" s="1">
        <v>5.6709602E7</v>
      </c>
      <c r="B2546" s="2" t="s">
        <v>3479</v>
      </c>
      <c r="C2546" s="19" t="s">
        <v>7138</v>
      </c>
      <c r="D2546" s="19"/>
      <c r="E2546" s="2"/>
      <c r="F2546" s="19"/>
    </row>
    <row r="2547" ht="15.75" customHeight="1">
      <c r="A2547" s="1">
        <v>5.6716968E7</v>
      </c>
      <c r="B2547" s="2" t="s">
        <v>3435</v>
      </c>
      <c r="C2547" s="19" t="s">
        <v>7139</v>
      </c>
      <c r="D2547" s="19"/>
      <c r="E2547" s="2"/>
      <c r="F2547" s="19"/>
    </row>
    <row r="2548" ht="15.75" customHeight="1">
      <c r="A2548" s="1">
        <v>5.6722062E7</v>
      </c>
      <c r="B2548" s="2" t="s">
        <v>762</v>
      </c>
      <c r="C2548" s="19" t="s">
        <v>7140</v>
      </c>
      <c r="D2548" s="19"/>
      <c r="E2548" s="2"/>
      <c r="F2548" s="19"/>
    </row>
    <row r="2549" ht="15.75" customHeight="1">
      <c r="A2549" s="1">
        <v>5.6741525E7</v>
      </c>
      <c r="B2549" s="2" t="s">
        <v>1357</v>
      </c>
      <c r="C2549" s="19" t="s">
        <v>7141</v>
      </c>
      <c r="D2549" s="19"/>
      <c r="E2549" s="2"/>
      <c r="F2549" s="19"/>
    </row>
    <row r="2550" ht="15.75" customHeight="1">
      <c r="A2550" s="1">
        <v>5.6742705E7</v>
      </c>
      <c r="B2550" s="2" t="s">
        <v>1884</v>
      </c>
      <c r="C2550" s="19" t="s">
        <v>7142</v>
      </c>
      <c r="D2550" s="19" t="s">
        <v>7143</v>
      </c>
      <c r="E2550" s="2"/>
      <c r="F2550" s="19"/>
    </row>
    <row r="2551" ht="15.75" customHeight="1">
      <c r="A2551" s="1">
        <v>5.6744215E7</v>
      </c>
      <c r="B2551" s="2" t="s">
        <v>1924</v>
      </c>
      <c r="C2551" s="19" t="s">
        <v>7144</v>
      </c>
      <c r="D2551" s="19"/>
      <c r="E2551" s="2"/>
      <c r="F2551" s="19"/>
    </row>
    <row r="2552" ht="15.75" customHeight="1">
      <c r="A2552" s="1">
        <v>5.6746025E7</v>
      </c>
      <c r="B2552" s="2" t="s">
        <v>2164</v>
      </c>
      <c r="C2552" s="19" t="s">
        <v>7145</v>
      </c>
      <c r="D2552" s="19"/>
      <c r="E2552" s="2"/>
      <c r="F2552" s="19"/>
    </row>
    <row r="2553" ht="15.75" customHeight="1">
      <c r="A2553" s="1">
        <v>5.6748978E7</v>
      </c>
      <c r="B2553" s="2" t="s">
        <v>2325</v>
      </c>
      <c r="C2553" s="19" t="s">
        <v>7146</v>
      </c>
      <c r="D2553" s="19"/>
      <c r="E2553" s="2"/>
      <c r="F2553" s="19"/>
    </row>
    <row r="2554" ht="15.75" customHeight="1">
      <c r="A2554" s="1">
        <v>5.6750074E7</v>
      </c>
      <c r="B2554" s="2" t="s">
        <v>1744</v>
      </c>
      <c r="C2554" s="19" t="s">
        <v>7147</v>
      </c>
      <c r="D2554" s="19"/>
      <c r="E2554" s="2"/>
      <c r="F2554" s="19"/>
    </row>
    <row r="2555" ht="15.75" customHeight="1">
      <c r="A2555" s="1">
        <v>5.6751486E7</v>
      </c>
      <c r="B2555" s="2" t="s">
        <v>804</v>
      </c>
      <c r="C2555" s="19" t="s">
        <v>7148</v>
      </c>
      <c r="D2555" s="19" t="s">
        <v>7149</v>
      </c>
      <c r="E2555" s="2"/>
      <c r="F2555" s="19"/>
    </row>
    <row r="2556" ht="15.75" customHeight="1">
      <c r="A2556" s="1">
        <v>5.6756414E7</v>
      </c>
      <c r="B2556" s="2" t="s">
        <v>1694</v>
      </c>
      <c r="C2556" s="19" t="s">
        <v>7150</v>
      </c>
      <c r="D2556" s="19"/>
      <c r="E2556" s="2"/>
      <c r="F2556" s="19"/>
    </row>
    <row r="2557" ht="15.75" customHeight="1">
      <c r="A2557" s="1">
        <v>5.6757229E7</v>
      </c>
      <c r="B2557" s="2" t="s">
        <v>1859</v>
      </c>
      <c r="C2557" s="19" t="s">
        <v>7151</v>
      </c>
      <c r="D2557" s="19"/>
      <c r="E2557" s="2"/>
      <c r="F2557" s="19"/>
    </row>
    <row r="2558" ht="15.75" customHeight="1">
      <c r="A2558" s="1">
        <v>5.6772072E7</v>
      </c>
      <c r="B2558" s="2" t="s">
        <v>3195</v>
      </c>
      <c r="C2558" s="19" t="s">
        <v>7152</v>
      </c>
      <c r="D2558" s="19"/>
      <c r="E2558" s="2"/>
      <c r="F2558" s="19"/>
    </row>
    <row r="2559" ht="15.75" customHeight="1">
      <c r="A2559" s="1">
        <v>5.6774454E7</v>
      </c>
      <c r="B2559" s="2" t="s">
        <v>3480</v>
      </c>
      <c r="C2559" s="19" t="s">
        <v>7153</v>
      </c>
      <c r="D2559" s="19"/>
      <c r="E2559" s="2"/>
      <c r="F2559" s="19"/>
    </row>
    <row r="2560" ht="15.75" customHeight="1">
      <c r="A2560" s="1">
        <v>5.6777119E7</v>
      </c>
      <c r="B2560" s="2" t="s">
        <v>3276</v>
      </c>
      <c r="C2560" s="19" t="s">
        <v>7154</v>
      </c>
      <c r="D2560" s="19" t="s">
        <v>7155</v>
      </c>
      <c r="E2560" s="2"/>
      <c r="F2560" s="19"/>
    </row>
    <row r="2561" ht="15.75" customHeight="1">
      <c r="A2561" s="1">
        <v>5.6781139E7</v>
      </c>
      <c r="B2561" s="2" t="s">
        <v>2115</v>
      </c>
      <c r="C2561" s="19" t="s">
        <v>7156</v>
      </c>
      <c r="D2561" s="19" t="s">
        <v>7157</v>
      </c>
      <c r="E2561" s="2"/>
      <c r="F2561" s="19"/>
    </row>
    <row r="2562" ht="15.75" customHeight="1">
      <c r="A2562" s="1">
        <v>5.6781753E7</v>
      </c>
      <c r="B2562" s="2" t="s">
        <v>383</v>
      </c>
      <c r="C2562" s="19" t="s">
        <v>7158</v>
      </c>
      <c r="D2562" s="19"/>
      <c r="E2562" s="2"/>
      <c r="F2562" s="19"/>
    </row>
    <row r="2563" ht="15.75" customHeight="1">
      <c r="A2563" s="1">
        <v>5.6789911E7</v>
      </c>
      <c r="B2563" s="2" t="s">
        <v>1229</v>
      </c>
      <c r="C2563" s="19" t="s">
        <v>7159</v>
      </c>
      <c r="D2563" s="19"/>
      <c r="E2563" s="2"/>
      <c r="F2563" s="19"/>
    </row>
    <row r="2564" ht="15.75" customHeight="1">
      <c r="A2564" s="1">
        <v>5.6790149E7</v>
      </c>
      <c r="B2564" s="2" t="s">
        <v>2934</v>
      </c>
      <c r="C2564" s="19" t="s">
        <v>7160</v>
      </c>
      <c r="D2564" s="19" t="s">
        <v>7161</v>
      </c>
      <c r="E2564" s="2"/>
      <c r="F2564" s="19"/>
    </row>
    <row r="2565" ht="15.75" customHeight="1">
      <c r="A2565" s="1">
        <v>5.6794171E7</v>
      </c>
      <c r="B2565" s="2" t="s">
        <v>3032</v>
      </c>
      <c r="C2565" s="19" t="s">
        <v>7162</v>
      </c>
      <c r="D2565" s="19"/>
      <c r="E2565" s="2"/>
      <c r="F2565" s="19"/>
    </row>
    <row r="2566" ht="15.75" customHeight="1">
      <c r="A2566" s="1">
        <v>5.6797769E7</v>
      </c>
      <c r="B2566" s="2" t="s">
        <v>2763</v>
      </c>
      <c r="C2566" s="19" t="s">
        <v>7163</v>
      </c>
      <c r="D2566" s="19"/>
      <c r="E2566" s="2"/>
      <c r="F2566" s="19"/>
    </row>
    <row r="2567" ht="15.75" customHeight="1">
      <c r="A2567" s="1">
        <v>5.6809303E7</v>
      </c>
      <c r="B2567" s="2" t="s">
        <v>2935</v>
      </c>
      <c r="C2567" s="19" t="s">
        <v>7164</v>
      </c>
      <c r="D2567" s="19"/>
      <c r="E2567" s="2"/>
      <c r="F2567" s="19"/>
    </row>
    <row r="2568" ht="15.75" customHeight="1">
      <c r="A2568" s="1">
        <v>5.6815027E7</v>
      </c>
      <c r="B2568" s="2" t="s">
        <v>3149</v>
      </c>
      <c r="C2568" s="19" t="s">
        <v>7165</v>
      </c>
      <c r="D2568" s="19"/>
      <c r="E2568" s="2"/>
      <c r="F2568" s="19"/>
    </row>
    <row r="2569" ht="15.75" customHeight="1">
      <c r="A2569" s="1">
        <v>5.6816188E7</v>
      </c>
      <c r="B2569" s="2" t="s">
        <v>3171</v>
      </c>
      <c r="C2569" s="19" t="s">
        <v>7166</v>
      </c>
      <c r="D2569" s="19"/>
      <c r="E2569" s="2"/>
      <c r="F2569" s="19"/>
    </row>
    <row r="2570" ht="15.75" customHeight="1">
      <c r="A2570" s="1">
        <v>5.681627E7</v>
      </c>
      <c r="B2570" s="2" t="s">
        <v>2297</v>
      </c>
      <c r="C2570" s="19" t="s">
        <v>7167</v>
      </c>
      <c r="D2570" s="19"/>
      <c r="E2570" s="2"/>
      <c r="F2570" s="19"/>
    </row>
    <row r="2571" ht="15.75" customHeight="1">
      <c r="A2571" s="1">
        <v>5.6826366E7</v>
      </c>
      <c r="B2571" s="2" t="s">
        <v>700</v>
      </c>
      <c r="C2571" s="19" t="s">
        <v>7168</v>
      </c>
      <c r="D2571" s="19" t="s">
        <v>7169</v>
      </c>
      <c r="E2571" s="2"/>
      <c r="F2571" s="19"/>
    </row>
    <row r="2572" ht="15.75" customHeight="1">
      <c r="A2572" s="1">
        <v>5.6830039E7</v>
      </c>
      <c r="B2572" s="2" t="s">
        <v>1185</v>
      </c>
      <c r="C2572" s="19" t="s">
        <v>7170</v>
      </c>
      <c r="D2572" s="19"/>
      <c r="E2572" s="2"/>
      <c r="F2572" s="19"/>
    </row>
    <row r="2573" ht="15.75" customHeight="1">
      <c r="A2573" s="1">
        <v>5.6833949E7</v>
      </c>
      <c r="B2573" s="2" t="s">
        <v>1718</v>
      </c>
      <c r="C2573" s="19" t="s">
        <v>7171</v>
      </c>
      <c r="D2573" s="19"/>
      <c r="E2573" s="2"/>
      <c r="F2573" s="19"/>
    </row>
    <row r="2574" ht="15.75" customHeight="1">
      <c r="A2574" s="1">
        <v>5.6838816E7</v>
      </c>
      <c r="B2574" s="2" t="s">
        <v>1503</v>
      </c>
      <c r="C2574" s="19" t="s">
        <v>7172</v>
      </c>
      <c r="D2574" s="19"/>
      <c r="E2574" s="2"/>
      <c r="F2574" s="19"/>
    </row>
    <row r="2575" ht="15.75" customHeight="1">
      <c r="A2575" s="1">
        <v>5.6844066E7</v>
      </c>
      <c r="B2575" s="2" t="s">
        <v>2030</v>
      </c>
      <c r="C2575" s="19" t="s">
        <v>7173</v>
      </c>
      <c r="D2575" s="19"/>
      <c r="E2575" s="2"/>
      <c r="F2575" s="19"/>
    </row>
    <row r="2576" ht="15.75" customHeight="1">
      <c r="A2576" s="1">
        <v>5.6846426E7</v>
      </c>
      <c r="B2576" s="2" t="s">
        <v>2206</v>
      </c>
      <c r="C2576" s="19" t="s">
        <v>7174</v>
      </c>
      <c r="D2576" s="19" t="s">
        <v>7175</v>
      </c>
      <c r="E2576" s="2"/>
      <c r="F2576" s="19"/>
    </row>
    <row r="2577" ht="15.75" customHeight="1">
      <c r="A2577" s="1">
        <v>5.6852112E7</v>
      </c>
      <c r="B2577" s="2" t="s">
        <v>1990</v>
      </c>
      <c r="C2577" s="19" t="s">
        <v>7176</v>
      </c>
      <c r="D2577" s="19"/>
      <c r="E2577" s="2"/>
      <c r="F2577" s="19"/>
    </row>
    <row r="2578" ht="15.75" customHeight="1">
      <c r="A2578" s="1">
        <v>5.6854441E7</v>
      </c>
      <c r="B2578" s="2" t="s">
        <v>2991</v>
      </c>
      <c r="C2578" s="19" t="s">
        <v>7177</v>
      </c>
      <c r="D2578" s="19"/>
      <c r="E2578" s="2"/>
      <c r="F2578" s="19"/>
    </row>
    <row r="2579" ht="15.75" customHeight="1">
      <c r="A2579" s="1">
        <v>5.6859374E7</v>
      </c>
      <c r="B2579" s="2" t="s">
        <v>2305</v>
      </c>
      <c r="C2579" s="19" t="s">
        <v>7178</v>
      </c>
      <c r="D2579" s="19"/>
      <c r="E2579" s="2"/>
      <c r="F2579" s="19"/>
    </row>
    <row r="2580" ht="15.75" customHeight="1">
      <c r="A2580" s="1">
        <v>5.6860662E7</v>
      </c>
      <c r="B2580" s="2" t="s">
        <v>3344</v>
      </c>
      <c r="C2580" s="19" t="s">
        <v>7179</v>
      </c>
      <c r="D2580" s="19"/>
      <c r="E2580" s="2"/>
      <c r="F2580" s="19"/>
    </row>
    <row r="2581" ht="15.75" customHeight="1">
      <c r="A2581" s="1">
        <v>5.6860758E7</v>
      </c>
      <c r="B2581" s="2" t="s">
        <v>2693</v>
      </c>
      <c r="C2581" s="19" t="s">
        <v>7180</v>
      </c>
      <c r="D2581" s="19"/>
      <c r="E2581" s="2"/>
      <c r="F2581" s="19"/>
    </row>
    <row r="2582" ht="15.75" customHeight="1">
      <c r="A2582" s="1">
        <v>5.6861761E7</v>
      </c>
      <c r="B2582" s="2" t="s">
        <v>3069</v>
      </c>
      <c r="C2582" s="19" t="s">
        <v>7181</v>
      </c>
      <c r="D2582" s="19"/>
      <c r="E2582" s="2"/>
      <c r="F2582" s="19"/>
    </row>
    <row r="2583" ht="15.75" customHeight="1">
      <c r="A2583" s="1">
        <v>5.6873258E7</v>
      </c>
      <c r="B2583" s="2" t="s">
        <v>3172</v>
      </c>
      <c r="C2583" s="19" t="s">
        <v>7182</v>
      </c>
      <c r="D2583" s="19"/>
      <c r="E2583" s="2"/>
      <c r="F2583" s="19"/>
    </row>
    <row r="2584" ht="15.75" customHeight="1">
      <c r="A2584" s="1">
        <v>5.6875888E7</v>
      </c>
      <c r="B2584" s="2" t="s">
        <v>3591</v>
      </c>
      <c r="C2584" s="19" t="s">
        <v>7183</v>
      </c>
      <c r="D2584" s="19"/>
      <c r="E2584" s="2"/>
      <c r="F2584" s="19"/>
    </row>
    <row r="2585" ht="15.75" customHeight="1">
      <c r="A2585" s="1">
        <v>5.6876401E7</v>
      </c>
      <c r="B2585" s="2" t="s">
        <v>389</v>
      </c>
      <c r="C2585" s="19" t="s">
        <v>7184</v>
      </c>
      <c r="D2585" s="19"/>
      <c r="E2585" s="2"/>
      <c r="F2585" s="19"/>
    </row>
    <row r="2586" ht="15.75" customHeight="1">
      <c r="A2586" s="1">
        <v>5.6891544E7</v>
      </c>
      <c r="B2586" s="2" t="s">
        <v>2619</v>
      </c>
      <c r="C2586" s="19" t="s">
        <v>7185</v>
      </c>
      <c r="D2586" s="19" t="s">
        <v>7186</v>
      </c>
      <c r="E2586" s="2"/>
      <c r="F2586" s="19"/>
    </row>
    <row r="2587" ht="15.75" customHeight="1">
      <c r="A2587" s="1">
        <v>5.6892999E7</v>
      </c>
      <c r="B2587" s="2" t="s">
        <v>3592</v>
      </c>
      <c r="C2587" s="19" t="s">
        <v>7187</v>
      </c>
      <c r="D2587" s="19"/>
      <c r="E2587" s="2"/>
      <c r="F2587" s="19"/>
    </row>
    <row r="2588" ht="15.75" customHeight="1">
      <c r="A2588" s="1">
        <v>5.6896264E7</v>
      </c>
      <c r="B2588" s="2" t="s">
        <v>1952</v>
      </c>
      <c r="C2588" s="19" t="s">
        <v>7188</v>
      </c>
      <c r="D2588" s="19"/>
      <c r="E2588" s="2"/>
      <c r="F2588" s="19"/>
    </row>
    <row r="2589" ht="15.75" customHeight="1">
      <c r="A2589" s="1">
        <v>5.6896965E7</v>
      </c>
      <c r="B2589" s="2" t="s">
        <v>891</v>
      </c>
      <c r="C2589" s="19" t="s">
        <v>7189</v>
      </c>
      <c r="D2589" s="19"/>
      <c r="E2589" s="2"/>
      <c r="F2589" s="19"/>
    </row>
    <row r="2590" ht="15.75" customHeight="1">
      <c r="A2590" s="1">
        <v>5.6897283E7</v>
      </c>
      <c r="B2590" s="2" t="s">
        <v>2607</v>
      </c>
      <c r="C2590" s="19" t="s">
        <v>7190</v>
      </c>
      <c r="D2590" s="19"/>
      <c r="E2590" s="2"/>
      <c r="F2590" s="19"/>
    </row>
    <row r="2591" ht="15.75" customHeight="1">
      <c r="A2591" s="1">
        <v>5.6900896E7</v>
      </c>
      <c r="B2591" s="2" t="s">
        <v>2238</v>
      </c>
      <c r="C2591" s="19" t="s">
        <v>7191</v>
      </c>
      <c r="D2591" s="19"/>
      <c r="E2591" s="2"/>
      <c r="F2591" s="19"/>
    </row>
    <row r="2592" ht="15.75" customHeight="1">
      <c r="A2592" s="1">
        <v>5.6900955E7</v>
      </c>
      <c r="B2592" s="2" t="s">
        <v>1592</v>
      </c>
      <c r="C2592" s="19" t="s">
        <v>7192</v>
      </c>
      <c r="D2592" s="19"/>
      <c r="E2592" s="2"/>
      <c r="F2592" s="19"/>
    </row>
    <row r="2593" ht="15.75" customHeight="1">
      <c r="A2593" s="1">
        <v>5.6903025E7</v>
      </c>
      <c r="B2593" s="2" t="s">
        <v>1843</v>
      </c>
      <c r="C2593" s="19" t="s">
        <v>7193</v>
      </c>
      <c r="D2593" s="19"/>
      <c r="E2593" s="2"/>
      <c r="F2593" s="19"/>
    </row>
    <row r="2594" ht="15.75" customHeight="1">
      <c r="A2594" s="1">
        <v>5.6907474E7</v>
      </c>
      <c r="B2594" s="2" t="s">
        <v>3501</v>
      </c>
      <c r="C2594" s="19" t="s">
        <v>7194</v>
      </c>
      <c r="D2594" s="19"/>
      <c r="E2594" s="2"/>
      <c r="F2594" s="19"/>
    </row>
    <row r="2595" ht="15.75" customHeight="1">
      <c r="A2595" s="1">
        <v>5.6914312E7</v>
      </c>
      <c r="B2595" s="2" t="s">
        <v>1724</v>
      </c>
      <c r="C2595" s="19" t="s">
        <v>7195</v>
      </c>
      <c r="D2595" s="19"/>
      <c r="E2595" s="2"/>
      <c r="F2595" s="19"/>
    </row>
    <row r="2596" ht="15.75" customHeight="1">
      <c r="A2596" s="1">
        <v>5.6915601E7</v>
      </c>
      <c r="B2596" s="2" t="s">
        <v>984</v>
      </c>
      <c r="C2596" s="19" t="s">
        <v>7196</v>
      </c>
      <c r="D2596" s="19"/>
      <c r="E2596" s="2"/>
      <c r="F2596" s="19"/>
    </row>
    <row r="2597" ht="15.75" customHeight="1">
      <c r="A2597" s="1">
        <v>5.6920479E7</v>
      </c>
      <c r="B2597" s="2" t="s">
        <v>1248</v>
      </c>
      <c r="C2597" s="19" t="s">
        <v>7197</v>
      </c>
      <c r="D2597" s="19"/>
      <c r="E2597" s="2"/>
      <c r="F2597" s="19"/>
    </row>
    <row r="2598" ht="15.75" customHeight="1">
      <c r="A2598" s="1">
        <v>5.6921005E7</v>
      </c>
      <c r="B2598" s="2" t="s">
        <v>2315</v>
      </c>
      <c r="C2598" s="19" t="s">
        <v>7198</v>
      </c>
      <c r="D2598" s="19"/>
      <c r="E2598" s="2"/>
      <c r="F2598" s="19"/>
    </row>
    <row r="2599" ht="15.75" customHeight="1">
      <c r="A2599" s="1">
        <v>5.6924243E7</v>
      </c>
      <c r="B2599" s="2" t="s">
        <v>1117</v>
      </c>
      <c r="C2599" s="19" t="s">
        <v>7199</v>
      </c>
      <c r="D2599" s="19"/>
      <c r="E2599" s="2"/>
      <c r="F2599" s="19"/>
    </row>
    <row r="2600" ht="15.75" customHeight="1">
      <c r="A2600" s="1">
        <v>5.6929036E7</v>
      </c>
      <c r="B2600" s="2" t="s">
        <v>3220</v>
      </c>
      <c r="C2600" s="19" t="s">
        <v>7200</v>
      </c>
      <c r="D2600" s="19"/>
      <c r="E2600" s="2"/>
      <c r="F2600" s="19"/>
    </row>
    <row r="2601" ht="15.75" customHeight="1">
      <c r="A2601" s="1">
        <v>5.6935694E7</v>
      </c>
      <c r="B2601" s="2" t="s">
        <v>572</v>
      </c>
      <c r="C2601" s="19" t="s">
        <v>7201</v>
      </c>
      <c r="D2601" s="19"/>
      <c r="E2601" s="2"/>
      <c r="F2601" s="19"/>
    </row>
    <row r="2602" ht="15.75" customHeight="1">
      <c r="A2602" s="1">
        <v>5.6937207E7</v>
      </c>
      <c r="B2602" s="2" t="s">
        <v>2915</v>
      </c>
      <c r="C2602" s="19" t="s">
        <v>7202</v>
      </c>
      <c r="D2602" s="19"/>
      <c r="E2602" s="2"/>
      <c r="F2602" s="19"/>
    </row>
    <row r="2603" ht="15.75" customHeight="1">
      <c r="A2603" s="1">
        <v>5.6937356E7</v>
      </c>
      <c r="B2603" s="2" t="s">
        <v>1525</v>
      </c>
      <c r="C2603" s="19" t="s">
        <v>7203</v>
      </c>
      <c r="D2603" s="19"/>
      <c r="E2603" s="2"/>
      <c r="F2603" s="19"/>
    </row>
    <row r="2604" ht="15.75" customHeight="1">
      <c r="A2604" s="1">
        <v>5.6938161E7</v>
      </c>
      <c r="B2604" s="2" t="s">
        <v>2900</v>
      </c>
      <c r="C2604" s="19" t="s">
        <v>7204</v>
      </c>
      <c r="D2604" s="19"/>
      <c r="E2604" s="2"/>
      <c r="F2604" s="19"/>
    </row>
    <row r="2605" ht="15.75" customHeight="1">
      <c r="A2605" s="1">
        <v>5.6941817E7</v>
      </c>
      <c r="B2605" s="2" t="s">
        <v>1075</v>
      </c>
      <c r="C2605" s="19" t="s">
        <v>7205</v>
      </c>
      <c r="D2605" s="19"/>
      <c r="E2605" s="2"/>
      <c r="F2605" s="19"/>
    </row>
    <row r="2606" ht="15.75" customHeight="1">
      <c r="A2606" s="1">
        <v>5.694346E7</v>
      </c>
      <c r="B2606" s="2" t="s">
        <v>2864</v>
      </c>
      <c r="C2606" s="19" t="s">
        <v>7206</v>
      </c>
      <c r="D2606" s="19"/>
      <c r="E2606" s="2"/>
      <c r="F2606" s="19"/>
    </row>
    <row r="2607" ht="15.75" customHeight="1">
      <c r="A2607" s="1">
        <v>5.695256E7</v>
      </c>
      <c r="B2607" s="2" t="s">
        <v>3578</v>
      </c>
      <c r="C2607" s="19" t="s">
        <v>7207</v>
      </c>
      <c r="D2607" s="19"/>
      <c r="E2607" s="2"/>
      <c r="F2607" s="19"/>
    </row>
    <row r="2608" ht="15.75" customHeight="1">
      <c r="A2608" s="1">
        <v>5.6953869E7</v>
      </c>
      <c r="B2608" s="2" t="s">
        <v>2340</v>
      </c>
      <c r="C2608" s="19" t="s">
        <v>7208</v>
      </c>
      <c r="D2608" s="19" t="s">
        <v>7209</v>
      </c>
      <c r="E2608" s="2"/>
      <c r="F2608" s="19"/>
    </row>
    <row r="2609" ht="15.75" customHeight="1">
      <c r="A2609" s="1">
        <v>5.6958117E7</v>
      </c>
      <c r="B2609" s="2" t="s">
        <v>3221</v>
      </c>
      <c r="C2609" s="19" t="s">
        <v>7210</v>
      </c>
      <c r="D2609" s="19"/>
      <c r="E2609" s="2"/>
      <c r="F2609" s="19"/>
    </row>
    <row r="2610" ht="15.75" customHeight="1">
      <c r="A2610" s="1">
        <v>5.6958594E7</v>
      </c>
      <c r="B2610" s="2" t="s">
        <v>2344</v>
      </c>
      <c r="C2610" s="19" t="s">
        <v>7211</v>
      </c>
      <c r="D2610" s="19"/>
      <c r="E2610" s="2"/>
      <c r="F2610" s="19"/>
    </row>
    <row r="2611" ht="15.75" customHeight="1">
      <c r="A2611" s="1">
        <v>5.6958772E7</v>
      </c>
      <c r="B2611" s="2" t="s">
        <v>352</v>
      </c>
      <c r="C2611" s="19" t="s">
        <v>7212</v>
      </c>
      <c r="D2611" s="19" t="s">
        <v>7213</v>
      </c>
      <c r="E2611" s="2"/>
      <c r="F2611" s="19"/>
    </row>
    <row r="2612" ht="15.75" customHeight="1">
      <c r="A2612" s="1">
        <v>5.6961193E7</v>
      </c>
      <c r="B2612" s="2" t="s">
        <v>1438</v>
      </c>
      <c r="C2612" s="19" t="s">
        <v>7214</v>
      </c>
      <c r="D2612" s="19" t="s">
        <v>7215</v>
      </c>
      <c r="E2612" s="2"/>
      <c r="F2612" s="19"/>
    </row>
    <row r="2613" ht="15.75" customHeight="1">
      <c r="A2613" s="1">
        <v>5.6962875E7</v>
      </c>
      <c r="B2613" s="2" t="s">
        <v>3012</v>
      </c>
      <c r="C2613" s="19" t="s">
        <v>7216</v>
      </c>
      <c r="D2613" s="19"/>
      <c r="E2613" s="2"/>
      <c r="F2613" s="19"/>
    </row>
    <row r="2614" ht="15.75" customHeight="1">
      <c r="A2614" s="1">
        <v>5.6969396E7</v>
      </c>
      <c r="B2614" s="2" t="s">
        <v>869</v>
      </c>
      <c r="C2614" s="19" t="s">
        <v>7217</v>
      </c>
      <c r="D2614" s="19"/>
      <c r="E2614" s="2"/>
      <c r="F2614" s="19"/>
    </row>
    <row r="2615" ht="15.75" customHeight="1">
      <c r="A2615" s="1">
        <v>5.6970311E7</v>
      </c>
      <c r="B2615" s="2" t="s">
        <v>2072</v>
      </c>
      <c r="C2615" s="19" t="s">
        <v>7218</v>
      </c>
      <c r="D2615" s="19" t="s">
        <v>7219</v>
      </c>
      <c r="E2615" s="2"/>
      <c r="F2615" s="19"/>
    </row>
    <row r="2616" ht="15.75" customHeight="1">
      <c r="A2616" s="1">
        <v>5.6981588E7</v>
      </c>
      <c r="B2616" s="2" t="s">
        <v>1897</v>
      </c>
      <c r="C2616" s="19" t="s">
        <v>7220</v>
      </c>
      <c r="D2616" s="19" t="s">
        <v>7221</v>
      </c>
      <c r="E2616" s="2"/>
      <c r="F2616" s="19"/>
    </row>
    <row r="2617" ht="15.75" customHeight="1">
      <c r="A2617" s="1">
        <v>5.6983444E7</v>
      </c>
      <c r="B2617" s="2" t="s">
        <v>2143</v>
      </c>
      <c r="C2617" s="19" t="s">
        <v>7222</v>
      </c>
      <c r="D2617" s="19"/>
      <c r="E2617" s="2"/>
      <c r="F2617" s="19"/>
    </row>
    <row r="2618" ht="15.75" customHeight="1">
      <c r="A2618" s="1">
        <v>5.6988325E7</v>
      </c>
      <c r="B2618" s="2" t="s">
        <v>3314</v>
      </c>
      <c r="C2618" s="19" t="s">
        <v>7223</v>
      </c>
      <c r="D2618" s="19"/>
      <c r="E2618" s="2"/>
      <c r="F2618" s="19"/>
    </row>
    <row r="2619" ht="15.75" customHeight="1">
      <c r="A2619" s="1">
        <v>5.699021E7</v>
      </c>
      <c r="B2619" s="2" t="s">
        <v>1284</v>
      </c>
      <c r="C2619" s="19" t="s">
        <v>7224</v>
      </c>
      <c r="D2619" s="19" t="s">
        <v>7225</v>
      </c>
      <c r="E2619" s="2"/>
      <c r="F2619" s="19"/>
    </row>
    <row r="2620" ht="15.75" customHeight="1">
      <c r="A2620" s="1">
        <v>5.6991934E7</v>
      </c>
      <c r="B2620" s="2" t="s">
        <v>3222</v>
      </c>
      <c r="C2620" s="19" t="s">
        <v>7226</v>
      </c>
      <c r="D2620" s="19"/>
      <c r="E2620" s="2"/>
      <c r="F2620" s="19"/>
    </row>
    <row r="2621" ht="15.75" customHeight="1">
      <c r="A2621" s="1">
        <v>5.699315E7</v>
      </c>
      <c r="B2621" s="2" t="s">
        <v>2459</v>
      </c>
      <c r="C2621" s="19" t="s">
        <v>7227</v>
      </c>
      <c r="D2621" s="19"/>
      <c r="E2621" s="2"/>
      <c r="F2621" s="19"/>
    </row>
    <row r="2622" ht="15.75" customHeight="1">
      <c r="A2622" s="1">
        <v>5.6995364E7</v>
      </c>
      <c r="B2622" s="2" t="s">
        <v>1089</v>
      </c>
      <c r="C2622" s="19" t="s">
        <v>7228</v>
      </c>
      <c r="D2622" s="19" t="s">
        <v>7229</v>
      </c>
      <c r="E2622" s="2"/>
      <c r="F2622" s="19"/>
    </row>
    <row r="2623" ht="15.75" customHeight="1">
      <c r="A2623" s="1">
        <v>5.7000159E7</v>
      </c>
      <c r="B2623" s="2" t="s">
        <v>1629</v>
      </c>
      <c r="C2623" s="19" t="s">
        <v>7230</v>
      </c>
      <c r="D2623" s="19" t="s">
        <v>7231</v>
      </c>
      <c r="E2623" s="2"/>
      <c r="F2623" s="19"/>
    </row>
    <row r="2624" ht="15.75" customHeight="1">
      <c r="A2624" s="1">
        <v>5.7006123E7</v>
      </c>
      <c r="B2624" s="2" t="s">
        <v>1598</v>
      </c>
      <c r="C2624" s="19" t="s">
        <v>7232</v>
      </c>
      <c r="D2624" s="19"/>
      <c r="E2624" s="2"/>
      <c r="F2624" s="19"/>
    </row>
    <row r="2625" ht="15.75" customHeight="1">
      <c r="A2625" s="1">
        <v>5.7007183E7</v>
      </c>
      <c r="B2625" s="2" t="s">
        <v>3100</v>
      </c>
      <c r="C2625" s="19" t="s">
        <v>7233</v>
      </c>
      <c r="D2625" s="19"/>
      <c r="E2625" s="2"/>
      <c r="F2625" s="19"/>
    </row>
    <row r="2626" ht="15.75" customHeight="1">
      <c r="A2626" s="1">
        <v>5.7008985E7</v>
      </c>
      <c r="B2626" s="2" t="s">
        <v>140</v>
      </c>
      <c r="C2626" s="19" t="s">
        <v>7234</v>
      </c>
      <c r="D2626" s="19" t="s">
        <v>7235</v>
      </c>
      <c r="E2626" s="2"/>
      <c r="F2626" s="19"/>
    </row>
    <row r="2627" ht="15.75" customHeight="1">
      <c r="A2627" s="1">
        <v>5.7012762E7</v>
      </c>
      <c r="B2627" s="2" t="s">
        <v>2785</v>
      </c>
      <c r="C2627" s="19" t="s">
        <v>7236</v>
      </c>
      <c r="D2627" s="19"/>
      <c r="E2627" s="2"/>
      <c r="F2627" s="19"/>
    </row>
    <row r="2628" ht="15.75" customHeight="1">
      <c r="A2628" s="1">
        <v>5.701637E7</v>
      </c>
      <c r="B2628" s="2" t="s">
        <v>2851</v>
      </c>
      <c r="C2628" s="19" t="s">
        <v>7237</v>
      </c>
      <c r="D2628" s="19" t="s">
        <v>7238</v>
      </c>
      <c r="E2628" s="2"/>
      <c r="F2628" s="19"/>
    </row>
    <row r="2629" ht="15.75" customHeight="1">
      <c r="A2629" s="1">
        <v>5.7016969E7</v>
      </c>
      <c r="B2629" s="2" t="s">
        <v>1058</v>
      </c>
      <c r="C2629" s="19" t="s">
        <v>7239</v>
      </c>
      <c r="D2629" s="19" t="s">
        <v>7240</v>
      </c>
      <c r="E2629" s="2"/>
      <c r="F2629" s="19"/>
    </row>
    <row r="2630" ht="15.75" customHeight="1">
      <c r="A2630" s="1">
        <v>5.701712E7</v>
      </c>
      <c r="B2630" s="2" t="s">
        <v>2514</v>
      </c>
      <c r="C2630" s="19" t="s">
        <v>7241</v>
      </c>
      <c r="D2630" s="19" t="s">
        <v>7242</v>
      </c>
      <c r="E2630" s="2"/>
      <c r="F2630" s="19"/>
    </row>
    <row r="2631" ht="15.75" customHeight="1">
      <c r="A2631" s="1">
        <v>5.703434E7</v>
      </c>
      <c r="B2631" s="2" t="s">
        <v>1249</v>
      </c>
      <c r="C2631" s="19" t="s">
        <v>7243</v>
      </c>
      <c r="D2631" s="19"/>
      <c r="E2631" s="2"/>
      <c r="F2631" s="19"/>
    </row>
    <row r="2632" ht="15.75" customHeight="1">
      <c r="A2632" s="1">
        <v>5.7035108E7</v>
      </c>
      <c r="B2632" s="2" t="s">
        <v>1370</v>
      </c>
      <c r="C2632" s="19" t="s">
        <v>7244</v>
      </c>
      <c r="D2632" s="19" t="s">
        <v>7245</v>
      </c>
      <c r="E2632" s="2"/>
      <c r="F2632" s="19"/>
    </row>
    <row r="2633" ht="15.75" customHeight="1">
      <c r="A2633" s="1">
        <v>5.7040864E7</v>
      </c>
      <c r="B2633" s="2" t="s">
        <v>3173</v>
      </c>
      <c r="C2633" s="19" t="s">
        <v>7246</v>
      </c>
      <c r="D2633" s="19"/>
      <c r="E2633" s="2"/>
      <c r="F2633" s="19"/>
    </row>
    <row r="2634" ht="15.75" customHeight="1">
      <c r="A2634" s="1">
        <v>5.7043373E7</v>
      </c>
      <c r="B2634" s="2" t="s">
        <v>2865</v>
      </c>
      <c r="C2634" s="19" t="s">
        <v>7247</v>
      </c>
      <c r="D2634" s="19" t="s">
        <v>7248</v>
      </c>
      <c r="E2634" s="2"/>
      <c r="F2634" s="19"/>
    </row>
    <row r="2635" ht="15.75" customHeight="1">
      <c r="A2635" s="1">
        <v>5.7046996E7</v>
      </c>
      <c r="B2635" s="2" t="s">
        <v>2017</v>
      </c>
      <c r="C2635" s="19" t="s">
        <v>7249</v>
      </c>
      <c r="D2635" s="19" t="s">
        <v>7250</v>
      </c>
      <c r="E2635" s="2"/>
      <c r="F2635" s="19"/>
    </row>
    <row r="2636" ht="15.75" customHeight="1">
      <c r="A2636" s="1">
        <v>5.7061468E7</v>
      </c>
      <c r="B2636" s="2" t="s">
        <v>1998</v>
      </c>
      <c r="C2636" s="19" t="s">
        <v>7251</v>
      </c>
      <c r="D2636" s="19"/>
      <c r="E2636" s="2"/>
      <c r="F2636" s="19"/>
    </row>
    <row r="2637" ht="15.75" customHeight="1">
      <c r="A2637" s="1">
        <v>5.7062051E7</v>
      </c>
      <c r="B2637" s="2" t="s">
        <v>2316</v>
      </c>
      <c r="C2637" s="19" t="s">
        <v>7252</v>
      </c>
      <c r="D2637" s="19"/>
      <c r="E2637" s="2"/>
      <c r="F2637" s="19"/>
    </row>
    <row r="2638" ht="15.75" customHeight="1">
      <c r="A2638" s="1">
        <v>5.7072506E7</v>
      </c>
      <c r="B2638" s="2" t="s">
        <v>2647</v>
      </c>
      <c r="C2638" s="19" t="s">
        <v>7253</v>
      </c>
      <c r="D2638" s="19"/>
      <c r="E2638" s="2"/>
      <c r="F2638" s="19"/>
    </row>
    <row r="2639" ht="15.75" customHeight="1">
      <c r="A2639" s="1">
        <v>5.7076871E7</v>
      </c>
      <c r="B2639" s="2" t="s">
        <v>3174</v>
      </c>
      <c r="C2639" s="19" t="s">
        <v>7254</v>
      </c>
      <c r="D2639" s="19"/>
      <c r="E2639" s="2"/>
      <c r="F2639" s="19"/>
    </row>
    <row r="2640" ht="15.75" customHeight="1">
      <c r="A2640" s="1">
        <v>5.7085012E7</v>
      </c>
      <c r="B2640" s="2" t="s">
        <v>2409</v>
      </c>
      <c r="C2640" s="19" t="s">
        <v>7255</v>
      </c>
      <c r="D2640" s="19"/>
      <c r="E2640" s="2"/>
      <c r="F2640" s="19"/>
    </row>
    <row r="2641" ht="15.75" customHeight="1">
      <c r="A2641" s="1">
        <v>5.7089313E7</v>
      </c>
      <c r="B2641" s="2" t="s">
        <v>2298</v>
      </c>
      <c r="C2641" s="19" t="s">
        <v>7256</v>
      </c>
      <c r="D2641" s="19" t="s">
        <v>7257</v>
      </c>
      <c r="E2641" s="2"/>
      <c r="F2641" s="19"/>
    </row>
    <row r="2642" ht="15.75" customHeight="1">
      <c r="A2642" s="1">
        <v>5.7097533E7</v>
      </c>
      <c r="B2642" s="2" t="s">
        <v>3013</v>
      </c>
      <c r="C2642" s="19" t="s">
        <v>7258</v>
      </c>
      <c r="D2642" s="19"/>
      <c r="E2642" s="2"/>
      <c r="F2642" s="19"/>
    </row>
    <row r="2643" ht="15.75" customHeight="1">
      <c r="A2643" s="1">
        <v>5.7098814E7</v>
      </c>
      <c r="B2643" s="2" t="s">
        <v>2285</v>
      </c>
      <c r="C2643" s="19" t="s">
        <v>7259</v>
      </c>
      <c r="D2643" s="19"/>
      <c r="E2643" s="2"/>
      <c r="F2643" s="19"/>
    </row>
    <row r="2644" ht="15.75" customHeight="1">
      <c r="A2644" s="1">
        <v>5.7115085E7</v>
      </c>
      <c r="B2644" s="2" t="s">
        <v>1725</v>
      </c>
      <c r="C2644" s="19" t="s">
        <v>7260</v>
      </c>
      <c r="D2644" s="19"/>
      <c r="E2644" s="2"/>
      <c r="F2644" s="19"/>
    </row>
    <row r="2645" ht="15.75" customHeight="1">
      <c r="A2645" s="1">
        <v>5.7124843E7</v>
      </c>
      <c r="B2645" s="2" t="s">
        <v>3196</v>
      </c>
      <c r="C2645" s="19" t="s">
        <v>7261</v>
      </c>
      <c r="D2645" s="19"/>
      <c r="E2645" s="2"/>
      <c r="F2645" s="19"/>
    </row>
    <row r="2646" ht="15.75" customHeight="1">
      <c r="A2646" s="1">
        <v>5.7126292E7</v>
      </c>
      <c r="B2646" s="2" t="s">
        <v>1047</v>
      </c>
      <c r="C2646" s="19" t="s">
        <v>7262</v>
      </c>
      <c r="D2646" s="19" t="s">
        <v>7263</v>
      </c>
      <c r="E2646" s="2"/>
      <c r="F2646" s="19"/>
    </row>
    <row r="2647" ht="15.75" customHeight="1">
      <c r="A2647" s="1">
        <v>5.7127349E7</v>
      </c>
      <c r="B2647" s="2" t="s">
        <v>1939</v>
      </c>
      <c r="C2647" s="19" t="s">
        <v>7264</v>
      </c>
      <c r="D2647" s="19" t="s">
        <v>7265</v>
      </c>
      <c r="E2647" s="2"/>
      <c r="F2647" s="19"/>
    </row>
    <row r="2648" ht="15.75" customHeight="1">
      <c r="A2648" s="1">
        <v>5.7129117E7</v>
      </c>
      <c r="B2648" s="2" t="s">
        <v>2852</v>
      </c>
      <c r="C2648" s="19" t="s">
        <v>7266</v>
      </c>
      <c r="D2648" s="19"/>
      <c r="E2648" s="2"/>
      <c r="F2648" s="19"/>
    </row>
    <row r="2649" ht="15.75" customHeight="1">
      <c r="A2649" s="1">
        <v>5.7131917E7</v>
      </c>
      <c r="B2649" s="2" t="s">
        <v>2047</v>
      </c>
      <c r="C2649" s="19" t="s">
        <v>7267</v>
      </c>
      <c r="D2649" s="19" t="s">
        <v>7268</v>
      </c>
      <c r="E2649" s="2"/>
      <c r="F2649" s="19"/>
    </row>
    <row r="2650" ht="15.75" customHeight="1">
      <c r="A2650" s="1">
        <v>5.713361E7</v>
      </c>
      <c r="B2650" s="2" t="s">
        <v>3101</v>
      </c>
      <c r="C2650" s="19" t="s">
        <v>7269</v>
      </c>
      <c r="D2650" s="19" t="s">
        <v>7270</v>
      </c>
      <c r="E2650" s="2"/>
      <c r="F2650" s="19"/>
    </row>
    <row r="2651" ht="15.75" customHeight="1">
      <c r="A2651" s="1">
        <v>5.7139722E7</v>
      </c>
      <c r="B2651" s="2" t="s">
        <v>3223</v>
      </c>
      <c r="C2651" s="19" t="s">
        <v>7271</v>
      </c>
      <c r="D2651" s="19"/>
      <c r="E2651" s="2"/>
      <c r="F2651" s="19"/>
    </row>
    <row r="2652" ht="15.75" customHeight="1">
      <c r="A2652" s="1">
        <v>5.7143256E7</v>
      </c>
      <c r="B2652" s="2" t="s">
        <v>3424</v>
      </c>
      <c r="C2652" s="19" t="s">
        <v>7272</v>
      </c>
      <c r="D2652" s="19"/>
      <c r="E2652" s="2"/>
      <c r="F2652" s="19"/>
    </row>
    <row r="2653" ht="15.75" customHeight="1">
      <c r="A2653" s="1">
        <v>5.7146989E7</v>
      </c>
      <c r="B2653" s="2" t="s">
        <v>1811</v>
      </c>
      <c r="C2653" s="19" t="s">
        <v>7273</v>
      </c>
      <c r="D2653" s="19"/>
      <c r="E2653" s="2"/>
      <c r="F2653" s="19"/>
    </row>
    <row r="2654" ht="15.75" customHeight="1">
      <c r="A2654" s="1">
        <v>5.7151076E7</v>
      </c>
      <c r="B2654" s="2" t="s">
        <v>1094</v>
      </c>
      <c r="C2654" s="19" t="s">
        <v>7274</v>
      </c>
      <c r="D2654" s="19"/>
      <c r="E2654" s="2"/>
      <c r="F2654" s="19"/>
    </row>
    <row r="2655" ht="15.75" customHeight="1">
      <c r="A2655" s="1">
        <v>5.7156494E7</v>
      </c>
      <c r="B2655" s="2" t="s">
        <v>1549</v>
      </c>
      <c r="C2655" s="19" t="s">
        <v>7275</v>
      </c>
      <c r="D2655" s="19"/>
      <c r="E2655" s="2"/>
      <c r="F2655" s="19"/>
    </row>
    <row r="2656" ht="15.75" customHeight="1">
      <c r="A2656" s="1">
        <v>5.716E7</v>
      </c>
      <c r="B2656" s="2" t="s">
        <v>3628</v>
      </c>
      <c r="C2656" s="19" t="s">
        <v>7276</v>
      </c>
      <c r="D2656" s="19"/>
      <c r="E2656" s="2"/>
      <c r="F2656" s="19"/>
    </row>
    <row r="2657" ht="15.75" customHeight="1">
      <c r="A2657" s="1">
        <v>5.7161753E7</v>
      </c>
      <c r="B2657" s="2" t="s">
        <v>2681</v>
      </c>
      <c r="C2657" s="19" t="s">
        <v>7277</v>
      </c>
      <c r="D2657" s="19"/>
      <c r="E2657" s="2"/>
      <c r="F2657" s="19"/>
    </row>
    <row r="2658" ht="15.75" customHeight="1">
      <c r="A2658" s="1">
        <v>5.7163127E7</v>
      </c>
      <c r="B2658" s="2" t="s">
        <v>1494</v>
      </c>
      <c r="C2658" s="19" t="s">
        <v>7278</v>
      </c>
      <c r="D2658" s="19"/>
      <c r="E2658" s="2"/>
      <c r="F2658" s="19"/>
    </row>
    <row r="2659" ht="15.75" customHeight="1">
      <c r="A2659" s="1">
        <v>5.7164103E7</v>
      </c>
      <c r="B2659" s="2" t="s">
        <v>1832</v>
      </c>
      <c r="C2659" s="19" t="s">
        <v>7279</v>
      </c>
      <c r="D2659" s="19"/>
      <c r="E2659" s="2"/>
      <c r="F2659" s="19"/>
    </row>
    <row r="2660" ht="15.75" customHeight="1">
      <c r="A2660" s="1">
        <v>5.7167951E7</v>
      </c>
      <c r="B2660" s="2" t="s">
        <v>3070</v>
      </c>
      <c r="C2660" s="19" t="s">
        <v>7280</v>
      </c>
      <c r="D2660" s="19"/>
      <c r="E2660" s="2"/>
      <c r="F2660" s="19"/>
    </row>
    <row r="2661" ht="15.75" customHeight="1">
      <c r="A2661" s="1">
        <v>5.7169785E7</v>
      </c>
      <c r="B2661" s="2" t="s">
        <v>3519</v>
      </c>
      <c r="C2661" s="19" t="s">
        <v>7281</v>
      </c>
      <c r="D2661" s="19"/>
      <c r="E2661" s="2"/>
      <c r="F2661" s="19"/>
    </row>
    <row r="2662" ht="15.75" customHeight="1">
      <c r="A2662" s="1">
        <v>5.7170075E7</v>
      </c>
      <c r="B2662" s="2" t="s">
        <v>2005</v>
      </c>
      <c r="C2662" s="19" t="s">
        <v>7282</v>
      </c>
      <c r="D2662" s="19"/>
      <c r="E2662" s="2"/>
      <c r="F2662" s="19"/>
    </row>
    <row r="2663" ht="15.75" customHeight="1">
      <c r="A2663" s="1">
        <v>5.7170193E7</v>
      </c>
      <c r="B2663" s="2" t="s">
        <v>2246</v>
      </c>
      <c r="C2663" s="19" t="s">
        <v>7283</v>
      </c>
      <c r="D2663" s="19"/>
      <c r="E2663" s="2"/>
      <c r="F2663" s="19"/>
    </row>
    <row r="2664" ht="15.75" customHeight="1">
      <c r="A2664" s="1">
        <v>5.7171261E7</v>
      </c>
      <c r="B2664" s="2" t="s">
        <v>2561</v>
      </c>
      <c r="C2664" s="19" t="s">
        <v>7284</v>
      </c>
      <c r="D2664" s="19"/>
      <c r="E2664" s="2"/>
      <c r="F2664" s="19"/>
    </row>
    <row r="2665" ht="15.75" customHeight="1">
      <c r="A2665" s="1">
        <v>5.7172082E7</v>
      </c>
      <c r="B2665" s="2" t="s">
        <v>3345</v>
      </c>
      <c r="C2665" s="19" t="s">
        <v>7285</v>
      </c>
      <c r="D2665" s="19"/>
      <c r="E2665" s="2"/>
      <c r="F2665" s="19"/>
    </row>
    <row r="2666" ht="15.75" customHeight="1">
      <c r="A2666" s="1">
        <v>5.7172673E7</v>
      </c>
      <c r="B2666" s="2" t="s">
        <v>2648</v>
      </c>
      <c r="C2666" s="19" t="s">
        <v>7286</v>
      </c>
      <c r="D2666" s="19" t="s">
        <v>7287</v>
      </c>
      <c r="E2666" s="2"/>
      <c r="F2666" s="19"/>
    </row>
    <row r="2667" ht="15.75" customHeight="1">
      <c r="A2667" s="1">
        <v>5.7185134E7</v>
      </c>
      <c r="B2667" s="2" t="s">
        <v>3301</v>
      </c>
      <c r="C2667" s="19" t="s">
        <v>7288</v>
      </c>
      <c r="D2667" s="19"/>
      <c r="E2667" s="2"/>
      <c r="F2667" s="19"/>
    </row>
    <row r="2668" ht="15.75" customHeight="1">
      <c r="A2668" s="1">
        <v>5.7191507E7</v>
      </c>
      <c r="B2668" s="2" t="s">
        <v>3302</v>
      </c>
      <c r="C2668" s="19" t="s">
        <v>7289</v>
      </c>
      <c r="D2668" s="19"/>
      <c r="E2668" s="2"/>
      <c r="F2668" s="19"/>
    </row>
    <row r="2669" ht="15.75" customHeight="1">
      <c r="A2669" s="1">
        <v>5.7193206E7</v>
      </c>
      <c r="B2669" s="2" t="s">
        <v>2485</v>
      </c>
      <c r="C2669" s="19" t="s">
        <v>7290</v>
      </c>
      <c r="D2669" s="19"/>
      <c r="E2669" s="2"/>
      <c r="F2669" s="19"/>
    </row>
    <row r="2670" ht="15.75" customHeight="1">
      <c r="A2670" s="1">
        <v>5.7193594E7</v>
      </c>
      <c r="B2670" s="2" t="s">
        <v>3071</v>
      </c>
      <c r="C2670" s="19" t="s">
        <v>7291</v>
      </c>
      <c r="D2670" s="19"/>
      <c r="E2670" s="2"/>
      <c r="F2670" s="19"/>
    </row>
    <row r="2671" ht="15.75" customHeight="1">
      <c r="A2671" s="1">
        <v>5.719378E7</v>
      </c>
      <c r="B2671" s="2" t="s">
        <v>3277</v>
      </c>
      <c r="C2671" s="19" t="s">
        <v>7292</v>
      </c>
      <c r="D2671" s="19"/>
      <c r="E2671" s="2"/>
      <c r="F2671" s="19"/>
    </row>
    <row r="2672" ht="15.75" customHeight="1">
      <c r="A2672" s="1">
        <v>5.7193893E7</v>
      </c>
      <c r="B2672" s="2" t="s">
        <v>2515</v>
      </c>
      <c r="C2672" s="19" t="s">
        <v>7293</v>
      </c>
      <c r="D2672" s="19"/>
      <c r="E2672" s="2"/>
      <c r="F2672" s="19"/>
    </row>
    <row r="2673" ht="15.75" customHeight="1">
      <c r="A2673" s="1">
        <v>5.719779E7</v>
      </c>
      <c r="B2673" s="2" t="s">
        <v>1309</v>
      </c>
      <c r="C2673" s="19" t="s">
        <v>7294</v>
      </c>
      <c r="D2673" s="19"/>
      <c r="E2673" s="2"/>
      <c r="F2673" s="19"/>
    </row>
    <row r="2674" ht="15.75" customHeight="1">
      <c r="A2674" s="1">
        <v>5.7201832E7</v>
      </c>
      <c r="B2674" s="2" t="s">
        <v>712</v>
      </c>
      <c r="C2674" s="19" t="s">
        <v>7295</v>
      </c>
      <c r="D2674" s="19"/>
      <c r="E2674" s="2"/>
      <c r="F2674" s="19"/>
    </row>
    <row r="2675" ht="15.75" customHeight="1">
      <c r="A2675" s="1">
        <v>5.7204867E7</v>
      </c>
      <c r="B2675" s="2" t="s">
        <v>3520</v>
      </c>
      <c r="C2675" s="19" t="s">
        <v>7296</v>
      </c>
      <c r="D2675" s="19"/>
      <c r="E2675" s="2"/>
      <c r="F2675" s="19"/>
    </row>
    <row r="2676" ht="15.75" customHeight="1">
      <c r="A2676" s="1">
        <v>5.7205404E7</v>
      </c>
      <c r="B2676" s="2" t="s">
        <v>3197</v>
      </c>
      <c r="C2676" s="19" t="s">
        <v>7297</v>
      </c>
      <c r="D2676" s="19" t="s">
        <v>7298</v>
      </c>
      <c r="E2676" s="2"/>
      <c r="F2676" s="19"/>
    </row>
    <row r="2677" ht="15.75" customHeight="1">
      <c r="A2677" s="1">
        <v>5.7205632E7</v>
      </c>
      <c r="B2677" s="2" t="s">
        <v>3102</v>
      </c>
      <c r="C2677" s="19" t="s">
        <v>7299</v>
      </c>
      <c r="D2677" s="19"/>
      <c r="E2677" s="2"/>
      <c r="F2677" s="19"/>
    </row>
    <row r="2678" ht="15.75" customHeight="1">
      <c r="A2678" s="1">
        <v>5.7205735E7</v>
      </c>
      <c r="B2678" s="2" t="s">
        <v>3346</v>
      </c>
      <c r="C2678" s="19" t="s">
        <v>7300</v>
      </c>
      <c r="D2678" s="19" t="s">
        <v>7301</v>
      </c>
      <c r="E2678" s="2"/>
      <c r="F2678" s="19"/>
    </row>
    <row r="2679" ht="15.75" customHeight="1">
      <c r="A2679" s="1">
        <v>5.720712E7</v>
      </c>
      <c r="B2679" s="2" t="s">
        <v>2499</v>
      </c>
      <c r="C2679" s="19" t="s">
        <v>7302</v>
      </c>
      <c r="D2679" s="19"/>
      <c r="E2679" s="2"/>
      <c r="F2679" s="19"/>
    </row>
    <row r="2680" ht="15.75" customHeight="1">
      <c r="A2680" s="1">
        <v>5.7211188E7</v>
      </c>
      <c r="B2680" s="2" t="s">
        <v>2866</v>
      </c>
      <c r="C2680" s="19" t="s">
        <v>7303</v>
      </c>
      <c r="D2680" s="19"/>
      <c r="E2680" s="2"/>
      <c r="F2680" s="19"/>
    </row>
    <row r="2681" ht="15.75" customHeight="1">
      <c r="A2681" s="1">
        <v>5.7212629E7</v>
      </c>
      <c r="B2681" s="2" t="s">
        <v>2901</v>
      </c>
      <c r="C2681" s="19" t="s">
        <v>7304</v>
      </c>
      <c r="D2681" s="19"/>
      <c r="E2681" s="2"/>
      <c r="F2681" s="19"/>
    </row>
    <row r="2682" ht="15.75" customHeight="1">
      <c r="A2682" s="1">
        <v>5.7216381E7</v>
      </c>
      <c r="B2682" s="2" t="s">
        <v>1436</v>
      </c>
      <c r="C2682" s="19" t="s">
        <v>7305</v>
      </c>
      <c r="D2682" s="19" t="s">
        <v>7306</v>
      </c>
      <c r="E2682" s="2"/>
      <c r="F2682" s="19"/>
    </row>
    <row r="2683" ht="15.75" customHeight="1">
      <c r="A2683" s="1">
        <v>5.7218185E7</v>
      </c>
      <c r="B2683" s="2" t="s">
        <v>2764</v>
      </c>
      <c r="C2683" s="19" t="s">
        <v>7307</v>
      </c>
      <c r="D2683" s="19"/>
      <c r="E2683" s="2"/>
      <c r="F2683" s="19"/>
    </row>
    <row r="2684" ht="15.75" customHeight="1">
      <c r="A2684" s="1">
        <v>5.721962E7</v>
      </c>
      <c r="B2684" s="2" t="s">
        <v>840</v>
      </c>
      <c r="C2684" s="19" t="s">
        <v>7308</v>
      </c>
      <c r="D2684" s="19"/>
      <c r="E2684" s="2"/>
      <c r="F2684" s="19"/>
    </row>
    <row r="2685" ht="15.75" customHeight="1">
      <c r="A2685" s="1">
        <v>5.7223376E7</v>
      </c>
      <c r="B2685" s="2" t="s">
        <v>458</v>
      </c>
      <c r="C2685" s="19" t="s">
        <v>7309</v>
      </c>
      <c r="D2685" s="19"/>
      <c r="E2685" s="2"/>
      <c r="F2685" s="19"/>
    </row>
    <row r="2686" ht="15.75" customHeight="1">
      <c r="A2686" s="1">
        <v>5.7228609E7</v>
      </c>
      <c r="B2686" s="2" t="s">
        <v>3391</v>
      </c>
      <c r="C2686" s="19" t="s">
        <v>7310</v>
      </c>
      <c r="D2686" s="19"/>
      <c r="E2686" s="2"/>
      <c r="F2686" s="19"/>
    </row>
    <row r="2687" ht="15.75" customHeight="1">
      <c r="A2687" s="1">
        <v>5.7233121E7</v>
      </c>
      <c r="B2687" s="2" t="s">
        <v>2110</v>
      </c>
      <c r="C2687" s="19" t="s">
        <v>7311</v>
      </c>
      <c r="D2687" s="19"/>
      <c r="E2687" s="2"/>
      <c r="F2687" s="19"/>
    </row>
    <row r="2688" ht="15.75" customHeight="1">
      <c r="A2688" s="1">
        <v>5.7235975E7</v>
      </c>
      <c r="B2688" s="2" t="s">
        <v>2670</v>
      </c>
      <c r="C2688" s="19" t="s">
        <v>7312</v>
      </c>
      <c r="D2688" s="19"/>
      <c r="E2688" s="2"/>
      <c r="F2688" s="19"/>
    </row>
    <row r="2689" ht="15.75" customHeight="1">
      <c r="A2689" s="1">
        <v>5.7248253E7</v>
      </c>
      <c r="B2689" s="2" t="s">
        <v>3224</v>
      </c>
      <c r="C2689" s="19" t="s">
        <v>7313</v>
      </c>
      <c r="D2689" s="19" t="s">
        <v>7314</v>
      </c>
      <c r="E2689" s="2"/>
      <c r="F2689" s="19"/>
    </row>
    <row r="2690" ht="15.75" customHeight="1">
      <c r="A2690" s="1">
        <v>5.725035E7</v>
      </c>
      <c r="B2690" s="2" t="s">
        <v>3409</v>
      </c>
      <c r="C2690" s="19" t="s">
        <v>7315</v>
      </c>
      <c r="D2690" s="19"/>
      <c r="E2690" s="2"/>
      <c r="F2690" s="19"/>
    </row>
    <row r="2691" ht="15.75" customHeight="1">
      <c r="A2691" s="1">
        <v>5.7250709E7</v>
      </c>
      <c r="B2691" s="2" t="s">
        <v>2299</v>
      </c>
      <c r="C2691" s="19" t="s">
        <v>7316</v>
      </c>
      <c r="D2691" s="19"/>
      <c r="E2691" s="2"/>
      <c r="F2691" s="19"/>
    </row>
    <row r="2692" ht="15.75" customHeight="1">
      <c r="A2692" s="1">
        <v>5.7255303E7</v>
      </c>
      <c r="B2692" s="2" t="s">
        <v>2073</v>
      </c>
      <c r="C2692" s="19" t="s">
        <v>7317</v>
      </c>
      <c r="D2692" s="19"/>
      <c r="E2692" s="2"/>
      <c r="F2692" s="19"/>
    </row>
    <row r="2693" ht="15.75" customHeight="1">
      <c r="A2693" s="1">
        <v>5.7256084E7</v>
      </c>
      <c r="B2693" s="2" t="s">
        <v>3014</v>
      </c>
      <c r="C2693" s="19" t="s">
        <v>7318</v>
      </c>
      <c r="D2693" s="19"/>
      <c r="E2693" s="2"/>
      <c r="F2693" s="19"/>
    </row>
    <row r="2694" ht="15.75" customHeight="1">
      <c r="A2694" s="1">
        <v>5.7261342E7</v>
      </c>
      <c r="B2694" s="2" t="s">
        <v>109</v>
      </c>
      <c r="C2694" s="19" t="s">
        <v>7319</v>
      </c>
      <c r="D2694" s="19" t="s">
        <v>7320</v>
      </c>
      <c r="E2694" s="2"/>
      <c r="F2694" s="19"/>
    </row>
    <row r="2695" ht="15.75" customHeight="1">
      <c r="A2695" s="1">
        <v>5.7262448E7</v>
      </c>
      <c r="B2695" s="2" t="s">
        <v>3251</v>
      </c>
      <c r="C2695" s="19" t="s">
        <v>7321</v>
      </c>
      <c r="D2695" s="19"/>
      <c r="E2695" s="2"/>
      <c r="F2695" s="19"/>
    </row>
    <row r="2696" ht="15.75" customHeight="1">
      <c r="A2696" s="1">
        <v>5.7264711E7</v>
      </c>
      <c r="B2696" s="2" t="s">
        <v>2992</v>
      </c>
      <c r="C2696" s="19" t="s">
        <v>7322</v>
      </c>
      <c r="D2696" s="19"/>
      <c r="E2696" s="2"/>
      <c r="F2696" s="19"/>
    </row>
    <row r="2697" ht="15.75" customHeight="1">
      <c r="A2697" s="1">
        <v>5.7265782E7</v>
      </c>
      <c r="B2697" s="2" t="s">
        <v>2562</v>
      </c>
      <c r="C2697" s="19" t="s">
        <v>7323</v>
      </c>
      <c r="D2697" s="19"/>
      <c r="E2697" s="2"/>
      <c r="F2697" s="19"/>
    </row>
    <row r="2698" ht="15.75" customHeight="1">
      <c r="A2698" s="1">
        <v>5.7271657E7</v>
      </c>
      <c r="B2698" s="2" t="s">
        <v>2031</v>
      </c>
      <c r="C2698" s="19" t="s">
        <v>7324</v>
      </c>
      <c r="D2698" s="19"/>
      <c r="E2698" s="2"/>
      <c r="F2698" s="19"/>
    </row>
    <row r="2699" ht="15.75" customHeight="1">
      <c r="A2699" s="1">
        <v>5.7278489E7</v>
      </c>
      <c r="B2699" s="2" t="s">
        <v>2694</v>
      </c>
      <c r="C2699" s="19" t="s">
        <v>7325</v>
      </c>
      <c r="D2699" s="19"/>
      <c r="E2699" s="2"/>
      <c r="F2699" s="19"/>
    </row>
    <row r="2700" ht="15.75" customHeight="1">
      <c r="A2700" s="1">
        <v>5.727945E7</v>
      </c>
      <c r="B2700" s="2" t="s">
        <v>3502</v>
      </c>
      <c r="C2700" s="19" t="s">
        <v>7326</v>
      </c>
      <c r="D2700" s="19"/>
      <c r="E2700" s="2"/>
      <c r="F2700" s="19"/>
    </row>
    <row r="2701" ht="15.75" customHeight="1">
      <c r="A2701" s="1">
        <v>5.7282075E7</v>
      </c>
      <c r="B2701" s="2" t="s">
        <v>2051</v>
      </c>
      <c r="C2701" s="19" t="s">
        <v>7327</v>
      </c>
      <c r="D2701" s="19"/>
      <c r="E2701" s="2"/>
      <c r="F2701" s="19"/>
    </row>
    <row r="2702" ht="15.75" customHeight="1">
      <c r="A2702" s="1">
        <v>5.7289721E7</v>
      </c>
      <c r="B2702" s="2" t="s">
        <v>1968</v>
      </c>
      <c r="C2702" s="19" t="s">
        <v>7328</v>
      </c>
      <c r="D2702" s="19" t="s">
        <v>7329</v>
      </c>
      <c r="E2702" s="2"/>
      <c r="F2702" s="19"/>
    </row>
    <row r="2703" ht="15.75" customHeight="1">
      <c r="A2703" s="1">
        <v>5.7290189E7</v>
      </c>
      <c r="B2703" s="2" t="s">
        <v>2731</v>
      </c>
      <c r="C2703" s="19" t="s">
        <v>7330</v>
      </c>
      <c r="D2703" s="19"/>
      <c r="E2703" s="2"/>
      <c r="F2703" s="19"/>
    </row>
    <row r="2704" ht="15.75" customHeight="1">
      <c r="A2704" s="1">
        <v>5.7293526E7</v>
      </c>
      <c r="B2704" s="2" t="s">
        <v>1269</v>
      </c>
      <c r="C2704" s="19" t="s">
        <v>7331</v>
      </c>
      <c r="D2704" s="19" t="s">
        <v>7332</v>
      </c>
      <c r="E2704" s="2"/>
      <c r="F2704" s="19"/>
    </row>
    <row r="2705" ht="15.75" customHeight="1">
      <c r="A2705" s="1">
        <v>5.7293755E7</v>
      </c>
      <c r="B2705" s="2" t="s">
        <v>2018</v>
      </c>
      <c r="C2705" s="19" t="s">
        <v>7333</v>
      </c>
      <c r="D2705" s="19"/>
      <c r="E2705" s="2"/>
      <c r="F2705" s="19"/>
    </row>
    <row r="2706" ht="15.75" customHeight="1">
      <c r="A2706" s="1">
        <v>5.7297387E7</v>
      </c>
      <c r="B2706" s="2" t="s">
        <v>3252</v>
      </c>
      <c r="C2706" s="19" t="s">
        <v>7334</v>
      </c>
      <c r="D2706" s="19"/>
      <c r="E2706" s="2"/>
      <c r="F2706" s="19"/>
    </row>
    <row r="2707" ht="15.75" customHeight="1">
      <c r="A2707" s="1">
        <v>5.7303807E7</v>
      </c>
      <c r="B2707" s="2" t="s">
        <v>1813</v>
      </c>
      <c r="C2707" s="19" t="s">
        <v>7335</v>
      </c>
      <c r="D2707" s="19"/>
      <c r="E2707" s="2"/>
      <c r="F2707" s="19"/>
    </row>
    <row r="2708" ht="15.75" customHeight="1">
      <c r="A2708" s="1">
        <v>5.7304116E7</v>
      </c>
      <c r="B2708" s="2" t="s">
        <v>1476</v>
      </c>
      <c r="C2708" s="19" t="s">
        <v>7336</v>
      </c>
      <c r="D2708" s="19"/>
      <c r="E2708" s="2"/>
      <c r="F2708" s="19"/>
    </row>
    <row r="2709" ht="15.75" customHeight="1">
      <c r="A2709" s="1">
        <v>5.7306224E7</v>
      </c>
      <c r="B2709" s="2" t="s">
        <v>1532</v>
      </c>
      <c r="C2709" s="19" t="s">
        <v>7337</v>
      </c>
      <c r="D2709" s="19"/>
      <c r="E2709" s="2"/>
      <c r="F2709" s="19"/>
    </row>
    <row r="2710" ht="15.75" customHeight="1">
      <c r="A2710" s="1">
        <v>5.7309184E7</v>
      </c>
      <c r="B2710" s="2" t="s">
        <v>3392</v>
      </c>
      <c r="C2710" s="19" t="s">
        <v>7338</v>
      </c>
      <c r="D2710" s="19"/>
      <c r="E2710" s="2"/>
      <c r="F2710" s="19"/>
    </row>
    <row r="2711" ht="15.75" customHeight="1">
      <c r="A2711" s="1">
        <v>5.7310081E7</v>
      </c>
      <c r="B2711" s="2" t="s">
        <v>1981</v>
      </c>
      <c r="C2711" s="19" t="s">
        <v>7339</v>
      </c>
      <c r="D2711" s="19"/>
      <c r="E2711" s="2"/>
      <c r="F2711" s="19"/>
    </row>
    <row r="2712" ht="15.75" customHeight="1">
      <c r="A2712" s="1">
        <v>5.7312847E7</v>
      </c>
      <c r="B2712" s="2" t="s">
        <v>3225</v>
      </c>
      <c r="C2712" s="19" t="s">
        <v>7340</v>
      </c>
      <c r="D2712" s="19"/>
      <c r="E2712" s="2"/>
      <c r="F2712" s="19"/>
    </row>
    <row r="2713" ht="15.75" customHeight="1">
      <c r="A2713" s="1">
        <v>5.7314923E7</v>
      </c>
      <c r="B2713" s="2" t="s">
        <v>2041</v>
      </c>
      <c r="C2713" s="19" t="s">
        <v>7341</v>
      </c>
      <c r="D2713" s="19"/>
      <c r="E2713" s="2"/>
      <c r="F2713" s="19"/>
    </row>
    <row r="2714" ht="15.75" customHeight="1">
      <c r="A2714" s="1">
        <v>5.7315003E7</v>
      </c>
      <c r="B2714" s="2" t="s">
        <v>2744</v>
      </c>
      <c r="C2714" s="19" t="s">
        <v>7342</v>
      </c>
      <c r="D2714" s="19"/>
      <c r="E2714" s="2"/>
      <c r="F2714" s="19"/>
    </row>
    <row r="2715" ht="15.75" customHeight="1">
      <c r="A2715" s="1">
        <v>5.7316012E7</v>
      </c>
      <c r="B2715" s="2" t="s">
        <v>1561</v>
      </c>
      <c r="C2715" s="19" t="s">
        <v>7343</v>
      </c>
      <c r="D2715" s="19" t="s">
        <v>7344</v>
      </c>
      <c r="E2715" s="2"/>
      <c r="F2715" s="19"/>
    </row>
    <row r="2716" ht="15.75" customHeight="1">
      <c r="A2716" s="1">
        <v>5.7316318E7</v>
      </c>
      <c r="B2716" s="2" t="s">
        <v>2969</v>
      </c>
      <c r="C2716" s="19" t="s">
        <v>7345</v>
      </c>
      <c r="D2716" s="19" t="s">
        <v>7346</v>
      </c>
      <c r="E2716" s="2"/>
      <c r="F2716" s="19"/>
    </row>
    <row r="2717" ht="15.75" customHeight="1">
      <c r="A2717" s="1">
        <v>5.7322919E7</v>
      </c>
      <c r="B2717" s="2" t="s">
        <v>2341</v>
      </c>
      <c r="C2717" s="19" t="s">
        <v>7347</v>
      </c>
      <c r="D2717" s="19" t="s">
        <v>7348</v>
      </c>
      <c r="E2717" s="2"/>
      <c r="F2717" s="19"/>
    </row>
    <row r="2718" ht="15.75" customHeight="1">
      <c r="A2718" s="1">
        <v>5.7325266E7</v>
      </c>
      <c r="B2718" s="2" t="s">
        <v>2286</v>
      </c>
      <c r="C2718" s="19" t="s">
        <v>7349</v>
      </c>
      <c r="D2718" s="19" t="s">
        <v>7350</v>
      </c>
      <c r="E2718" s="2"/>
      <c r="F2718" s="19"/>
    </row>
    <row r="2719" ht="15.75" customHeight="1">
      <c r="A2719" s="1">
        <v>5.7325762E7</v>
      </c>
      <c r="B2719" s="2" t="s">
        <v>943</v>
      </c>
      <c r="C2719" s="19" t="s">
        <v>7351</v>
      </c>
      <c r="D2719" s="19"/>
      <c r="E2719" s="2"/>
      <c r="F2719" s="19"/>
    </row>
    <row r="2720" ht="15.75" customHeight="1">
      <c r="A2720" s="1">
        <v>5.7355228E7</v>
      </c>
      <c r="B2720" s="2" t="s">
        <v>2717</v>
      </c>
      <c r="C2720" s="19" t="s">
        <v>7352</v>
      </c>
      <c r="D2720" s="19"/>
      <c r="E2720" s="2"/>
      <c r="F2720" s="19"/>
    </row>
    <row r="2721" ht="15.75" customHeight="1">
      <c r="A2721" s="1">
        <v>5.7357758E7</v>
      </c>
      <c r="B2721" s="2" t="s">
        <v>1708</v>
      </c>
      <c r="C2721" s="19" t="s">
        <v>7353</v>
      </c>
      <c r="D2721" s="19"/>
      <c r="E2721" s="2"/>
      <c r="F2721" s="19"/>
    </row>
    <row r="2722" ht="15.75" customHeight="1">
      <c r="A2722" s="1">
        <v>5.7359844E7</v>
      </c>
      <c r="B2722" s="2" t="s">
        <v>2394</v>
      </c>
      <c r="C2722" s="19" t="s">
        <v>7354</v>
      </c>
      <c r="D2722" s="19" t="s">
        <v>7355</v>
      </c>
      <c r="E2722" s="2"/>
      <c r="F2722" s="19"/>
    </row>
    <row r="2723" ht="15.75" customHeight="1">
      <c r="A2723" s="1">
        <v>5.7359876E7</v>
      </c>
      <c r="B2723" s="2" t="s">
        <v>1536</v>
      </c>
      <c r="C2723" s="19" t="s">
        <v>7356</v>
      </c>
      <c r="D2723" s="19" t="s">
        <v>7357</v>
      </c>
      <c r="E2723" s="2"/>
      <c r="F2723" s="19"/>
    </row>
    <row r="2724" ht="15.75" customHeight="1">
      <c r="A2724" s="1">
        <v>5.7363284E7</v>
      </c>
      <c r="B2724" s="2" t="s">
        <v>2949</v>
      </c>
      <c r="C2724" s="19" t="s">
        <v>7358</v>
      </c>
      <c r="D2724" s="19"/>
      <c r="E2724" s="2"/>
      <c r="F2724" s="19"/>
    </row>
    <row r="2725" ht="15.75" customHeight="1">
      <c r="A2725" s="1">
        <v>5.7366982E7</v>
      </c>
      <c r="B2725" s="2" t="s">
        <v>2516</v>
      </c>
      <c r="C2725" s="19" t="s">
        <v>7359</v>
      </c>
      <c r="D2725" s="19" t="s">
        <v>7360</v>
      </c>
      <c r="E2725" s="2"/>
      <c r="F2725" s="19"/>
    </row>
    <row r="2726" ht="15.75" customHeight="1">
      <c r="A2726" s="1">
        <v>5.7368043E7</v>
      </c>
      <c r="B2726" s="2" t="s">
        <v>3124</v>
      </c>
      <c r="C2726" s="19" t="s">
        <v>7361</v>
      </c>
      <c r="D2726" s="19"/>
      <c r="E2726" s="2"/>
      <c r="F2726" s="19"/>
    </row>
    <row r="2727" ht="15.75" customHeight="1">
      <c r="A2727" s="1">
        <v>5.7369751E7</v>
      </c>
      <c r="B2727" s="2" t="s">
        <v>2732</v>
      </c>
      <c r="C2727" s="19" t="s">
        <v>7362</v>
      </c>
      <c r="D2727" s="19" t="s">
        <v>7363</v>
      </c>
      <c r="E2727" s="2"/>
      <c r="F2727" s="19"/>
    </row>
    <row r="2728" ht="15.75" customHeight="1">
      <c r="A2728" s="1">
        <v>5.7372691E7</v>
      </c>
      <c r="B2728" s="2" t="s">
        <v>1045</v>
      </c>
      <c r="C2728" s="19" t="s">
        <v>7364</v>
      </c>
      <c r="D2728" s="19"/>
      <c r="E2728" s="2"/>
      <c r="F2728" s="19"/>
    </row>
    <row r="2729" ht="15.75" customHeight="1">
      <c r="A2729" s="1">
        <v>5.7382016E7</v>
      </c>
      <c r="B2729" s="2" t="s">
        <v>3125</v>
      </c>
      <c r="C2729" s="19" t="s">
        <v>7365</v>
      </c>
      <c r="D2729" s="19"/>
      <c r="E2729" s="2"/>
      <c r="F2729" s="19"/>
    </row>
    <row r="2730" ht="15.75" customHeight="1">
      <c r="A2730" s="1">
        <v>5.7398849E7</v>
      </c>
      <c r="B2730" s="2" t="s">
        <v>2590</v>
      </c>
      <c r="C2730" s="19" t="s">
        <v>7366</v>
      </c>
      <c r="D2730" s="19"/>
      <c r="E2730" s="2"/>
      <c r="F2730" s="19"/>
    </row>
    <row r="2731" ht="15.75" customHeight="1">
      <c r="A2731" s="1">
        <v>5.7403551E7</v>
      </c>
      <c r="B2731" s="2" t="s">
        <v>2066</v>
      </c>
      <c r="C2731" s="19" t="s">
        <v>7367</v>
      </c>
      <c r="D2731" s="19"/>
      <c r="E2731" s="2"/>
      <c r="F2731" s="19"/>
    </row>
    <row r="2732" ht="15.75" customHeight="1">
      <c r="A2732" s="1">
        <v>5.740428E7</v>
      </c>
      <c r="B2732" s="2" t="s">
        <v>2376</v>
      </c>
      <c r="C2732" s="19" t="s">
        <v>7368</v>
      </c>
      <c r="D2732" s="19"/>
      <c r="E2732" s="2"/>
      <c r="F2732" s="19"/>
    </row>
    <row r="2733" ht="15.75" customHeight="1">
      <c r="A2733" s="1">
        <v>5.741042E7</v>
      </c>
      <c r="B2733" s="2" t="s">
        <v>3072</v>
      </c>
      <c r="C2733" s="19" t="s">
        <v>7369</v>
      </c>
      <c r="D2733" s="19" t="s">
        <v>7370</v>
      </c>
      <c r="E2733" s="2"/>
      <c r="F2733" s="19"/>
    </row>
    <row r="2734" ht="15.75" customHeight="1">
      <c r="A2734" s="1">
        <v>5.7416596E7</v>
      </c>
      <c r="B2734" s="2" t="s">
        <v>2429</v>
      </c>
      <c r="C2734" s="19" t="s">
        <v>7371</v>
      </c>
      <c r="D2734" s="19"/>
      <c r="E2734" s="2"/>
      <c r="F2734" s="19"/>
    </row>
    <row r="2735" ht="15.75" customHeight="1">
      <c r="A2735" s="1">
        <v>5.7417867E7</v>
      </c>
      <c r="B2735" s="2" t="s">
        <v>3278</v>
      </c>
      <c r="C2735" s="19" t="s">
        <v>7372</v>
      </c>
      <c r="D2735" s="19" t="s">
        <v>7373</v>
      </c>
      <c r="E2735" s="2"/>
      <c r="F2735" s="19"/>
    </row>
    <row r="2736" ht="15.75" customHeight="1">
      <c r="A2736" s="1">
        <v>5.7419147E7</v>
      </c>
      <c r="B2736" s="2" t="s">
        <v>2786</v>
      </c>
      <c r="C2736" s="19" t="s">
        <v>7374</v>
      </c>
      <c r="D2736" s="19"/>
      <c r="E2736" s="2"/>
      <c r="F2736" s="19"/>
    </row>
    <row r="2737" ht="15.75" customHeight="1">
      <c r="A2737" s="1">
        <v>5.7420814E7</v>
      </c>
      <c r="B2737" s="2" t="s">
        <v>3436</v>
      </c>
      <c r="C2737" s="19" t="s">
        <v>7375</v>
      </c>
      <c r="D2737" s="19"/>
      <c r="E2737" s="2"/>
      <c r="F2737" s="19"/>
    </row>
    <row r="2738" ht="15.75" customHeight="1">
      <c r="A2738" s="1">
        <v>5.7422643E7</v>
      </c>
      <c r="B2738" s="2" t="s">
        <v>2808</v>
      </c>
      <c r="C2738" s="19" t="s">
        <v>7376</v>
      </c>
      <c r="D2738" s="19"/>
      <c r="E2738" s="2"/>
      <c r="F2738" s="19"/>
    </row>
    <row r="2739" ht="15.75" customHeight="1">
      <c r="A2739" s="1">
        <v>5.742546E7</v>
      </c>
      <c r="B2739" s="2" t="s">
        <v>2276</v>
      </c>
      <c r="C2739" s="19" t="s">
        <v>7377</v>
      </c>
      <c r="D2739" s="19" t="s">
        <v>7378</v>
      </c>
      <c r="E2739" s="2"/>
      <c r="F2739" s="19"/>
    </row>
    <row r="2740" ht="15.75" customHeight="1">
      <c r="A2740" s="1">
        <v>5.7428689E7</v>
      </c>
      <c r="B2740" s="2" t="s">
        <v>2517</v>
      </c>
      <c r="C2740" s="19" t="s">
        <v>7379</v>
      </c>
      <c r="D2740" s="19"/>
      <c r="E2740" s="2"/>
      <c r="F2740" s="19"/>
    </row>
    <row r="2741" ht="15.75" customHeight="1">
      <c r="A2741" s="1">
        <v>5.7430121E7</v>
      </c>
      <c r="B2741" s="2" t="s">
        <v>2500</v>
      </c>
      <c r="C2741" s="19" t="s">
        <v>7380</v>
      </c>
      <c r="D2741" s="19"/>
      <c r="E2741" s="2"/>
      <c r="F2741" s="19"/>
    </row>
    <row r="2742" ht="15.75" customHeight="1">
      <c r="A2742" s="1">
        <v>5.7430993E7</v>
      </c>
      <c r="B2742" s="2" t="s">
        <v>2201</v>
      </c>
      <c r="C2742" s="19" t="s">
        <v>7381</v>
      </c>
      <c r="D2742" s="19" t="s">
        <v>7382</v>
      </c>
      <c r="E2742" s="2"/>
      <c r="F2742" s="19"/>
    </row>
    <row r="2743" ht="15.75" customHeight="1">
      <c r="A2743" s="1">
        <v>5.7432558E7</v>
      </c>
      <c r="B2743" s="2" t="s">
        <v>638</v>
      </c>
      <c r="C2743" s="19" t="s">
        <v>7383</v>
      </c>
      <c r="D2743" s="19" t="s">
        <v>7384</v>
      </c>
      <c r="E2743" s="2"/>
      <c r="F2743" s="19"/>
    </row>
    <row r="2744" ht="15.75" customHeight="1">
      <c r="A2744" s="1">
        <v>5.7436043E7</v>
      </c>
      <c r="B2744" s="2" t="s">
        <v>2718</v>
      </c>
      <c r="C2744" s="19" t="s">
        <v>7385</v>
      </c>
      <c r="D2744" s="19" t="s">
        <v>7386</v>
      </c>
      <c r="E2744" s="2"/>
      <c r="F2744" s="19"/>
    </row>
    <row r="2745" ht="15.75" customHeight="1">
      <c r="A2745" s="1">
        <v>5.7461595E7</v>
      </c>
      <c r="B2745" s="2" t="s">
        <v>2425</v>
      </c>
      <c r="C2745" s="19" t="s">
        <v>7387</v>
      </c>
      <c r="D2745" s="19"/>
      <c r="E2745" s="2"/>
      <c r="F2745" s="19"/>
    </row>
    <row r="2746" ht="15.75" customHeight="1">
      <c r="A2746" s="1">
        <v>5.7466993E7</v>
      </c>
      <c r="B2746" s="2" t="s">
        <v>2023</v>
      </c>
      <c r="C2746" s="19" t="s">
        <v>7388</v>
      </c>
      <c r="D2746" s="19" t="s">
        <v>7389</v>
      </c>
      <c r="E2746" s="2"/>
      <c r="F2746" s="19"/>
    </row>
    <row r="2747" ht="15.75" customHeight="1">
      <c r="A2747" s="1">
        <v>5.7474055E7</v>
      </c>
      <c r="B2747" s="2" t="s">
        <v>1018</v>
      </c>
      <c r="C2747" s="19" t="s">
        <v>7390</v>
      </c>
      <c r="D2747" s="19" t="s">
        <v>7391</v>
      </c>
      <c r="E2747" s="2"/>
      <c r="F2747" s="19"/>
    </row>
    <row r="2748" ht="15.75" customHeight="1">
      <c r="A2748" s="1">
        <v>5.747739E7</v>
      </c>
      <c r="B2748" s="2" t="s">
        <v>2196</v>
      </c>
      <c r="C2748" s="19" t="s">
        <v>7392</v>
      </c>
      <c r="D2748" s="19"/>
      <c r="E2748" s="2"/>
      <c r="F2748" s="19"/>
    </row>
    <row r="2749" ht="15.75" customHeight="1">
      <c r="A2749" s="1">
        <v>5.7482737E7</v>
      </c>
      <c r="B2749" s="2" t="s">
        <v>2614</v>
      </c>
      <c r="C2749" s="19" t="s">
        <v>7393</v>
      </c>
      <c r="D2749" s="19"/>
      <c r="E2749" s="2"/>
      <c r="F2749" s="19"/>
    </row>
    <row r="2750" ht="15.75" customHeight="1">
      <c r="A2750" s="1">
        <v>5.748316E7</v>
      </c>
      <c r="B2750" s="2" t="s">
        <v>2221</v>
      </c>
      <c r="C2750" s="19" t="s">
        <v>7394</v>
      </c>
      <c r="D2750" s="19" t="s">
        <v>7395</v>
      </c>
      <c r="E2750" s="2"/>
      <c r="F2750" s="19"/>
    </row>
    <row r="2751" ht="15.75" customHeight="1">
      <c r="A2751" s="1">
        <v>5.7493498E7</v>
      </c>
      <c r="B2751" s="2" t="s">
        <v>2501</v>
      </c>
      <c r="C2751" s="19" t="s">
        <v>7396</v>
      </c>
      <c r="D2751" s="19"/>
      <c r="E2751" s="2"/>
      <c r="F2751" s="19"/>
    </row>
    <row r="2752" ht="15.75" customHeight="1">
      <c r="A2752" s="1">
        <v>5.7494649E7</v>
      </c>
      <c r="B2752" s="2" t="s">
        <v>1495</v>
      </c>
      <c r="C2752" s="19" t="s">
        <v>7397</v>
      </c>
      <c r="D2752" s="19" t="s">
        <v>7398</v>
      </c>
      <c r="E2752" s="2"/>
      <c r="F2752" s="19"/>
    </row>
    <row r="2753" ht="15.75" customHeight="1">
      <c r="A2753" s="1">
        <v>5.7496839E7</v>
      </c>
      <c r="B2753" s="2" t="s">
        <v>2719</v>
      </c>
      <c r="C2753" s="19" t="s">
        <v>7399</v>
      </c>
      <c r="D2753" s="19"/>
      <c r="E2753" s="2"/>
      <c r="F2753" s="19"/>
    </row>
    <row r="2754" ht="15.75" customHeight="1">
      <c r="A2754" s="1">
        <v>5.7500473E7</v>
      </c>
      <c r="B2754" s="2" t="s">
        <v>3226</v>
      </c>
      <c r="C2754" s="19" t="s">
        <v>7400</v>
      </c>
      <c r="D2754" s="19"/>
      <c r="E2754" s="2"/>
      <c r="F2754" s="19"/>
    </row>
    <row r="2755" ht="15.75" customHeight="1">
      <c r="A2755" s="1">
        <v>5.7502125E7</v>
      </c>
      <c r="B2755" s="2" t="s">
        <v>3303</v>
      </c>
      <c r="C2755" s="19" t="s">
        <v>7401</v>
      </c>
      <c r="D2755" s="19"/>
      <c r="E2755" s="2"/>
      <c r="F2755" s="19"/>
    </row>
    <row r="2756" ht="15.75" customHeight="1">
      <c r="A2756" s="1">
        <v>5.7516377E7</v>
      </c>
      <c r="B2756" s="2" t="s">
        <v>2745</v>
      </c>
      <c r="C2756" s="19" t="s">
        <v>7402</v>
      </c>
      <c r="D2756" s="19"/>
      <c r="E2756" s="2"/>
      <c r="F2756" s="19"/>
    </row>
    <row r="2757" ht="15.75" customHeight="1">
      <c r="A2757" s="1">
        <v>5.7516603E7</v>
      </c>
      <c r="B2757" s="2" t="s">
        <v>2181</v>
      </c>
      <c r="C2757" s="19" t="s">
        <v>7403</v>
      </c>
      <c r="D2757" s="19"/>
      <c r="E2757" s="2"/>
      <c r="F2757" s="19"/>
    </row>
    <row r="2758" ht="15.75" customHeight="1">
      <c r="A2758" s="1">
        <v>5.7519657E7</v>
      </c>
      <c r="B2758" s="2" t="s">
        <v>1955</v>
      </c>
      <c r="C2758" s="19" t="s">
        <v>7404</v>
      </c>
      <c r="D2758" s="19"/>
      <c r="E2758" s="2"/>
      <c r="F2758" s="19"/>
    </row>
    <row r="2759" ht="15.75" customHeight="1">
      <c r="A2759" s="1">
        <v>5.7523091E7</v>
      </c>
      <c r="B2759" s="2" t="s">
        <v>2165</v>
      </c>
      <c r="C2759" s="19" t="s">
        <v>7405</v>
      </c>
      <c r="D2759" s="19"/>
      <c r="E2759" s="2"/>
      <c r="F2759" s="19"/>
    </row>
    <row r="2760" ht="15.75" customHeight="1">
      <c r="A2760" s="1">
        <v>5.7523759E7</v>
      </c>
      <c r="B2760" s="2" t="s">
        <v>2168</v>
      </c>
      <c r="C2760" s="19" t="s">
        <v>7406</v>
      </c>
      <c r="D2760" s="19"/>
      <c r="E2760" s="2"/>
      <c r="F2760" s="19"/>
    </row>
    <row r="2761" ht="15.75" customHeight="1">
      <c r="A2761" s="1">
        <v>5.7523823E7</v>
      </c>
      <c r="B2761" s="2" t="s">
        <v>261</v>
      </c>
      <c r="C2761" s="19" t="s">
        <v>7407</v>
      </c>
      <c r="D2761" s="19"/>
      <c r="E2761" s="2"/>
      <c r="F2761" s="19"/>
    </row>
    <row r="2762" ht="15.75" customHeight="1">
      <c r="A2762" s="1">
        <v>5.7528695E7</v>
      </c>
      <c r="B2762" s="2" t="s">
        <v>151</v>
      </c>
      <c r="C2762" s="19" t="s">
        <v>7408</v>
      </c>
      <c r="D2762" s="19"/>
      <c r="E2762" s="2"/>
      <c r="F2762" s="19"/>
    </row>
    <row r="2763" ht="15.75" customHeight="1">
      <c r="A2763" s="1">
        <v>5.7535384E7</v>
      </c>
      <c r="B2763" s="2" t="s">
        <v>3521</v>
      </c>
      <c r="C2763" s="19" t="s">
        <v>7409</v>
      </c>
      <c r="D2763" s="19"/>
      <c r="E2763" s="2"/>
      <c r="F2763" s="19"/>
    </row>
    <row r="2764" ht="15.75" customHeight="1">
      <c r="A2764" s="1">
        <v>5.7557137E7</v>
      </c>
      <c r="B2764" s="2" t="s">
        <v>3548</v>
      </c>
      <c r="C2764" s="19" t="s">
        <v>7410</v>
      </c>
      <c r="D2764" s="19"/>
      <c r="E2764" s="2"/>
      <c r="F2764" s="19"/>
    </row>
    <row r="2765" ht="15.75" customHeight="1">
      <c r="A2765" s="1">
        <v>5.7558625E7</v>
      </c>
      <c r="B2765" s="2" t="s">
        <v>392</v>
      </c>
      <c r="C2765" s="19" t="s">
        <v>7411</v>
      </c>
      <c r="D2765" s="19" t="s">
        <v>7412</v>
      </c>
      <c r="E2765" s="2"/>
      <c r="F2765" s="19"/>
    </row>
    <row r="2766" ht="15.75" customHeight="1">
      <c r="A2766" s="1">
        <v>5.7563207E7</v>
      </c>
      <c r="B2766" s="2" t="s">
        <v>2502</v>
      </c>
      <c r="C2766" s="19" t="s">
        <v>7413</v>
      </c>
      <c r="D2766" s="19"/>
      <c r="E2766" s="2"/>
      <c r="F2766" s="19"/>
    </row>
    <row r="2767" ht="15.75" customHeight="1">
      <c r="A2767" s="1">
        <v>5.75644E7</v>
      </c>
      <c r="B2767" s="2" t="s">
        <v>2189</v>
      </c>
      <c r="C2767" s="19" t="s">
        <v>7414</v>
      </c>
      <c r="D2767" s="19" t="s">
        <v>7415</v>
      </c>
      <c r="E2767" s="2"/>
      <c r="F2767" s="19"/>
    </row>
    <row r="2768" ht="15.75" customHeight="1">
      <c r="A2768" s="1">
        <v>5.7574048E7</v>
      </c>
      <c r="B2768" s="2" t="s">
        <v>2486</v>
      </c>
      <c r="C2768" s="19" t="s">
        <v>7416</v>
      </c>
      <c r="D2768" s="19"/>
      <c r="E2768" s="2"/>
      <c r="F2768" s="19"/>
    </row>
    <row r="2769" ht="15.75" customHeight="1">
      <c r="A2769" s="1">
        <v>5.7575852E7</v>
      </c>
      <c r="B2769" s="2" t="s">
        <v>1085</v>
      </c>
      <c r="C2769" s="19" t="s">
        <v>7417</v>
      </c>
      <c r="D2769" s="19" t="s">
        <v>7418</v>
      </c>
      <c r="E2769" s="2"/>
      <c r="F2769" s="19"/>
    </row>
    <row r="2770" ht="15.75" customHeight="1">
      <c r="A2770" s="1">
        <v>5.7579133E7</v>
      </c>
      <c r="B2770" s="2" t="s">
        <v>2765</v>
      </c>
      <c r="C2770" s="19" t="s">
        <v>7419</v>
      </c>
      <c r="D2770" s="19" t="s">
        <v>7420</v>
      </c>
      <c r="E2770" s="2"/>
      <c r="F2770" s="19"/>
    </row>
    <row r="2771" ht="15.75" customHeight="1">
      <c r="A2771" s="1">
        <v>5.7580329E7</v>
      </c>
      <c r="B2771" s="2" t="s">
        <v>2993</v>
      </c>
      <c r="C2771" s="19" t="s">
        <v>7421</v>
      </c>
      <c r="D2771" s="19"/>
      <c r="E2771" s="2"/>
      <c r="F2771" s="19"/>
    </row>
    <row r="2772" ht="15.75" customHeight="1">
      <c r="A2772" s="1">
        <v>5.7584402E7</v>
      </c>
      <c r="B2772" s="2" t="s">
        <v>2649</v>
      </c>
      <c r="C2772" s="19" t="s">
        <v>7422</v>
      </c>
      <c r="D2772" s="19"/>
      <c r="E2772" s="2"/>
      <c r="F2772" s="19"/>
    </row>
    <row r="2773" ht="15.75" customHeight="1">
      <c r="A2773" s="1">
        <v>5.7594014E7</v>
      </c>
      <c r="B2773" s="2" t="s">
        <v>775</v>
      </c>
      <c r="C2773" s="19" t="s">
        <v>7423</v>
      </c>
      <c r="D2773" s="19"/>
      <c r="E2773" s="2"/>
      <c r="F2773" s="19"/>
    </row>
    <row r="2774" ht="15.75" customHeight="1">
      <c r="A2774" s="1">
        <v>5.7599366E7</v>
      </c>
      <c r="B2774" s="2" t="s">
        <v>2081</v>
      </c>
      <c r="C2774" s="19" t="s">
        <v>7424</v>
      </c>
      <c r="D2774" s="19"/>
      <c r="E2774" s="2"/>
      <c r="F2774" s="19"/>
    </row>
    <row r="2775" ht="15.75" customHeight="1">
      <c r="A2775" s="1">
        <v>5.759978E7</v>
      </c>
      <c r="B2775" s="2" t="s">
        <v>2766</v>
      </c>
      <c r="C2775" s="19" t="s">
        <v>7425</v>
      </c>
      <c r="D2775" s="19"/>
      <c r="E2775" s="2"/>
      <c r="F2775" s="19"/>
    </row>
    <row r="2776" ht="15.75" customHeight="1">
      <c r="A2776" s="1">
        <v>5.7602539E7</v>
      </c>
      <c r="B2776" s="2" t="s">
        <v>2950</v>
      </c>
      <c r="C2776" s="19" t="s">
        <v>7426</v>
      </c>
      <c r="D2776" s="19"/>
      <c r="E2776" s="2"/>
      <c r="F2776" s="19"/>
    </row>
    <row r="2777" ht="15.75" customHeight="1">
      <c r="A2777" s="1">
        <v>5.7607021E7</v>
      </c>
      <c r="B2777" s="2" t="s">
        <v>2634</v>
      </c>
      <c r="C2777" s="19" t="s">
        <v>7427</v>
      </c>
      <c r="D2777" s="19"/>
      <c r="E2777" s="2"/>
      <c r="F2777" s="19"/>
    </row>
    <row r="2778" ht="15.75" customHeight="1">
      <c r="A2778" s="1">
        <v>5.7609094E7</v>
      </c>
      <c r="B2778" s="2" t="s">
        <v>2144</v>
      </c>
      <c r="C2778" s="19" t="s">
        <v>7428</v>
      </c>
      <c r="D2778" s="19"/>
      <c r="E2778" s="2"/>
      <c r="F2778" s="19"/>
    </row>
    <row r="2779" ht="15.75" customHeight="1">
      <c r="A2779" s="1">
        <v>5.7613671E7</v>
      </c>
      <c r="B2779" s="2" t="s">
        <v>2695</v>
      </c>
      <c r="C2779" s="19" t="s">
        <v>7429</v>
      </c>
      <c r="D2779" s="19"/>
      <c r="E2779" s="2"/>
      <c r="F2779" s="19"/>
    </row>
    <row r="2780" ht="15.75" customHeight="1">
      <c r="A2780" s="1">
        <v>5.761752E7</v>
      </c>
      <c r="B2780" s="2" t="s">
        <v>3437</v>
      </c>
      <c r="C2780" s="19" t="s">
        <v>7430</v>
      </c>
      <c r="D2780" s="19"/>
      <c r="E2780" s="2"/>
      <c r="F2780" s="19"/>
    </row>
    <row r="2781" ht="15.75" customHeight="1">
      <c r="A2781" s="1">
        <v>5.7620833E7</v>
      </c>
      <c r="B2781" s="2" t="s">
        <v>2487</v>
      </c>
      <c r="C2781" s="19" t="s">
        <v>7431</v>
      </c>
      <c r="D2781" s="19"/>
      <c r="E2781" s="2"/>
      <c r="F2781" s="19"/>
    </row>
    <row r="2782" ht="15.75" customHeight="1">
      <c r="A2782" s="1">
        <v>5.7623152E7</v>
      </c>
      <c r="B2782" s="2" t="s">
        <v>2262</v>
      </c>
      <c r="C2782" s="19" t="s">
        <v>7432</v>
      </c>
      <c r="D2782" s="19"/>
      <c r="E2782" s="2"/>
      <c r="F2782" s="19"/>
    </row>
    <row r="2783" ht="15.75" customHeight="1">
      <c r="A2783" s="1">
        <v>5.7624459E7</v>
      </c>
      <c r="B2783" s="2" t="s">
        <v>2650</v>
      </c>
      <c r="C2783" s="19" t="s">
        <v>7433</v>
      </c>
      <c r="D2783" s="19"/>
      <c r="E2783" s="2"/>
      <c r="F2783" s="19"/>
    </row>
    <row r="2784" ht="15.75" customHeight="1">
      <c r="A2784" s="1">
        <v>5.7626023E7</v>
      </c>
      <c r="B2784" s="2" t="s">
        <v>3579</v>
      </c>
      <c r="C2784" s="19" t="s">
        <v>7434</v>
      </c>
      <c r="D2784" s="19"/>
      <c r="E2784" s="2"/>
      <c r="F2784" s="19"/>
    </row>
    <row r="2785" ht="15.75" customHeight="1">
      <c r="A2785" s="1">
        <v>5.7647663E7</v>
      </c>
      <c r="B2785" s="2" t="s">
        <v>2300</v>
      </c>
      <c r="C2785" s="19" t="s">
        <v>7435</v>
      </c>
      <c r="D2785" s="19"/>
      <c r="E2785" s="2"/>
      <c r="F2785" s="19"/>
    </row>
    <row r="2786" ht="15.75" customHeight="1">
      <c r="A2786" s="1">
        <v>5.7652832E7</v>
      </c>
      <c r="B2786" s="2" t="s">
        <v>2827</v>
      </c>
      <c r="C2786" s="19" t="s">
        <v>7436</v>
      </c>
      <c r="D2786" s="19" t="s">
        <v>7437</v>
      </c>
      <c r="E2786" s="2"/>
      <c r="F2786" s="19"/>
    </row>
    <row r="2787" ht="15.75" customHeight="1">
      <c r="A2787" s="1">
        <v>5.7654496E7</v>
      </c>
      <c r="B2787" s="2" t="s">
        <v>2696</v>
      </c>
      <c r="C2787" s="19" t="s">
        <v>7438</v>
      </c>
      <c r="D2787" s="19"/>
      <c r="E2787" s="2"/>
      <c r="F2787" s="19"/>
    </row>
    <row r="2788" ht="15.75" customHeight="1">
      <c r="A2788" s="1">
        <v>5.7676928E7</v>
      </c>
      <c r="B2788" s="2" t="s">
        <v>2326</v>
      </c>
      <c r="C2788" s="19" t="s">
        <v>7439</v>
      </c>
      <c r="D2788" s="19"/>
      <c r="E2788" s="2"/>
      <c r="F2788" s="19"/>
    </row>
    <row r="2789" ht="15.75" customHeight="1">
      <c r="A2789" s="1">
        <v>5.7677076E7</v>
      </c>
      <c r="B2789" s="2" t="s">
        <v>2329</v>
      </c>
      <c r="C2789" s="19" t="s">
        <v>7440</v>
      </c>
      <c r="D2789" s="19" t="s">
        <v>7441</v>
      </c>
      <c r="E2789" s="2"/>
      <c r="F2789" s="19"/>
    </row>
    <row r="2790" ht="15.75" customHeight="1">
      <c r="A2790" s="1">
        <v>5.7685832E7</v>
      </c>
      <c r="B2790" s="2" t="s">
        <v>3481</v>
      </c>
      <c r="C2790" s="19" t="s">
        <v>7442</v>
      </c>
      <c r="D2790" s="19"/>
      <c r="E2790" s="2"/>
      <c r="F2790" s="19"/>
    </row>
    <row r="2791" ht="15.75" customHeight="1">
      <c r="A2791" s="1">
        <v>5.7686877E7</v>
      </c>
      <c r="B2791" s="2" t="s">
        <v>1772</v>
      </c>
      <c r="C2791" s="19" t="s">
        <v>7443</v>
      </c>
      <c r="D2791" s="19" t="s">
        <v>7444</v>
      </c>
      <c r="E2791" s="2"/>
      <c r="F2791" s="19"/>
    </row>
    <row r="2792" ht="15.75" customHeight="1">
      <c r="A2792" s="1">
        <v>5.7687014E7</v>
      </c>
      <c r="B2792" s="2" t="s">
        <v>1711</v>
      </c>
      <c r="C2792" s="19" t="s">
        <v>7445</v>
      </c>
      <c r="D2792" s="19"/>
      <c r="E2792" s="2"/>
      <c r="F2792" s="19"/>
    </row>
    <row r="2793" ht="15.75" customHeight="1">
      <c r="A2793" s="1">
        <v>5.7710817E7</v>
      </c>
      <c r="B2793" s="2" t="s">
        <v>2172</v>
      </c>
      <c r="C2793" s="19" t="s">
        <v>7446</v>
      </c>
      <c r="D2793" s="19"/>
      <c r="E2793" s="2"/>
      <c r="F2793" s="19"/>
    </row>
    <row r="2794" ht="15.75" customHeight="1">
      <c r="A2794" s="1">
        <v>5.7711779E7</v>
      </c>
      <c r="B2794" s="2" t="s">
        <v>1645</v>
      </c>
      <c r="C2794" s="19" t="s">
        <v>7447</v>
      </c>
      <c r="D2794" s="19"/>
      <c r="E2794" s="2"/>
      <c r="F2794" s="19"/>
    </row>
    <row r="2795" ht="15.75" customHeight="1">
      <c r="A2795" s="1">
        <v>5.7713713E7</v>
      </c>
      <c r="B2795" s="2" t="s">
        <v>2809</v>
      </c>
      <c r="C2795" s="19" t="s">
        <v>7448</v>
      </c>
      <c r="D2795" s="19"/>
      <c r="E2795" s="2"/>
      <c r="F2795" s="19"/>
    </row>
    <row r="2796" ht="15.75" customHeight="1">
      <c r="A2796" s="1">
        <v>5.7714229E7</v>
      </c>
      <c r="B2796" s="2" t="s">
        <v>2697</v>
      </c>
      <c r="C2796" s="19" t="s">
        <v>7449</v>
      </c>
      <c r="D2796" s="19" t="s">
        <v>7450</v>
      </c>
      <c r="E2796" s="2"/>
      <c r="F2796" s="19"/>
    </row>
    <row r="2797" ht="15.75" customHeight="1">
      <c r="A2797" s="1">
        <v>5.7731105E7</v>
      </c>
      <c r="B2797" s="2" t="s">
        <v>2129</v>
      </c>
      <c r="C2797" s="19" t="s">
        <v>7451</v>
      </c>
      <c r="D2797" s="19" t="s">
        <v>7452</v>
      </c>
      <c r="E2797" s="2"/>
      <c r="F2797" s="19"/>
    </row>
    <row r="2798" ht="15.75" customHeight="1">
      <c r="A2798" s="1">
        <v>5.7750105E7</v>
      </c>
      <c r="B2798" s="2" t="s">
        <v>2426</v>
      </c>
      <c r="C2798" s="19" t="s">
        <v>7453</v>
      </c>
      <c r="D2798" s="19"/>
      <c r="E2798" s="2"/>
      <c r="F2798" s="19"/>
    </row>
    <row r="2799" ht="15.75" customHeight="1">
      <c r="A2799" s="1">
        <v>5.7754071E7</v>
      </c>
      <c r="B2799" s="2" t="s">
        <v>2635</v>
      </c>
      <c r="C2799" s="19" t="s">
        <v>7454</v>
      </c>
      <c r="D2799" s="19" t="s">
        <v>7455</v>
      </c>
      <c r="E2799" s="2"/>
      <c r="F2799" s="19"/>
    </row>
    <row r="2800" ht="15.75" customHeight="1">
      <c r="A2800" s="1">
        <v>5.7755093E7</v>
      </c>
      <c r="B2800" s="2" t="s">
        <v>1622</v>
      </c>
      <c r="C2800" s="19" t="s">
        <v>7456</v>
      </c>
      <c r="D2800" s="19"/>
      <c r="E2800" s="2"/>
      <c r="F2800" s="19"/>
    </row>
    <row r="2801" ht="15.75" customHeight="1">
      <c r="A2801" s="1">
        <v>5.7762017E7</v>
      </c>
      <c r="B2801" s="2" t="s">
        <v>1458</v>
      </c>
      <c r="C2801" s="19" t="s">
        <v>7457</v>
      </c>
      <c r="D2801" s="19" t="s">
        <v>7458</v>
      </c>
      <c r="E2801" s="2"/>
      <c r="F2801" s="19"/>
    </row>
    <row r="2802" ht="15.75" customHeight="1">
      <c r="A2802" s="1">
        <v>5.7775247E7</v>
      </c>
      <c r="B2802" s="2" t="s">
        <v>1504</v>
      </c>
      <c r="C2802" s="19" t="s">
        <v>7459</v>
      </c>
      <c r="D2802" s="19" t="s">
        <v>7460</v>
      </c>
      <c r="E2802" s="2"/>
      <c r="F2802" s="19"/>
    </row>
    <row r="2803" ht="15.75" customHeight="1">
      <c r="A2803" s="1">
        <v>5.7775673E7</v>
      </c>
      <c r="B2803" s="2" t="s">
        <v>3323</v>
      </c>
      <c r="C2803" s="19" t="s">
        <v>7461</v>
      </c>
      <c r="D2803" s="19"/>
      <c r="E2803" s="2"/>
      <c r="F2803" s="19"/>
    </row>
    <row r="2804" ht="15.75" customHeight="1">
      <c r="A2804" s="1">
        <v>5.7787836E7</v>
      </c>
      <c r="B2804" s="2" t="s">
        <v>3241</v>
      </c>
      <c r="C2804" s="19" t="s">
        <v>7462</v>
      </c>
      <c r="D2804" s="19"/>
      <c r="E2804" s="2"/>
      <c r="F2804" s="19"/>
    </row>
    <row r="2805" ht="15.75" customHeight="1">
      <c r="A2805" s="1">
        <v>5.7794087E7</v>
      </c>
      <c r="B2805" s="2" t="s">
        <v>2137</v>
      </c>
      <c r="C2805" s="19" t="s">
        <v>7463</v>
      </c>
      <c r="D2805" s="19" t="s">
        <v>7464</v>
      </c>
      <c r="E2805" s="2"/>
      <c r="F2805" s="19"/>
    </row>
    <row r="2806" ht="15.75" customHeight="1">
      <c r="A2806" s="1">
        <v>5.7794437E7</v>
      </c>
      <c r="B2806" s="2" t="s">
        <v>2902</v>
      </c>
      <c r="C2806" s="19" t="s">
        <v>7465</v>
      </c>
      <c r="D2806" s="19" t="s">
        <v>7466</v>
      </c>
      <c r="E2806" s="2"/>
      <c r="F2806" s="19"/>
    </row>
    <row r="2807" ht="15.75" customHeight="1">
      <c r="A2807" s="1">
        <v>5.7795677E7</v>
      </c>
      <c r="B2807" s="2" t="s">
        <v>918</v>
      </c>
      <c r="C2807" s="19" t="s">
        <v>7467</v>
      </c>
      <c r="D2807" s="19"/>
      <c r="E2807" s="2"/>
      <c r="F2807" s="19"/>
    </row>
    <row r="2808" ht="15.75" customHeight="1">
      <c r="A2808" s="1">
        <v>5.7795979E7</v>
      </c>
      <c r="B2808" s="2" t="s">
        <v>3393</v>
      </c>
      <c r="C2808" s="19" t="s">
        <v>7468</v>
      </c>
      <c r="D2808" s="19"/>
      <c r="E2808" s="2"/>
      <c r="F2808" s="19"/>
    </row>
    <row r="2809" ht="15.75" customHeight="1">
      <c r="A2809" s="1">
        <v>5.7802832E7</v>
      </c>
      <c r="B2809" s="2" t="s">
        <v>388</v>
      </c>
      <c r="C2809" s="19" t="s">
        <v>7469</v>
      </c>
      <c r="D2809" s="19"/>
      <c r="E2809" s="2"/>
      <c r="F2809" s="19"/>
    </row>
    <row r="2810" ht="15.75" customHeight="1">
      <c r="A2810" s="1">
        <v>5.7806521E7</v>
      </c>
      <c r="B2810" s="2" t="s">
        <v>2828</v>
      </c>
      <c r="C2810" s="19" t="s">
        <v>7470</v>
      </c>
      <c r="D2810" s="19"/>
      <c r="E2810" s="2"/>
      <c r="F2810" s="19"/>
    </row>
    <row r="2811" ht="15.75" customHeight="1">
      <c r="A2811" s="1">
        <v>5.7810467E7</v>
      </c>
      <c r="B2811" s="2" t="s">
        <v>3033</v>
      </c>
      <c r="C2811" s="19" t="s">
        <v>7471</v>
      </c>
      <c r="D2811" s="19" t="s">
        <v>7472</v>
      </c>
      <c r="E2811" s="2"/>
      <c r="F2811" s="19"/>
    </row>
    <row r="2812" ht="15.75" customHeight="1">
      <c r="A2812" s="1">
        <v>5.7810829E7</v>
      </c>
      <c r="B2812" s="2" t="s">
        <v>2970</v>
      </c>
      <c r="C2812" s="19" t="s">
        <v>7473</v>
      </c>
      <c r="D2812" s="19"/>
      <c r="E2812" s="2"/>
      <c r="F2812" s="19"/>
    </row>
    <row r="2813" ht="15.75" customHeight="1">
      <c r="A2813" s="1">
        <v>5.7811097E7</v>
      </c>
      <c r="B2813" s="2" t="s">
        <v>2767</v>
      </c>
      <c r="C2813" s="19" t="s">
        <v>7474</v>
      </c>
      <c r="D2813" s="19"/>
      <c r="E2813" s="2"/>
      <c r="F2813" s="19"/>
    </row>
    <row r="2814" ht="15.75" customHeight="1">
      <c r="A2814" s="1">
        <v>5.7814318E7</v>
      </c>
      <c r="B2814" s="2" t="s">
        <v>2608</v>
      </c>
      <c r="C2814" s="19" t="s">
        <v>7475</v>
      </c>
      <c r="D2814" s="19"/>
      <c r="E2814" s="2"/>
      <c r="F2814" s="19"/>
    </row>
    <row r="2815" ht="15.75" customHeight="1">
      <c r="A2815" s="1">
        <v>5.7820524E7</v>
      </c>
      <c r="B2815" s="2" t="s">
        <v>2471</v>
      </c>
      <c r="C2815" s="19" t="s">
        <v>7476</v>
      </c>
      <c r="D2815" s="19"/>
      <c r="E2815" s="2"/>
      <c r="F2815" s="19"/>
    </row>
    <row r="2816" ht="15.75" customHeight="1">
      <c r="A2816" s="1">
        <v>5.7825022E7</v>
      </c>
      <c r="B2816" s="2" t="s">
        <v>3126</v>
      </c>
      <c r="C2816" s="19" t="s">
        <v>7477</v>
      </c>
      <c r="D2816" s="19" t="s">
        <v>7478</v>
      </c>
      <c r="E2816" s="2"/>
      <c r="F2816" s="19"/>
    </row>
    <row r="2817" ht="15.75" customHeight="1">
      <c r="A2817" s="1">
        <v>5.782508E7</v>
      </c>
      <c r="B2817" s="2" t="s">
        <v>3324</v>
      </c>
      <c r="C2817" s="19" t="s">
        <v>7479</v>
      </c>
      <c r="D2817" s="19"/>
      <c r="E2817" s="2"/>
      <c r="F2817" s="19"/>
    </row>
    <row r="2818" ht="15.75" customHeight="1">
      <c r="A2818" s="1">
        <v>5.7827537E7</v>
      </c>
      <c r="B2818" s="2" t="s">
        <v>2951</v>
      </c>
      <c r="C2818" s="19" t="s">
        <v>7480</v>
      </c>
      <c r="D2818" s="19" t="s">
        <v>7481</v>
      </c>
      <c r="E2818" s="2"/>
      <c r="F2818" s="19"/>
    </row>
    <row r="2819" ht="15.75" customHeight="1">
      <c r="A2819" s="1">
        <v>5.7828966E7</v>
      </c>
      <c r="B2819" s="2" t="s">
        <v>1948</v>
      </c>
      <c r="C2819" s="19" t="s">
        <v>7482</v>
      </c>
      <c r="D2819" s="19"/>
      <c r="E2819" s="2"/>
      <c r="F2819" s="19"/>
    </row>
    <row r="2820" ht="15.75" customHeight="1">
      <c r="A2820" s="1">
        <v>5.7831723E7</v>
      </c>
      <c r="B2820" s="2" t="s">
        <v>1758</v>
      </c>
      <c r="C2820" s="19" t="s">
        <v>7483</v>
      </c>
      <c r="D2820" s="19"/>
      <c r="E2820" s="2"/>
      <c r="F2820" s="19"/>
    </row>
    <row r="2821" ht="15.75" customHeight="1">
      <c r="A2821" s="1">
        <v>5.7832672E7</v>
      </c>
      <c r="B2821" s="2" t="s">
        <v>3370</v>
      </c>
      <c r="C2821" s="19" t="s">
        <v>7484</v>
      </c>
      <c r="D2821" s="19"/>
      <c r="E2821" s="2"/>
      <c r="F2821" s="19"/>
    </row>
    <row r="2822" ht="15.75" customHeight="1">
      <c r="A2822" s="1">
        <v>5.7833839E7</v>
      </c>
      <c r="B2822" s="2" t="s">
        <v>3227</v>
      </c>
      <c r="C2822" s="19" t="s">
        <v>7485</v>
      </c>
      <c r="D2822" s="19" t="s">
        <v>7486</v>
      </c>
      <c r="E2822" s="2"/>
      <c r="F2822" s="19"/>
    </row>
    <row r="2823" ht="15.75" customHeight="1">
      <c r="A2823" s="1">
        <v>5.7836593E7</v>
      </c>
      <c r="B2823" s="2" t="s">
        <v>2111</v>
      </c>
      <c r="C2823" s="19" t="s">
        <v>7487</v>
      </c>
      <c r="D2823" s="19"/>
      <c r="E2823" s="2"/>
      <c r="F2823" s="19"/>
    </row>
    <row r="2824" ht="15.75" customHeight="1">
      <c r="A2824" s="1">
        <v>5.7848501E7</v>
      </c>
      <c r="B2824" s="2" t="s">
        <v>2342</v>
      </c>
      <c r="C2824" s="19" t="s">
        <v>7488</v>
      </c>
      <c r="D2824" s="19" t="s">
        <v>7489</v>
      </c>
      <c r="E2824" s="2"/>
      <c r="F2824" s="19"/>
    </row>
    <row r="2825" ht="15.75" customHeight="1">
      <c r="A2825" s="1">
        <v>5.7849964E7</v>
      </c>
      <c r="B2825" s="2" t="s">
        <v>3371</v>
      </c>
      <c r="C2825" s="19" t="s">
        <v>7490</v>
      </c>
      <c r="D2825" s="19"/>
      <c r="E2825" s="2"/>
      <c r="F2825" s="19"/>
    </row>
    <row r="2826" ht="15.75" customHeight="1">
      <c r="A2826" s="1">
        <v>5.7850922E7</v>
      </c>
      <c r="B2826" s="2" t="s">
        <v>3175</v>
      </c>
      <c r="C2826" s="19" t="s">
        <v>7491</v>
      </c>
      <c r="D2826" s="19" t="s">
        <v>7492</v>
      </c>
      <c r="E2826" s="2"/>
      <c r="F2826" s="19"/>
    </row>
    <row r="2827" ht="15.75" customHeight="1">
      <c r="A2827" s="1">
        <v>5.7858132E7</v>
      </c>
      <c r="B2827" s="2" t="s">
        <v>3176</v>
      </c>
      <c r="C2827" s="19" t="s">
        <v>7493</v>
      </c>
      <c r="D2827" s="19" t="s">
        <v>7494</v>
      </c>
      <c r="E2827" s="2"/>
      <c r="F2827" s="19"/>
    </row>
    <row r="2828" ht="15.75" customHeight="1">
      <c r="A2828" s="1">
        <v>5.785925E7</v>
      </c>
      <c r="B2828" s="2" t="s">
        <v>2636</v>
      </c>
      <c r="C2828" s="19" t="s">
        <v>7495</v>
      </c>
      <c r="D2828" s="19"/>
      <c r="E2828" s="2"/>
      <c r="F2828" s="19"/>
    </row>
    <row r="2829" ht="15.75" customHeight="1">
      <c r="A2829" s="1">
        <v>5.7861623E7</v>
      </c>
      <c r="B2829" s="2" t="s">
        <v>3073</v>
      </c>
      <c r="C2829" s="19" t="s">
        <v>7496</v>
      </c>
      <c r="D2829" s="19"/>
      <c r="E2829" s="2"/>
      <c r="F2829" s="19"/>
    </row>
    <row r="2830" ht="15.75" customHeight="1">
      <c r="A2830" s="1">
        <v>5.7864148E7</v>
      </c>
      <c r="B2830" s="2" t="s">
        <v>2994</v>
      </c>
      <c r="C2830" s="19" t="s">
        <v>7497</v>
      </c>
      <c r="D2830" s="19"/>
      <c r="E2830" s="2"/>
      <c r="F2830" s="19"/>
    </row>
    <row r="2831" ht="15.75" customHeight="1">
      <c r="A2831" s="1">
        <v>5.7867919E7</v>
      </c>
      <c r="B2831" s="2" t="s">
        <v>2971</v>
      </c>
      <c r="C2831" s="19" t="s">
        <v>7498</v>
      </c>
      <c r="D2831" s="19"/>
      <c r="E2831" s="2"/>
      <c r="F2831" s="19"/>
    </row>
    <row r="2832" ht="15.75" customHeight="1">
      <c r="A2832" s="1">
        <v>5.7873246E7</v>
      </c>
      <c r="B2832" s="2" t="s">
        <v>2936</v>
      </c>
      <c r="C2832" s="19" t="s">
        <v>7499</v>
      </c>
      <c r="D2832" s="19"/>
      <c r="E2832" s="2"/>
      <c r="F2832" s="19"/>
    </row>
    <row r="2833" ht="15.75" customHeight="1">
      <c r="A2833" s="1">
        <v>5.7879053E7</v>
      </c>
      <c r="B2833" s="2" t="s">
        <v>2207</v>
      </c>
      <c r="C2833" s="19" t="s">
        <v>7500</v>
      </c>
      <c r="D2833" s="19"/>
      <c r="E2833" s="2"/>
      <c r="F2833" s="19"/>
    </row>
    <row r="2834" ht="15.75" customHeight="1">
      <c r="A2834" s="1">
        <v>5.7885314E7</v>
      </c>
      <c r="B2834" s="2" t="s">
        <v>2671</v>
      </c>
      <c r="C2834" s="19" t="s">
        <v>7501</v>
      </c>
      <c r="D2834" s="19"/>
      <c r="E2834" s="2"/>
      <c r="F2834" s="19"/>
    </row>
    <row r="2835" ht="15.75" customHeight="1">
      <c r="A2835" s="1">
        <v>5.7885877E7</v>
      </c>
      <c r="B2835" s="2" t="s">
        <v>2903</v>
      </c>
      <c r="C2835" s="19" t="s">
        <v>7502</v>
      </c>
      <c r="D2835" s="19"/>
      <c r="E2835" s="2"/>
      <c r="F2835" s="19"/>
    </row>
    <row r="2836" ht="15.75" customHeight="1">
      <c r="A2836" s="1">
        <v>5.7887686E7</v>
      </c>
      <c r="B2836" s="2" t="s">
        <v>1953</v>
      </c>
      <c r="C2836" s="19" t="s">
        <v>7503</v>
      </c>
      <c r="D2836" s="19"/>
      <c r="E2836" s="2"/>
      <c r="F2836" s="19"/>
    </row>
    <row r="2837" ht="15.75" customHeight="1">
      <c r="A2837" s="1">
        <v>5.7891475E7</v>
      </c>
      <c r="B2837" s="2" t="s">
        <v>2972</v>
      </c>
      <c r="C2837" s="19" t="s">
        <v>7504</v>
      </c>
      <c r="D2837" s="19"/>
      <c r="E2837" s="2"/>
      <c r="F2837" s="19"/>
    </row>
    <row r="2838" ht="15.75" customHeight="1">
      <c r="A2838" s="1">
        <v>5.7892682E7</v>
      </c>
      <c r="B2838" s="2" t="s">
        <v>3565</v>
      </c>
      <c r="C2838" s="19" t="s">
        <v>7505</v>
      </c>
      <c r="D2838" s="19"/>
      <c r="E2838" s="2"/>
      <c r="F2838" s="19"/>
    </row>
    <row r="2839" ht="15.75" customHeight="1">
      <c r="A2839" s="1">
        <v>5.7892931E7</v>
      </c>
      <c r="B2839" s="2" t="s">
        <v>3253</v>
      </c>
      <c r="C2839" s="19" t="s">
        <v>7506</v>
      </c>
      <c r="D2839" s="19" t="s">
        <v>7507</v>
      </c>
      <c r="E2839" s="2"/>
      <c r="F2839" s="19"/>
    </row>
    <row r="2840" ht="15.75" customHeight="1">
      <c r="A2840" s="1">
        <v>5.7894957E7</v>
      </c>
      <c r="B2840" s="2" t="s">
        <v>3372</v>
      </c>
      <c r="C2840" s="19" t="s">
        <v>7508</v>
      </c>
      <c r="D2840" s="19"/>
      <c r="E2840" s="2"/>
      <c r="F2840" s="19"/>
    </row>
    <row r="2841" ht="15.75" customHeight="1">
      <c r="A2841" s="1">
        <v>5.7895035E7</v>
      </c>
      <c r="B2841" s="2" t="s">
        <v>2395</v>
      </c>
      <c r="C2841" s="19" t="s">
        <v>7509</v>
      </c>
      <c r="D2841" s="19"/>
      <c r="E2841" s="2"/>
      <c r="F2841" s="19"/>
    </row>
    <row r="2842" ht="15.75" customHeight="1">
      <c r="A2842" s="1">
        <v>5.7895348E7</v>
      </c>
      <c r="B2842" s="2" t="s">
        <v>3103</v>
      </c>
      <c r="C2842" s="19" t="s">
        <v>7510</v>
      </c>
      <c r="D2842" s="19" t="s">
        <v>7511</v>
      </c>
      <c r="E2842" s="2"/>
      <c r="F2842" s="19"/>
    </row>
    <row r="2843" ht="15.75" customHeight="1">
      <c r="A2843" s="1">
        <v>5.7897359E7</v>
      </c>
      <c r="B2843" s="2" t="s">
        <v>2952</v>
      </c>
      <c r="C2843" s="19" t="s">
        <v>7512</v>
      </c>
      <c r="D2843" s="19"/>
      <c r="E2843" s="2"/>
      <c r="F2843" s="19"/>
    </row>
    <row r="2844" ht="15.75" customHeight="1">
      <c r="A2844" s="1">
        <v>5.7900028E7</v>
      </c>
      <c r="B2844" s="2" t="s">
        <v>2550</v>
      </c>
      <c r="C2844" s="19" t="s">
        <v>7513</v>
      </c>
      <c r="D2844" s="19" t="s">
        <v>7514</v>
      </c>
      <c r="E2844" s="2"/>
      <c r="F2844" s="19"/>
    </row>
    <row r="2845" ht="15.75" customHeight="1">
      <c r="A2845" s="1">
        <v>5.7901336E7</v>
      </c>
      <c r="B2845" s="2" t="s">
        <v>2973</v>
      </c>
      <c r="C2845" s="19" t="s">
        <v>7515</v>
      </c>
      <c r="D2845" s="19"/>
      <c r="E2845" s="2"/>
      <c r="F2845" s="19"/>
    </row>
    <row r="2846" ht="15.75" customHeight="1">
      <c r="A2846" s="1">
        <v>5.7909595E7</v>
      </c>
      <c r="B2846" s="2" t="s">
        <v>1868</v>
      </c>
      <c r="C2846" s="19" t="s">
        <v>7516</v>
      </c>
      <c r="D2846" s="19" t="s">
        <v>7517</v>
      </c>
      <c r="E2846" s="2"/>
      <c r="F2846" s="19"/>
    </row>
    <row r="2847" ht="15.75" customHeight="1">
      <c r="A2847" s="1">
        <v>5.7910501E7</v>
      </c>
      <c r="B2847" s="2" t="s">
        <v>1902</v>
      </c>
      <c r="C2847" s="19" t="s">
        <v>7518</v>
      </c>
      <c r="D2847" s="19" t="s">
        <v>7519</v>
      </c>
      <c r="E2847" s="2"/>
      <c r="F2847" s="19"/>
    </row>
    <row r="2848" ht="15.75" customHeight="1">
      <c r="A2848" s="1">
        <v>5.7916211E7</v>
      </c>
      <c r="B2848" s="2" t="s">
        <v>2706</v>
      </c>
      <c r="C2848" s="19" t="s">
        <v>7520</v>
      </c>
      <c r="D2848" s="19"/>
      <c r="E2848" s="2"/>
      <c r="F2848" s="19"/>
    </row>
    <row r="2849" ht="15.75" customHeight="1">
      <c r="A2849" s="1">
        <v>5.7918783E7</v>
      </c>
      <c r="B2849" s="2" t="s">
        <v>2733</v>
      </c>
      <c r="C2849" s="19" t="s">
        <v>7521</v>
      </c>
      <c r="D2849" s="19"/>
      <c r="E2849" s="2"/>
      <c r="F2849" s="19"/>
    </row>
    <row r="2850" ht="15.75" customHeight="1">
      <c r="A2850" s="1">
        <v>5.7927698E7</v>
      </c>
      <c r="B2850" s="2" t="s">
        <v>373</v>
      </c>
      <c r="C2850" s="19" t="s">
        <v>7522</v>
      </c>
      <c r="D2850" s="19"/>
      <c r="E2850" s="2"/>
      <c r="F2850" s="19"/>
    </row>
    <row r="2851" ht="15.75" customHeight="1">
      <c r="A2851" s="1">
        <v>5.7928329E7</v>
      </c>
      <c r="B2851" s="2" t="s">
        <v>3292</v>
      </c>
      <c r="C2851" s="19" t="s">
        <v>7523</v>
      </c>
      <c r="D2851" s="19" t="s">
        <v>7524</v>
      </c>
      <c r="E2851" s="2"/>
      <c r="F2851" s="19"/>
    </row>
    <row r="2852" ht="15.75" customHeight="1">
      <c r="A2852" s="1">
        <v>5.7931047E7</v>
      </c>
      <c r="B2852" s="2" t="s">
        <v>2746</v>
      </c>
      <c r="C2852" s="19" t="s">
        <v>7525</v>
      </c>
      <c r="D2852" s="19" t="s">
        <v>7526</v>
      </c>
      <c r="E2852" s="2"/>
      <c r="F2852" s="19"/>
    </row>
    <row r="2853" ht="15.75" customHeight="1">
      <c r="A2853" s="1">
        <v>5.7941287E7</v>
      </c>
      <c r="B2853" s="2" t="s">
        <v>2787</v>
      </c>
      <c r="C2853" s="19" t="s">
        <v>7527</v>
      </c>
      <c r="D2853" s="19" t="s">
        <v>7528</v>
      </c>
      <c r="E2853" s="2"/>
      <c r="F2853" s="19"/>
    </row>
    <row r="2854" ht="15.75" customHeight="1">
      <c r="A2854" s="1">
        <v>5.7944759E7</v>
      </c>
      <c r="B2854" s="2" t="s">
        <v>2892</v>
      </c>
      <c r="C2854" s="19" t="s">
        <v>7529</v>
      </c>
      <c r="D2854" s="19"/>
      <c r="E2854" s="2"/>
      <c r="F2854" s="19"/>
    </row>
    <row r="2855" ht="15.75" customHeight="1">
      <c r="A2855" s="1">
        <v>5.7958985E7</v>
      </c>
      <c r="B2855" s="2" t="s">
        <v>3015</v>
      </c>
      <c r="C2855" s="19" t="s">
        <v>7530</v>
      </c>
      <c r="D2855" s="19"/>
      <c r="E2855" s="2"/>
      <c r="F2855" s="19"/>
    </row>
    <row r="2856" ht="15.75" customHeight="1">
      <c r="A2856" s="1">
        <v>5.7963215E7</v>
      </c>
      <c r="B2856" s="2" t="s">
        <v>3394</v>
      </c>
      <c r="C2856" s="19" t="s">
        <v>7531</v>
      </c>
      <c r="D2856" s="19"/>
      <c r="E2856" s="2"/>
      <c r="F2856" s="19"/>
    </row>
    <row r="2857" ht="15.75" customHeight="1">
      <c r="A2857" s="1">
        <v>5.7969107E7</v>
      </c>
      <c r="B2857" s="2" t="s">
        <v>2508</v>
      </c>
      <c r="C2857" s="19" t="s">
        <v>7532</v>
      </c>
      <c r="D2857" s="19"/>
      <c r="E2857" s="2"/>
      <c r="F2857" s="19"/>
    </row>
    <row r="2858" ht="15.75" customHeight="1">
      <c r="A2858" s="1">
        <v>5.797156E7</v>
      </c>
      <c r="B2858" s="2" t="s">
        <v>2974</v>
      </c>
      <c r="C2858" s="19" t="s">
        <v>7533</v>
      </c>
      <c r="D2858" s="19"/>
      <c r="E2858" s="2"/>
      <c r="F2858" s="19"/>
    </row>
    <row r="2859" ht="15.75" customHeight="1">
      <c r="A2859" s="1">
        <v>5.7977027E7</v>
      </c>
      <c r="B2859" s="2" t="s">
        <v>1805</v>
      </c>
      <c r="C2859" s="19" t="s">
        <v>7534</v>
      </c>
      <c r="D2859" s="19" t="s">
        <v>7535</v>
      </c>
      <c r="E2859" s="2"/>
      <c r="F2859" s="19"/>
    </row>
    <row r="2860" ht="15.75" customHeight="1">
      <c r="A2860" s="1">
        <v>5.7978754E7</v>
      </c>
      <c r="B2860" s="2" t="s">
        <v>3104</v>
      </c>
      <c r="C2860" s="19" t="s">
        <v>7536</v>
      </c>
      <c r="D2860" s="19" t="s">
        <v>7537</v>
      </c>
      <c r="E2860" s="2"/>
      <c r="F2860" s="19"/>
    </row>
    <row r="2861" ht="15.75" customHeight="1">
      <c r="A2861" s="1">
        <v>5.7982913E7</v>
      </c>
      <c r="B2861" s="2" t="s">
        <v>1595</v>
      </c>
      <c r="C2861" s="19" t="s">
        <v>7538</v>
      </c>
      <c r="D2861" s="19"/>
      <c r="E2861" s="2"/>
      <c r="F2861" s="19"/>
    </row>
    <row r="2862" ht="15.75" customHeight="1">
      <c r="A2862" s="1">
        <v>5.7984097E7</v>
      </c>
      <c r="B2862" s="2" t="s">
        <v>228</v>
      </c>
      <c r="C2862" s="19" t="s">
        <v>7539</v>
      </c>
      <c r="D2862" s="19"/>
      <c r="E2862" s="2"/>
      <c r="F2862" s="19"/>
    </row>
    <row r="2863" ht="15.75" customHeight="1">
      <c r="A2863" s="1">
        <v>5.7996119E7</v>
      </c>
      <c r="B2863" s="2" t="s">
        <v>2620</v>
      </c>
      <c r="C2863" s="19" t="s">
        <v>7540</v>
      </c>
      <c r="D2863" s="19" t="s">
        <v>7541</v>
      </c>
      <c r="E2863" s="2"/>
      <c r="F2863" s="19"/>
    </row>
    <row r="2864" ht="15.75" customHeight="1">
      <c r="A2864" s="1">
        <v>5.7996398E7</v>
      </c>
      <c r="B2864" s="2" t="s">
        <v>3177</v>
      </c>
      <c r="C2864" s="19" t="s">
        <v>7542</v>
      </c>
      <c r="D2864" s="19"/>
      <c r="E2864" s="2"/>
      <c r="F2864" s="19"/>
    </row>
    <row r="2865" ht="15.75" customHeight="1">
      <c r="A2865" s="1">
        <v>5.8004108E7</v>
      </c>
      <c r="B2865" s="2" t="s">
        <v>2810</v>
      </c>
      <c r="C2865" s="19" t="s">
        <v>7543</v>
      </c>
      <c r="D2865" s="19"/>
      <c r="E2865" s="2"/>
      <c r="F2865" s="19"/>
    </row>
    <row r="2866" ht="15.75" customHeight="1">
      <c r="A2866" s="1">
        <v>5.8004855E7</v>
      </c>
      <c r="B2866" s="2" t="s">
        <v>3522</v>
      </c>
      <c r="C2866" s="19" t="s">
        <v>7544</v>
      </c>
      <c r="D2866" s="19"/>
      <c r="E2866" s="2"/>
      <c r="F2866" s="19"/>
    </row>
    <row r="2867" ht="15.75" customHeight="1">
      <c r="A2867" s="1">
        <v>5.8010768E7</v>
      </c>
      <c r="B2867" s="2" t="s">
        <v>1121</v>
      </c>
      <c r="C2867" s="19" t="s">
        <v>7545</v>
      </c>
      <c r="D2867" s="19"/>
      <c r="E2867" s="2"/>
      <c r="F2867" s="19"/>
    </row>
    <row r="2868" ht="15.75" customHeight="1">
      <c r="A2868" s="1">
        <v>5.8011656E7</v>
      </c>
      <c r="B2868" s="2" t="s">
        <v>2396</v>
      </c>
      <c r="C2868" s="19" t="s">
        <v>7546</v>
      </c>
      <c r="D2868" s="19" t="s">
        <v>7547</v>
      </c>
      <c r="E2868" s="2"/>
      <c r="F2868" s="19"/>
    </row>
    <row r="2869" ht="15.75" customHeight="1">
      <c r="A2869" s="1">
        <v>5.8018611E7</v>
      </c>
      <c r="B2869" s="2" t="s">
        <v>3119</v>
      </c>
      <c r="C2869" s="19" t="s">
        <v>7548</v>
      </c>
      <c r="D2869" s="19"/>
      <c r="E2869" s="2"/>
      <c r="F2869" s="19"/>
    </row>
    <row r="2870" ht="15.75" customHeight="1">
      <c r="A2870" s="1">
        <v>5.8018964E7</v>
      </c>
      <c r="B2870" s="2" t="s">
        <v>573</v>
      </c>
      <c r="C2870" s="19" t="s">
        <v>7549</v>
      </c>
      <c r="D2870" s="19"/>
      <c r="E2870" s="2"/>
      <c r="F2870" s="19"/>
    </row>
    <row r="2871" ht="15.75" customHeight="1">
      <c r="A2871" s="1">
        <v>5.8020564E7</v>
      </c>
      <c r="B2871" s="2" t="s">
        <v>1865</v>
      </c>
      <c r="C2871" s="19" t="s">
        <v>7550</v>
      </c>
      <c r="D2871" s="19"/>
      <c r="E2871" s="2"/>
      <c r="F2871" s="19"/>
    </row>
    <row r="2872" ht="15.75" customHeight="1">
      <c r="A2872" s="1">
        <v>5.8025822E7</v>
      </c>
      <c r="B2872" s="2" t="s">
        <v>2768</v>
      </c>
      <c r="C2872" s="19" t="s">
        <v>7551</v>
      </c>
      <c r="D2872" s="19" t="s">
        <v>7552</v>
      </c>
      <c r="E2872" s="2"/>
      <c r="F2872" s="19"/>
    </row>
    <row r="2873" ht="15.75" customHeight="1">
      <c r="A2873" s="1">
        <v>5.8028882E7</v>
      </c>
      <c r="B2873" s="2" t="s">
        <v>1155</v>
      </c>
      <c r="C2873" s="19" t="s">
        <v>7553</v>
      </c>
      <c r="D2873" s="19"/>
      <c r="E2873" s="2"/>
      <c r="F2873" s="19"/>
    </row>
    <row r="2874" ht="15.75" customHeight="1">
      <c r="A2874" s="1">
        <v>5.8030372E7</v>
      </c>
      <c r="B2874" s="2" t="s">
        <v>3593</v>
      </c>
      <c r="C2874" s="19" t="s">
        <v>7554</v>
      </c>
      <c r="D2874" s="19"/>
      <c r="E2874" s="2"/>
      <c r="F2874" s="19"/>
    </row>
    <row r="2875" ht="15.75" customHeight="1">
      <c r="A2875" s="1">
        <v>5.8031932E7</v>
      </c>
      <c r="B2875" s="2" t="s">
        <v>2953</v>
      </c>
      <c r="C2875" s="19" t="s">
        <v>7555</v>
      </c>
      <c r="D2875" s="19"/>
      <c r="E2875" s="2"/>
      <c r="F2875" s="19"/>
    </row>
    <row r="2876" ht="15.75" customHeight="1">
      <c r="A2876" s="1">
        <v>5.8032332E7</v>
      </c>
      <c r="B2876" s="2" t="s">
        <v>1518</v>
      </c>
      <c r="C2876" s="19" t="s">
        <v>7556</v>
      </c>
      <c r="D2876" s="19" t="s">
        <v>7557</v>
      </c>
      <c r="E2876" s="2"/>
      <c r="F2876" s="19"/>
    </row>
    <row r="2877" ht="15.75" customHeight="1">
      <c r="A2877" s="1">
        <v>5.8036007E7</v>
      </c>
      <c r="B2877" s="2" t="s">
        <v>1312</v>
      </c>
      <c r="C2877" s="19" t="s">
        <v>7558</v>
      </c>
      <c r="D2877" s="19"/>
      <c r="E2877" s="2"/>
      <c r="F2877" s="19"/>
    </row>
    <row r="2878" ht="15.75" customHeight="1">
      <c r="A2878" s="1">
        <v>5.8039038E7</v>
      </c>
      <c r="B2878" s="2" t="s">
        <v>1513</v>
      </c>
      <c r="C2878" s="19" t="s">
        <v>7559</v>
      </c>
      <c r="D2878" s="19" t="s">
        <v>7560</v>
      </c>
      <c r="E2878" s="2"/>
      <c r="F2878" s="19"/>
    </row>
    <row r="2879" ht="15.75" customHeight="1">
      <c r="A2879" s="1">
        <v>5.8041573E7</v>
      </c>
      <c r="B2879" s="2" t="s">
        <v>2199</v>
      </c>
      <c r="C2879" s="19" t="s">
        <v>7561</v>
      </c>
      <c r="D2879" s="19"/>
      <c r="E2879" s="2"/>
      <c r="F2879" s="19"/>
    </row>
    <row r="2880" ht="15.75" customHeight="1">
      <c r="A2880" s="1">
        <v>5.8053093E7</v>
      </c>
      <c r="B2880" s="2" t="s">
        <v>1579</v>
      </c>
      <c r="C2880" s="19" t="s">
        <v>7562</v>
      </c>
      <c r="D2880" s="19" t="s">
        <v>7563</v>
      </c>
      <c r="E2880" s="2"/>
      <c r="F2880" s="19"/>
    </row>
    <row r="2881" ht="15.75" customHeight="1">
      <c r="A2881" s="1">
        <v>5.8054024E7</v>
      </c>
      <c r="B2881" s="2" t="s">
        <v>2551</v>
      </c>
      <c r="C2881" s="19" t="s">
        <v>7564</v>
      </c>
      <c r="D2881" s="19" t="s">
        <v>7565</v>
      </c>
      <c r="E2881" s="2"/>
      <c r="F2881" s="19"/>
    </row>
    <row r="2882" ht="15.75" customHeight="1">
      <c r="A2882" s="1">
        <v>5.8054575E7</v>
      </c>
      <c r="B2882" s="2" t="s">
        <v>1533</v>
      </c>
      <c r="C2882" s="19" t="s">
        <v>7566</v>
      </c>
      <c r="D2882" s="19" t="s">
        <v>7567</v>
      </c>
      <c r="E2882" s="2"/>
      <c r="F2882" s="19"/>
    </row>
    <row r="2883" ht="15.75" customHeight="1">
      <c r="A2883" s="1">
        <v>5.8058193E7</v>
      </c>
      <c r="B2883" s="2" t="s">
        <v>3549</v>
      </c>
      <c r="C2883" s="19" t="s">
        <v>7568</v>
      </c>
      <c r="D2883" s="19"/>
      <c r="E2883" s="2"/>
      <c r="F2883" s="19"/>
    </row>
    <row r="2884" ht="15.75" customHeight="1">
      <c r="A2884" s="1">
        <v>5.8059973E7</v>
      </c>
      <c r="B2884" s="2" t="s">
        <v>3105</v>
      </c>
      <c r="C2884" s="19" t="s">
        <v>7569</v>
      </c>
      <c r="D2884" s="19"/>
      <c r="E2884" s="2"/>
      <c r="F2884" s="19"/>
    </row>
    <row r="2885" ht="15.75" customHeight="1">
      <c r="A2885" s="1">
        <v>5.807271E7</v>
      </c>
      <c r="B2885" s="2" t="s">
        <v>1211</v>
      </c>
      <c r="C2885" s="19" t="s">
        <v>7570</v>
      </c>
      <c r="D2885" s="19"/>
      <c r="E2885" s="2"/>
      <c r="F2885" s="19"/>
    </row>
    <row r="2886" ht="15.75" customHeight="1">
      <c r="A2886" s="1">
        <v>5.8074597E7</v>
      </c>
      <c r="B2886" s="2" t="s">
        <v>2263</v>
      </c>
      <c r="C2886" s="19" t="s">
        <v>7571</v>
      </c>
      <c r="D2886" s="19"/>
      <c r="E2886" s="2"/>
      <c r="F2886" s="19"/>
    </row>
    <row r="2887" ht="15.75" customHeight="1">
      <c r="A2887" s="1">
        <v>5.808121E7</v>
      </c>
      <c r="B2887" s="2" t="s">
        <v>522</v>
      </c>
      <c r="C2887" s="19" t="s">
        <v>7572</v>
      </c>
      <c r="D2887" s="19"/>
      <c r="E2887" s="2"/>
      <c r="F2887" s="19"/>
    </row>
    <row r="2888" ht="15.75" customHeight="1">
      <c r="A2888" s="1">
        <v>5.8081651E7</v>
      </c>
      <c r="B2888" s="2" t="s">
        <v>3198</v>
      </c>
      <c r="C2888" s="19" t="s">
        <v>7573</v>
      </c>
      <c r="D2888" s="19"/>
      <c r="E2888" s="2"/>
      <c r="F2888" s="19"/>
    </row>
    <row r="2889" ht="15.75" customHeight="1">
      <c r="A2889" s="1">
        <v>5.8082775E7</v>
      </c>
      <c r="B2889" s="2" t="s">
        <v>2597</v>
      </c>
      <c r="C2889" s="19" t="s">
        <v>7574</v>
      </c>
      <c r="D2889" s="19"/>
      <c r="E2889" s="2"/>
      <c r="F2889" s="19"/>
    </row>
    <row r="2890" ht="15.75" customHeight="1">
      <c r="A2890" s="1">
        <v>5.8083482E7</v>
      </c>
      <c r="B2890" s="2" t="s">
        <v>1414</v>
      </c>
      <c r="C2890" s="19" t="s">
        <v>7575</v>
      </c>
      <c r="D2890" s="19" t="s">
        <v>7576</v>
      </c>
      <c r="E2890" s="2"/>
      <c r="F2890" s="19"/>
    </row>
    <row r="2891" ht="15.75" customHeight="1">
      <c r="A2891" s="1">
        <v>5.8090624E7</v>
      </c>
      <c r="B2891" s="2" t="s">
        <v>2239</v>
      </c>
      <c r="C2891" s="19" t="s">
        <v>7577</v>
      </c>
      <c r="D2891" s="19"/>
      <c r="E2891" s="2"/>
      <c r="F2891" s="19"/>
    </row>
    <row r="2892" ht="15.75" customHeight="1">
      <c r="A2892" s="1">
        <v>5.8090993E7</v>
      </c>
      <c r="B2892" s="2" t="s">
        <v>3566</v>
      </c>
      <c r="C2892" s="19" t="s">
        <v>7578</v>
      </c>
      <c r="D2892" s="19"/>
      <c r="E2892" s="2"/>
      <c r="F2892" s="19"/>
    </row>
    <row r="2893" ht="15.75" customHeight="1">
      <c r="A2893" s="1">
        <v>5.8091962E7</v>
      </c>
      <c r="B2893" s="2" t="s">
        <v>2371</v>
      </c>
      <c r="C2893" s="19" t="s">
        <v>7579</v>
      </c>
      <c r="D2893" s="19"/>
      <c r="E2893" s="2"/>
      <c r="F2893" s="19"/>
    </row>
    <row r="2894" ht="15.75" customHeight="1">
      <c r="A2894" s="1">
        <v>5.8094733E7</v>
      </c>
      <c r="B2894" s="2" t="s">
        <v>2637</v>
      </c>
      <c r="C2894" s="19" t="s">
        <v>7580</v>
      </c>
      <c r="D2894" s="19"/>
      <c r="E2894" s="2"/>
      <c r="F2894" s="19"/>
    </row>
    <row r="2895" ht="15.75" customHeight="1">
      <c r="A2895" s="1">
        <v>5.80972E7</v>
      </c>
      <c r="B2895" s="2" t="s">
        <v>2208</v>
      </c>
      <c r="C2895" s="19" t="s">
        <v>7581</v>
      </c>
      <c r="D2895" s="19" t="s">
        <v>7582</v>
      </c>
      <c r="E2895" s="2"/>
      <c r="F2895" s="19"/>
    </row>
    <row r="2896" ht="15.75" customHeight="1">
      <c r="A2896" s="1">
        <v>5.8101336E7</v>
      </c>
      <c r="B2896" s="2" t="s">
        <v>1420</v>
      </c>
      <c r="C2896" s="19" t="s">
        <v>7583</v>
      </c>
      <c r="D2896" s="19" t="s">
        <v>7584</v>
      </c>
      <c r="E2896" s="2"/>
      <c r="F2896" s="19"/>
    </row>
    <row r="2897" ht="15.75" customHeight="1">
      <c r="A2897" s="1">
        <v>5.810172E7</v>
      </c>
      <c r="B2897" s="2" t="s">
        <v>1972</v>
      </c>
      <c r="C2897" s="19" t="s">
        <v>7585</v>
      </c>
      <c r="D2897" s="19" t="s">
        <v>7586</v>
      </c>
      <c r="E2897" s="2"/>
      <c r="F2897" s="19"/>
    </row>
    <row r="2898" ht="15.75" customHeight="1">
      <c r="A2898" s="1">
        <v>5.8101949E7</v>
      </c>
      <c r="B2898" s="2" t="s">
        <v>2995</v>
      </c>
      <c r="C2898" s="19" t="s">
        <v>7587</v>
      </c>
      <c r="D2898" s="19"/>
      <c r="E2898" s="2"/>
      <c r="F2898" s="19"/>
    </row>
    <row r="2899" ht="15.75" customHeight="1">
      <c r="A2899" s="1">
        <v>5.8102357E7</v>
      </c>
      <c r="B2899" s="2" t="s">
        <v>2591</v>
      </c>
      <c r="C2899" s="19" t="s">
        <v>7588</v>
      </c>
      <c r="D2899" s="19"/>
      <c r="E2899" s="2"/>
      <c r="F2899" s="19"/>
    </row>
    <row r="2900" ht="15.75" customHeight="1">
      <c r="A2900" s="1">
        <v>5.8102675E7</v>
      </c>
      <c r="B2900" s="2" t="s">
        <v>2231</v>
      </c>
      <c r="C2900" s="19" t="s">
        <v>7589</v>
      </c>
      <c r="D2900" s="19"/>
      <c r="E2900" s="2"/>
      <c r="F2900" s="19"/>
    </row>
    <row r="2901" ht="15.75" customHeight="1">
      <c r="A2901" s="1">
        <v>5.8109112E7</v>
      </c>
      <c r="B2901" s="2" t="s">
        <v>3178</v>
      </c>
      <c r="C2901" s="19" t="s">
        <v>7590</v>
      </c>
      <c r="D2901" s="19"/>
      <c r="E2901" s="2"/>
      <c r="F2901" s="19"/>
    </row>
    <row r="2902" ht="15.75" customHeight="1">
      <c r="A2902" s="1">
        <v>5.8111227E7</v>
      </c>
      <c r="B2902" s="2" t="s">
        <v>1656</v>
      </c>
      <c r="C2902" s="19" t="s">
        <v>7591</v>
      </c>
      <c r="D2902" s="19"/>
      <c r="E2902" s="2"/>
      <c r="F2902" s="19"/>
    </row>
    <row r="2903" ht="15.75" customHeight="1">
      <c r="A2903" s="1">
        <v>5.8112894E7</v>
      </c>
      <c r="B2903" s="2" t="s">
        <v>1580</v>
      </c>
      <c r="C2903" s="19" t="s">
        <v>7592</v>
      </c>
      <c r="D2903" s="19" t="s">
        <v>7593</v>
      </c>
      <c r="E2903" s="2"/>
      <c r="F2903" s="19"/>
    </row>
    <row r="2904" ht="15.75" customHeight="1">
      <c r="A2904" s="1">
        <v>5.811459E7</v>
      </c>
      <c r="B2904" s="2" t="s">
        <v>1941</v>
      </c>
      <c r="C2904" s="19" t="s">
        <v>7594</v>
      </c>
      <c r="D2904" s="19"/>
      <c r="E2904" s="2"/>
      <c r="F2904" s="19"/>
    </row>
    <row r="2905" ht="15.75" customHeight="1">
      <c r="A2905" s="1">
        <v>5.8115925E7</v>
      </c>
      <c r="B2905" s="2" t="s">
        <v>2472</v>
      </c>
      <c r="C2905" s="19" t="s">
        <v>7595</v>
      </c>
      <c r="D2905" s="19"/>
      <c r="E2905" s="2"/>
      <c r="F2905" s="19"/>
    </row>
    <row r="2906" ht="15.75" customHeight="1">
      <c r="A2906" s="1">
        <v>5.81168E7</v>
      </c>
      <c r="B2906" s="2" t="s">
        <v>750</v>
      </c>
      <c r="C2906" s="19" t="s">
        <v>7596</v>
      </c>
      <c r="D2906" s="19" t="s">
        <v>7597</v>
      </c>
      <c r="E2906" s="2"/>
      <c r="F2906" s="19"/>
    </row>
    <row r="2907" ht="15.75" customHeight="1">
      <c r="A2907" s="1">
        <v>5.811821E7</v>
      </c>
      <c r="B2907" s="2" t="s">
        <v>1958</v>
      </c>
      <c r="C2907" s="19" t="s">
        <v>7598</v>
      </c>
      <c r="D2907" s="19"/>
      <c r="E2907" s="2"/>
      <c r="F2907" s="19"/>
    </row>
    <row r="2908" ht="15.75" customHeight="1">
      <c r="A2908" s="1">
        <v>5.8118966E7</v>
      </c>
      <c r="B2908" s="2" t="s">
        <v>2209</v>
      </c>
      <c r="C2908" s="19" t="s">
        <v>7599</v>
      </c>
      <c r="D2908" s="19" t="s">
        <v>7600</v>
      </c>
      <c r="E2908" s="2"/>
      <c r="F2908" s="19"/>
    </row>
    <row r="2909" ht="15.75" customHeight="1">
      <c r="A2909" s="1">
        <v>5.8124237E7</v>
      </c>
      <c r="B2909" s="2" t="s">
        <v>2643</v>
      </c>
      <c r="C2909" s="19" t="s">
        <v>7601</v>
      </c>
      <c r="D2909" s="19" t="s">
        <v>7602</v>
      </c>
      <c r="E2909" s="2"/>
      <c r="F2909" s="19"/>
    </row>
    <row r="2910" ht="15.75" customHeight="1">
      <c r="A2910" s="1">
        <v>5.8134573E7</v>
      </c>
      <c r="B2910" s="2" t="s">
        <v>2184</v>
      </c>
      <c r="C2910" s="19" t="s">
        <v>7603</v>
      </c>
      <c r="D2910" s="19"/>
      <c r="E2910" s="2"/>
      <c r="F2910" s="19"/>
    </row>
    <row r="2911" ht="15.75" customHeight="1">
      <c r="A2911" s="1">
        <v>5.814316E7</v>
      </c>
      <c r="B2911" s="2" t="s">
        <v>2416</v>
      </c>
      <c r="C2911" s="19" t="s">
        <v>7604</v>
      </c>
      <c r="D2911" s="19"/>
      <c r="E2911" s="2"/>
      <c r="F2911" s="19"/>
    </row>
    <row r="2912" ht="15.75" customHeight="1">
      <c r="A2912" s="1">
        <v>5.814339E7</v>
      </c>
      <c r="B2912" s="2" t="s">
        <v>877</v>
      </c>
      <c r="C2912" s="19" t="s">
        <v>7605</v>
      </c>
      <c r="D2912" s="19"/>
      <c r="E2912" s="2"/>
      <c r="F2912" s="19"/>
    </row>
    <row r="2913" ht="15.75" customHeight="1">
      <c r="A2913" s="1">
        <v>5.8144437E7</v>
      </c>
      <c r="B2913" s="2" t="s">
        <v>2609</v>
      </c>
      <c r="C2913" s="19" t="s">
        <v>7606</v>
      </c>
      <c r="D2913" s="19"/>
      <c r="E2913" s="2"/>
      <c r="F2913" s="19"/>
    </row>
    <row r="2914" ht="15.75" customHeight="1">
      <c r="A2914" s="1">
        <v>5.8148161E7</v>
      </c>
      <c r="B2914" s="2" t="s">
        <v>2488</v>
      </c>
      <c r="C2914" s="19" t="s">
        <v>7607</v>
      </c>
      <c r="D2914" s="19"/>
      <c r="E2914" s="2"/>
      <c r="F2914" s="19"/>
    </row>
    <row r="2915" ht="15.75" customHeight="1">
      <c r="A2915" s="1">
        <v>5.8148729E7</v>
      </c>
      <c r="B2915" s="2" t="s">
        <v>3347</v>
      </c>
      <c r="C2915" s="19" t="s">
        <v>7608</v>
      </c>
      <c r="D2915" s="19"/>
      <c r="E2915" s="2"/>
      <c r="F2915" s="19"/>
    </row>
    <row r="2916" ht="15.75" customHeight="1">
      <c r="A2916" s="1">
        <v>5.8151144E7</v>
      </c>
      <c r="B2916" s="2" t="s">
        <v>2256</v>
      </c>
      <c r="C2916" s="19" t="s">
        <v>7609</v>
      </c>
      <c r="D2916" s="19" t="s">
        <v>7610</v>
      </c>
      <c r="E2916" s="2"/>
      <c r="F2916" s="19"/>
    </row>
    <row r="2917" ht="15.75" customHeight="1">
      <c r="A2917" s="1">
        <v>5.8155631E7</v>
      </c>
      <c r="B2917" s="2" t="s">
        <v>1752</v>
      </c>
      <c r="C2917" s="19" t="s">
        <v>7611</v>
      </c>
      <c r="D2917" s="19"/>
      <c r="E2917" s="2"/>
      <c r="F2917" s="19"/>
    </row>
    <row r="2918" ht="15.75" customHeight="1">
      <c r="A2918" s="1">
        <v>5.8161171E7</v>
      </c>
      <c r="B2918" s="2" t="s">
        <v>1208</v>
      </c>
      <c r="C2918" s="19" t="s">
        <v>7612</v>
      </c>
      <c r="D2918" s="19" t="s">
        <v>7613</v>
      </c>
      <c r="E2918" s="2"/>
      <c r="F2918" s="19"/>
    </row>
    <row r="2919" ht="15.75" customHeight="1">
      <c r="A2919" s="1">
        <v>5.8163017E7</v>
      </c>
      <c r="B2919" s="2" t="s">
        <v>1849</v>
      </c>
      <c r="C2919" s="19" t="s">
        <v>7614</v>
      </c>
      <c r="D2919" s="19"/>
      <c r="E2919" s="2"/>
      <c r="F2919" s="19"/>
    </row>
    <row r="2920" ht="15.75" customHeight="1">
      <c r="A2920" s="1">
        <v>5.817014E7</v>
      </c>
      <c r="B2920" s="2" t="s">
        <v>2190</v>
      </c>
      <c r="C2920" s="19" t="s">
        <v>7615</v>
      </c>
      <c r="D2920" s="19"/>
      <c r="E2920" s="2"/>
      <c r="F2920" s="19"/>
    </row>
    <row r="2921" ht="15.75" customHeight="1">
      <c r="A2921" s="1">
        <v>5.8172015E7</v>
      </c>
      <c r="B2921" s="2" t="s">
        <v>2056</v>
      </c>
      <c r="C2921" s="19" t="s">
        <v>7616</v>
      </c>
      <c r="D2921" s="19"/>
      <c r="E2921" s="2"/>
      <c r="F2921" s="19"/>
    </row>
    <row r="2922" ht="15.75" customHeight="1">
      <c r="A2922" s="1">
        <v>5.8174411E7</v>
      </c>
      <c r="B2922" s="2" t="s">
        <v>2004</v>
      </c>
      <c r="C2922" s="19" t="s">
        <v>7617</v>
      </c>
      <c r="D2922" s="19" t="s">
        <v>7618</v>
      </c>
      <c r="E2922" s="2"/>
      <c r="F2922" s="19"/>
    </row>
    <row r="2923" ht="15.75" customHeight="1">
      <c r="A2923" s="1">
        <v>5.8177425E7</v>
      </c>
      <c r="B2923" s="2" t="s">
        <v>2916</v>
      </c>
      <c r="C2923" s="19" t="s">
        <v>7619</v>
      </c>
      <c r="D2923" s="19"/>
      <c r="E2923" s="2"/>
      <c r="F2923" s="19"/>
    </row>
    <row r="2924" ht="15.75" customHeight="1">
      <c r="A2924" s="1">
        <v>5.8181033E7</v>
      </c>
      <c r="B2924" s="2" t="s">
        <v>2996</v>
      </c>
      <c r="C2924" s="19" t="s">
        <v>7620</v>
      </c>
      <c r="D2924" s="19"/>
      <c r="E2924" s="2"/>
      <c r="F2924" s="19"/>
    </row>
    <row r="2925" ht="15.75" customHeight="1">
      <c r="A2925" s="1">
        <v>5.8182689E7</v>
      </c>
      <c r="B2925" s="2" t="s">
        <v>2577</v>
      </c>
      <c r="C2925" s="19" t="s">
        <v>7621</v>
      </c>
      <c r="D2925" s="19"/>
      <c r="E2925" s="2"/>
      <c r="F2925" s="19"/>
    </row>
    <row r="2926" ht="15.75" customHeight="1">
      <c r="A2926" s="1">
        <v>5.8184044E7</v>
      </c>
      <c r="B2926" s="2" t="s">
        <v>1791</v>
      </c>
      <c r="C2926" s="19" t="s">
        <v>7622</v>
      </c>
      <c r="D2926" s="19"/>
      <c r="E2926" s="2"/>
      <c r="F2926" s="19"/>
    </row>
    <row r="2927" ht="15.75" customHeight="1">
      <c r="A2927" s="1">
        <v>5.8185005E7</v>
      </c>
      <c r="B2927" s="2" t="s">
        <v>1926</v>
      </c>
      <c r="C2927" s="19" t="s">
        <v>7623</v>
      </c>
      <c r="D2927" s="19"/>
      <c r="E2927" s="2"/>
      <c r="F2927" s="19"/>
    </row>
    <row r="2928" ht="15.75" customHeight="1">
      <c r="A2928" s="1">
        <v>5.8200678E7</v>
      </c>
      <c r="B2928" s="2" t="s">
        <v>2867</v>
      </c>
      <c r="C2928" s="19" t="s">
        <v>7624</v>
      </c>
      <c r="D2928" s="19" t="s">
        <v>7625</v>
      </c>
      <c r="E2928" s="2"/>
      <c r="F2928" s="19"/>
    </row>
    <row r="2929" ht="15.75" customHeight="1">
      <c r="A2929" s="1">
        <v>5.8205324E7</v>
      </c>
      <c r="B2929" s="2" t="s">
        <v>2592</v>
      </c>
      <c r="C2929" s="19" t="s">
        <v>7626</v>
      </c>
      <c r="D2929" s="19"/>
      <c r="E2929" s="2"/>
      <c r="F2929" s="19"/>
    </row>
    <row r="2930" ht="15.75" customHeight="1">
      <c r="A2930" s="1">
        <v>5.8205707E7</v>
      </c>
      <c r="B2930" s="2" t="s">
        <v>3150</v>
      </c>
      <c r="C2930" s="19" t="s">
        <v>7627</v>
      </c>
      <c r="D2930" s="19"/>
      <c r="E2930" s="2"/>
      <c r="F2930" s="19"/>
    </row>
    <row r="2931" ht="15.75" customHeight="1">
      <c r="A2931" s="1">
        <v>5.8207245E7</v>
      </c>
      <c r="B2931" s="2" t="s">
        <v>1209</v>
      </c>
      <c r="C2931" s="19" t="s">
        <v>7628</v>
      </c>
      <c r="D2931" s="19"/>
      <c r="E2931" s="2"/>
      <c r="F2931" s="19"/>
    </row>
    <row r="2932" ht="15.75" customHeight="1">
      <c r="A2932" s="1">
        <v>5.8218403E7</v>
      </c>
      <c r="B2932" s="2" t="s">
        <v>2301</v>
      </c>
      <c r="C2932" s="19" t="s">
        <v>7629</v>
      </c>
      <c r="D2932" s="19"/>
      <c r="E2932" s="2"/>
      <c r="F2932" s="19"/>
    </row>
    <row r="2933" ht="15.75" customHeight="1">
      <c r="A2933" s="1">
        <v>5.8221451E7</v>
      </c>
      <c r="B2933" s="2" t="s">
        <v>2593</v>
      </c>
      <c r="C2933" s="19" t="s">
        <v>7630</v>
      </c>
      <c r="D2933" s="19" t="s">
        <v>7631</v>
      </c>
      <c r="E2933" s="2"/>
      <c r="F2933" s="19"/>
    </row>
    <row r="2934" ht="15.75" customHeight="1">
      <c r="A2934" s="1">
        <v>5.8221749E7</v>
      </c>
      <c r="B2934" s="2" t="s">
        <v>2345</v>
      </c>
      <c r="C2934" s="19" t="s">
        <v>7632</v>
      </c>
      <c r="D2934" s="19" t="s">
        <v>7633</v>
      </c>
      <c r="E2934" s="2"/>
      <c r="F2934" s="19"/>
    </row>
    <row r="2935" ht="15.75" customHeight="1">
      <c r="A2935" s="1">
        <v>5.8222198E7</v>
      </c>
      <c r="B2935" s="2" t="s">
        <v>1241</v>
      </c>
      <c r="C2935" s="19" t="s">
        <v>7634</v>
      </c>
      <c r="D2935" s="19" t="s">
        <v>7635</v>
      </c>
      <c r="E2935" s="2"/>
      <c r="F2935" s="19"/>
    </row>
    <row r="2936" ht="15.75" customHeight="1">
      <c r="A2936" s="1">
        <v>5.8224388E7</v>
      </c>
      <c r="B2936" s="2" t="s">
        <v>2264</v>
      </c>
      <c r="C2936" s="19" t="s">
        <v>7636</v>
      </c>
      <c r="D2936" s="19"/>
      <c r="E2936" s="2"/>
      <c r="F2936" s="19"/>
    </row>
    <row r="2937" ht="15.75" customHeight="1">
      <c r="A2937" s="1">
        <v>5.8227669E7</v>
      </c>
      <c r="B2937" s="2" t="s">
        <v>3199</v>
      </c>
      <c r="C2937" s="19" t="s">
        <v>7637</v>
      </c>
      <c r="D2937" s="19"/>
      <c r="E2937" s="2"/>
      <c r="F2937" s="19"/>
    </row>
    <row r="2938" ht="15.75" customHeight="1">
      <c r="A2938" s="1">
        <v>5.8229641E7</v>
      </c>
      <c r="B2938" s="2" t="s">
        <v>3571</v>
      </c>
      <c r="C2938" s="19" t="s">
        <v>7638</v>
      </c>
      <c r="D2938" s="19"/>
      <c r="E2938" s="2"/>
      <c r="F2938" s="19"/>
    </row>
    <row r="2939" ht="15.75" customHeight="1">
      <c r="A2939" s="1">
        <v>5.8232113E7</v>
      </c>
      <c r="B2939" s="2" t="s">
        <v>2868</v>
      </c>
      <c r="C2939" s="19" t="s">
        <v>7639</v>
      </c>
      <c r="D2939" s="19"/>
      <c r="E2939" s="2"/>
      <c r="F2939" s="19"/>
    </row>
    <row r="2940" ht="15.75" customHeight="1">
      <c r="A2940" s="1">
        <v>5.824864E7</v>
      </c>
      <c r="B2940" s="2" t="s">
        <v>3279</v>
      </c>
      <c r="C2940" s="19" t="s">
        <v>7640</v>
      </c>
      <c r="D2940" s="19"/>
      <c r="E2940" s="2"/>
      <c r="F2940" s="19"/>
    </row>
    <row r="2941" ht="15.75" customHeight="1">
      <c r="A2941" s="1">
        <v>5.8249552E7</v>
      </c>
      <c r="B2941" s="2" t="s">
        <v>2904</v>
      </c>
      <c r="C2941" s="19" t="s">
        <v>7641</v>
      </c>
      <c r="D2941" s="19"/>
      <c r="E2941" s="2"/>
      <c r="F2941" s="19"/>
    </row>
    <row r="2942" ht="15.75" customHeight="1">
      <c r="A2942" s="1">
        <v>5.8251535E7</v>
      </c>
      <c r="B2942" s="2" t="s">
        <v>2839</v>
      </c>
      <c r="C2942" s="19" t="s">
        <v>7642</v>
      </c>
      <c r="D2942" s="19" t="s">
        <v>7643</v>
      </c>
      <c r="E2942" s="2"/>
      <c r="F2942" s="19"/>
    </row>
    <row r="2943" ht="15.75" customHeight="1">
      <c r="A2943" s="1">
        <v>5.8251999E7</v>
      </c>
      <c r="B2943" s="2" t="s">
        <v>2661</v>
      </c>
      <c r="C2943" s="19" t="s">
        <v>7644</v>
      </c>
      <c r="D2943" s="19"/>
      <c r="E2943" s="2"/>
      <c r="F2943" s="19"/>
    </row>
    <row r="2944" ht="15.75" customHeight="1">
      <c r="A2944" s="1">
        <v>5.8252971E7</v>
      </c>
      <c r="B2944" s="2" t="s">
        <v>2651</v>
      </c>
      <c r="C2944" s="19" t="s">
        <v>7645</v>
      </c>
      <c r="D2944" s="19"/>
      <c r="E2944" s="2"/>
      <c r="F2944" s="19"/>
    </row>
    <row r="2945" ht="15.75" customHeight="1">
      <c r="A2945" s="1">
        <v>5.8255162E7</v>
      </c>
      <c r="B2945" s="2" t="s">
        <v>2214</v>
      </c>
      <c r="C2945" s="19" t="s">
        <v>7646</v>
      </c>
      <c r="D2945" s="19"/>
      <c r="E2945" s="2"/>
      <c r="F2945" s="19"/>
    </row>
    <row r="2946" ht="15.75" customHeight="1">
      <c r="A2946" s="1">
        <v>5.8264615E7</v>
      </c>
      <c r="B2946" s="2" t="s">
        <v>3359</v>
      </c>
      <c r="C2946" s="19" t="s">
        <v>7647</v>
      </c>
      <c r="D2946" s="19"/>
      <c r="E2946" s="2"/>
      <c r="F2946" s="19"/>
    </row>
    <row r="2947" ht="15.75" customHeight="1">
      <c r="A2947" s="1">
        <v>5.8270907E7</v>
      </c>
      <c r="B2947" s="2" t="s">
        <v>3074</v>
      </c>
      <c r="C2947" s="19" t="s">
        <v>7648</v>
      </c>
      <c r="D2947" s="19"/>
      <c r="E2947" s="2"/>
      <c r="F2947" s="19"/>
    </row>
    <row r="2948" ht="15.75" customHeight="1">
      <c r="A2948" s="1">
        <v>5.8273933E7</v>
      </c>
      <c r="B2948" s="2" t="s">
        <v>3089</v>
      </c>
      <c r="C2948" s="19" t="s">
        <v>7649</v>
      </c>
      <c r="D2948" s="19"/>
      <c r="E2948" s="2"/>
      <c r="F2948" s="19"/>
    </row>
    <row r="2949" ht="15.75" customHeight="1">
      <c r="A2949" s="1">
        <v>5.8275712E7</v>
      </c>
      <c r="B2949" s="2" t="s">
        <v>3461</v>
      </c>
      <c r="C2949" s="19" t="s">
        <v>7650</v>
      </c>
      <c r="D2949" s="19"/>
      <c r="E2949" s="2"/>
      <c r="F2949" s="19"/>
    </row>
    <row r="2950" ht="15.75" customHeight="1">
      <c r="A2950" s="1">
        <v>5.8281244E7</v>
      </c>
      <c r="B2950" s="2" t="s">
        <v>2417</v>
      </c>
      <c r="C2950" s="19" t="s">
        <v>7651</v>
      </c>
      <c r="D2950" s="19" t="s">
        <v>7652</v>
      </c>
      <c r="E2950" s="2"/>
      <c r="F2950" s="19"/>
    </row>
    <row r="2951" ht="15.75" customHeight="1">
      <c r="A2951" s="1">
        <v>5.828943E7</v>
      </c>
      <c r="B2951" s="2" t="s">
        <v>423</v>
      </c>
      <c r="C2951" s="19" t="s">
        <v>7653</v>
      </c>
      <c r="D2951" s="19"/>
      <c r="E2951" s="2"/>
      <c r="F2951" s="19"/>
    </row>
    <row r="2952" ht="15.75" customHeight="1">
      <c r="A2952" s="1">
        <v>5.828956E7</v>
      </c>
      <c r="B2952" s="2" t="s">
        <v>3043</v>
      </c>
      <c r="C2952" s="19" t="s">
        <v>7654</v>
      </c>
      <c r="D2952" s="19"/>
      <c r="E2952" s="2"/>
      <c r="F2952" s="19"/>
    </row>
    <row r="2953" ht="15.75" customHeight="1">
      <c r="A2953" s="1">
        <v>5.8292569E7</v>
      </c>
      <c r="B2953" s="2" t="s">
        <v>988</v>
      </c>
      <c r="C2953" s="19" t="s">
        <v>7655</v>
      </c>
      <c r="D2953" s="19" t="s">
        <v>7656</v>
      </c>
      <c r="E2953" s="2"/>
      <c r="F2953" s="19"/>
    </row>
    <row r="2954" ht="15.75" customHeight="1">
      <c r="A2954" s="1">
        <v>5.8293197E7</v>
      </c>
      <c r="B2954" s="2" t="s">
        <v>631</v>
      </c>
      <c r="C2954" s="19" t="s">
        <v>7657</v>
      </c>
      <c r="D2954" s="19" t="s">
        <v>7658</v>
      </c>
      <c r="E2954" s="2"/>
      <c r="F2954" s="19"/>
    </row>
    <row r="2955" ht="15.75" customHeight="1">
      <c r="A2955" s="1">
        <v>5.8294034E7</v>
      </c>
      <c r="B2955" s="2" t="s">
        <v>2769</v>
      </c>
      <c r="C2955" s="19" t="s">
        <v>7659</v>
      </c>
      <c r="D2955" s="19"/>
      <c r="E2955" s="2"/>
      <c r="F2955" s="19"/>
    </row>
    <row r="2956" ht="15.75" customHeight="1">
      <c r="A2956" s="1">
        <v>5.8296033E7</v>
      </c>
      <c r="B2956" s="2" t="s">
        <v>3151</v>
      </c>
      <c r="C2956" s="19" t="s">
        <v>7660</v>
      </c>
      <c r="D2956" s="19" t="s">
        <v>7661</v>
      </c>
      <c r="E2956" s="2"/>
      <c r="F2956" s="19"/>
    </row>
    <row r="2957" ht="15.75" customHeight="1">
      <c r="A2957" s="1">
        <v>5.8297072E7</v>
      </c>
      <c r="B2957" s="2" t="s">
        <v>2365</v>
      </c>
      <c r="C2957" s="19" t="s">
        <v>7662</v>
      </c>
      <c r="D2957" s="19"/>
      <c r="E2957" s="2"/>
      <c r="F2957" s="19"/>
    </row>
    <row r="2958" ht="15.75" customHeight="1">
      <c r="A2958" s="1">
        <v>5.8300168E7</v>
      </c>
      <c r="B2958" s="2" t="s">
        <v>3044</v>
      </c>
      <c r="C2958" s="19" t="s">
        <v>7663</v>
      </c>
      <c r="D2958" s="19"/>
      <c r="E2958" s="2"/>
      <c r="F2958" s="19"/>
    </row>
    <row r="2959" ht="15.75" customHeight="1">
      <c r="A2959" s="1">
        <v>5.8302431E7</v>
      </c>
      <c r="B2959" s="2" t="s">
        <v>3594</v>
      </c>
      <c r="C2959" s="19" t="s">
        <v>7664</v>
      </c>
      <c r="D2959" s="19"/>
      <c r="E2959" s="2"/>
      <c r="F2959" s="19"/>
    </row>
    <row r="2960" ht="15.75" customHeight="1">
      <c r="A2960" s="1">
        <v>5.8303923E7</v>
      </c>
      <c r="B2960" s="2" t="s">
        <v>2720</v>
      </c>
      <c r="C2960" s="19" t="s">
        <v>7665</v>
      </c>
      <c r="D2960" s="19"/>
      <c r="E2960" s="2"/>
      <c r="F2960" s="19"/>
    </row>
    <row r="2961" ht="15.75" customHeight="1">
      <c r="A2961" s="1">
        <v>5.8307208E7</v>
      </c>
      <c r="B2961" s="2" t="s">
        <v>1464</v>
      </c>
      <c r="C2961" s="19" t="s">
        <v>7666</v>
      </c>
      <c r="D2961" s="19"/>
      <c r="E2961" s="2"/>
      <c r="F2961" s="19"/>
    </row>
    <row r="2962" ht="15.75" customHeight="1">
      <c r="A2962" s="1">
        <v>5.8316719E7</v>
      </c>
      <c r="B2962" s="2" t="s">
        <v>3325</v>
      </c>
      <c r="C2962" s="19" t="s">
        <v>7667</v>
      </c>
      <c r="D2962" s="19"/>
      <c r="E2962" s="2"/>
      <c r="F2962" s="19"/>
    </row>
    <row r="2963" ht="15.75" customHeight="1">
      <c r="A2963" s="1">
        <v>5.8317425E7</v>
      </c>
      <c r="B2963" s="2" t="s">
        <v>3045</v>
      </c>
      <c r="C2963" s="19" t="s">
        <v>7668</v>
      </c>
      <c r="D2963" s="19"/>
      <c r="E2963" s="2"/>
      <c r="F2963" s="19"/>
    </row>
    <row r="2964" ht="15.75" customHeight="1">
      <c r="A2964" s="1">
        <v>5.832373E7</v>
      </c>
      <c r="B2964" s="2" t="s">
        <v>3127</v>
      </c>
      <c r="C2964" s="19" t="s">
        <v>7669</v>
      </c>
      <c r="D2964" s="19"/>
      <c r="E2964" s="2"/>
      <c r="F2964" s="19"/>
    </row>
    <row r="2965" ht="15.75" customHeight="1">
      <c r="A2965" s="1">
        <v>5.832553E7</v>
      </c>
      <c r="B2965" s="2" t="s">
        <v>2811</v>
      </c>
      <c r="C2965" s="19" t="s">
        <v>7670</v>
      </c>
      <c r="D2965" s="19"/>
      <c r="E2965" s="2"/>
      <c r="F2965" s="19"/>
    </row>
    <row r="2966" ht="15.75" customHeight="1">
      <c r="A2966" s="1">
        <v>5.8325798E7</v>
      </c>
      <c r="B2966" s="2" t="s">
        <v>1187</v>
      </c>
      <c r="C2966" s="19" t="s">
        <v>7671</v>
      </c>
      <c r="D2966" s="19"/>
      <c r="E2966" s="2"/>
      <c r="F2966" s="19"/>
    </row>
    <row r="2967" ht="15.75" customHeight="1">
      <c r="A2967" s="1">
        <v>5.8328684E7</v>
      </c>
      <c r="B2967" s="2" t="s">
        <v>3567</v>
      </c>
      <c r="C2967" s="19" t="s">
        <v>7672</v>
      </c>
      <c r="D2967" s="19"/>
      <c r="E2967" s="2"/>
      <c r="F2967" s="19"/>
    </row>
    <row r="2968" ht="15.75" customHeight="1">
      <c r="A2968" s="1">
        <v>5.8333964E7</v>
      </c>
      <c r="B2968" s="2" t="s">
        <v>2788</v>
      </c>
      <c r="C2968" s="19" t="s">
        <v>7673</v>
      </c>
      <c r="D2968" s="19"/>
      <c r="E2968" s="2"/>
      <c r="F2968" s="19"/>
    </row>
    <row r="2969" ht="15.75" customHeight="1">
      <c r="A2969" s="1">
        <v>5.8337924E7</v>
      </c>
      <c r="B2969" s="2" t="s">
        <v>1445</v>
      </c>
      <c r="C2969" s="19" t="s">
        <v>7674</v>
      </c>
      <c r="D2969" s="19" t="s">
        <v>7675</v>
      </c>
      <c r="E2969" s="2"/>
      <c r="F2969" s="19"/>
    </row>
    <row r="2970" ht="15.75" customHeight="1">
      <c r="A2970" s="1">
        <v>5.8339319E7</v>
      </c>
      <c r="B2970" s="2" t="s">
        <v>2882</v>
      </c>
      <c r="C2970" s="19" t="s">
        <v>7676</v>
      </c>
      <c r="D2970" s="19" t="s">
        <v>7677</v>
      </c>
      <c r="E2970" s="2"/>
      <c r="F2970" s="19"/>
    </row>
    <row r="2971" ht="15.75" customHeight="1">
      <c r="A2971" s="1">
        <v>5.8340827E7</v>
      </c>
      <c r="B2971" s="2" t="s">
        <v>3580</v>
      </c>
      <c r="C2971" s="19" t="s">
        <v>7678</v>
      </c>
      <c r="D2971" s="19"/>
      <c r="E2971" s="2"/>
      <c r="F2971" s="19"/>
    </row>
    <row r="2972" ht="15.75" customHeight="1">
      <c r="A2972" s="1">
        <v>5.8344651E7</v>
      </c>
      <c r="B2972" s="2" t="s">
        <v>439</v>
      </c>
      <c r="C2972" s="19" t="s">
        <v>7679</v>
      </c>
      <c r="D2972" s="19"/>
      <c r="E2972" s="2"/>
      <c r="F2972" s="19"/>
    </row>
    <row r="2973" ht="15.75" customHeight="1">
      <c r="A2973" s="1">
        <v>5.8344741E7</v>
      </c>
      <c r="B2973" s="2" t="s">
        <v>3438</v>
      </c>
      <c r="C2973" s="19" t="s">
        <v>7680</v>
      </c>
      <c r="D2973" s="19"/>
      <c r="E2973" s="2"/>
      <c r="F2973" s="19"/>
    </row>
    <row r="2974" ht="15.75" customHeight="1">
      <c r="A2974" s="1">
        <v>5.8345697E7</v>
      </c>
      <c r="B2974" s="2" t="s">
        <v>1822</v>
      </c>
      <c r="C2974" s="19" t="s">
        <v>7681</v>
      </c>
      <c r="D2974" s="19"/>
      <c r="E2974" s="2"/>
      <c r="F2974" s="19"/>
    </row>
    <row r="2975" ht="15.75" customHeight="1">
      <c r="A2975" s="1">
        <v>5.834658E7</v>
      </c>
      <c r="B2975" s="2" t="s">
        <v>2427</v>
      </c>
      <c r="C2975" s="19" t="s">
        <v>7682</v>
      </c>
      <c r="D2975" s="19"/>
      <c r="E2975" s="2"/>
      <c r="F2975" s="19"/>
    </row>
    <row r="2976" ht="15.75" customHeight="1">
      <c r="A2976" s="1">
        <v>5.836016E7</v>
      </c>
      <c r="B2976" s="2" t="s">
        <v>2770</v>
      </c>
      <c r="C2976" s="19" t="s">
        <v>7683</v>
      </c>
      <c r="D2976" s="19"/>
      <c r="E2976" s="2"/>
      <c r="F2976" s="19"/>
    </row>
    <row r="2977" ht="15.75" customHeight="1">
      <c r="A2977" s="1">
        <v>5.8362057E7</v>
      </c>
      <c r="B2977" s="2" t="s">
        <v>3200</v>
      </c>
      <c r="C2977" s="19" t="s">
        <v>7684</v>
      </c>
      <c r="D2977" s="19"/>
      <c r="E2977" s="2"/>
      <c r="F2977" s="19"/>
    </row>
    <row r="2978" ht="15.75" customHeight="1">
      <c r="A2978" s="1">
        <v>5.837151E7</v>
      </c>
      <c r="B2978" s="2" t="s">
        <v>1728</v>
      </c>
      <c r="C2978" s="19" t="s">
        <v>7685</v>
      </c>
      <c r="D2978" s="19"/>
      <c r="E2978" s="2"/>
      <c r="F2978" s="19"/>
    </row>
    <row r="2979" ht="15.75" customHeight="1">
      <c r="A2979" s="1">
        <v>5.8372218E7</v>
      </c>
      <c r="B2979" s="2" t="s">
        <v>2503</v>
      </c>
      <c r="C2979" s="19" t="s">
        <v>7686</v>
      </c>
      <c r="D2979" s="19"/>
      <c r="E2979" s="2"/>
      <c r="F2979" s="19"/>
    </row>
    <row r="2980" ht="15.75" customHeight="1">
      <c r="A2980" s="1">
        <v>5.8372921E7</v>
      </c>
      <c r="B2980" s="2" t="s">
        <v>2997</v>
      </c>
      <c r="C2980" s="19" t="s">
        <v>7687</v>
      </c>
      <c r="D2980" s="19" t="s">
        <v>7688</v>
      </c>
      <c r="E2980" s="2"/>
      <c r="F2980" s="19"/>
    </row>
    <row r="2981" ht="15.75" customHeight="1">
      <c r="A2981" s="1">
        <v>5.8374422E7</v>
      </c>
      <c r="B2981" s="2" t="s">
        <v>1907</v>
      </c>
      <c r="C2981" s="19" t="s">
        <v>7689</v>
      </c>
      <c r="D2981" s="19"/>
      <c r="E2981" s="2"/>
      <c r="F2981" s="19"/>
    </row>
    <row r="2982" ht="15.75" customHeight="1">
      <c r="A2982" s="1">
        <v>5.8376301E7</v>
      </c>
      <c r="B2982" s="2" t="s">
        <v>2222</v>
      </c>
      <c r="C2982" s="19" t="s">
        <v>7690</v>
      </c>
      <c r="D2982" s="19" t="s">
        <v>7691</v>
      </c>
      <c r="E2982" s="2"/>
      <c r="F2982" s="19"/>
    </row>
    <row r="2983" ht="15.75" customHeight="1">
      <c r="A2983" s="1">
        <v>5.8378119E7</v>
      </c>
      <c r="B2983" s="2" t="s">
        <v>2789</v>
      </c>
      <c r="C2983" s="19" t="s">
        <v>7692</v>
      </c>
      <c r="D2983" s="19" t="s">
        <v>7693</v>
      </c>
      <c r="E2983" s="2"/>
      <c r="F2983" s="19"/>
    </row>
    <row r="2984" ht="15.75" customHeight="1">
      <c r="A2984" s="1">
        <v>5.8379764E7</v>
      </c>
      <c r="B2984" s="2" t="s">
        <v>2446</v>
      </c>
      <c r="C2984" s="19" t="s">
        <v>7694</v>
      </c>
      <c r="D2984" s="19"/>
      <c r="E2984" s="2"/>
      <c r="F2984" s="19"/>
    </row>
    <row r="2985" ht="15.75" customHeight="1">
      <c r="A2985" s="1">
        <v>5.8382314E7</v>
      </c>
      <c r="B2985" s="2" t="s">
        <v>1600</v>
      </c>
      <c r="C2985" s="19" t="s">
        <v>7695</v>
      </c>
      <c r="D2985" s="19"/>
      <c r="E2985" s="2"/>
      <c r="F2985" s="19"/>
    </row>
    <row r="2986" ht="15.75" customHeight="1">
      <c r="A2986" s="1">
        <v>5.8384037E7</v>
      </c>
      <c r="B2986" s="2" t="s">
        <v>2954</v>
      </c>
      <c r="C2986" s="19" t="s">
        <v>7696</v>
      </c>
      <c r="D2986" s="19"/>
      <c r="E2986" s="2"/>
      <c r="F2986" s="19"/>
    </row>
    <row r="2987" ht="15.75" customHeight="1">
      <c r="A2987" s="1">
        <v>5.8384749E7</v>
      </c>
      <c r="B2987" s="2" t="s">
        <v>3016</v>
      </c>
      <c r="C2987" s="19" t="s">
        <v>7697</v>
      </c>
      <c r="D2987" s="19"/>
      <c r="E2987" s="2"/>
      <c r="F2987" s="19"/>
    </row>
    <row r="2988" ht="15.75" customHeight="1">
      <c r="A2988" s="1">
        <v>5.8394762E7</v>
      </c>
      <c r="B2988" s="2" t="s">
        <v>2707</v>
      </c>
      <c r="C2988" s="19" t="s">
        <v>7698</v>
      </c>
      <c r="D2988" s="19"/>
      <c r="E2988" s="2"/>
      <c r="F2988" s="19"/>
    </row>
    <row r="2989" ht="15.75" customHeight="1">
      <c r="A2989" s="1">
        <v>5.8400948E7</v>
      </c>
      <c r="B2989" s="2" t="s">
        <v>1137</v>
      </c>
      <c r="C2989" s="19" t="s">
        <v>7699</v>
      </c>
      <c r="D2989" s="19"/>
      <c r="E2989" s="2"/>
      <c r="F2989" s="19"/>
    </row>
    <row r="2990" ht="15.75" customHeight="1">
      <c r="A2990" s="1">
        <v>5.8401391E7</v>
      </c>
      <c r="B2990" s="2" t="s">
        <v>2610</v>
      </c>
      <c r="C2990" s="19" t="s">
        <v>7700</v>
      </c>
      <c r="D2990" s="19"/>
      <c r="E2990" s="2"/>
      <c r="F2990" s="19"/>
    </row>
    <row r="2991" ht="15.75" customHeight="1">
      <c r="A2991" s="1">
        <v>5.8405973E7</v>
      </c>
      <c r="B2991" s="2" t="s">
        <v>1049</v>
      </c>
      <c r="C2991" s="19" t="s">
        <v>7701</v>
      </c>
      <c r="D2991" s="19" t="s">
        <v>7702</v>
      </c>
      <c r="E2991" s="2"/>
      <c r="F2991" s="19"/>
    </row>
    <row r="2992" ht="15.75" customHeight="1">
      <c r="A2992" s="1">
        <v>5.841628E7</v>
      </c>
      <c r="B2992" s="2" t="s">
        <v>860</v>
      </c>
      <c r="C2992" s="19" t="s">
        <v>7703</v>
      </c>
      <c r="D2992" s="19" t="s">
        <v>7704</v>
      </c>
      <c r="E2992" s="2"/>
      <c r="F2992" s="19"/>
    </row>
    <row r="2993" ht="15.75" customHeight="1">
      <c r="A2993" s="1">
        <v>5.8416726E7</v>
      </c>
      <c r="B2993" s="2" t="s">
        <v>2372</v>
      </c>
      <c r="C2993" s="19" t="s">
        <v>7705</v>
      </c>
      <c r="D2993" s="19"/>
      <c r="E2993" s="2"/>
      <c r="F2993" s="19"/>
    </row>
    <row r="2994" ht="15.75" customHeight="1">
      <c r="A2994" s="1">
        <v>5.8416987E7</v>
      </c>
      <c r="B2994" s="2" t="s">
        <v>2594</v>
      </c>
      <c r="C2994" s="19" t="s">
        <v>7706</v>
      </c>
      <c r="D2994" s="19"/>
      <c r="E2994" s="2"/>
      <c r="F2994" s="19"/>
    </row>
    <row r="2995" ht="15.75" customHeight="1">
      <c r="A2995" s="1">
        <v>5.8418959E7</v>
      </c>
      <c r="B2995" s="2" t="s">
        <v>2638</v>
      </c>
      <c r="C2995" s="19" t="s">
        <v>7707</v>
      </c>
      <c r="D2995" s="19" t="s">
        <v>7708</v>
      </c>
      <c r="E2995" s="2"/>
      <c r="F2995" s="19"/>
    </row>
    <row r="2996" ht="15.75" customHeight="1">
      <c r="A2996" s="1">
        <v>5.8422656E7</v>
      </c>
      <c r="B2996" s="2" t="s">
        <v>3179</v>
      </c>
      <c r="C2996" s="19" t="s">
        <v>7709</v>
      </c>
      <c r="D2996" s="19"/>
      <c r="E2996" s="2"/>
      <c r="F2996" s="19"/>
    </row>
    <row r="2997" ht="15.75" customHeight="1">
      <c r="A2997" s="1">
        <v>5.842894E7</v>
      </c>
      <c r="B2997" s="2" t="s">
        <v>2662</v>
      </c>
      <c r="C2997" s="19" t="s">
        <v>7710</v>
      </c>
      <c r="D2997" s="19"/>
      <c r="E2997" s="2"/>
      <c r="F2997" s="19"/>
    </row>
    <row r="2998" ht="15.75" customHeight="1">
      <c r="A2998" s="1">
        <v>5.8430408E7</v>
      </c>
      <c r="B2998" s="2" t="s">
        <v>2621</v>
      </c>
      <c r="C2998" s="19" t="s">
        <v>7711</v>
      </c>
      <c r="D2998" s="19"/>
      <c r="E2998" s="2"/>
      <c r="F2998" s="19"/>
    </row>
    <row r="2999" ht="15.75" customHeight="1">
      <c r="A2999" s="1">
        <v>5.8432441E7</v>
      </c>
      <c r="B2999" s="2" t="s">
        <v>3326</v>
      </c>
      <c r="C2999" s="19" t="s">
        <v>7712</v>
      </c>
      <c r="D2999" s="19"/>
      <c r="E2999" s="2"/>
      <c r="F2999" s="19"/>
    </row>
    <row r="3000" ht="15.75" customHeight="1">
      <c r="A3000" s="1">
        <v>5.8435535E7</v>
      </c>
      <c r="B3000" s="2" t="s">
        <v>2373</v>
      </c>
      <c r="C3000" s="19" t="s">
        <v>7713</v>
      </c>
      <c r="D3000" s="19" t="s">
        <v>7714</v>
      </c>
      <c r="E3000" s="2"/>
      <c r="F3000" s="19"/>
    </row>
    <row r="3001" ht="15.75" customHeight="1">
      <c r="A3001" s="1">
        <v>5.843827E7</v>
      </c>
      <c r="B3001" s="2" t="s">
        <v>2504</v>
      </c>
      <c r="C3001" s="19" t="s">
        <v>7715</v>
      </c>
      <c r="D3001" s="19"/>
      <c r="E3001" s="2"/>
      <c r="F3001" s="19"/>
    </row>
    <row r="3002" ht="15.75" customHeight="1">
      <c r="A3002" s="1">
        <v>5.8439034E7</v>
      </c>
      <c r="B3002" s="2" t="s">
        <v>2955</v>
      </c>
      <c r="C3002" s="19" t="s">
        <v>7716</v>
      </c>
      <c r="D3002" s="19"/>
      <c r="E3002" s="2"/>
      <c r="F3002" s="19"/>
    </row>
    <row r="3003" ht="15.75" customHeight="1">
      <c r="A3003" s="1">
        <v>5.8447864E7</v>
      </c>
      <c r="B3003" s="2" t="s">
        <v>2552</v>
      </c>
      <c r="C3003" s="19" t="s">
        <v>7717</v>
      </c>
      <c r="D3003" s="19" t="s">
        <v>7718</v>
      </c>
      <c r="E3003" s="2"/>
      <c r="F3003" s="19"/>
    </row>
    <row r="3004" ht="15.75" customHeight="1">
      <c r="A3004" s="1">
        <v>5.8449923E7</v>
      </c>
      <c r="B3004" s="2" t="s">
        <v>2956</v>
      </c>
      <c r="C3004" s="19" t="s">
        <v>7719</v>
      </c>
      <c r="D3004" s="19"/>
      <c r="E3004" s="2"/>
      <c r="F3004" s="19"/>
    </row>
    <row r="3005" ht="15.75" customHeight="1">
      <c r="A3005" s="1">
        <v>5.8452561E7</v>
      </c>
      <c r="B3005" s="2" t="s">
        <v>2518</v>
      </c>
      <c r="C3005" s="19" t="s">
        <v>7720</v>
      </c>
      <c r="D3005" s="19" t="s">
        <v>7721</v>
      </c>
      <c r="E3005" s="2"/>
      <c r="F3005" s="19"/>
    </row>
    <row r="3006" ht="15.75" customHeight="1">
      <c r="A3006" s="1">
        <v>5.845415E7</v>
      </c>
      <c r="B3006" s="2" t="s">
        <v>3462</v>
      </c>
      <c r="C3006" s="19" t="s">
        <v>7722</v>
      </c>
      <c r="D3006" s="19"/>
      <c r="E3006" s="2"/>
      <c r="F3006" s="19"/>
    </row>
    <row r="3007" ht="15.75" customHeight="1">
      <c r="A3007" s="1">
        <v>5.8457054E7</v>
      </c>
      <c r="B3007" s="2" t="s">
        <v>488</v>
      </c>
      <c r="C3007" s="19" t="s">
        <v>7723</v>
      </c>
      <c r="D3007" s="19" t="s">
        <v>7724</v>
      </c>
      <c r="E3007" s="2"/>
      <c r="F3007" s="19"/>
    </row>
    <row r="3008" ht="15.75" customHeight="1">
      <c r="A3008" s="1">
        <v>5.8463784E7</v>
      </c>
      <c r="B3008" s="2" t="s">
        <v>2905</v>
      </c>
      <c r="C3008" s="19" t="s">
        <v>7725</v>
      </c>
      <c r="D3008" s="19"/>
      <c r="E3008" s="2"/>
      <c r="F3008" s="19"/>
    </row>
    <row r="3009" ht="15.75" customHeight="1">
      <c r="A3009" s="1">
        <v>5.8467091E7</v>
      </c>
      <c r="B3009" s="2" t="s">
        <v>1882</v>
      </c>
      <c r="C3009" s="19" t="s">
        <v>7726</v>
      </c>
      <c r="D3009" s="19" t="s">
        <v>7727</v>
      </c>
      <c r="E3009" s="2"/>
      <c r="F3009" s="19"/>
    </row>
    <row r="3010" ht="15.75" customHeight="1">
      <c r="A3010" s="1">
        <v>5.8468165E7</v>
      </c>
      <c r="B3010" s="2" t="s">
        <v>2223</v>
      </c>
      <c r="C3010" s="19" t="s">
        <v>7728</v>
      </c>
      <c r="D3010" s="19"/>
      <c r="E3010" s="2"/>
      <c r="F3010" s="19"/>
    </row>
    <row r="3011" ht="15.75" customHeight="1">
      <c r="A3011" s="1">
        <v>5.847046E7</v>
      </c>
      <c r="B3011" s="2" t="s">
        <v>2166</v>
      </c>
      <c r="C3011" s="19" t="s">
        <v>7729</v>
      </c>
      <c r="D3011" s="19" t="s">
        <v>7730</v>
      </c>
      <c r="E3011" s="2"/>
      <c r="F3011" s="19"/>
    </row>
    <row r="3012" ht="15.75" customHeight="1">
      <c r="A3012" s="1">
        <v>5.847318E7</v>
      </c>
      <c r="B3012" s="2" t="s">
        <v>3581</v>
      </c>
      <c r="C3012" s="19" t="s">
        <v>7731</v>
      </c>
      <c r="D3012" s="19"/>
      <c r="E3012" s="2"/>
      <c r="F3012" s="19"/>
    </row>
    <row r="3013" ht="15.75" customHeight="1">
      <c r="A3013" s="1">
        <v>5.8473686E7</v>
      </c>
      <c r="B3013" s="2" t="s">
        <v>421</v>
      </c>
      <c r="C3013" s="19" t="s">
        <v>7732</v>
      </c>
      <c r="D3013" s="19"/>
      <c r="E3013" s="2"/>
      <c r="F3013" s="19"/>
    </row>
    <row r="3014" ht="15.75" customHeight="1">
      <c r="A3014" s="1">
        <v>5.84817E7</v>
      </c>
      <c r="B3014" s="2" t="s">
        <v>2553</v>
      </c>
      <c r="C3014" s="19" t="s">
        <v>7733</v>
      </c>
      <c r="D3014" s="19"/>
      <c r="E3014" s="2"/>
      <c r="F3014" s="19"/>
    </row>
    <row r="3015" ht="15.75" customHeight="1">
      <c r="A3015" s="1">
        <v>5.8483028E7</v>
      </c>
      <c r="B3015" s="2" t="s">
        <v>3425</v>
      </c>
      <c r="C3015" s="19" t="s">
        <v>7734</v>
      </c>
      <c r="D3015" s="19"/>
      <c r="E3015" s="2"/>
      <c r="F3015" s="19"/>
    </row>
    <row r="3016" ht="15.75" customHeight="1">
      <c r="A3016" s="1">
        <v>5.8488107E7</v>
      </c>
      <c r="B3016" s="2" t="s">
        <v>1623</v>
      </c>
      <c r="C3016" s="19" t="s">
        <v>7735</v>
      </c>
      <c r="D3016" s="19" t="s">
        <v>7736</v>
      </c>
      <c r="E3016" s="2"/>
      <c r="F3016" s="19"/>
    </row>
    <row r="3017" ht="15.75" customHeight="1">
      <c r="A3017" s="1">
        <v>5.8488121E7</v>
      </c>
      <c r="B3017" s="2" t="s">
        <v>3463</v>
      </c>
      <c r="C3017" s="19" t="s">
        <v>7737</v>
      </c>
      <c r="D3017" s="19"/>
      <c r="E3017" s="2"/>
      <c r="F3017" s="19"/>
    </row>
    <row r="3018" ht="15.75" customHeight="1">
      <c r="A3018" s="1">
        <v>5.8488958E7</v>
      </c>
      <c r="B3018" s="2" t="s">
        <v>3395</v>
      </c>
      <c r="C3018" s="19" t="s">
        <v>7738</v>
      </c>
      <c r="D3018" s="19"/>
      <c r="E3018" s="2"/>
      <c r="F3018" s="19"/>
    </row>
    <row r="3019" ht="15.75" customHeight="1">
      <c r="A3019" s="1">
        <v>5.849231E7</v>
      </c>
      <c r="B3019" s="2" t="s">
        <v>2906</v>
      </c>
      <c r="C3019" s="19" t="s">
        <v>7739</v>
      </c>
      <c r="D3019" s="19" t="s">
        <v>7740</v>
      </c>
      <c r="E3019" s="2"/>
      <c r="F3019" s="19"/>
    </row>
    <row r="3020" ht="15.75" customHeight="1">
      <c r="A3020" s="1">
        <v>5.8496141E7</v>
      </c>
      <c r="B3020" s="2" t="s">
        <v>3017</v>
      </c>
      <c r="C3020" s="19" t="s">
        <v>7741</v>
      </c>
      <c r="D3020" s="19" t="s">
        <v>7742</v>
      </c>
      <c r="E3020" s="2"/>
      <c r="F3020" s="19"/>
    </row>
    <row r="3021" ht="15.75" customHeight="1">
      <c r="A3021" s="1">
        <v>5.8496748E7</v>
      </c>
      <c r="B3021" s="2" t="s">
        <v>2519</v>
      </c>
      <c r="C3021" s="19" t="s">
        <v>7743</v>
      </c>
      <c r="D3021" s="19"/>
      <c r="E3021" s="2"/>
      <c r="F3021" s="19"/>
    </row>
    <row r="3022" ht="15.75" customHeight="1">
      <c r="A3022" s="1">
        <v>5.8510336E7</v>
      </c>
      <c r="B3022" s="2" t="s">
        <v>1840</v>
      </c>
      <c r="C3022" s="19" t="s">
        <v>7744</v>
      </c>
      <c r="D3022" s="19" t="s">
        <v>7745</v>
      </c>
      <c r="E3022" s="2"/>
      <c r="F3022" s="19"/>
    </row>
    <row r="3023" ht="15.75" customHeight="1">
      <c r="A3023" s="1">
        <v>5.8511291E7</v>
      </c>
      <c r="B3023" s="2" t="s">
        <v>2907</v>
      </c>
      <c r="C3023" s="19" t="s">
        <v>7746</v>
      </c>
      <c r="D3023" s="19" t="s">
        <v>7747</v>
      </c>
      <c r="E3023" s="2"/>
      <c r="F3023" s="19"/>
    </row>
    <row r="3024" ht="15.75" customHeight="1">
      <c r="A3024" s="1">
        <v>5.8511704E7</v>
      </c>
      <c r="B3024" s="2" t="s">
        <v>3304</v>
      </c>
      <c r="C3024" s="19" t="s">
        <v>7748</v>
      </c>
      <c r="D3024" s="19"/>
      <c r="E3024" s="2"/>
      <c r="F3024" s="19"/>
    </row>
    <row r="3025" ht="15.75" customHeight="1">
      <c r="A3025" s="1">
        <v>5.8512106E7</v>
      </c>
      <c r="B3025" s="2" t="s">
        <v>2975</v>
      </c>
      <c r="C3025" s="19" t="s">
        <v>7749</v>
      </c>
      <c r="D3025" s="19" t="s">
        <v>7750</v>
      </c>
      <c r="E3025" s="2"/>
      <c r="F3025" s="19"/>
    </row>
    <row r="3026" ht="15.75" customHeight="1">
      <c r="A3026" s="1">
        <v>5.851304E7</v>
      </c>
      <c r="B3026" s="2" t="s">
        <v>3034</v>
      </c>
      <c r="C3026" s="19" t="s">
        <v>7751</v>
      </c>
      <c r="D3026" s="19"/>
      <c r="E3026" s="2"/>
      <c r="F3026" s="19"/>
    </row>
    <row r="3027" ht="15.75" customHeight="1">
      <c r="A3027" s="1">
        <v>5.8513216E7</v>
      </c>
      <c r="B3027" s="2" t="s">
        <v>1546</v>
      </c>
      <c r="C3027" s="19" t="s">
        <v>7752</v>
      </c>
      <c r="D3027" s="19"/>
      <c r="E3027" s="2"/>
      <c r="F3027" s="19"/>
    </row>
    <row r="3028" ht="15.75" customHeight="1">
      <c r="A3028" s="1">
        <v>5.8521055E7</v>
      </c>
      <c r="B3028" s="2" t="s">
        <v>1340</v>
      </c>
      <c r="C3028" s="19" t="s">
        <v>7753</v>
      </c>
      <c r="D3028" s="19"/>
      <c r="E3028" s="2"/>
      <c r="F3028" s="19"/>
    </row>
    <row r="3029" ht="15.75" customHeight="1">
      <c r="A3029" s="1">
        <v>5.8526738E7</v>
      </c>
      <c r="B3029" s="2" t="s">
        <v>2520</v>
      </c>
      <c r="C3029" s="19" t="s">
        <v>7754</v>
      </c>
      <c r="D3029" s="19"/>
      <c r="E3029" s="2"/>
      <c r="F3029" s="19"/>
    </row>
    <row r="3030" ht="15.75" customHeight="1">
      <c r="A3030" s="1">
        <v>5.8528431E7</v>
      </c>
      <c r="B3030" s="2" t="s">
        <v>2838</v>
      </c>
      <c r="C3030" s="19" t="s">
        <v>7755</v>
      </c>
      <c r="D3030" s="19" t="s">
        <v>7756</v>
      </c>
      <c r="E3030" s="2"/>
      <c r="F3030" s="19"/>
    </row>
    <row r="3031" ht="15.75" customHeight="1">
      <c r="A3031" s="1">
        <v>5.8530732E7</v>
      </c>
      <c r="B3031" s="2" t="s">
        <v>2145</v>
      </c>
      <c r="C3031" s="19" t="s">
        <v>7757</v>
      </c>
      <c r="D3031" s="19"/>
      <c r="E3031" s="2"/>
      <c r="F3031" s="19"/>
    </row>
    <row r="3032" ht="15.75" customHeight="1">
      <c r="A3032" s="1">
        <v>5.8538753E7</v>
      </c>
      <c r="B3032" s="2" t="s">
        <v>2829</v>
      </c>
      <c r="C3032" s="19" t="s">
        <v>7758</v>
      </c>
      <c r="D3032" s="19"/>
      <c r="E3032" s="2"/>
      <c r="F3032" s="19"/>
    </row>
    <row r="3033" ht="15.75" customHeight="1">
      <c r="A3033" s="1">
        <v>5.8542085E7</v>
      </c>
      <c r="B3033" s="2" t="s">
        <v>1332</v>
      </c>
      <c r="C3033" s="19" t="s">
        <v>7759</v>
      </c>
      <c r="D3033" s="19"/>
      <c r="E3033" s="2"/>
      <c r="F3033" s="19"/>
    </row>
    <row r="3034" ht="15.75" customHeight="1">
      <c r="A3034" s="1">
        <v>5.854652E7</v>
      </c>
      <c r="B3034" s="2" t="s">
        <v>2883</v>
      </c>
      <c r="C3034" s="19" t="s">
        <v>7760</v>
      </c>
      <c r="D3034" s="19" t="s">
        <v>7761</v>
      </c>
      <c r="E3034" s="2"/>
      <c r="F3034" s="19"/>
    </row>
    <row r="3035" ht="15.75" customHeight="1">
      <c r="A3035" s="1">
        <v>5.8547437E7</v>
      </c>
      <c r="B3035" s="2" t="s">
        <v>3128</v>
      </c>
      <c r="C3035" s="19" t="s">
        <v>7762</v>
      </c>
      <c r="D3035" s="19"/>
      <c r="E3035" s="2"/>
      <c r="F3035" s="19"/>
    </row>
    <row r="3036" ht="15.75" customHeight="1">
      <c r="A3036" s="1">
        <v>5.8561304E7</v>
      </c>
      <c r="B3036" s="2" t="s">
        <v>3482</v>
      </c>
      <c r="C3036" s="19" t="s">
        <v>7763</v>
      </c>
      <c r="D3036" s="19"/>
      <c r="E3036" s="2"/>
      <c r="F3036" s="19"/>
    </row>
    <row r="3037" ht="15.75" customHeight="1">
      <c r="A3037" s="1">
        <v>5.8572685E7</v>
      </c>
      <c r="B3037" s="2" t="s">
        <v>1850</v>
      </c>
      <c r="C3037" s="19" t="s">
        <v>7764</v>
      </c>
      <c r="D3037" s="19" t="s">
        <v>7765</v>
      </c>
      <c r="E3037" s="2"/>
      <c r="F3037" s="19"/>
    </row>
    <row r="3038" ht="15.75" customHeight="1">
      <c r="A3038" s="1">
        <v>5.8573319E7</v>
      </c>
      <c r="B3038" s="2" t="s">
        <v>2265</v>
      </c>
      <c r="C3038" s="19" t="s">
        <v>7766</v>
      </c>
      <c r="D3038" s="19"/>
      <c r="E3038" s="2"/>
      <c r="F3038" s="19"/>
    </row>
    <row r="3039" ht="15.75" customHeight="1">
      <c r="A3039" s="1">
        <v>5.8575034E7</v>
      </c>
      <c r="B3039" s="2" t="s">
        <v>3180</v>
      </c>
      <c r="C3039" s="19" t="s">
        <v>7767</v>
      </c>
      <c r="D3039" s="19"/>
      <c r="E3039" s="2"/>
      <c r="F3039" s="19"/>
    </row>
    <row r="3040" ht="15.75" customHeight="1">
      <c r="A3040" s="1">
        <v>5.8580506E7</v>
      </c>
      <c r="B3040" s="2" t="s">
        <v>2812</v>
      </c>
      <c r="C3040" s="19" t="s">
        <v>7768</v>
      </c>
      <c r="D3040" s="19"/>
      <c r="E3040" s="2"/>
      <c r="F3040" s="19"/>
    </row>
    <row r="3041" ht="15.75" customHeight="1">
      <c r="A3041" s="1">
        <v>5.8593985E7</v>
      </c>
      <c r="B3041" s="2" t="s">
        <v>3075</v>
      </c>
      <c r="C3041" s="19" t="s">
        <v>7769</v>
      </c>
      <c r="D3041" s="19"/>
      <c r="E3041" s="2"/>
      <c r="F3041" s="19"/>
    </row>
    <row r="3042" ht="15.75" customHeight="1">
      <c r="A3042" s="1">
        <v>5.8594685E7</v>
      </c>
      <c r="B3042" s="2" t="s">
        <v>2439</v>
      </c>
      <c r="C3042" s="19" t="s">
        <v>7770</v>
      </c>
      <c r="D3042" s="19"/>
      <c r="E3042" s="2"/>
      <c r="F3042" s="19"/>
    </row>
    <row r="3043" ht="15.75" customHeight="1">
      <c r="A3043" s="1">
        <v>5.8596586E7</v>
      </c>
      <c r="B3043" s="2" t="s">
        <v>3228</v>
      </c>
      <c r="C3043" s="19" t="s">
        <v>7771</v>
      </c>
      <c r="D3043" s="19"/>
      <c r="E3043" s="2"/>
      <c r="F3043" s="19"/>
    </row>
    <row r="3044" ht="15.75" customHeight="1">
      <c r="A3044" s="1">
        <v>5.8598442E7</v>
      </c>
      <c r="B3044" s="2" t="s">
        <v>2578</v>
      </c>
      <c r="C3044" s="19" t="s">
        <v>7772</v>
      </c>
      <c r="D3044" s="19"/>
      <c r="E3044" s="2"/>
      <c r="F3044" s="19"/>
    </row>
    <row r="3045" ht="15.75" customHeight="1">
      <c r="A3045" s="1">
        <v>5.8602509E7</v>
      </c>
      <c r="B3045" s="2" t="s">
        <v>3076</v>
      </c>
      <c r="C3045" s="19" t="s">
        <v>7773</v>
      </c>
      <c r="D3045" s="19"/>
      <c r="E3045" s="2"/>
      <c r="F3045" s="19"/>
    </row>
    <row r="3046" ht="15.75" customHeight="1">
      <c r="A3046" s="1">
        <v>5.8609888E7</v>
      </c>
      <c r="B3046" s="2" t="s">
        <v>3046</v>
      </c>
      <c r="C3046" s="19" t="s">
        <v>7774</v>
      </c>
      <c r="D3046" s="19"/>
      <c r="E3046" s="2"/>
      <c r="F3046" s="19"/>
    </row>
    <row r="3047" ht="15.75" customHeight="1">
      <c r="A3047" s="1">
        <v>5.8613452E7</v>
      </c>
      <c r="B3047" s="2" t="s">
        <v>3410</v>
      </c>
      <c r="C3047" s="19" t="s">
        <v>7775</v>
      </c>
      <c r="D3047" s="19"/>
      <c r="E3047" s="2"/>
      <c r="F3047" s="19"/>
    </row>
    <row r="3048" ht="15.75" customHeight="1">
      <c r="A3048" s="1">
        <v>5.8626811E7</v>
      </c>
      <c r="B3048" s="2" t="s">
        <v>2998</v>
      </c>
      <c r="C3048" s="19" t="s">
        <v>7776</v>
      </c>
      <c r="D3048" s="19" t="s">
        <v>7777</v>
      </c>
      <c r="E3048" s="2"/>
      <c r="F3048" s="19"/>
    </row>
    <row r="3049" ht="15.75" customHeight="1">
      <c r="A3049" s="1">
        <v>5.8628659E7</v>
      </c>
      <c r="B3049" s="2" t="s">
        <v>3106</v>
      </c>
      <c r="C3049" s="19" t="s">
        <v>7778</v>
      </c>
      <c r="D3049" s="19"/>
      <c r="E3049" s="2"/>
      <c r="F3049" s="19"/>
    </row>
    <row r="3050" ht="15.75" customHeight="1">
      <c r="A3050" s="1">
        <v>5.8629272E7</v>
      </c>
      <c r="B3050" s="2" t="s">
        <v>3305</v>
      </c>
      <c r="C3050" s="19" t="s">
        <v>7779</v>
      </c>
      <c r="D3050" s="19" t="s">
        <v>7780</v>
      </c>
      <c r="E3050" s="2"/>
      <c r="F3050" s="19"/>
    </row>
    <row r="3051" ht="15.75" customHeight="1">
      <c r="A3051" s="1">
        <v>5.8631966E7</v>
      </c>
      <c r="B3051" s="2" t="s">
        <v>3254</v>
      </c>
      <c r="C3051" s="19" t="s">
        <v>7781</v>
      </c>
      <c r="D3051" s="19"/>
      <c r="E3051" s="2"/>
      <c r="F3051" s="19"/>
    </row>
    <row r="3052" ht="15.75" customHeight="1">
      <c r="A3052" s="1">
        <v>5.8632538E7</v>
      </c>
      <c r="B3052" s="2" t="s">
        <v>2464</v>
      </c>
      <c r="C3052" s="19" t="s">
        <v>7782</v>
      </c>
      <c r="D3052" s="19"/>
      <c r="E3052" s="2"/>
      <c r="F3052" s="19"/>
    </row>
    <row r="3053" ht="15.75" customHeight="1">
      <c r="A3053" s="1">
        <v>5.8632765E7</v>
      </c>
      <c r="B3053" s="2" t="s">
        <v>2869</v>
      </c>
      <c r="C3053" s="19" t="s">
        <v>7783</v>
      </c>
      <c r="D3053" s="19" t="s">
        <v>7784</v>
      </c>
      <c r="E3053" s="2"/>
      <c r="F3053" s="19"/>
    </row>
    <row r="3054" ht="15.75" customHeight="1">
      <c r="A3054" s="1">
        <v>5.8639195E7</v>
      </c>
      <c r="B3054" s="2" t="s">
        <v>1006</v>
      </c>
      <c r="C3054" s="19" t="s">
        <v>7785</v>
      </c>
      <c r="D3054" s="19"/>
      <c r="E3054" s="2"/>
      <c r="F3054" s="19"/>
    </row>
    <row r="3055" ht="15.75" customHeight="1">
      <c r="A3055" s="1">
        <v>5.864406E7</v>
      </c>
      <c r="B3055" s="2" t="s">
        <v>1467</v>
      </c>
      <c r="C3055" s="19" t="s">
        <v>7786</v>
      </c>
      <c r="D3055" s="19"/>
      <c r="E3055" s="2"/>
      <c r="F3055" s="19"/>
    </row>
    <row r="3056" ht="15.75" customHeight="1">
      <c r="A3056" s="1">
        <v>5.8646976E7</v>
      </c>
      <c r="B3056" s="2" t="s">
        <v>2019</v>
      </c>
      <c r="C3056" s="19" t="s">
        <v>7787</v>
      </c>
      <c r="D3056" s="19" t="s">
        <v>7788</v>
      </c>
      <c r="E3056" s="2"/>
      <c r="F3056" s="19"/>
    </row>
    <row r="3057" ht="15.75" customHeight="1">
      <c r="A3057" s="1">
        <v>5.864718E7</v>
      </c>
      <c r="B3057" s="2" t="s">
        <v>2625</v>
      </c>
      <c r="C3057" s="19" t="s">
        <v>7789</v>
      </c>
      <c r="D3057" s="19" t="s">
        <v>7790</v>
      </c>
      <c r="E3057" s="2"/>
      <c r="F3057" s="19"/>
    </row>
    <row r="3058" ht="15.75" customHeight="1">
      <c r="A3058" s="1">
        <v>5.864938E7</v>
      </c>
      <c r="B3058" s="2" t="s">
        <v>2554</v>
      </c>
      <c r="C3058" s="19" t="s">
        <v>7791</v>
      </c>
      <c r="D3058" s="19"/>
      <c r="E3058" s="2"/>
      <c r="F3058" s="19"/>
    </row>
    <row r="3059" ht="15.75" customHeight="1">
      <c r="A3059" s="1">
        <v>5.8649436E7</v>
      </c>
      <c r="B3059" s="2" t="s">
        <v>2917</v>
      </c>
      <c r="C3059" s="19" t="s">
        <v>7792</v>
      </c>
      <c r="D3059" s="19"/>
      <c r="E3059" s="2"/>
      <c r="F3059" s="19"/>
    </row>
    <row r="3060" ht="15.75" customHeight="1">
      <c r="A3060" s="1">
        <v>5.8657618E7</v>
      </c>
      <c r="B3060" s="2" t="s">
        <v>2999</v>
      </c>
      <c r="C3060" s="19" t="s">
        <v>7793</v>
      </c>
      <c r="D3060" s="19" t="s">
        <v>7794</v>
      </c>
      <c r="E3060" s="2"/>
      <c r="F3060" s="19"/>
    </row>
    <row r="3061" ht="15.75" customHeight="1">
      <c r="A3061" s="1">
        <v>5.8660181E7</v>
      </c>
      <c r="B3061" s="2" t="s">
        <v>2908</v>
      </c>
      <c r="C3061" s="19" t="s">
        <v>7795</v>
      </c>
      <c r="D3061" s="19"/>
      <c r="E3061" s="2"/>
      <c r="F3061" s="19"/>
    </row>
    <row r="3062" ht="15.75" customHeight="1">
      <c r="A3062" s="1">
        <v>5.8675434E7</v>
      </c>
      <c r="B3062" s="2" t="s">
        <v>3373</v>
      </c>
      <c r="C3062" s="19" t="s">
        <v>7796</v>
      </c>
      <c r="D3062" s="19"/>
      <c r="E3062" s="2"/>
      <c r="F3062" s="19"/>
    </row>
    <row r="3063" ht="15.75" customHeight="1">
      <c r="A3063" s="1">
        <v>5.8677883E7</v>
      </c>
      <c r="B3063" s="2" t="s">
        <v>2397</v>
      </c>
      <c r="C3063" s="19" t="s">
        <v>7797</v>
      </c>
      <c r="D3063" s="19"/>
      <c r="E3063" s="2"/>
      <c r="F3063" s="19"/>
    </row>
    <row r="3064" ht="15.75" customHeight="1">
      <c r="A3064" s="1">
        <v>5.8682411E7</v>
      </c>
      <c r="B3064" s="2" t="s">
        <v>2146</v>
      </c>
      <c r="C3064" s="19" t="s">
        <v>7798</v>
      </c>
      <c r="D3064" s="19"/>
      <c r="E3064" s="2"/>
      <c r="F3064" s="19"/>
    </row>
    <row r="3065" ht="15.75" customHeight="1">
      <c r="A3065" s="1">
        <v>5.8687783E7</v>
      </c>
      <c r="B3065" s="2" t="s">
        <v>902</v>
      </c>
      <c r="C3065" s="19" t="s">
        <v>7799</v>
      </c>
      <c r="D3065" s="19" t="s">
        <v>7800</v>
      </c>
      <c r="E3065" s="2"/>
      <c r="F3065" s="19"/>
    </row>
    <row r="3066" ht="15.75" customHeight="1">
      <c r="A3066" s="1">
        <v>5.8696023E7</v>
      </c>
      <c r="B3066" s="2" t="s">
        <v>3229</v>
      </c>
      <c r="C3066" s="19" t="s">
        <v>7801</v>
      </c>
      <c r="D3066" s="19"/>
      <c r="E3066" s="2"/>
      <c r="F3066" s="19"/>
    </row>
    <row r="3067" ht="15.75" customHeight="1">
      <c r="A3067" s="1">
        <v>5.8698121E7</v>
      </c>
      <c r="B3067" s="2" t="s">
        <v>1186</v>
      </c>
      <c r="C3067" s="19" t="s">
        <v>7802</v>
      </c>
      <c r="D3067" s="19" t="s">
        <v>7803</v>
      </c>
      <c r="E3067" s="2"/>
      <c r="F3067" s="19"/>
    </row>
    <row r="3068" ht="15.75" customHeight="1">
      <c r="A3068" s="1">
        <v>5.8698789E7</v>
      </c>
      <c r="B3068" s="2" t="s">
        <v>2460</v>
      </c>
      <c r="C3068" s="19" t="s">
        <v>7804</v>
      </c>
      <c r="D3068" s="19" t="s">
        <v>7805</v>
      </c>
      <c r="E3068" s="2"/>
      <c r="F3068" s="19"/>
    </row>
    <row r="3069" ht="15.75" customHeight="1">
      <c r="A3069" s="1">
        <v>5.870103E7</v>
      </c>
      <c r="B3069" s="2" t="s">
        <v>1343</v>
      </c>
      <c r="C3069" s="19" t="s">
        <v>7806</v>
      </c>
      <c r="D3069" s="19"/>
      <c r="E3069" s="2"/>
      <c r="F3069" s="19"/>
    </row>
    <row r="3070" ht="15.75" customHeight="1">
      <c r="A3070" s="1">
        <v>5.8701204E7</v>
      </c>
      <c r="B3070" s="2" t="s">
        <v>3152</v>
      </c>
      <c r="C3070" s="19" t="s">
        <v>7807</v>
      </c>
      <c r="D3070" s="19" t="s">
        <v>7808</v>
      </c>
      <c r="E3070" s="2"/>
      <c r="F3070" s="19"/>
    </row>
    <row r="3071" ht="15.75" customHeight="1">
      <c r="A3071" s="1">
        <v>5.8703729E7</v>
      </c>
      <c r="B3071" s="2" t="s">
        <v>3327</v>
      </c>
      <c r="C3071" s="19" t="s">
        <v>7809</v>
      </c>
      <c r="D3071" s="19"/>
      <c r="E3071" s="2"/>
      <c r="F3071" s="19"/>
    </row>
    <row r="3072" ht="15.75" customHeight="1">
      <c r="A3072" s="1">
        <v>5.8703762E7</v>
      </c>
      <c r="B3072" s="2" t="s">
        <v>3000</v>
      </c>
      <c r="C3072" s="19" t="s">
        <v>7810</v>
      </c>
      <c r="D3072" s="19"/>
      <c r="E3072" s="2"/>
      <c r="F3072" s="19"/>
    </row>
    <row r="3073" ht="15.75" customHeight="1">
      <c r="A3073" s="1">
        <v>5.8711935E7</v>
      </c>
      <c r="B3073" s="2" t="s">
        <v>887</v>
      </c>
      <c r="C3073" s="19" t="s">
        <v>7811</v>
      </c>
      <c r="D3073" s="19"/>
      <c r="E3073" s="2"/>
      <c r="F3073" s="19"/>
    </row>
    <row r="3074" ht="15.75" customHeight="1">
      <c r="A3074" s="1">
        <v>5.8712399E7</v>
      </c>
      <c r="B3074" s="2" t="s">
        <v>1800</v>
      </c>
      <c r="C3074" s="19" t="s">
        <v>7812</v>
      </c>
      <c r="D3074" s="19"/>
      <c r="E3074" s="2"/>
      <c r="F3074" s="19"/>
    </row>
    <row r="3075" ht="15.75" customHeight="1">
      <c r="A3075" s="1">
        <v>5.8712877E7</v>
      </c>
      <c r="B3075" s="2" t="s">
        <v>2790</v>
      </c>
      <c r="C3075" s="19" t="s">
        <v>7813</v>
      </c>
      <c r="D3075" s="19" t="s">
        <v>7814</v>
      </c>
      <c r="E3075" s="2"/>
      <c r="F3075" s="19"/>
    </row>
    <row r="3076" ht="15.75" customHeight="1">
      <c r="A3076" s="1">
        <v>5.8715146E7</v>
      </c>
      <c r="B3076" s="2" t="s">
        <v>2020</v>
      </c>
      <c r="C3076" s="19" t="s">
        <v>7815</v>
      </c>
      <c r="D3076" s="19"/>
      <c r="E3076" s="2"/>
      <c r="F3076" s="19"/>
    </row>
    <row r="3077" ht="15.75" customHeight="1">
      <c r="A3077" s="1">
        <v>5.8719818E7</v>
      </c>
      <c r="B3077" s="2" t="s">
        <v>3181</v>
      </c>
      <c r="C3077" s="19" t="s">
        <v>7816</v>
      </c>
      <c r="D3077" s="19"/>
      <c r="E3077" s="2"/>
      <c r="F3077" s="19"/>
    </row>
    <row r="3078" ht="15.75" customHeight="1">
      <c r="A3078" s="1">
        <v>5.8720305E7</v>
      </c>
      <c r="B3078" s="2" t="s">
        <v>2563</v>
      </c>
      <c r="C3078" s="19" t="s">
        <v>7817</v>
      </c>
      <c r="D3078" s="19"/>
      <c r="E3078" s="2"/>
      <c r="F3078" s="19"/>
    </row>
    <row r="3079" ht="15.75" customHeight="1">
      <c r="A3079" s="1">
        <v>5.8726753E7</v>
      </c>
      <c r="B3079" s="2" t="s">
        <v>2302</v>
      </c>
      <c r="C3079" s="19" t="s">
        <v>7818</v>
      </c>
      <c r="D3079" s="19"/>
      <c r="E3079" s="2"/>
      <c r="F3079" s="19"/>
    </row>
    <row r="3080" ht="15.75" customHeight="1">
      <c r="A3080" s="1">
        <v>5.8730516E7</v>
      </c>
      <c r="B3080" s="2" t="s">
        <v>3018</v>
      </c>
      <c r="C3080" s="19" t="s">
        <v>7819</v>
      </c>
      <c r="D3080" s="19"/>
      <c r="E3080" s="2"/>
      <c r="F3080" s="19"/>
    </row>
    <row r="3081" ht="15.75" customHeight="1">
      <c r="A3081" s="1">
        <v>5.8730563E7</v>
      </c>
      <c r="B3081" s="2" t="s">
        <v>2252</v>
      </c>
      <c r="C3081" s="19" t="s">
        <v>7820</v>
      </c>
      <c r="D3081" s="19"/>
      <c r="E3081" s="2"/>
      <c r="F3081" s="19"/>
    </row>
    <row r="3082" ht="15.75" customHeight="1">
      <c r="A3082" s="1">
        <v>5.873662E7</v>
      </c>
      <c r="B3082" s="2" t="s">
        <v>2747</v>
      </c>
      <c r="C3082" s="19" t="s">
        <v>7821</v>
      </c>
      <c r="D3082" s="19"/>
      <c r="E3082" s="2"/>
      <c r="F3082" s="19"/>
    </row>
    <row r="3083" ht="15.75" customHeight="1">
      <c r="A3083" s="1">
        <v>5.8738924E7</v>
      </c>
      <c r="B3083" s="2" t="s">
        <v>1404</v>
      </c>
      <c r="C3083" s="19" t="s">
        <v>7822</v>
      </c>
      <c r="D3083" s="19"/>
      <c r="E3083" s="2"/>
      <c r="F3083" s="19"/>
    </row>
    <row r="3084" ht="15.75" customHeight="1">
      <c r="A3084" s="1">
        <v>5.8739353E7</v>
      </c>
      <c r="B3084" s="2" t="s">
        <v>968</v>
      </c>
      <c r="C3084" s="19" t="s">
        <v>7823</v>
      </c>
      <c r="D3084" s="19"/>
      <c r="E3084" s="2"/>
      <c r="F3084" s="19"/>
    </row>
    <row r="3085" ht="15.75" customHeight="1">
      <c r="A3085" s="1">
        <v>5.8742822E7</v>
      </c>
      <c r="B3085" s="2" t="s">
        <v>2666</v>
      </c>
      <c r="C3085" s="19" t="s">
        <v>7824</v>
      </c>
      <c r="D3085" s="19"/>
      <c r="E3085" s="2"/>
      <c r="F3085" s="19"/>
    </row>
    <row r="3086" ht="15.75" customHeight="1">
      <c r="A3086" s="1">
        <v>5.8746612E7</v>
      </c>
      <c r="B3086" s="2" t="s">
        <v>3503</v>
      </c>
      <c r="C3086" s="19" t="s">
        <v>7825</v>
      </c>
      <c r="D3086" s="19"/>
      <c r="E3086" s="2"/>
      <c r="F3086" s="19"/>
    </row>
    <row r="3087" ht="15.75" customHeight="1">
      <c r="A3087" s="1">
        <v>5.8746868E7</v>
      </c>
      <c r="B3087" s="2" t="s">
        <v>2918</v>
      </c>
      <c r="C3087" s="19" t="s">
        <v>7826</v>
      </c>
      <c r="D3087" s="19"/>
      <c r="E3087" s="2"/>
      <c r="F3087" s="19"/>
    </row>
    <row r="3088" ht="15.75" customHeight="1">
      <c r="A3088" s="1">
        <v>5.8748928E7</v>
      </c>
      <c r="B3088" s="2" t="s">
        <v>3230</v>
      </c>
      <c r="C3088" s="19" t="s">
        <v>7827</v>
      </c>
      <c r="D3088" s="19"/>
      <c r="E3088" s="2"/>
      <c r="F3088" s="19"/>
    </row>
    <row r="3089" ht="15.75" customHeight="1">
      <c r="A3089" s="1">
        <v>5.8759042E7</v>
      </c>
      <c r="B3089" s="2" t="s">
        <v>2048</v>
      </c>
      <c r="C3089" s="19" t="s">
        <v>7828</v>
      </c>
      <c r="D3089" s="19"/>
      <c r="E3089" s="2"/>
      <c r="F3089" s="19"/>
    </row>
    <row r="3090" ht="15.75" customHeight="1">
      <c r="A3090" s="1">
        <v>5.8769667E7</v>
      </c>
      <c r="B3090" s="2" t="s">
        <v>2976</v>
      </c>
      <c r="C3090" s="19" t="s">
        <v>7829</v>
      </c>
      <c r="D3090" s="19"/>
      <c r="E3090" s="2"/>
      <c r="F3090" s="19"/>
    </row>
    <row r="3091" ht="15.75" customHeight="1">
      <c r="A3091" s="1">
        <v>5.8769776E7</v>
      </c>
      <c r="B3091" s="2" t="s">
        <v>2598</v>
      </c>
      <c r="C3091" s="19" t="s">
        <v>7830</v>
      </c>
      <c r="D3091" s="19" t="s">
        <v>7831</v>
      </c>
      <c r="E3091" s="2"/>
      <c r="F3091" s="19"/>
    </row>
    <row r="3092" ht="15.75" customHeight="1">
      <c r="A3092" s="1">
        <v>5.8771272E7</v>
      </c>
      <c r="B3092" s="2" t="s">
        <v>2748</v>
      </c>
      <c r="C3092" s="19" t="s">
        <v>7832</v>
      </c>
      <c r="D3092" s="19"/>
      <c r="E3092" s="2"/>
      <c r="F3092" s="19"/>
    </row>
    <row r="3093" ht="15.75" customHeight="1">
      <c r="A3093" s="1">
        <v>5.8773119E7</v>
      </c>
      <c r="B3093" s="2" t="s">
        <v>3280</v>
      </c>
      <c r="C3093" s="19" t="s">
        <v>7833</v>
      </c>
      <c r="D3093" s="19"/>
      <c r="E3093" s="2"/>
      <c r="F3093" s="19"/>
    </row>
    <row r="3094" ht="15.75" customHeight="1">
      <c r="A3094" s="1">
        <v>5.8776201E7</v>
      </c>
      <c r="B3094" s="2" t="s">
        <v>2112</v>
      </c>
      <c r="C3094" s="19" t="s">
        <v>7834</v>
      </c>
      <c r="D3094" s="19"/>
      <c r="E3094" s="2"/>
      <c r="F3094" s="19"/>
    </row>
    <row r="3095" ht="15.75" customHeight="1">
      <c r="A3095" s="1">
        <v>5.878361E7</v>
      </c>
      <c r="B3095" s="2" t="s">
        <v>2505</v>
      </c>
      <c r="C3095" s="19" t="s">
        <v>7835</v>
      </c>
      <c r="D3095" s="19" t="s">
        <v>7836</v>
      </c>
      <c r="E3095" s="2"/>
      <c r="F3095" s="19"/>
    </row>
    <row r="3096" ht="15.75" customHeight="1">
      <c r="A3096" s="1">
        <v>5.8790918E7</v>
      </c>
      <c r="B3096" s="2" t="s">
        <v>3129</v>
      </c>
      <c r="C3096" s="19" t="s">
        <v>7837</v>
      </c>
      <c r="D3096" s="19" t="s">
        <v>7838</v>
      </c>
      <c r="E3096" s="2"/>
      <c r="F3096" s="19"/>
    </row>
    <row r="3097" ht="15.75" customHeight="1">
      <c r="A3097" s="1">
        <v>5.8794905E7</v>
      </c>
      <c r="B3097" s="2" t="s">
        <v>3629</v>
      </c>
      <c r="C3097" s="19" t="s">
        <v>7839</v>
      </c>
      <c r="D3097" s="19"/>
      <c r="E3097" s="2"/>
      <c r="F3097" s="19"/>
    </row>
    <row r="3098" ht="15.75" customHeight="1">
      <c r="A3098" s="1">
        <v>5.8796302E7</v>
      </c>
      <c r="B3098" s="2" t="s">
        <v>3630</v>
      </c>
      <c r="C3098" s="19" t="s">
        <v>7840</v>
      </c>
      <c r="D3098" s="19"/>
      <c r="E3098" s="2"/>
      <c r="F3098" s="19"/>
    </row>
    <row r="3099" ht="15.75" customHeight="1">
      <c r="A3099" s="1">
        <v>5.8798429E7</v>
      </c>
      <c r="B3099" s="2" t="s">
        <v>1908</v>
      </c>
      <c r="C3099" s="19" t="s">
        <v>7841</v>
      </c>
      <c r="D3099" s="19"/>
      <c r="E3099" s="2"/>
      <c r="F3099" s="19"/>
    </row>
    <row r="3100" ht="15.75" customHeight="1">
      <c r="A3100" s="1">
        <v>5.8799098E7</v>
      </c>
      <c r="B3100" s="2" t="s">
        <v>1659</v>
      </c>
      <c r="C3100" s="19" t="s">
        <v>7842</v>
      </c>
      <c r="D3100" s="19"/>
      <c r="E3100" s="2"/>
      <c r="F3100" s="19"/>
    </row>
    <row r="3101" ht="15.75" customHeight="1">
      <c r="A3101" s="1">
        <v>5.8802352E7</v>
      </c>
      <c r="B3101" s="2" t="s">
        <v>3439</v>
      </c>
      <c r="C3101" s="19" t="s">
        <v>7843</v>
      </c>
      <c r="D3101" s="19"/>
      <c r="E3101" s="2"/>
      <c r="F3101" s="19"/>
    </row>
    <row r="3102" ht="15.75" customHeight="1">
      <c r="A3102" s="1">
        <v>5.8802554E7</v>
      </c>
      <c r="B3102" s="2" t="s">
        <v>2473</v>
      </c>
      <c r="C3102" s="19" t="s">
        <v>7844</v>
      </c>
      <c r="D3102" s="19"/>
      <c r="E3102" s="2"/>
      <c r="F3102" s="19"/>
    </row>
    <row r="3103" ht="15.75" customHeight="1">
      <c r="A3103" s="1">
        <v>5.8804457E7</v>
      </c>
      <c r="B3103" s="2" t="s">
        <v>3107</v>
      </c>
      <c r="C3103" s="19" t="s">
        <v>7845</v>
      </c>
      <c r="D3103" s="19"/>
      <c r="E3103" s="2"/>
      <c r="F3103" s="19"/>
    </row>
    <row r="3104" ht="15.75" customHeight="1">
      <c r="A3104" s="1">
        <v>5.8804879E7</v>
      </c>
      <c r="B3104" s="2" t="s">
        <v>1485</v>
      </c>
      <c r="C3104" s="19" t="s">
        <v>7846</v>
      </c>
      <c r="D3104" s="19"/>
      <c r="E3104" s="2"/>
      <c r="F3104" s="19"/>
    </row>
    <row r="3105" ht="15.75" customHeight="1">
      <c r="A3105" s="1">
        <v>5.8812003E7</v>
      </c>
      <c r="B3105" s="2" t="s">
        <v>2853</v>
      </c>
      <c r="C3105" s="19" t="s">
        <v>7847</v>
      </c>
      <c r="D3105" s="19"/>
      <c r="E3105" s="2"/>
      <c r="F3105" s="19"/>
    </row>
    <row r="3106" ht="15.75" customHeight="1">
      <c r="A3106" s="1">
        <v>5.8819021E7</v>
      </c>
      <c r="B3106" s="2" t="s">
        <v>3328</v>
      </c>
      <c r="C3106" s="19" t="s">
        <v>7848</v>
      </c>
      <c r="D3106" s="19"/>
      <c r="E3106" s="2"/>
      <c r="F3106" s="19"/>
    </row>
    <row r="3107" ht="15.75" customHeight="1">
      <c r="A3107" s="1">
        <v>5.8821575E7</v>
      </c>
      <c r="B3107" s="2" t="s">
        <v>2957</v>
      </c>
      <c r="C3107" s="19" t="s">
        <v>7849</v>
      </c>
      <c r="D3107" s="19"/>
      <c r="E3107" s="2"/>
      <c r="F3107" s="19"/>
    </row>
    <row r="3108" ht="15.75" customHeight="1">
      <c r="A3108" s="1">
        <v>5.8822568E7</v>
      </c>
      <c r="B3108" s="2" t="s">
        <v>3329</v>
      </c>
      <c r="C3108" s="19" t="s">
        <v>7850</v>
      </c>
      <c r="D3108" s="19"/>
      <c r="E3108" s="2"/>
      <c r="F3108" s="19"/>
    </row>
    <row r="3109" ht="15.75" customHeight="1">
      <c r="A3109" s="1">
        <v>5.8824579E7</v>
      </c>
      <c r="B3109" s="2" t="s">
        <v>2447</v>
      </c>
      <c r="C3109" s="19" t="s">
        <v>7851</v>
      </c>
      <c r="D3109" s="19"/>
      <c r="E3109" s="2"/>
      <c r="F3109" s="19"/>
    </row>
    <row r="3110" ht="15.75" customHeight="1">
      <c r="A3110" s="1">
        <v>5.8832168E7</v>
      </c>
      <c r="B3110" s="2" t="s">
        <v>2354</v>
      </c>
      <c r="C3110" s="19" t="s">
        <v>7852</v>
      </c>
      <c r="D3110" s="19"/>
      <c r="E3110" s="2"/>
      <c r="F3110" s="19"/>
    </row>
    <row r="3111" ht="15.75" customHeight="1">
      <c r="A3111" s="1">
        <v>5.8832626E7</v>
      </c>
      <c r="B3111" s="2" t="s">
        <v>1443</v>
      </c>
      <c r="C3111" s="19" t="s">
        <v>7853</v>
      </c>
      <c r="D3111" s="19"/>
      <c r="E3111" s="2"/>
      <c r="F3111" s="19"/>
    </row>
    <row r="3112" ht="15.75" customHeight="1">
      <c r="A3112" s="1">
        <v>5.8839197E7</v>
      </c>
      <c r="B3112" s="2" t="s">
        <v>398</v>
      </c>
      <c r="C3112" s="19" t="s">
        <v>7854</v>
      </c>
      <c r="D3112" s="19"/>
      <c r="E3112" s="2"/>
      <c r="F3112" s="19"/>
    </row>
    <row r="3113" ht="15.75" customHeight="1">
      <c r="A3113" s="1">
        <v>5.8840472E7</v>
      </c>
      <c r="B3113" s="2" t="s">
        <v>2791</v>
      </c>
      <c r="C3113" s="19" t="s">
        <v>7855</v>
      </c>
      <c r="D3113" s="19"/>
      <c r="E3113" s="2"/>
      <c r="F3113" s="19"/>
    </row>
    <row r="3114" ht="15.75" customHeight="1">
      <c r="A3114" s="1">
        <v>5.8841047E7</v>
      </c>
      <c r="B3114" s="2" t="s">
        <v>2428</v>
      </c>
      <c r="C3114" s="19" t="s">
        <v>7856</v>
      </c>
      <c r="D3114" s="19"/>
      <c r="E3114" s="2"/>
      <c r="F3114" s="19"/>
    </row>
    <row r="3115" ht="15.75" customHeight="1">
      <c r="A3115" s="1">
        <v>5.8844302E7</v>
      </c>
      <c r="B3115" s="2" t="s">
        <v>2461</v>
      </c>
      <c r="C3115" s="19" t="s">
        <v>7857</v>
      </c>
      <c r="D3115" s="19" t="s">
        <v>7858</v>
      </c>
      <c r="E3115" s="2"/>
      <c r="F3115" s="19"/>
    </row>
    <row r="3116" ht="15.75" customHeight="1">
      <c r="A3116" s="1">
        <v>5.8846662E7</v>
      </c>
      <c r="B3116" s="2" t="s">
        <v>3077</v>
      </c>
      <c r="C3116" s="19" t="s">
        <v>7859</v>
      </c>
      <c r="D3116" s="19" t="s">
        <v>7860</v>
      </c>
      <c r="E3116" s="2"/>
      <c r="F3116" s="19"/>
    </row>
    <row r="3117" ht="15.75" customHeight="1">
      <c r="A3117" s="1">
        <v>5.8858248E7</v>
      </c>
      <c r="B3117" s="2" t="s">
        <v>3001</v>
      </c>
      <c r="C3117" s="19" t="s">
        <v>7861</v>
      </c>
      <c r="D3117" s="19"/>
      <c r="E3117" s="2"/>
      <c r="F3117" s="19"/>
    </row>
    <row r="3118" ht="15.75" customHeight="1">
      <c r="A3118" s="1">
        <v>5.8861074E7</v>
      </c>
      <c r="B3118" s="2" t="s">
        <v>2489</v>
      </c>
      <c r="C3118" s="19" t="s">
        <v>7862</v>
      </c>
      <c r="D3118" s="19"/>
      <c r="E3118" s="2"/>
      <c r="F3118" s="19"/>
    </row>
    <row r="3119" ht="15.75" customHeight="1">
      <c r="A3119" s="1">
        <v>5.8861624E7</v>
      </c>
      <c r="B3119" s="2" t="s">
        <v>1041</v>
      </c>
      <c r="C3119" s="19" t="s">
        <v>7863</v>
      </c>
      <c r="D3119" s="19" t="s">
        <v>7864</v>
      </c>
      <c r="E3119" s="2"/>
      <c r="F3119" s="19"/>
    </row>
    <row r="3120" ht="15.75" customHeight="1">
      <c r="A3120" s="1">
        <v>5.8867149E7</v>
      </c>
      <c r="B3120" s="2" t="s">
        <v>2253</v>
      </c>
      <c r="C3120" s="19" t="s">
        <v>7865</v>
      </c>
      <c r="D3120" s="19" t="s">
        <v>7866</v>
      </c>
      <c r="E3120" s="2"/>
      <c r="F3120" s="19"/>
    </row>
    <row r="3121" ht="15.75" customHeight="1">
      <c r="A3121" s="1">
        <v>5.8867261E7</v>
      </c>
      <c r="B3121" s="2" t="s">
        <v>3201</v>
      </c>
      <c r="C3121" s="19" t="s">
        <v>7867</v>
      </c>
      <c r="D3121" s="19"/>
      <c r="E3121" s="2"/>
      <c r="F3121" s="19"/>
    </row>
    <row r="3122" ht="15.75" customHeight="1">
      <c r="A3122" s="1">
        <v>5.8869893E7</v>
      </c>
      <c r="B3122" s="2" t="s">
        <v>3130</v>
      </c>
      <c r="C3122" s="19" t="s">
        <v>7868</v>
      </c>
      <c r="D3122" s="19"/>
      <c r="E3122" s="2"/>
      <c r="F3122" s="19"/>
    </row>
    <row r="3123" ht="15.75" customHeight="1">
      <c r="A3123" s="1">
        <v>5.8874315E7</v>
      </c>
      <c r="B3123" s="2" t="s">
        <v>2254</v>
      </c>
      <c r="C3123" s="19" t="s">
        <v>7869</v>
      </c>
      <c r="D3123" s="19"/>
      <c r="E3123" s="2"/>
      <c r="F3123" s="19"/>
    </row>
    <row r="3124" ht="15.75" customHeight="1">
      <c r="A3124" s="1">
        <v>5.8876011E7</v>
      </c>
      <c r="B3124" s="2" t="s">
        <v>2197</v>
      </c>
      <c r="C3124" s="19" t="s">
        <v>7870</v>
      </c>
      <c r="D3124" s="19"/>
      <c r="E3124" s="2"/>
      <c r="F3124" s="19"/>
    </row>
    <row r="3125" ht="15.75" customHeight="1">
      <c r="A3125" s="1">
        <v>5.8877222E7</v>
      </c>
      <c r="B3125" s="2" t="s">
        <v>2074</v>
      </c>
      <c r="C3125" s="19" t="s">
        <v>7871</v>
      </c>
      <c r="D3125" s="19" t="s">
        <v>7872</v>
      </c>
      <c r="E3125" s="2"/>
      <c r="F3125" s="19"/>
    </row>
    <row r="3126" ht="15.75" customHeight="1">
      <c r="A3126" s="1">
        <v>5.8885227E7</v>
      </c>
      <c r="B3126" s="2" t="s">
        <v>2021</v>
      </c>
      <c r="C3126" s="19" t="s">
        <v>7873</v>
      </c>
      <c r="D3126" s="19"/>
      <c r="E3126" s="2"/>
      <c r="F3126" s="19"/>
    </row>
    <row r="3127" ht="15.75" customHeight="1">
      <c r="A3127" s="1">
        <v>5.888548E7</v>
      </c>
      <c r="B3127" s="2" t="s">
        <v>3182</v>
      </c>
      <c r="C3127" s="19" t="s">
        <v>7874</v>
      </c>
      <c r="D3127" s="19"/>
      <c r="E3127" s="2"/>
      <c r="F3127" s="19"/>
    </row>
    <row r="3128" ht="15.75" customHeight="1">
      <c r="A3128" s="1">
        <v>5.8885774E7</v>
      </c>
      <c r="B3128" s="2" t="s">
        <v>3306</v>
      </c>
      <c r="C3128" s="19" t="s">
        <v>7875</v>
      </c>
      <c r="D3128" s="19" t="s">
        <v>7876</v>
      </c>
      <c r="E3128" s="2"/>
      <c r="F3128" s="19"/>
    </row>
    <row r="3129" ht="15.75" customHeight="1">
      <c r="A3129" s="1">
        <v>5.8887435E7</v>
      </c>
      <c r="B3129" s="2" t="s">
        <v>3205</v>
      </c>
      <c r="C3129" s="19" t="s">
        <v>7877</v>
      </c>
      <c r="D3129" s="19"/>
      <c r="E3129" s="2"/>
      <c r="F3129" s="19"/>
    </row>
    <row r="3130" ht="15.75" customHeight="1">
      <c r="A3130" s="1">
        <v>5.8904486E7</v>
      </c>
      <c r="B3130" s="2" t="s">
        <v>2870</v>
      </c>
      <c r="C3130" s="19" t="s">
        <v>7878</v>
      </c>
      <c r="D3130" s="19"/>
      <c r="E3130" s="2"/>
      <c r="F3130" s="19"/>
    </row>
    <row r="3131" ht="15.75" customHeight="1">
      <c r="A3131" s="1">
        <v>5.8913715E7</v>
      </c>
      <c r="B3131" s="2" t="s">
        <v>3440</v>
      </c>
      <c r="C3131" s="19" t="s">
        <v>7879</v>
      </c>
      <c r="D3131" s="19"/>
      <c r="E3131" s="2"/>
      <c r="F3131" s="19"/>
    </row>
    <row r="3132" ht="15.75" customHeight="1">
      <c r="A3132" s="1">
        <v>5.891433E7</v>
      </c>
      <c r="B3132" s="2" t="s">
        <v>1759</v>
      </c>
      <c r="C3132" s="19" t="s">
        <v>7880</v>
      </c>
      <c r="D3132" s="19"/>
      <c r="E3132" s="2"/>
      <c r="F3132" s="19"/>
    </row>
    <row r="3133" ht="15.75" customHeight="1">
      <c r="A3133" s="1">
        <v>5.8924846E7</v>
      </c>
      <c r="B3133" s="2" t="s">
        <v>2937</v>
      </c>
      <c r="C3133" s="19" t="s">
        <v>7881</v>
      </c>
      <c r="D3133" s="19" t="s">
        <v>7882</v>
      </c>
      <c r="E3133" s="2"/>
      <c r="F3133" s="19"/>
    </row>
    <row r="3134" ht="15.75" customHeight="1">
      <c r="A3134" s="1">
        <v>5.8927398E7</v>
      </c>
      <c r="B3134" s="2" t="s">
        <v>2792</v>
      </c>
      <c r="C3134" s="19" t="s">
        <v>7883</v>
      </c>
      <c r="D3134" s="19" t="s">
        <v>7884</v>
      </c>
      <c r="E3134" s="2"/>
      <c r="F3134" s="19"/>
    </row>
    <row r="3135" ht="15.75" customHeight="1">
      <c r="A3135" s="1">
        <v>5.8927482E7</v>
      </c>
      <c r="B3135" s="2" t="s">
        <v>3550</v>
      </c>
      <c r="C3135" s="19" t="s">
        <v>7885</v>
      </c>
      <c r="D3135" s="19"/>
      <c r="E3135" s="2"/>
      <c r="F3135" s="19"/>
    </row>
    <row r="3136" ht="15.75" customHeight="1">
      <c r="A3136" s="1">
        <v>5.8933463E7</v>
      </c>
      <c r="B3136" s="2" t="s">
        <v>2639</v>
      </c>
      <c r="C3136" s="19" t="s">
        <v>7886</v>
      </c>
      <c r="D3136" s="19"/>
      <c r="E3136" s="2"/>
      <c r="F3136" s="19"/>
    </row>
    <row r="3137" ht="15.75" customHeight="1">
      <c r="A3137" s="1">
        <v>5.8935331E7</v>
      </c>
      <c r="B3137" s="2" t="s">
        <v>2210</v>
      </c>
      <c r="C3137" s="19" t="s">
        <v>7887</v>
      </c>
      <c r="D3137" s="19"/>
      <c r="E3137" s="2"/>
      <c r="F3137" s="19"/>
    </row>
    <row r="3138" ht="15.75" customHeight="1">
      <c r="A3138" s="1">
        <v>5.8937485E7</v>
      </c>
      <c r="B3138" s="2" t="s">
        <v>3255</v>
      </c>
      <c r="C3138" s="19" t="s">
        <v>7888</v>
      </c>
      <c r="D3138" s="19"/>
      <c r="E3138" s="2"/>
      <c r="F3138" s="19"/>
    </row>
    <row r="3139" ht="15.75" customHeight="1">
      <c r="A3139" s="1">
        <v>5.8940439E7</v>
      </c>
      <c r="B3139" s="2" t="s">
        <v>3307</v>
      </c>
      <c r="C3139" s="19" t="s">
        <v>7889</v>
      </c>
      <c r="D3139" s="19"/>
      <c r="E3139" s="2"/>
      <c r="F3139" s="19"/>
    </row>
    <row r="3140" ht="15.75" customHeight="1">
      <c r="A3140" s="1">
        <v>5.8941104E7</v>
      </c>
      <c r="B3140" s="2" t="s">
        <v>2698</v>
      </c>
      <c r="C3140" s="19" t="s">
        <v>7890</v>
      </c>
      <c r="D3140" s="19"/>
      <c r="E3140" s="2"/>
      <c r="F3140" s="19"/>
    </row>
    <row r="3141" ht="15.75" customHeight="1">
      <c r="A3141" s="1">
        <v>5.8942442E7</v>
      </c>
      <c r="B3141" s="2" t="s">
        <v>424</v>
      </c>
      <c r="C3141" s="19" t="s">
        <v>7891</v>
      </c>
      <c r="D3141" s="19"/>
      <c r="E3141" s="2"/>
      <c r="F3141" s="19"/>
    </row>
    <row r="3142" ht="15.75" customHeight="1">
      <c r="A3142" s="1">
        <v>5.8944331E7</v>
      </c>
      <c r="B3142" s="2" t="s">
        <v>3411</v>
      </c>
      <c r="C3142" s="19" t="s">
        <v>7892</v>
      </c>
      <c r="D3142" s="19"/>
      <c r="E3142" s="2"/>
      <c r="F3142" s="19"/>
    </row>
    <row r="3143" ht="15.75" customHeight="1">
      <c r="A3143" s="1">
        <v>5.894557E7</v>
      </c>
      <c r="B3143" s="2" t="s">
        <v>2240</v>
      </c>
      <c r="C3143" s="19" t="s">
        <v>7893</v>
      </c>
      <c r="D3143" s="19" t="s">
        <v>7894</v>
      </c>
      <c r="E3143" s="2"/>
      <c r="F3143" s="19"/>
    </row>
    <row r="3144" ht="15.75" customHeight="1">
      <c r="A3144" s="1">
        <v>5.8949589E7</v>
      </c>
      <c r="B3144" s="2" t="s">
        <v>3108</v>
      </c>
      <c r="C3144" s="19" t="s">
        <v>7895</v>
      </c>
      <c r="D3144" s="19"/>
      <c r="E3144" s="2"/>
      <c r="F3144" s="19"/>
    </row>
    <row r="3145" ht="15.75" customHeight="1">
      <c r="A3145" s="1">
        <v>5.8952758E7</v>
      </c>
      <c r="B3145" s="2" t="s">
        <v>2327</v>
      </c>
      <c r="C3145" s="19" t="s">
        <v>7896</v>
      </c>
      <c r="D3145" s="19"/>
      <c r="E3145" s="2"/>
      <c r="F3145" s="19"/>
    </row>
    <row r="3146" ht="15.75" customHeight="1">
      <c r="A3146" s="1">
        <v>5.8956948E7</v>
      </c>
      <c r="B3146" s="2" t="s">
        <v>2813</v>
      </c>
      <c r="C3146" s="19" t="s">
        <v>7897</v>
      </c>
      <c r="D3146" s="19"/>
      <c r="E3146" s="2"/>
      <c r="F3146" s="19"/>
    </row>
    <row r="3147" ht="15.75" customHeight="1">
      <c r="A3147" s="1">
        <v>5.8959973E7</v>
      </c>
      <c r="B3147" s="2" t="s">
        <v>2474</v>
      </c>
      <c r="C3147" s="19" t="s">
        <v>7898</v>
      </c>
      <c r="D3147" s="19"/>
      <c r="E3147" s="2"/>
      <c r="F3147" s="19"/>
    </row>
    <row r="3148" ht="15.75" customHeight="1">
      <c r="A3148" s="1">
        <v>5.8965067E7</v>
      </c>
      <c r="B3148" s="2" t="s">
        <v>3019</v>
      </c>
      <c r="C3148" s="19" t="s">
        <v>7899</v>
      </c>
      <c r="D3148" s="19"/>
      <c r="E3148" s="2"/>
      <c r="F3148" s="19"/>
    </row>
    <row r="3149" ht="15.75" customHeight="1">
      <c r="A3149" s="1">
        <v>5.8973104E7</v>
      </c>
      <c r="B3149" s="2" t="s">
        <v>3523</v>
      </c>
      <c r="C3149" s="19" t="s">
        <v>7900</v>
      </c>
      <c r="D3149" s="19"/>
      <c r="E3149" s="2"/>
      <c r="F3149" s="19"/>
    </row>
    <row r="3150" ht="15.75" customHeight="1">
      <c r="A3150" s="1">
        <v>5.8976356E7</v>
      </c>
      <c r="B3150" s="2" t="s">
        <v>2191</v>
      </c>
      <c r="C3150" s="19" t="s">
        <v>7901</v>
      </c>
      <c r="D3150" s="19"/>
      <c r="E3150" s="2"/>
      <c r="F3150" s="19"/>
    </row>
    <row r="3151" ht="15.75" customHeight="1">
      <c r="A3151" s="1">
        <v>5.8982487E7</v>
      </c>
      <c r="B3151" s="2" t="s">
        <v>1242</v>
      </c>
      <c r="C3151" s="19" t="s">
        <v>7902</v>
      </c>
      <c r="D3151" s="19"/>
      <c r="E3151" s="2"/>
      <c r="F3151" s="19"/>
    </row>
    <row r="3152" ht="15.75" customHeight="1">
      <c r="A3152" s="1">
        <v>5.8993188E7</v>
      </c>
      <c r="B3152" s="2" t="s">
        <v>3606</v>
      </c>
      <c r="C3152" s="19" t="s">
        <v>7903</v>
      </c>
      <c r="D3152" s="19"/>
      <c r="E3152" s="2"/>
      <c r="F3152" s="19"/>
    </row>
    <row r="3153" ht="15.75" customHeight="1">
      <c r="A3153" s="1">
        <v>5.9005965E7</v>
      </c>
      <c r="B3153" s="2" t="s">
        <v>2734</v>
      </c>
      <c r="C3153" s="19" t="s">
        <v>7904</v>
      </c>
      <c r="D3153" s="19"/>
      <c r="E3153" s="2"/>
      <c r="F3153" s="19"/>
    </row>
    <row r="3154" ht="15.75" customHeight="1">
      <c r="A3154" s="1">
        <v>5.9018968E7</v>
      </c>
      <c r="B3154" s="2" t="s">
        <v>3020</v>
      </c>
      <c r="C3154" s="19" t="s">
        <v>7905</v>
      </c>
      <c r="D3154" s="19"/>
      <c r="E3154" s="2"/>
      <c r="F3154" s="19"/>
    </row>
    <row r="3155" ht="15.75" customHeight="1">
      <c r="A3155" s="1">
        <v>5.9022984E7</v>
      </c>
      <c r="B3155" s="2" t="s">
        <v>2173</v>
      </c>
      <c r="C3155" s="19" t="s">
        <v>7906</v>
      </c>
      <c r="D3155" s="19"/>
      <c r="E3155" s="2"/>
      <c r="F3155" s="19"/>
    </row>
    <row r="3156" ht="15.75" customHeight="1">
      <c r="A3156" s="1">
        <v>5.9027006E7</v>
      </c>
      <c r="B3156" s="2" t="s">
        <v>3131</v>
      </c>
      <c r="C3156" s="19" t="s">
        <v>7907</v>
      </c>
      <c r="D3156" s="19"/>
      <c r="E3156" s="2"/>
      <c r="F3156" s="19"/>
    </row>
    <row r="3157" ht="15.75" customHeight="1">
      <c r="A3157" s="1">
        <v>5.9029108E7</v>
      </c>
      <c r="B3157" s="2" t="s">
        <v>2884</v>
      </c>
      <c r="C3157" s="19" t="s">
        <v>7908</v>
      </c>
      <c r="D3157" s="19"/>
      <c r="E3157" s="2"/>
      <c r="F3157" s="19"/>
    </row>
    <row r="3158" ht="15.75" customHeight="1">
      <c r="A3158" s="1">
        <v>5.9029392E7</v>
      </c>
      <c r="B3158" s="2" t="s">
        <v>2611</v>
      </c>
      <c r="C3158" s="19" t="s">
        <v>7909</v>
      </c>
      <c r="D3158" s="19"/>
      <c r="E3158" s="2"/>
      <c r="F3158" s="19"/>
    </row>
    <row r="3159" ht="15.75" customHeight="1">
      <c r="A3159" s="1">
        <v>5.9043054E7</v>
      </c>
      <c r="B3159" s="2" t="s">
        <v>1417</v>
      </c>
      <c r="C3159" s="19" t="s">
        <v>7910</v>
      </c>
      <c r="D3159" s="19"/>
      <c r="E3159" s="2"/>
      <c r="F3159" s="19"/>
    </row>
    <row r="3160" ht="15.75" customHeight="1">
      <c r="A3160" s="1">
        <v>5.9044506E7</v>
      </c>
      <c r="B3160" s="2" t="s">
        <v>2663</v>
      </c>
      <c r="C3160" s="19" t="s">
        <v>7911</v>
      </c>
      <c r="D3160" s="19"/>
      <c r="E3160" s="2"/>
      <c r="F3160" s="19"/>
    </row>
    <row r="3161" ht="15.75" customHeight="1">
      <c r="A3161" s="1">
        <v>5.9046675E7</v>
      </c>
      <c r="B3161" s="2" t="s">
        <v>3231</v>
      </c>
      <c r="C3161" s="19" t="s">
        <v>7912</v>
      </c>
      <c r="D3161" s="19"/>
      <c r="E3161" s="2"/>
      <c r="F3161" s="19"/>
    </row>
    <row r="3162" ht="15.75" customHeight="1">
      <c r="A3162" s="1">
        <v>5.9050535E7</v>
      </c>
      <c r="B3162" s="2" t="s">
        <v>2521</v>
      </c>
      <c r="C3162" s="19" t="s">
        <v>7913</v>
      </c>
      <c r="D3162" s="19" t="s">
        <v>7914</v>
      </c>
      <c r="E3162" s="2"/>
      <c r="F3162" s="19"/>
    </row>
    <row r="3163" ht="15.75" customHeight="1">
      <c r="A3163" s="1">
        <v>5.9053286E7</v>
      </c>
      <c r="B3163" s="2" t="s">
        <v>2871</v>
      </c>
      <c r="C3163" s="19" t="s">
        <v>7915</v>
      </c>
      <c r="D3163" s="19" t="s">
        <v>7916</v>
      </c>
      <c r="E3163" s="2"/>
      <c r="F3163" s="19"/>
    </row>
    <row r="3164" ht="15.75" customHeight="1">
      <c r="A3164" s="1">
        <v>5.9053329E7</v>
      </c>
      <c r="B3164" s="2" t="s">
        <v>3206</v>
      </c>
      <c r="C3164" s="19" t="s">
        <v>7917</v>
      </c>
      <c r="D3164" s="19"/>
      <c r="E3164" s="2"/>
      <c r="F3164" s="19"/>
    </row>
    <row r="3165" ht="15.75" customHeight="1">
      <c r="A3165" s="1">
        <v>5.9056956E7</v>
      </c>
      <c r="B3165" s="2" t="s">
        <v>2885</v>
      </c>
      <c r="C3165" s="19" t="s">
        <v>7918</v>
      </c>
      <c r="D3165" s="19"/>
      <c r="E3165" s="2"/>
      <c r="F3165" s="19"/>
    </row>
    <row r="3166" ht="15.75" customHeight="1">
      <c r="A3166" s="1">
        <v>5.9058293E7</v>
      </c>
      <c r="B3166" s="2" t="s">
        <v>2771</v>
      </c>
      <c r="C3166" s="19" t="s">
        <v>7919</v>
      </c>
      <c r="D3166" s="19"/>
      <c r="E3166" s="2"/>
      <c r="F3166" s="19"/>
    </row>
    <row r="3167" ht="15.75" customHeight="1">
      <c r="A3167" s="1">
        <v>5.9061893E7</v>
      </c>
      <c r="B3167" s="2" t="s">
        <v>2886</v>
      </c>
      <c r="C3167" s="19" t="s">
        <v>7920</v>
      </c>
      <c r="D3167" s="19" t="s">
        <v>7921</v>
      </c>
      <c r="E3167" s="2"/>
      <c r="F3167" s="19"/>
    </row>
    <row r="3168" ht="15.75" customHeight="1">
      <c r="A3168" s="1">
        <v>5.9062331E7</v>
      </c>
      <c r="B3168" s="2" t="s">
        <v>1069</v>
      </c>
      <c r="C3168" s="19" t="s">
        <v>7922</v>
      </c>
      <c r="D3168" s="19"/>
      <c r="E3168" s="2"/>
      <c r="F3168" s="19"/>
    </row>
    <row r="3169" ht="15.75" customHeight="1">
      <c r="A3169" s="1">
        <v>5.9062489E7</v>
      </c>
      <c r="B3169" s="2" t="s">
        <v>2330</v>
      </c>
      <c r="C3169" s="19" t="s">
        <v>7923</v>
      </c>
      <c r="D3169" s="19"/>
      <c r="E3169" s="2"/>
      <c r="F3169" s="19"/>
    </row>
    <row r="3170" ht="15.75" customHeight="1">
      <c r="A3170" s="1">
        <v>5.9063029E7</v>
      </c>
      <c r="B3170" s="2" t="s">
        <v>3002</v>
      </c>
      <c r="C3170" s="19" t="s">
        <v>7924</v>
      </c>
      <c r="D3170" s="19"/>
      <c r="E3170" s="2"/>
      <c r="F3170" s="19"/>
    </row>
    <row r="3171" ht="15.75" customHeight="1">
      <c r="A3171" s="1">
        <v>5.9074292E7</v>
      </c>
      <c r="B3171" s="2" t="s">
        <v>2749</v>
      </c>
      <c r="C3171" s="19" t="s">
        <v>7925</v>
      </c>
      <c r="D3171" s="19" t="s">
        <v>7926</v>
      </c>
      <c r="E3171" s="2"/>
      <c r="F3171" s="19"/>
    </row>
    <row r="3172" ht="15.75" customHeight="1">
      <c r="A3172" s="1">
        <v>5.9075582E7</v>
      </c>
      <c r="B3172" s="2" t="s">
        <v>2612</v>
      </c>
      <c r="C3172" s="19" t="s">
        <v>7927</v>
      </c>
      <c r="D3172" s="19"/>
      <c r="E3172" s="2"/>
      <c r="F3172" s="19"/>
    </row>
    <row r="3173" ht="15.75" customHeight="1">
      <c r="A3173" s="1">
        <v>5.9082961E7</v>
      </c>
      <c r="B3173" s="2" t="s">
        <v>3616</v>
      </c>
      <c r="C3173" s="19" t="s">
        <v>7928</v>
      </c>
      <c r="D3173" s="19"/>
      <c r="E3173" s="2"/>
      <c r="F3173" s="19"/>
    </row>
    <row r="3174" ht="15.75" customHeight="1">
      <c r="A3174" s="1">
        <v>5.9085464E7</v>
      </c>
      <c r="B3174" s="2" t="s">
        <v>2355</v>
      </c>
      <c r="C3174" s="19" t="s">
        <v>7929</v>
      </c>
      <c r="D3174" s="19"/>
      <c r="E3174" s="2"/>
      <c r="F3174" s="19"/>
    </row>
    <row r="3175" ht="15.75" customHeight="1">
      <c r="A3175" s="1">
        <v>5.9089647E7</v>
      </c>
      <c r="B3175" s="2" t="s">
        <v>1571</v>
      </c>
      <c r="C3175" s="19" t="s">
        <v>7930</v>
      </c>
      <c r="D3175" s="19" t="s">
        <v>7931</v>
      </c>
      <c r="E3175" s="2"/>
      <c r="F3175" s="19"/>
    </row>
    <row r="3176" ht="15.75" customHeight="1">
      <c r="A3176" s="1">
        <v>5.9094028E7</v>
      </c>
      <c r="B3176" s="2" t="s">
        <v>3232</v>
      </c>
      <c r="C3176" s="19" t="s">
        <v>7932</v>
      </c>
      <c r="D3176" s="19"/>
      <c r="E3176" s="2"/>
      <c r="F3176" s="19"/>
    </row>
    <row r="3177" ht="15.75" customHeight="1">
      <c r="A3177" s="1">
        <v>5.9098983E7</v>
      </c>
      <c r="B3177" s="2" t="s">
        <v>2830</v>
      </c>
      <c r="C3177" s="19" t="s">
        <v>7933</v>
      </c>
      <c r="D3177" s="19"/>
      <c r="E3177" s="2"/>
      <c r="F3177" s="19"/>
    </row>
    <row r="3178" ht="15.75" customHeight="1">
      <c r="A3178" s="1">
        <v>5.9103273E7</v>
      </c>
      <c r="B3178" s="2" t="s">
        <v>2303</v>
      </c>
      <c r="C3178" s="19" t="s">
        <v>7934</v>
      </c>
      <c r="D3178" s="19" t="s">
        <v>7935</v>
      </c>
      <c r="E3178" s="2"/>
      <c r="F3178" s="19"/>
    </row>
    <row r="3179" ht="15.75" customHeight="1">
      <c r="A3179" s="1">
        <v>5.9110327E7</v>
      </c>
      <c r="B3179" s="2" t="s">
        <v>3348</v>
      </c>
      <c r="C3179" s="19" t="s">
        <v>7936</v>
      </c>
      <c r="D3179" s="19"/>
      <c r="E3179" s="2"/>
      <c r="F3179" s="19"/>
    </row>
    <row r="3180" ht="15.75" customHeight="1">
      <c r="A3180" s="1">
        <v>5.9118573E7</v>
      </c>
      <c r="B3180" s="2" t="s">
        <v>2522</v>
      </c>
      <c r="C3180" s="19" t="s">
        <v>7937</v>
      </c>
      <c r="D3180" s="19" t="s">
        <v>7938</v>
      </c>
      <c r="E3180" s="2"/>
      <c r="F3180" s="19"/>
    </row>
    <row r="3181" ht="15.75" customHeight="1">
      <c r="A3181" s="1">
        <v>5.9134196E7</v>
      </c>
      <c r="B3181" s="2" t="s">
        <v>881</v>
      </c>
      <c r="C3181" s="19" t="s">
        <v>7939</v>
      </c>
      <c r="D3181" s="19" t="s">
        <v>7940</v>
      </c>
      <c r="E3181" s="2"/>
      <c r="F3181" s="19"/>
    </row>
    <row r="3182" ht="15.75" customHeight="1">
      <c r="A3182" s="1">
        <v>5.9140407E7</v>
      </c>
      <c r="B3182" s="2" t="s">
        <v>1916</v>
      </c>
      <c r="C3182" s="19" t="s">
        <v>7941</v>
      </c>
      <c r="D3182" s="19"/>
      <c r="E3182" s="2"/>
      <c r="F3182" s="19"/>
    </row>
    <row r="3183" ht="15.75" customHeight="1">
      <c r="A3183" s="1">
        <v>5.9146323E7</v>
      </c>
      <c r="B3183" s="2" t="s">
        <v>3330</v>
      </c>
      <c r="C3183" s="19" t="s">
        <v>7942</v>
      </c>
      <c r="D3183" s="19"/>
      <c r="E3183" s="2"/>
      <c r="F3183" s="19"/>
    </row>
    <row r="3184" ht="15.75" customHeight="1">
      <c r="A3184" s="1">
        <v>5.9149471E7</v>
      </c>
      <c r="B3184" s="2" t="s">
        <v>2536</v>
      </c>
      <c r="C3184" s="19" t="s">
        <v>7943</v>
      </c>
      <c r="D3184" s="19" t="s">
        <v>7944</v>
      </c>
      <c r="E3184" s="2"/>
      <c r="F3184" s="19"/>
    </row>
    <row r="3185" ht="15.75" customHeight="1">
      <c r="A3185" s="1">
        <v>5.9150237E7</v>
      </c>
      <c r="B3185" s="2" t="s">
        <v>1669</v>
      </c>
      <c r="C3185" s="19" t="s">
        <v>7945</v>
      </c>
      <c r="D3185" s="19"/>
      <c r="E3185" s="2"/>
      <c r="F3185" s="19"/>
    </row>
    <row r="3186" ht="15.75" customHeight="1">
      <c r="A3186" s="1">
        <v>5.9150977E7</v>
      </c>
      <c r="B3186" s="2" t="s">
        <v>2977</v>
      </c>
      <c r="C3186" s="19" t="s">
        <v>7946</v>
      </c>
      <c r="D3186" s="19"/>
      <c r="E3186" s="2"/>
      <c r="F3186" s="19"/>
    </row>
    <row r="3187" ht="15.75" customHeight="1">
      <c r="A3187" s="1">
        <v>5.9158534E7</v>
      </c>
      <c r="B3187" s="2" t="s">
        <v>2448</v>
      </c>
      <c r="C3187" s="19" t="s">
        <v>7947</v>
      </c>
      <c r="D3187" s="19"/>
      <c r="E3187" s="2"/>
      <c r="F3187" s="19"/>
    </row>
    <row r="3188" ht="15.75" customHeight="1">
      <c r="A3188" s="1">
        <v>5.9164289E7</v>
      </c>
      <c r="B3188" s="2" t="s">
        <v>2557</v>
      </c>
      <c r="C3188" s="19" t="s">
        <v>7948</v>
      </c>
      <c r="D3188" s="19"/>
      <c r="E3188" s="2"/>
      <c r="F3188" s="19"/>
    </row>
    <row r="3189" ht="15.75" customHeight="1">
      <c r="A3189" s="1">
        <v>5.9165271E7</v>
      </c>
      <c r="B3189" s="2" t="s">
        <v>3021</v>
      </c>
      <c r="C3189" s="19" t="s">
        <v>7949</v>
      </c>
      <c r="D3189" s="19"/>
      <c r="E3189" s="2"/>
      <c r="F3189" s="19"/>
    </row>
    <row r="3190" ht="15.75" customHeight="1">
      <c r="A3190" s="1">
        <v>5.9175116E7</v>
      </c>
      <c r="B3190" s="2" t="s">
        <v>3607</v>
      </c>
      <c r="C3190" s="19" t="s">
        <v>7950</v>
      </c>
      <c r="D3190" s="19"/>
      <c r="E3190" s="2"/>
      <c r="F3190" s="19"/>
    </row>
    <row r="3191" ht="15.75" customHeight="1">
      <c r="A3191" s="1">
        <v>5.9182574E7</v>
      </c>
      <c r="B3191" s="2" t="s">
        <v>3349</v>
      </c>
      <c r="C3191" s="19" t="s">
        <v>7951</v>
      </c>
      <c r="D3191" s="19"/>
      <c r="E3191" s="2"/>
      <c r="F3191" s="19"/>
    </row>
    <row r="3192" ht="15.75" customHeight="1">
      <c r="A3192" s="1">
        <v>5.9186116E7</v>
      </c>
      <c r="B3192" s="2" t="s">
        <v>2960</v>
      </c>
      <c r="C3192" s="19" t="s">
        <v>7952</v>
      </c>
      <c r="D3192" s="19"/>
      <c r="E3192" s="2"/>
      <c r="F3192" s="19"/>
    </row>
    <row r="3193" ht="15.75" customHeight="1">
      <c r="A3193" s="1">
        <v>5.9189512E7</v>
      </c>
      <c r="B3193" s="2" t="s">
        <v>944</v>
      </c>
      <c r="C3193" s="19" t="s">
        <v>7953</v>
      </c>
      <c r="D3193" s="19" t="s">
        <v>7954</v>
      </c>
      <c r="E3193" s="2"/>
      <c r="F3193" s="19"/>
    </row>
    <row r="3194" ht="15.75" customHeight="1">
      <c r="A3194" s="1">
        <v>5.9192422E7</v>
      </c>
      <c r="B3194" s="2" t="s">
        <v>3233</v>
      </c>
      <c r="C3194" s="19" t="s">
        <v>7955</v>
      </c>
      <c r="D3194" s="19"/>
      <c r="E3194" s="2"/>
      <c r="F3194" s="19"/>
    </row>
    <row r="3195" ht="15.75" customHeight="1">
      <c r="A3195" s="1">
        <v>5.919464E7</v>
      </c>
      <c r="B3195" s="2" t="s">
        <v>3078</v>
      </c>
      <c r="C3195" s="19" t="s">
        <v>7956</v>
      </c>
      <c r="D3195" s="19" t="s">
        <v>7957</v>
      </c>
      <c r="E3195" s="2"/>
      <c r="F3195" s="19"/>
    </row>
    <row r="3196" ht="15.75" customHeight="1">
      <c r="A3196" s="1">
        <v>5.919678E7</v>
      </c>
      <c r="B3196" s="2" t="s">
        <v>2887</v>
      </c>
      <c r="C3196" s="19" t="s">
        <v>7958</v>
      </c>
      <c r="D3196" s="19"/>
      <c r="E3196" s="2"/>
      <c r="F3196" s="19"/>
    </row>
    <row r="3197" ht="15.75" customHeight="1">
      <c r="A3197" s="1">
        <v>5.9199646E7</v>
      </c>
      <c r="B3197" s="2" t="s">
        <v>3153</v>
      </c>
      <c r="C3197" s="19" t="s">
        <v>7959</v>
      </c>
      <c r="D3197" s="19"/>
      <c r="E3197" s="2"/>
      <c r="F3197" s="19"/>
    </row>
    <row r="3198" ht="15.75" customHeight="1">
      <c r="A3198" s="1">
        <v>5.9199858E7</v>
      </c>
      <c r="B3198" s="2" t="s">
        <v>2816</v>
      </c>
      <c r="C3198" s="19" t="s">
        <v>7960</v>
      </c>
      <c r="D3198" s="19" t="s">
        <v>7961</v>
      </c>
      <c r="E3198" s="2"/>
      <c r="F3198" s="19"/>
    </row>
    <row r="3199" ht="15.75" customHeight="1">
      <c r="A3199" s="1">
        <v>5.9201429E7</v>
      </c>
      <c r="B3199" s="2" t="s">
        <v>2113</v>
      </c>
      <c r="C3199" s="19" t="s">
        <v>7962</v>
      </c>
      <c r="D3199" s="19"/>
      <c r="E3199" s="2"/>
      <c r="F3199" s="19"/>
    </row>
    <row r="3200" ht="15.75" customHeight="1">
      <c r="A3200" s="1">
        <v>5.9202468E7</v>
      </c>
      <c r="B3200" s="2" t="s">
        <v>2579</v>
      </c>
      <c r="C3200" s="19" t="s">
        <v>7963</v>
      </c>
      <c r="D3200" s="19"/>
      <c r="E3200" s="2"/>
      <c r="F3200" s="19"/>
    </row>
    <row r="3201" ht="15.75" customHeight="1">
      <c r="A3201" s="1">
        <v>5.9202953E7</v>
      </c>
      <c r="B3201" s="2" t="s">
        <v>600</v>
      </c>
      <c r="C3201" s="19" t="s">
        <v>7964</v>
      </c>
      <c r="D3201" s="19" t="s">
        <v>7965</v>
      </c>
      <c r="E3201" s="2"/>
      <c r="F3201" s="19"/>
    </row>
    <row r="3202" ht="15.75" customHeight="1">
      <c r="A3202" s="1">
        <v>5.9211352E7</v>
      </c>
      <c r="B3202" s="2" t="s">
        <v>3003</v>
      </c>
      <c r="C3202" s="19" t="s">
        <v>7966</v>
      </c>
      <c r="D3202" s="19"/>
      <c r="E3202" s="2"/>
      <c r="F3202" s="19"/>
    </row>
    <row r="3203" ht="15.75" customHeight="1">
      <c r="A3203" s="1">
        <v>5.9212486E7</v>
      </c>
      <c r="B3203" s="2" t="s">
        <v>303</v>
      </c>
      <c r="C3203" s="19" t="s">
        <v>7967</v>
      </c>
      <c r="D3203" s="19"/>
      <c r="E3203" s="2"/>
      <c r="F3203" s="19"/>
    </row>
    <row r="3204" ht="15.75" customHeight="1">
      <c r="A3204" s="1">
        <v>5.9212588E7</v>
      </c>
      <c r="B3204" s="2" t="s">
        <v>2772</v>
      </c>
      <c r="C3204" s="19" t="s">
        <v>7968</v>
      </c>
      <c r="D3204" s="19"/>
      <c r="E3204" s="2"/>
      <c r="F3204" s="19"/>
    </row>
    <row r="3205" ht="15.75" customHeight="1">
      <c r="A3205" s="1">
        <v>5.9220944E7</v>
      </c>
      <c r="B3205" s="2" t="s">
        <v>3202</v>
      </c>
      <c r="C3205" s="19" t="s">
        <v>7969</v>
      </c>
      <c r="D3205" s="19"/>
      <c r="E3205" s="2"/>
      <c r="F3205" s="19"/>
    </row>
    <row r="3206" ht="15.75" customHeight="1">
      <c r="A3206" s="1">
        <v>5.9223342E7</v>
      </c>
      <c r="B3206" s="2" t="s">
        <v>3350</v>
      </c>
      <c r="C3206" s="19" t="s">
        <v>7970</v>
      </c>
      <c r="D3206" s="19"/>
      <c r="E3206" s="2"/>
      <c r="F3206" s="19"/>
    </row>
    <row r="3207" ht="15.75" customHeight="1">
      <c r="A3207" s="1">
        <v>5.923112E7</v>
      </c>
      <c r="B3207" s="2" t="s">
        <v>2888</v>
      </c>
      <c r="C3207" s="19" t="s">
        <v>7971</v>
      </c>
      <c r="D3207" s="19"/>
      <c r="E3207" s="2"/>
      <c r="F3207" s="19"/>
    </row>
    <row r="3208" ht="15.75" customHeight="1">
      <c r="A3208" s="1">
        <v>5.9233638E7</v>
      </c>
      <c r="B3208" s="2" t="s">
        <v>2595</v>
      </c>
      <c r="C3208" s="19" t="s">
        <v>7972</v>
      </c>
      <c r="D3208" s="19" t="s">
        <v>7973</v>
      </c>
      <c r="E3208" s="2"/>
      <c r="F3208" s="19"/>
    </row>
    <row r="3209" ht="15.75" customHeight="1">
      <c r="A3209" s="1">
        <v>5.9236705E7</v>
      </c>
      <c r="B3209" s="2" t="s">
        <v>3079</v>
      </c>
      <c r="C3209" s="19" t="s">
        <v>7974</v>
      </c>
      <c r="D3209" s="19"/>
      <c r="E3209" s="2"/>
      <c r="F3209" s="19"/>
    </row>
    <row r="3210" ht="15.75" customHeight="1">
      <c r="A3210" s="1">
        <v>5.9246446E7</v>
      </c>
      <c r="B3210" s="2" t="s">
        <v>3374</v>
      </c>
      <c r="C3210" s="19" t="s">
        <v>7975</v>
      </c>
      <c r="D3210" s="19"/>
      <c r="E3210" s="2"/>
      <c r="F3210" s="19"/>
    </row>
    <row r="3211" ht="15.75" customHeight="1">
      <c r="A3211" s="1">
        <v>5.9249246E7</v>
      </c>
      <c r="B3211" s="2" t="s">
        <v>2434</v>
      </c>
      <c r="C3211" s="19" t="s">
        <v>7976</v>
      </c>
      <c r="D3211" s="19"/>
      <c r="E3211" s="2"/>
      <c r="F3211" s="19"/>
    </row>
    <row r="3212" ht="15.75" customHeight="1">
      <c r="A3212" s="1">
        <v>5.9249634E7</v>
      </c>
      <c r="B3212" s="2" t="s">
        <v>3047</v>
      </c>
      <c r="C3212" s="19" t="s">
        <v>7977</v>
      </c>
      <c r="D3212" s="19"/>
      <c r="E3212" s="2"/>
      <c r="F3212" s="19"/>
    </row>
    <row r="3213" ht="15.75" customHeight="1">
      <c r="A3213" s="1">
        <v>5.9251524E7</v>
      </c>
      <c r="B3213" s="2" t="s">
        <v>1999</v>
      </c>
      <c r="C3213" s="19" t="s">
        <v>7978</v>
      </c>
      <c r="D3213" s="19"/>
      <c r="E3213" s="2"/>
      <c r="F3213" s="19"/>
    </row>
    <row r="3214" ht="15.75" customHeight="1">
      <c r="A3214" s="1">
        <v>5.9253188E7</v>
      </c>
      <c r="B3214" s="2" t="s">
        <v>2130</v>
      </c>
      <c r="C3214" s="19" t="s">
        <v>7979</v>
      </c>
      <c r="D3214" s="19"/>
      <c r="E3214" s="2"/>
      <c r="F3214" s="19"/>
    </row>
    <row r="3215" ht="15.75" customHeight="1">
      <c r="A3215" s="1">
        <v>5.9261369E7</v>
      </c>
      <c r="B3215" s="2" t="s">
        <v>2919</v>
      </c>
      <c r="C3215" s="19" t="s">
        <v>7980</v>
      </c>
      <c r="D3215" s="19"/>
      <c r="E3215" s="2"/>
      <c r="F3215" s="19"/>
    </row>
    <row r="3216" ht="15.75" customHeight="1">
      <c r="A3216" s="1">
        <v>5.9262742E7</v>
      </c>
      <c r="B3216" s="2" t="s">
        <v>3022</v>
      </c>
      <c r="C3216" s="19" t="s">
        <v>7981</v>
      </c>
      <c r="D3216" s="19"/>
      <c r="E3216" s="2"/>
      <c r="F3216" s="19"/>
    </row>
    <row r="3217" ht="15.75" customHeight="1">
      <c r="A3217" s="1">
        <v>5.9263581E7</v>
      </c>
      <c r="B3217" s="2" t="s">
        <v>3023</v>
      </c>
      <c r="C3217" s="19" t="s">
        <v>7982</v>
      </c>
      <c r="D3217" s="19"/>
      <c r="E3217" s="2"/>
      <c r="F3217" s="19"/>
    </row>
    <row r="3218" ht="15.75" customHeight="1">
      <c r="A3218" s="1">
        <v>5.926869E7</v>
      </c>
      <c r="B3218" s="2" t="s">
        <v>1377</v>
      </c>
      <c r="C3218" s="19" t="s">
        <v>7983</v>
      </c>
      <c r="D3218" s="19"/>
      <c r="E3218" s="2"/>
      <c r="F3218" s="19"/>
    </row>
    <row r="3219" ht="15.75" customHeight="1">
      <c r="A3219" s="1">
        <v>5.926899E7</v>
      </c>
      <c r="B3219" s="2" t="s">
        <v>3281</v>
      </c>
      <c r="C3219" s="19" t="s">
        <v>7984</v>
      </c>
      <c r="D3219" s="19"/>
      <c r="E3219" s="2"/>
      <c r="F3219" s="19"/>
    </row>
    <row r="3220" ht="15.75" customHeight="1">
      <c r="A3220" s="1">
        <v>5.9271914E7</v>
      </c>
      <c r="B3220" s="2" t="s">
        <v>3048</v>
      </c>
      <c r="C3220" s="19" t="s">
        <v>7985</v>
      </c>
      <c r="D3220" s="19" t="s">
        <v>7986</v>
      </c>
      <c r="E3220" s="2"/>
      <c r="F3220" s="19"/>
    </row>
    <row r="3221" ht="15.75" customHeight="1">
      <c r="A3221" s="1">
        <v>5.9282347E7</v>
      </c>
      <c r="B3221" s="2" t="s">
        <v>3464</v>
      </c>
      <c r="C3221" s="19" t="s">
        <v>7987</v>
      </c>
      <c r="D3221" s="19"/>
      <c r="E3221" s="2"/>
      <c r="F3221" s="19"/>
    </row>
    <row r="3222" ht="15.75" customHeight="1">
      <c r="A3222" s="1">
        <v>5.9283319E7</v>
      </c>
      <c r="B3222" s="2" t="s">
        <v>845</v>
      </c>
      <c r="C3222" s="19" t="s">
        <v>7988</v>
      </c>
      <c r="D3222" s="19" t="s">
        <v>7989</v>
      </c>
      <c r="E3222" s="2"/>
      <c r="F3222" s="19"/>
    </row>
    <row r="3223" ht="15.75" customHeight="1">
      <c r="A3223" s="1">
        <v>5.92834E7</v>
      </c>
      <c r="B3223" s="2" t="s">
        <v>2831</v>
      </c>
      <c r="C3223" s="19" t="s">
        <v>7990</v>
      </c>
      <c r="D3223" s="19"/>
      <c r="E3223" s="2"/>
      <c r="F3223" s="19"/>
    </row>
    <row r="3224" ht="15.75" customHeight="1">
      <c r="A3224" s="1">
        <v>5.9285415E7</v>
      </c>
      <c r="B3224" s="2" t="s">
        <v>2418</v>
      </c>
      <c r="C3224" s="19" t="s">
        <v>7991</v>
      </c>
      <c r="D3224" s="19"/>
      <c r="E3224" s="2"/>
      <c r="F3224" s="19"/>
    </row>
    <row r="3225" ht="15.75" customHeight="1">
      <c r="A3225" s="1">
        <v>5.9293403E7</v>
      </c>
      <c r="B3225" s="2" t="s">
        <v>2721</v>
      </c>
      <c r="C3225" s="19" t="s">
        <v>7992</v>
      </c>
      <c r="D3225" s="19"/>
      <c r="E3225" s="2"/>
      <c r="F3225" s="19"/>
    </row>
    <row r="3226" ht="15.75" customHeight="1">
      <c r="A3226" s="1">
        <v>5.9294324E7</v>
      </c>
      <c r="B3226" s="2" t="s">
        <v>2750</v>
      </c>
      <c r="C3226" s="19" t="s">
        <v>7993</v>
      </c>
      <c r="D3226" s="19" t="s">
        <v>7994</v>
      </c>
      <c r="E3226" s="2"/>
      <c r="F3226" s="19"/>
    </row>
    <row r="3227" ht="15.75" customHeight="1">
      <c r="A3227" s="1">
        <v>5.9299127E7</v>
      </c>
      <c r="B3227" s="2" t="s">
        <v>3234</v>
      </c>
      <c r="C3227" s="19" t="s">
        <v>7995</v>
      </c>
      <c r="D3227" s="19"/>
      <c r="E3227" s="2"/>
      <c r="F3227" s="19"/>
    </row>
    <row r="3228" ht="15.75" customHeight="1">
      <c r="A3228" s="1">
        <v>5.9305155E7</v>
      </c>
      <c r="B3228" s="2" t="s">
        <v>3049</v>
      </c>
      <c r="C3228" s="19" t="s">
        <v>7996</v>
      </c>
      <c r="D3228" s="19" t="s">
        <v>7997</v>
      </c>
      <c r="E3228" s="2"/>
      <c r="F3228" s="19"/>
    </row>
    <row r="3229" ht="15.75" customHeight="1">
      <c r="A3229" s="1">
        <v>5.9306454E7</v>
      </c>
      <c r="B3229" s="2" t="s">
        <v>3331</v>
      </c>
      <c r="C3229" s="19" t="s">
        <v>7998</v>
      </c>
      <c r="D3229" s="19"/>
      <c r="E3229" s="2"/>
      <c r="F3229" s="19"/>
    </row>
    <row r="3230" ht="15.75" customHeight="1">
      <c r="A3230" s="1">
        <v>5.932026E7</v>
      </c>
      <c r="B3230" s="2" t="s">
        <v>3080</v>
      </c>
      <c r="C3230" s="19" t="s">
        <v>7999</v>
      </c>
      <c r="D3230" s="19" t="s">
        <v>8000</v>
      </c>
      <c r="E3230" s="2"/>
      <c r="F3230" s="19"/>
    </row>
    <row r="3231" ht="15.75" customHeight="1">
      <c r="A3231" s="1">
        <v>5.9320807E7</v>
      </c>
      <c r="B3231" s="2" t="s">
        <v>3524</v>
      </c>
      <c r="C3231" s="19" t="s">
        <v>8001</v>
      </c>
      <c r="D3231" s="19"/>
      <c r="E3231" s="2"/>
      <c r="F3231" s="19"/>
    </row>
    <row r="3232" ht="15.75" customHeight="1">
      <c r="A3232" s="1">
        <v>5.932248E7</v>
      </c>
      <c r="B3232" s="2" t="s">
        <v>2854</v>
      </c>
      <c r="C3232" s="19" t="s">
        <v>8002</v>
      </c>
      <c r="D3232" s="19"/>
      <c r="E3232" s="2"/>
      <c r="F3232" s="19"/>
    </row>
    <row r="3233" ht="15.75" customHeight="1">
      <c r="A3233" s="1">
        <v>5.9322618E7</v>
      </c>
      <c r="B3233" s="2" t="s">
        <v>2855</v>
      </c>
      <c r="C3233" s="19" t="s">
        <v>8003</v>
      </c>
      <c r="D3233" s="19" t="s">
        <v>8004</v>
      </c>
      <c r="E3233" s="2"/>
      <c r="F3233" s="19"/>
    </row>
    <row r="3234" ht="15.75" customHeight="1">
      <c r="A3234" s="1">
        <v>5.9326669E7</v>
      </c>
      <c r="B3234" s="2" t="s">
        <v>1787</v>
      </c>
      <c r="C3234" s="19" t="s">
        <v>8005</v>
      </c>
      <c r="D3234" s="19"/>
      <c r="E3234" s="2"/>
      <c r="F3234" s="19"/>
    </row>
    <row r="3235" ht="15.75" customHeight="1">
      <c r="A3235" s="1">
        <v>5.9327305E7</v>
      </c>
      <c r="B3235" s="2" t="s">
        <v>2920</v>
      </c>
      <c r="C3235" s="19" t="s">
        <v>8006</v>
      </c>
      <c r="D3235" s="19"/>
      <c r="E3235" s="2"/>
      <c r="F3235" s="19"/>
    </row>
    <row r="3236" ht="15.75" customHeight="1">
      <c r="A3236" s="1">
        <v>5.9329995E7</v>
      </c>
      <c r="B3236" s="2" t="s">
        <v>2889</v>
      </c>
      <c r="C3236" s="19" t="s">
        <v>8007</v>
      </c>
      <c r="D3236" s="19"/>
      <c r="E3236" s="2"/>
      <c r="F3236" s="19"/>
    </row>
    <row r="3237" ht="15.75" customHeight="1">
      <c r="A3237" s="1">
        <v>5.9345059E7</v>
      </c>
      <c r="B3237" s="2" t="s">
        <v>2198</v>
      </c>
      <c r="C3237" s="19" t="s">
        <v>8008</v>
      </c>
      <c r="D3237" s="19"/>
      <c r="E3237" s="2"/>
      <c r="F3237" s="19"/>
    </row>
    <row r="3238" ht="15.75" customHeight="1">
      <c r="A3238" s="1">
        <v>5.9346308E7</v>
      </c>
      <c r="B3238" s="2" t="s">
        <v>2555</v>
      </c>
      <c r="C3238" s="19" t="s">
        <v>8009</v>
      </c>
      <c r="D3238" s="19"/>
      <c r="E3238" s="2"/>
      <c r="F3238" s="19"/>
    </row>
    <row r="3239" ht="15.75" customHeight="1">
      <c r="A3239" s="1">
        <v>5.9349005E7</v>
      </c>
      <c r="B3239" s="2" t="s">
        <v>2622</v>
      </c>
      <c r="C3239" s="19" t="s">
        <v>8010</v>
      </c>
      <c r="D3239" s="19" t="s">
        <v>8011</v>
      </c>
      <c r="E3239" s="2"/>
      <c r="F3239" s="19"/>
    </row>
    <row r="3240" ht="15.75" customHeight="1">
      <c r="A3240" s="1">
        <v>5.9351603E7</v>
      </c>
      <c r="B3240" s="18" t="s">
        <v>3256</v>
      </c>
      <c r="C3240" s="19" t="s">
        <v>8012</v>
      </c>
      <c r="D3240" s="19"/>
      <c r="E3240" s="2"/>
      <c r="F3240" s="19"/>
    </row>
    <row r="3241" ht="15.75" customHeight="1">
      <c r="A3241" s="1">
        <v>5.9352243E7</v>
      </c>
      <c r="B3241" s="2" t="s">
        <v>3375</v>
      </c>
      <c r="C3241" s="19" t="s">
        <v>8013</v>
      </c>
      <c r="D3241" s="19"/>
      <c r="E3241" s="2"/>
      <c r="F3241" s="19"/>
    </row>
    <row r="3242" ht="15.75" customHeight="1">
      <c r="A3242" s="1">
        <v>5.9368495E7</v>
      </c>
      <c r="B3242" s="2" t="s">
        <v>2814</v>
      </c>
      <c r="C3242" s="19" t="s">
        <v>8014</v>
      </c>
      <c r="D3242" s="19"/>
      <c r="E3242" s="2"/>
      <c r="F3242" s="19"/>
    </row>
    <row r="3243" ht="15.75" customHeight="1">
      <c r="A3243" s="1">
        <v>5.936884E7</v>
      </c>
      <c r="B3243" s="2" t="s">
        <v>2435</v>
      </c>
      <c r="C3243" s="19" t="s">
        <v>8015</v>
      </c>
      <c r="D3243" s="19"/>
      <c r="E3243" s="2"/>
      <c r="F3243" s="19"/>
    </row>
    <row r="3244" ht="15.75" customHeight="1">
      <c r="A3244" s="1">
        <v>5.9368935E7</v>
      </c>
      <c r="B3244" s="2" t="s">
        <v>2751</v>
      </c>
      <c r="C3244" s="19" t="s">
        <v>8016</v>
      </c>
      <c r="D3244" s="19"/>
      <c r="E3244" s="2"/>
      <c r="F3244" s="19"/>
    </row>
    <row r="3245" ht="15.75" customHeight="1">
      <c r="A3245" s="1">
        <v>5.9369955E7</v>
      </c>
      <c r="B3245" s="2" t="s">
        <v>2475</v>
      </c>
      <c r="C3245" s="19" t="s">
        <v>8017</v>
      </c>
      <c r="D3245" s="19"/>
      <c r="E3245" s="2"/>
      <c r="F3245" s="19"/>
    </row>
    <row r="3246" ht="15.75" customHeight="1">
      <c r="A3246" s="1">
        <v>5.93701E7</v>
      </c>
      <c r="B3246" s="2" t="s">
        <v>680</v>
      </c>
      <c r="C3246" s="19" t="s">
        <v>8018</v>
      </c>
      <c r="D3246" s="19"/>
      <c r="E3246" s="2"/>
      <c r="F3246" s="19"/>
    </row>
    <row r="3247" ht="15.75" customHeight="1">
      <c r="A3247" s="1">
        <v>5.9371835E7</v>
      </c>
      <c r="B3247" s="2" t="s">
        <v>2773</v>
      </c>
      <c r="C3247" s="19" t="s">
        <v>8019</v>
      </c>
      <c r="D3247" s="19" t="s">
        <v>8020</v>
      </c>
      <c r="E3247" s="2"/>
      <c r="F3247" s="19"/>
    </row>
    <row r="3248" ht="15.75" customHeight="1">
      <c r="A3248" s="1">
        <v>5.937558E7</v>
      </c>
      <c r="B3248" s="2" t="s">
        <v>3090</v>
      </c>
      <c r="C3248" s="19" t="s">
        <v>8021</v>
      </c>
      <c r="D3248" s="19"/>
      <c r="E3248" s="2"/>
      <c r="F3248" s="19"/>
    </row>
    <row r="3249" ht="15.75" customHeight="1">
      <c r="A3249" s="1">
        <v>5.9379754E7</v>
      </c>
      <c r="B3249" s="2" t="s">
        <v>2526</v>
      </c>
      <c r="C3249" s="19" t="s">
        <v>8022</v>
      </c>
      <c r="D3249" s="19"/>
      <c r="E3249" s="2"/>
      <c r="F3249" s="19"/>
    </row>
    <row r="3250" ht="15.75" customHeight="1">
      <c r="A3250" s="1">
        <v>5.9389533E7</v>
      </c>
      <c r="B3250" s="2" t="s">
        <v>2057</v>
      </c>
      <c r="C3250" s="19" t="s">
        <v>8023</v>
      </c>
      <c r="D3250" s="19"/>
      <c r="E3250" s="2"/>
      <c r="F3250" s="19"/>
    </row>
    <row r="3251" ht="15.75" customHeight="1">
      <c r="A3251" s="1">
        <v>5.939292E7</v>
      </c>
      <c r="B3251" s="2" t="s">
        <v>2872</v>
      </c>
      <c r="C3251" s="19" t="s">
        <v>8024</v>
      </c>
      <c r="D3251" s="19"/>
      <c r="E3251" s="2"/>
      <c r="F3251" s="19"/>
    </row>
    <row r="3252" ht="15.75" customHeight="1">
      <c r="A3252" s="1">
        <v>5.939456E7</v>
      </c>
      <c r="B3252" s="2" t="s">
        <v>1302</v>
      </c>
      <c r="C3252" s="19" t="s">
        <v>8025</v>
      </c>
      <c r="D3252" s="19"/>
      <c r="E3252" s="2"/>
      <c r="F3252" s="19"/>
    </row>
    <row r="3253" ht="15.75" customHeight="1">
      <c r="A3253" s="1">
        <v>5.9395726E7</v>
      </c>
      <c r="B3253" s="2" t="s">
        <v>3117</v>
      </c>
      <c r="C3253" s="19" t="s">
        <v>8026</v>
      </c>
      <c r="D3253" s="19"/>
      <c r="E3253" s="2"/>
      <c r="F3253" s="19"/>
    </row>
    <row r="3254" ht="15.75" customHeight="1">
      <c r="A3254" s="1">
        <v>5.9399174E7</v>
      </c>
      <c r="B3254" s="2" t="s">
        <v>3154</v>
      </c>
      <c r="C3254" s="19" t="s">
        <v>8027</v>
      </c>
      <c r="D3254" s="19"/>
      <c r="E3254" s="2"/>
      <c r="F3254" s="19"/>
    </row>
    <row r="3255" ht="15.75" customHeight="1">
      <c r="A3255" s="1">
        <v>5.9399933E7</v>
      </c>
      <c r="B3255" s="2" t="s">
        <v>3081</v>
      </c>
      <c r="C3255" s="19" t="s">
        <v>8028</v>
      </c>
      <c r="D3255" s="19" t="s">
        <v>8029</v>
      </c>
      <c r="E3255" s="2"/>
      <c r="F3255" s="19"/>
    </row>
    <row r="3256" ht="15.75" customHeight="1">
      <c r="A3256" s="1">
        <v>5.9402662E7</v>
      </c>
      <c r="B3256" s="2" t="s">
        <v>2052</v>
      </c>
      <c r="C3256" s="19" t="s">
        <v>8030</v>
      </c>
      <c r="D3256" s="19" t="s">
        <v>8031</v>
      </c>
      <c r="E3256" s="2"/>
      <c r="F3256" s="19"/>
    </row>
    <row r="3257" ht="15.75" customHeight="1">
      <c r="A3257" s="1">
        <v>5.9404027E7</v>
      </c>
      <c r="B3257" s="2" t="s">
        <v>2277</v>
      </c>
      <c r="C3257" s="19" t="s">
        <v>8032</v>
      </c>
      <c r="D3257" s="19"/>
      <c r="E3257" s="2"/>
      <c r="F3257" s="19"/>
    </row>
    <row r="3258" ht="15.75" customHeight="1">
      <c r="A3258" s="1">
        <v>5.9405701E7</v>
      </c>
      <c r="B3258" s="2" t="s">
        <v>2556</v>
      </c>
      <c r="C3258" s="19" t="s">
        <v>8033</v>
      </c>
      <c r="D3258" s="19"/>
      <c r="E3258" s="2"/>
      <c r="F3258" s="19"/>
    </row>
    <row r="3259" ht="15.75" customHeight="1">
      <c r="A3259" s="1">
        <v>5.9406878E7</v>
      </c>
      <c r="B3259" s="2" t="s">
        <v>3132</v>
      </c>
      <c r="C3259" s="19" t="s">
        <v>8034</v>
      </c>
      <c r="D3259" s="19"/>
      <c r="E3259" s="2"/>
      <c r="F3259" s="19"/>
    </row>
    <row r="3260" ht="15.75" customHeight="1">
      <c r="A3260" s="1">
        <v>5.9412488E7</v>
      </c>
      <c r="B3260" s="2" t="s">
        <v>3441</v>
      </c>
      <c r="C3260" s="19" t="s">
        <v>8035</v>
      </c>
      <c r="D3260" s="19"/>
      <c r="E3260" s="2"/>
      <c r="F3260" s="19"/>
    </row>
    <row r="3261" ht="15.75" customHeight="1">
      <c r="A3261" s="1">
        <v>5.9419349E7</v>
      </c>
      <c r="B3261" s="2" t="s">
        <v>3282</v>
      </c>
      <c r="C3261" s="19" t="s">
        <v>8036</v>
      </c>
      <c r="D3261" s="19"/>
      <c r="E3261" s="2"/>
      <c r="F3261" s="19"/>
    </row>
    <row r="3262" ht="15.75" customHeight="1">
      <c r="A3262" s="1">
        <v>5.942053E7</v>
      </c>
      <c r="B3262" s="2" t="s">
        <v>3283</v>
      </c>
      <c r="C3262" s="19" t="s">
        <v>8037</v>
      </c>
      <c r="D3262" s="19"/>
      <c r="E3262" s="2"/>
      <c r="F3262" s="19"/>
    </row>
    <row r="3263" ht="15.75" customHeight="1">
      <c r="A3263" s="1">
        <v>5.9425853E7</v>
      </c>
      <c r="B3263" s="2" t="s">
        <v>1138</v>
      </c>
      <c r="C3263" s="19" t="s">
        <v>8038</v>
      </c>
      <c r="D3263" s="19"/>
      <c r="E3263" s="2"/>
      <c r="F3263" s="19"/>
    </row>
    <row r="3264" ht="15.75" customHeight="1">
      <c r="A3264" s="1">
        <v>5.9427077E7</v>
      </c>
      <c r="B3264" s="2" t="s">
        <v>3257</v>
      </c>
      <c r="C3264" s="19" t="s">
        <v>8039</v>
      </c>
      <c r="D3264" s="19"/>
      <c r="E3264" s="2"/>
      <c r="F3264" s="19"/>
    </row>
    <row r="3265" ht="15.75" customHeight="1">
      <c r="A3265" s="1">
        <v>5.9434557E7</v>
      </c>
      <c r="B3265" s="2" t="s">
        <v>2185</v>
      </c>
      <c r="C3265" s="19" t="s">
        <v>8040</v>
      </c>
      <c r="D3265" s="19"/>
      <c r="E3265" s="2"/>
      <c r="F3265" s="19"/>
    </row>
    <row r="3266" ht="15.75" customHeight="1">
      <c r="A3266" s="1">
        <v>5.9438778E7</v>
      </c>
      <c r="B3266" s="2" t="s">
        <v>3133</v>
      </c>
      <c r="C3266" s="19" t="s">
        <v>8041</v>
      </c>
      <c r="D3266" s="19"/>
      <c r="E3266" s="2"/>
      <c r="F3266" s="19"/>
    </row>
    <row r="3267" ht="15.75" customHeight="1">
      <c r="A3267" s="1">
        <v>5.9442097E7</v>
      </c>
      <c r="B3267" s="2" t="s">
        <v>1439</v>
      </c>
      <c r="C3267" s="19" t="s">
        <v>8042</v>
      </c>
      <c r="D3267" s="19"/>
      <c r="E3267" s="2"/>
      <c r="F3267" s="19"/>
    </row>
    <row r="3268" ht="15.75" customHeight="1">
      <c r="A3268" s="1">
        <v>5.9453712E7</v>
      </c>
      <c r="B3268" s="2" t="s">
        <v>3258</v>
      </c>
      <c r="C3268" s="19" t="s">
        <v>8043</v>
      </c>
      <c r="D3268" s="19"/>
      <c r="E3268" s="2"/>
      <c r="F3268" s="19"/>
    </row>
    <row r="3269" ht="15.75" customHeight="1">
      <c r="A3269" s="1">
        <v>5.9454538E7</v>
      </c>
      <c r="B3269" s="2" t="s">
        <v>3137</v>
      </c>
      <c r="C3269" s="19" t="s">
        <v>8044</v>
      </c>
      <c r="D3269" s="19"/>
      <c r="E3269" s="2"/>
      <c r="F3269" s="19"/>
    </row>
    <row r="3270" ht="15.75" customHeight="1">
      <c r="A3270" s="1">
        <v>5.9457801E7</v>
      </c>
      <c r="B3270" s="2" t="s">
        <v>1685</v>
      </c>
      <c r="C3270" s="19" t="s">
        <v>8045</v>
      </c>
      <c r="D3270" s="19" t="s">
        <v>8046</v>
      </c>
      <c r="E3270" s="2"/>
      <c r="F3270" s="19"/>
    </row>
    <row r="3271" ht="15.75" customHeight="1">
      <c r="A3271" s="1">
        <v>5.9462274E7</v>
      </c>
      <c r="B3271" s="2" t="s">
        <v>3004</v>
      </c>
      <c r="C3271" s="19" t="s">
        <v>8047</v>
      </c>
      <c r="D3271" s="19"/>
      <c r="E3271" s="2"/>
      <c r="F3271" s="19"/>
    </row>
    <row r="3272" ht="15.75" customHeight="1">
      <c r="A3272" s="1">
        <v>5.9464598E7</v>
      </c>
      <c r="B3272" s="2" t="s">
        <v>3332</v>
      </c>
      <c r="C3272" s="19" t="s">
        <v>8048</v>
      </c>
      <c r="D3272" s="19"/>
      <c r="E3272" s="2"/>
      <c r="F3272" s="19"/>
    </row>
    <row r="3273" ht="15.75" customHeight="1">
      <c r="A3273" s="1">
        <v>5.9475173E7</v>
      </c>
      <c r="B3273" s="2" t="s">
        <v>2192</v>
      </c>
      <c r="C3273" s="19" t="s">
        <v>8049</v>
      </c>
      <c r="D3273" s="19"/>
      <c r="E3273" s="2"/>
      <c r="F3273" s="19"/>
    </row>
    <row r="3274" ht="15.75" customHeight="1">
      <c r="A3274" s="1">
        <v>5.9496809E7</v>
      </c>
      <c r="B3274" s="2" t="s">
        <v>3203</v>
      </c>
      <c r="C3274" s="19" t="s">
        <v>8050</v>
      </c>
      <c r="D3274" s="19"/>
      <c r="E3274" s="2"/>
      <c r="F3274" s="19"/>
    </row>
    <row r="3275" ht="15.75" customHeight="1">
      <c r="A3275" s="1">
        <v>5.9503337E7</v>
      </c>
      <c r="B3275" s="2" t="s">
        <v>2754</v>
      </c>
      <c r="C3275" s="19" t="s">
        <v>8051</v>
      </c>
      <c r="D3275" s="19"/>
      <c r="E3275" s="2"/>
      <c r="F3275" s="19"/>
    </row>
    <row r="3276" ht="15.75" customHeight="1">
      <c r="A3276" s="1">
        <v>5.9505728E7</v>
      </c>
      <c r="B3276" s="2" t="s">
        <v>3412</v>
      </c>
      <c r="C3276" s="19" t="s">
        <v>8052</v>
      </c>
      <c r="D3276" s="19" t="s">
        <v>8053</v>
      </c>
      <c r="E3276" s="2"/>
      <c r="F3276" s="19"/>
    </row>
    <row r="3277" ht="15.75" customHeight="1">
      <c r="A3277" s="1">
        <v>5.9510871E7</v>
      </c>
      <c r="B3277" s="2" t="s">
        <v>3024</v>
      </c>
      <c r="C3277" s="19" t="s">
        <v>8054</v>
      </c>
      <c r="D3277" s="19"/>
      <c r="E3277" s="2"/>
      <c r="F3277" s="19"/>
    </row>
    <row r="3278" ht="15.75" customHeight="1">
      <c r="A3278" s="1">
        <v>5.9516378E7</v>
      </c>
      <c r="B3278" s="2" t="s">
        <v>1812</v>
      </c>
      <c r="C3278" s="19" t="s">
        <v>8055</v>
      </c>
      <c r="D3278" s="19"/>
      <c r="E3278" s="2"/>
      <c r="F3278" s="19"/>
    </row>
    <row r="3279" ht="15.75" customHeight="1">
      <c r="A3279" s="1">
        <v>5.9530814E7</v>
      </c>
      <c r="B3279" s="2" t="s">
        <v>3396</v>
      </c>
      <c r="C3279" s="19" t="s">
        <v>8056</v>
      </c>
      <c r="D3279" s="19"/>
      <c r="E3279" s="2"/>
      <c r="F3279" s="19"/>
    </row>
    <row r="3280" ht="15.75" customHeight="1">
      <c r="A3280" s="1">
        <v>5.9533959E7</v>
      </c>
      <c r="B3280" s="2" t="s">
        <v>1806</v>
      </c>
      <c r="C3280" s="19" t="s">
        <v>8057</v>
      </c>
      <c r="D3280" s="19"/>
      <c r="E3280" s="2"/>
      <c r="F3280" s="19"/>
    </row>
    <row r="3281" ht="15.75" customHeight="1">
      <c r="A3281" s="1">
        <v>5.9538599E7</v>
      </c>
      <c r="B3281" s="2" t="s">
        <v>1823</v>
      </c>
      <c r="C3281" s="19" t="s">
        <v>8058</v>
      </c>
      <c r="D3281" s="19"/>
      <c r="E3281" s="2"/>
      <c r="F3281" s="19"/>
    </row>
    <row r="3282" ht="15.75" customHeight="1">
      <c r="A3282" s="1">
        <v>5.9541205E7</v>
      </c>
      <c r="B3282" s="2" t="s">
        <v>2082</v>
      </c>
      <c r="C3282" s="19" t="s">
        <v>8059</v>
      </c>
      <c r="D3282" s="19"/>
      <c r="E3282" s="2"/>
      <c r="F3282" s="19"/>
    </row>
    <row r="3283" ht="15.75" customHeight="1">
      <c r="A3283" s="1">
        <v>5.954477E7</v>
      </c>
      <c r="B3283" s="2" t="s">
        <v>3284</v>
      </c>
      <c r="C3283" s="19" t="s">
        <v>8060</v>
      </c>
      <c r="D3283" s="19"/>
      <c r="E3283" s="2"/>
      <c r="F3283" s="19"/>
    </row>
    <row r="3284" ht="15.75" customHeight="1">
      <c r="A3284" s="1">
        <v>5.9548023E7</v>
      </c>
      <c r="B3284" s="2" t="s">
        <v>2793</v>
      </c>
      <c r="C3284" s="19" t="s">
        <v>8061</v>
      </c>
      <c r="D3284" s="19"/>
      <c r="E3284" s="2"/>
      <c r="F3284" s="19"/>
    </row>
    <row r="3285" ht="15.75" customHeight="1">
      <c r="A3285" s="1">
        <v>5.9551703E7</v>
      </c>
      <c r="B3285" s="2" t="s">
        <v>3235</v>
      </c>
      <c r="C3285" s="19" t="s">
        <v>8062</v>
      </c>
      <c r="D3285" s="19"/>
      <c r="E3285" s="2"/>
      <c r="F3285" s="19"/>
    </row>
    <row r="3286" ht="15.75" customHeight="1">
      <c r="A3286" s="1">
        <v>5.9557099E7</v>
      </c>
      <c r="B3286" s="2" t="s">
        <v>1344</v>
      </c>
      <c r="C3286" s="19" t="s">
        <v>8063</v>
      </c>
      <c r="D3286" s="19"/>
      <c r="E3286" s="2"/>
      <c r="F3286" s="19"/>
    </row>
    <row r="3287" ht="15.75" customHeight="1">
      <c r="A3287" s="1">
        <v>5.9565239E7</v>
      </c>
      <c r="B3287" s="2" t="s">
        <v>2938</v>
      </c>
      <c r="C3287" s="19" t="s">
        <v>8064</v>
      </c>
      <c r="D3287" s="19"/>
      <c r="E3287" s="2"/>
      <c r="F3287" s="19"/>
    </row>
    <row r="3288" ht="15.75" customHeight="1">
      <c r="A3288" s="1">
        <v>5.9570336E7</v>
      </c>
      <c r="B3288" s="2" t="s">
        <v>2566</v>
      </c>
      <c r="C3288" s="19" t="s">
        <v>8065</v>
      </c>
      <c r="D3288" s="19"/>
      <c r="E3288" s="2"/>
      <c r="F3288" s="19"/>
    </row>
    <row r="3289" ht="15.75" customHeight="1">
      <c r="A3289" s="1">
        <v>5.9575132E7</v>
      </c>
      <c r="B3289" s="2" t="s">
        <v>2304</v>
      </c>
      <c r="C3289" s="19" t="s">
        <v>8066</v>
      </c>
      <c r="D3289" s="19"/>
      <c r="E3289" s="2"/>
      <c r="F3289" s="19"/>
    </row>
    <row r="3290" ht="15.75" customHeight="1">
      <c r="A3290" s="1">
        <v>5.9592466E7</v>
      </c>
      <c r="B3290" s="2" t="s">
        <v>2224</v>
      </c>
      <c r="C3290" s="19" t="s">
        <v>8067</v>
      </c>
      <c r="D3290" s="19" t="s">
        <v>8068</v>
      </c>
      <c r="E3290" s="2"/>
      <c r="F3290" s="19"/>
    </row>
    <row r="3291" ht="15.75" customHeight="1">
      <c r="A3291" s="1">
        <v>5.9615918E7</v>
      </c>
      <c r="B3291" s="2" t="s">
        <v>1773</v>
      </c>
      <c r="C3291" s="19" t="s">
        <v>8069</v>
      </c>
      <c r="D3291" s="19"/>
      <c r="E3291" s="2"/>
      <c r="F3291" s="19"/>
    </row>
    <row r="3292" ht="15.75" customHeight="1">
      <c r="A3292" s="1">
        <v>5.9624024E7</v>
      </c>
      <c r="B3292" s="2" t="s">
        <v>2682</v>
      </c>
      <c r="C3292" s="19" t="s">
        <v>8070</v>
      </c>
      <c r="D3292" s="19"/>
      <c r="E3292" s="2"/>
      <c r="F3292" s="19"/>
    </row>
    <row r="3293" ht="15.75" customHeight="1">
      <c r="A3293" s="1">
        <v>5.9625264E7</v>
      </c>
      <c r="B3293" s="2" t="s">
        <v>3442</v>
      </c>
      <c r="C3293" s="19" t="s">
        <v>8071</v>
      </c>
      <c r="D3293" s="19"/>
      <c r="E3293" s="2"/>
      <c r="F3293" s="19"/>
    </row>
    <row r="3294" ht="15.75" customHeight="1">
      <c r="A3294" s="1">
        <v>5.9625496E7</v>
      </c>
      <c r="B3294" s="2" t="s">
        <v>3367</v>
      </c>
      <c r="C3294" s="19" t="s">
        <v>8072</v>
      </c>
      <c r="D3294" s="19"/>
      <c r="E3294" s="2"/>
      <c r="F3294" s="19"/>
    </row>
    <row r="3295" ht="15.75" customHeight="1">
      <c r="A3295" s="1">
        <v>5.9638262E7</v>
      </c>
      <c r="B3295" s="2" t="s">
        <v>3360</v>
      </c>
      <c r="C3295" s="19" t="s">
        <v>8073</v>
      </c>
      <c r="D3295" s="19"/>
      <c r="E3295" s="2"/>
      <c r="F3295" s="19"/>
    </row>
    <row r="3296" ht="15.75" customHeight="1">
      <c r="A3296" s="1">
        <v>5.9640223E7</v>
      </c>
      <c r="B3296" s="2" t="s">
        <v>1243</v>
      </c>
      <c r="C3296" s="19" t="s">
        <v>8074</v>
      </c>
      <c r="D3296" s="19"/>
      <c r="E3296" s="2"/>
      <c r="F3296" s="19"/>
    </row>
    <row r="3297" ht="15.75" customHeight="1">
      <c r="A3297" s="1">
        <v>5.9645309E7</v>
      </c>
      <c r="B3297" s="2" t="s">
        <v>3465</v>
      </c>
      <c r="C3297" s="19" t="s">
        <v>8075</v>
      </c>
      <c r="D3297" s="19"/>
      <c r="E3297" s="2"/>
      <c r="F3297" s="19"/>
    </row>
    <row r="3298" ht="15.75" customHeight="1">
      <c r="A3298" s="1">
        <v>5.9648614E7</v>
      </c>
      <c r="B3298" s="2" t="s">
        <v>3333</v>
      </c>
      <c r="C3298" s="19" t="s">
        <v>8076</v>
      </c>
      <c r="D3298" s="19"/>
      <c r="E3298" s="2"/>
      <c r="F3298" s="19"/>
    </row>
    <row r="3299" ht="15.75" customHeight="1">
      <c r="A3299" s="1">
        <v>5.9652308E7</v>
      </c>
      <c r="B3299" s="2" t="s">
        <v>1646</v>
      </c>
      <c r="C3299" s="19" t="s">
        <v>8077</v>
      </c>
      <c r="D3299" s="19"/>
      <c r="E3299" s="2"/>
      <c r="F3299" s="19"/>
    </row>
    <row r="3300" ht="15.75" customHeight="1">
      <c r="A3300" s="1">
        <v>5.9655025E7</v>
      </c>
      <c r="B3300" s="2" t="s">
        <v>3025</v>
      </c>
      <c r="C3300" s="19" t="s">
        <v>8078</v>
      </c>
      <c r="D3300" s="19"/>
      <c r="E3300" s="2"/>
      <c r="F3300" s="19"/>
    </row>
    <row r="3301" ht="15.75" customHeight="1">
      <c r="A3301" s="1">
        <v>5.9658068E7</v>
      </c>
      <c r="B3301" s="2" t="s">
        <v>1844</v>
      </c>
      <c r="C3301" s="19" t="s">
        <v>8079</v>
      </c>
      <c r="D3301" s="19" t="s">
        <v>8080</v>
      </c>
      <c r="E3301" s="2"/>
      <c r="F3301" s="19"/>
    </row>
    <row r="3302" ht="15.75" customHeight="1">
      <c r="A3302" s="1">
        <v>5.9662845E7</v>
      </c>
      <c r="B3302" s="2" t="s">
        <v>3413</v>
      </c>
      <c r="C3302" s="19" t="s">
        <v>8081</v>
      </c>
      <c r="D3302" s="19"/>
      <c r="E3302" s="2"/>
      <c r="F3302" s="19"/>
    </row>
    <row r="3303" ht="15.75" customHeight="1">
      <c r="A3303" s="1">
        <v>5.967264E7</v>
      </c>
      <c r="B3303" s="2" t="s">
        <v>1712</v>
      </c>
      <c r="C3303" s="19" t="s">
        <v>8082</v>
      </c>
      <c r="D3303" s="19"/>
      <c r="E3303" s="2"/>
      <c r="F3303" s="19"/>
    </row>
    <row r="3304" ht="15.75" customHeight="1">
      <c r="A3304" s="1">
        <v>5.9672677E7</v>
      </c>
      <c r="B3304" s="2" t="s">
        <v>2564</v>
      </c>
      <c r="C3304" s="19" t="s">
        <v>8083</v>
      </c>
      <c r="D3304" s="19"/>
      <c r="E3304" s="2"/>
      <c r="F3304" s="19"/>
    </row>
    <row r="3305" ht="15.75" customHeight="1">
      <c r="A3305" s="1">
        <v>5.9677599E7</v>
      </c>
      <c r="B3305" s="2" t="s">
        <v>3155</v>
      </c>
      <c r="C3305" s="19" t="s">
        <v>8084</v>
      </c>
      <c r="D3305" s="19"/>
      <c r="E3305" s="2"/>
      <c r="F3305" s="19"/>
    </row>
    <row r="3306" ht="15.75" customHeight="1">
      <c r="A3306" s="1">
        <v>5.9680264E7</v>
      </c>
      <c r="B3306" s="2" t="s">
        <v>2287</v>
      </c>
      <c r="C3306" s="19" t="s">
        <v>8085</v>
      </c>
      <c r="D3306" s="19"/>
      <c r="E3306" s="2"/>
      <c r="F3306" s="19"/>
    </row>
    <row r="3307" ht="15.75" customHeight="1">
      <c r="A3307" s="1">
        <v>5.9683644E7</v>
      </c>
      <c r="B3307" s="2" t="s">
        <v>2596</v>
      </c>
      <c r="C3307" s="19" t="s">
        <v>8086</v>
      </c>
      <c r="D3307" s="19"/>
      <c r="E3307" s="2"/>
      <c r="F3307" s="19"/>
    </row>
    <row r="3308" ht="15.75" customHeight="1">
      <c r="A3308" s="1">
        <v>5.9687114E7</v>
      </c>
      <c r="B3308" s="2" t="s">
        <v>2664</v>
      </c>
      <c r="C3308" s="19" t="s">
        <v>8087</v>
      </c>
      <c r="D3308" s="19"/>
      <c r="E3308" s="2"/>
      <c r="F3308" s="19"/>
    </row>
    <row r="3309" ht="15.75" customHeight="1">
      <c r="A3309" s="1">
        <v>5.9688843E7</v>
      </c>
      <c r="B3309" s="2" t="s">
        <v>2752</v>
      </c>
      <c r="C3309" s="19" t="s">
        <v>8088</v>
      </c>
      <c r="D3309" s="19"/>
      <c r="E3309" s="2"/>
      <c r="F3309" s="19"/>
    </row>
    <row r="3310" ht="15.75" customHeight="1">
      <c r="A3310" s="1">
        <v>5.9704836E7</v>
      </c>
      <c r="B3310" s="2" t="s">
        <v>3376</v>
      </c>
      <c r="C3310" s="19" t="s">
        <v>8089</v>
      </c>
      <c r="D3310" s="19"/>
      <c r="E3310" s="2"/>
      <c r="F3310" s="19"/>
    </row>
    <row r="3311" ht="15.75" customHeight="1">
      <c r="A3311" s="1">
        <v>5.9709217E7</v>
      </c>
      <c r="B3311" s="2" t="s">
        <v>3351</v>
      </c>
      <c r="C3311" s="19" t="s">
        <v>8090</v>
      </c>
      <c r="D3311" s="19" t="s">
        <v>8091</v>
      </c>
      <c r="E3311" s="2"/>
      <c r="F3311" s="19"/>
    </row>
    <row r="3312" ht="15.75" customHeight="1">
      <c r="A3312" s="1">
        <v>5.9717333E7</v>
      </c>
      <c r="B3312" s="2" t="s">
        <v>2523</v>
      </c>
      <c r="C3312" s="19" t="s">
        <v>8092</v>
      </c>
      <c r="D3312" s="19"/>
      <c r="E3312" s="2"/>
      <c r="F3312" s="19"/>
    </row>
    <row r="3313" ht="15.75" customHeight="1">
      <c r="A3313" s="1">
        <v>5.9719707E7</v>
      </c>
      <c r="B3313" s="2" t="s">
        <v>2067</v>
      </c>
      <c r="C3313" s="19" t="s">
        <v>8093</v>
      </c>
      <c r="D3313" s="19" t="s">
        <v>8094</v>
      </c>
      <c r="E3313" s="2"/>
      <c r="F3313" s="19"/>
    </row>
    <row r="3314" ht="15.75" customHeight="1">
      <c r="A3314" s="1">
        <v>5.9720097E7</v>
      </c>
      <c r="B3314" s="2" t="s">
        <v>3050</v>
      </c>
      <c r="C3314" s="19" t="s">
        <v>8095</v>
      </c>
      <c r="D3314" s="19" t="s">
        <v>8096</v>
      </c>
      <c r="E3314" s="2"/>
      <c r="F3314" s="19"/>
    </row>
    <row r="3315" ht="15.75" customHeight="1">
      <c r="A3315" s="1">
        <v>5.9722652E7</v>
      </c>
      <c r="B3315" s="2" t="s">
        <v>3026</v>
      </c>
      <c r="C3315" s="19" t="s">
        <v>8097</v>
      </c>
      <c r="D3315" s="19"/>
      <c r="E3315" s="2"/>
      <c r="F3315" s="19"/>
    </row>
    <row r="3316" ht="15.75" customHeight="1">
      <c r="A3316" s="1">
        <v>5.9729377E7</v>
      </c>
      <c r="B3316" s="2" t="s">
        <v>3483</v>
      </c>
      <c r="C3316" s="19" t="s">
        <v>8098</v>
      </c>
      <c r="D3316" s="19"/>
      <c r="E3316" s="2"/>
      <c r="F3316" s="19"/>
    </row>
    <row r="3317" ht="15.75" customHeight="1">
      <c r="A3317" s="1">
        <v>5.9730158E7</v>
      </c>
      <c r="B3317" s="2" t="s">
        <v>3109</v>
      </c>
      <c r="C3317" s="19" t="s">
        <v>8099</v>
      </c>
      <c r="D3317" s="19"/>
      <c r="E3317" s="2"/>
      <c r="F3317" s="19"/>
    </row>
    <row r="3318" ht="15.75" customHeight="1">
      <c r="A3318" s="1">
        <v>5.9730597E7</v>
      </c>
      <c r="B3318" s="2" t="s">
        <v>1112</v>
      </c>
      <c r="C3318" s="19" t="s">
        <v>8100</v>
      </c>
      <c r="D3318" s="19" t="s">
        <v>8101</v>
      </c>
      <c r="E3318" s="2"/>
      <c r="F3318" s="19"/>
    </row>
    <row r="3319" ht="15.75" customHeight="1">
      <c r="A3319" s="1">
        <v>5.9738152E7</v>
      </c>
      <c r="B3319" s="2" t="s">
        <v>2939</v>
      </c>
      <c r="C3319" s="19" t="s">
        <v>8102</v>
      </c>
      <c r="D3319" s="19"/>
      <c r="E3319" s="2"/>
      <c r="F3319" s="19"/>
    </row>
    <row r="3320" ht="15.75" customHeight="1">
      <c r="A3320" s="1">
        <v>5.9746179E7</v>
      </c>
      <c r="B3320" s="2" t="s">
        <v>3443</v>
      </c>
      <c r="C3320" s="19" t="s">
        <v>8103</v>
      </c>
      <c r="D3320" s="19"/>
      <c r="E3320" s="2"/>
      <c r="F3320" s="19"/>
    </row>
    <row r="3321" ht="15.75" customHeight="1">
      <c r="A3321" s="1">
        <v>5.9748089E7</v>
      </c>
      <c r="B3321" s="2" t="s">
        <v>2306</v>
      </c>
      <c r="C3321" s="19" t="s">
        <v>8104</v>
      </c>
      <c r="D3321" s="19"/>
      <c r="E3321" s="2"/>
      <c r="F3321" s="19"/>
    </row>
    <row r="3322" ht="15.75" customHeight="1">
      <c r="A3322" s="1">
        <v>5.9756844E7</v>
      </c>
      <c r="B3322" s="2" t="s">
        <v>2924</v>
      </c>
      <c r="C3322" s="19" t="s">
        <v>8105</v>
      </c>
      <c r="D3322" s="19"/>
      <c r="E3322" s="2"/>
      <c r="F3322" s="19"/>
    </row>
    <row r="3323" ht="15.75" customHeight="1">
      <c r="A3323" s="1">
        <v>5.9759473E7</v>
      </c>
      <c r="B3323" s="2" t="s">
        <v>1885</v>
      </c>
      <c r="C3323" s="19" t="s">
        <v>8106</v>
      </c>
      <c r="D3323" s="19" t="s">
        <v>8107</v>
      </c>
      <c r="E3323" s="2"/>
      <c r="F3323" s="19"/>
    </row>
    <row r="3324" ht="15.75" customHeight="1">
      <c r="A3324" s="1">
        <v>5.9764363E7</v>
      </c>
      <c r="B3324" s="2" t="s">
        <v>3134</v>
      </c>
      <c r="C3324" s="19" t="s">
        <v>8108</v>
      </c>
      <c r="D3324" s="19"/>
      <c r="E3324" s="2"/>
      <c r="F3324" s="19"/>
    </row>
    <row r="3325" ht="15.75" customHeight="1">
      <c r="A3325" s="1">
        <v>5.9771209E7</v>
      </c>
      <c r="B3325" s="2" t="s">
        <v>3525</v>
      </c>
      <c r="C3325" s="19" t="s">
        <v>8109</v>
      </c>
      <c r="D3325" s="19"/>
      <c r="E3325" s="2"/>
      <c r="F3325" s="19"/>
    </row>
    <row r="3326" ht="15.75" customHeight="1">
      <c r="A3326" s="1">
        <v>5.9771214E7</v>
      </c>
      <c r="B3326" s="2" t="s">
        <v>2708</v>
      </c>
      <c r="C3326" s="19" t="s">
        <v>8110</v>
      </c>
      <c r="D3326" s="19" t="s">
        <v>8111</v>
      </c>
      <c r="E3326" s="2"/>
      <c r="F3326" s="19"/>
    </row>
    <row r="3327" ht="15.75" customHeight="1">
      <c r="A3327" s="1">
        <v>5.977692E7</v>
      </c>
      <c r="B3327" s="2" t="s">
        <v>2873</v>
      </c>
      <c r="C3327" s="19" t="s">
        <v>8112</v>
      </c>
      <c r="D3327" s="19" t="s">
        <v>8113</v>
      </c>
      <c r="E3327" s="2"/>
      <c r="F3327" s="19"/>
    </row>
    <row r="3328" ht="15.75" customHeight="1">
      <c r="A3328" s="1">
        <v>5.9783806E7</v>
      </c>
      <c r="B3328" s="2" t="s">
        <v>3051</v>
      </c>
      <c r="C3328" s="19" t="s">
        <v>8114</v>
      </c>
      <c r="D3328" s="19"/>
      <c r="E3328" s="2"/>
      <c r="F3328" s="19"/>
    </row>
    <row r="3329" ht="15.75" customHeight="1">
      <c r="A3329" s="1">
        <v>5.9784776E7</v>
      </c>
      <c r="B3329" s="2" t="s">
        <v>3504</v>
      </c>
      <c r="C3329" s="19" t="s">
        <v>8115</v>
      </c>
      <c r="D3329" s="19"/>
      <c r="E3329" s="2"/>
      <c r="F3329" s="19"/>
    </row>
    <row r="3330" ht="15.75" customHeight="1">
      <c r="A3330" s="1">
        <v>5.9790652E7</v>
      </c>
      <c r="B3330" s="2" t="s">
        <v>2722</v>
      </c>
      <c r="C3330" s="19" t="s">
        <v>8116</v>
      </c>
      <c r="D3330" s="19"/>
      <c r="E3330" s="2"/>
      <c r="F3330" s="19"/>
    </row>
    <row r="3331" ht="15.75" customHeight="1">
      <c r="A3331" s="1">
        <v>5.9793253E7</v>
      </c>
      <c r="B3331" s="2" t="s">
        <v>3027</v>
      </c>
      <c r="C3331" s="19" t="s">
        <v>8117</v>
      </c>
      <c r="D3331" s="19"/>
      <c r="E3331" s="2"/>
      <c r="F3331" s="19"/>
    </row>
    <row r="3332" ht="15.75" customHeight="1">
      <c r="A3332" s="1">
        <v>5.9794418E7</v>
      </c>
      <c r="B3332" s="2" t="s">
        <v>3595</v>
      </c>
      <c r="C3332" s="19" t="s">
        <v>8118</v>
      </c>
      <c r="D3332" s="19"/>
      <c r="E3332" s="2"/>
      <c r="F3332" s="19"/>
    </row>
    <row r="3333" ht="15.75" customHeight="1">
      <c r="A3333" s="1">
        <v>5.9798677E7</v>
      </c>
      <c r="B3333" s="2" t="s">
        <v>2476</v>
      </c>
      <c r="C3333" s="19" t="s">
        <v>8119</v>
      </c>
      <c r="D3333" s="19"/>
      <c r="E3333" s="2"/>
      <c r="F3333" s="19"/>
    </row>
    <row r="3334" ht="15.75" customHeight="1">
      <c r="A3334" s="1">
        <v>5.9833955E7</v>
      </c>
      <c r="B3334" s="2" t="s">
        <v>3397</v>
      </c>
      <c r="C3334" s="19" t="s">
        <v>8120</v>
      </c>
      <c r="D3334" s="19"/>
      <c r="E3334" s="2"/>
      <c r="F3334" s="19"/>
    </row>
    <row r="3335" ht="15.75" customHeight="1">
      <c r="A3335" s="1">
        <v>5.983448E7</v>
      </c>
      <c r="B3335" s="2" t="s">
        <v>3183</v>
      </c>
      <c r="C3335" s="19" t="s">
        <v>8121</v>
      </c>
      <c r="D3335" s="19"/>
      <c r="E3335" s="2"/>
      <c r="F3335" s="19"/>
    </row>
    <row r="3336" ht="15.75" customHeight="1">
      <c r="A3336" s="1">
        <v>5.984571E7</v>
      </c>
      <c r="B3336" s="2" t="s">
        <v>2815</v>
      </c>
      <c r="C3336" s="19" t="s">
        <v>8122</v>
      </c>
      <c r="D3336" s="19"/>
      <c r="E3336" s="2"/>
      <c r="F3336" s="19"/>
    </row>
    <row r="3337" ht="15.75" customHeight="1">
      <c r="A3337" s="1">
        <v>5.9847182E7</v>
      </c>
      <c r="B3337" s="2" t="s">
        <v>1697</v>
      </c>
      <c r="C3337" s="19" t="s">
        <v>8123</v>
      </c>
      <c r="D3337" s="19"/>
      <c r="E3337" s="2"/>
      <c r="F3337" s="19"/>
    </row>
    <row r="3338" ht="15.75" customHeight="1">
      <c r="A3338" s="1">
        <v>5.9852901E7</v>
      </c>
      <c r="B3338" s="2" t="s">
        <v>2462</v>
      </c>
      <c r="C3338" s="19" t="s">
        <v>8124</v>
      </c>
      <c r="D3338" s="19" t="s">
        <v>8125</v>
      </c>
      <c r="E3338" s="2"/>
      <c r="F3338" s="19"/>
    </row>
    <row r="3339" ht="15.75" customHeight="1">
      <c r="A3339" s="1">
        <v>5.9854316E7</v>
      </c>
      <c r="B3339" s="2" t="s">
        <v>2753</v>
      </c>
      <c r="C3339" s="19" t="s">
        <v>8126</v>
      </c>
      <c r="D3339" s="19"/>
      <c r="E3339" s="2"/>
      <c r="F3339" s="19"/>
    </row>
    <row r="3340" ht="15.75" customHeight="1">
      <c r="A3340" s="1">
        <v>5.9856067E7</v>
      </c>
      <c r="B3340" s="2" t="s">
        <v>3110</v>
      </c>
      <c r="C3340" s="19" t="s">
        <v>8127</v>
      </c>
      <c r="D3340" s="19"/>
      <c r="E3340" s="2"/>
      <c r="F3340" s="19"/>
    </row>
    <row r="3341" ht="15.75" customHeight="1">
      <c r="A3341" s="1">
        <v>5.9857501E7</v>
      </c>
      <c r="B3341" s="2" t="s">
        <v>3596</v>
      </c>
      <c r="C3341" s="19" t="s">
        <v>8128</v>
      </c>
      <c r="D3341" s="19"/>
      <c r="E3341" s="2"/>
      <c r="F3341" s="19"/>
    </row>
    <row r="3342" ht="15.75" customHeight="1">
      <c r="A3342" s="1">
        <v>5.985861E7</v>
      </c>
      <c r="B3342" s="2" t="s">
        <v>2241</v>
      </c>
      <c r="C3342" s="19" t="s">
        <v>8129</v>
      </c>
      <c r="D3342" s="19"/>
      <c r="E3342" s="2"/>
      <c r="F3342" s="19"/>
    </row>
    <row r="3343" ht="15.75" customHeight="1">
      <c r="A3343" s="1">
        <v>5.986102E7</v>
      </c>
      <c r="B3343" s="2" t="s">
        <v>2374</v>
      </c>
      <c r="C3343" s="19" t="s">
        <v>8130</v>
      </c>
      <c r="D3343" s="19"/>
      <c r="E3343" s="2"/>
      <c r="F3343" s="19"/>
    </row>
    <row r="3344" ht="15.75" customHeight="1">
      <c r="A3344" s="1">
        <v>5.9861969E7</v>
      </c>
      <c r="B3344" s="2" t="s">
        <v>2961</v>
      </c>
      <c r="C3344" s="19" t="s">
        <v>8131</v>
      </c>
      <c r="D3344" s="19" t="s">
        <v>8132</v>
      </c>
      <c r="E3344" s="2"/>
      <c r="F3344" s="19"/>
    </row>
    <row r="3345" ht="15.75" customHeight="1">
      <c r="A3345" s="1">
        <v>5.9865791E7</v>
      </c>
      <c r="B3345" s="2" t="s">
        <v>3377</v>
      </c>
      <c r="C3345" s="19" t="s">
        <v>8133</v>
      </c>
      <c r="D3345" s="19"/>
      <c r="E3345" s="2"/>
      <c r="F3345" s="19"/>
    </row>
    <row r="3346" ht="15.75" customHeight="1">
      <c r="A3346" s="1">
        <v>5.986586E7</v>
      </c>
      <c r="B3346" s="2" t="s">
        <v>2794</v>
      </c>
      <c r="C3346" s="19" t="s">
        <v>8134</v>
      </c>
      <c r="D3346" s="19"/>
      <c r="E3346" s="2"/>
      <c r="F3346" s="19"/>
    </row>
    <row r="3347" ht="15.75" customHeight="1">
      <c r="A3347" s="1">
        <v>5.9867397E7</v>
      </c>
      <c r="B3347" s="2" t="s">
        <v>2640</v>
      </c>
      <c r="C3347" s="19" t="s">
        <v>8135</v>
      </c>
      <c r="D3347" s="19"/>
      <c r="E3347" s="2"/>
      <c r="F3347" s="19"/>
    </row>
    <row r="3348" ht="15.75" customHeight="1">
      <c r="A3348" s="1">
        <v>5.9869329E7</v>
      </c>
      <c r="B3348" s="2" t="s">
        <v>3582</v>
      </c>
      <c r="C3348" s="19" t="s">
        <v>8136</v>
      </c>
      <c r="D3348" s="19"/>
      <c r="E3348" s="2"/>
      <c r="F3348" s="19"/>
    </row>
    <row r="3349" ht="15.75" customHeight="1">
      <c r="A3349" s="1">
        <v>5.9869618E7</v>
      </c>
      <c r="B3349" s="2" t="s">
        <v>2795</v>
      </c>
      <c r="C3349" s="19" t="s">
        <v>8137</v>
      </c>
      <c r="D3349" s="19"/>
      <c r="E3349" s="2"/>
      <c r="F3349" s="19"/>
    </row>
    <row r="3350" ht="15.75" customHeight="1">
      <c r="A3350" s="1">
        <v>5.987388E7</v>
      </c>
      <c r="B3350" s="2" t="s">
        <v>3028</v>
      </c>
      <c r="C3350" s="19" t="s">
        <v>8138</v>
      </c>
      <c r="D3350" s="19"/>
      <c r="E3350" s="2"/>
      <c r="F3350" s="19"/>
    </row>
    <row r="3351" ht="15.75" customHeight="1">
      <c r="A3351" s="1">
        <v>5.9875146E7</v>
      </c>
      <c r="B3351" s="2" t="s">
        <v>3361</v>
      </c>
      <c r="C3351" s="19" t="s">
        <v>8139</v>
      </c>
      <c r="D3351" s="19"/>
      <c r="E3351" s="2"/>
      <c r="F3351" s="19"/>
    </row>
    <row r="3352" ht="15.75" customHeight="1">
      <c r="A3352" s="1">
        <v>5.988017E7</v>
      </c>
      <c r="B3352" s="2" t="s">
        <v>3551</v>
      </c>
      <c r="C3352" s="19" t="s">
        <v>8140</v>
      </c>
      <c r="D3352" s="19"/>
      <c r="E3352" s="2"/>
      <c r="F3352" s="19"/>
    </row>
    <row r="3353" ht="15.75" customHeight="1">
      <c r="A3353" s="1">
        <v>5.9880781E7</v>
      </c>
      <c r="B3353" s="2" t="s">
        <v>2925</v>
      </c>
      <c r="C3353" s="19" t="s">
        <v>8141</v>
      </c>
      <c r="D3353" s="19"/>
      <c r="E3353" s="2"/>
      <c r="F3353" s="19"/>
    </row>
    <row r="3354" ht="15.75" customHeight="1">
      <c r="A3354" s="1">
        <v>5.9881776E7</v>
      </c>
      <c r="B3354" s="2" t="s">
        <v>3583</v>
      </c>
      <c r="C3354" s="19" t="s">
        <v>8142</v>
      </c>
      <c r="D3354" s="19"/>
      <c r="E3354" s="2"/>
      <c r="F3354" s="19"/>
    </row>
    <row r="3355" ht="15.75" customHeight="1">
      <c r="A3355" s="1">
        <v>5.9886892E7</v>
      </c>
      <c r="B3355" s="2" t="s">
        <v>2410</v>
      </c>
      <c r="C3355" s="19" t="s">
        <v>8143</v>
      </c>
      <c r="D3355" s="19"/>
      <c r="E3355" s="2"/>
      <c r="F3355" s="19"/>
    </row>
    <row r="3356" ht="15.75" customHeight="1">
      <c r="A3356" s="1">
        <v>5.9897345E7</v>
      </c>
      <c r="B3356" s="2" t="s">
        <v>1251</v>
      </c>
      <c r="C3356" s="19" t="s">
        <v>8144</v>
      </c>
      <c r="D3356" s="19" t="s">
        <v>8145</v>
      </c>
      <c r="E3356" s="2"/>
      <c r="F3356" s="19"/>
    </row>
    <row r="3357" ht="15.75" customHeight="1">
      <c r="A3357" s="1">
        <v>5.9899279E7</v>
      </c>
      <c r="B3357" s="2" t="s">
        <v>3052</v>
      </c>
      <c r="C3357" s="19" t="s">
        <v>8146</v>
      </c>
      <c r="D3357" s="19"/>
      <c r="E3357" s="2"/>
      <c r="F3357" s="19"/>
    </row>
    <row r="3358" ht="15.75" customHeight="1">
      <c r="A3358" s="1">
        <v>5.9902654E7</v>
      </c>
      <c r="B3358" s="2" t="s">
        <v>2709</v>
      </c>
      <c r="C3358" s="19" t="s">
        <v>8147</v>
      </c>
      <c r="D3358" s="19"/>
      <c r="E3358" s="2"/>
      <c r="F3358" s="19"/>
    </row>
    <row r="3359" ht="15.75" customHeight="1">
      <c r="A3359" s="1">
        <v>5.9904208E7</v>
      </c>
      <c r="B3359" s="2" t="s">
        <v>3111</v>
      </c>
      <c r="C3359" s="19" t="s">
        <v>8148</v>
      </c>
      <c r="D3359" s="19"/>
      <c r="E3359" s="2"/>
      <c r="F3359" s="19"/>
    </row>
    <row r="3360" ht="15.75" customHeight="1">
      <c r="A3360" s="1">
        <v>5.992681E7</v>
      </c>
      <c r="B3360" s="2" t="s">
        <v>3568</v>
      </c>
      <c r="C3360" s="19" t="s">
        <v>8149</v>
      </c>
      <c r="D3360" s="19"/>
      <c r="E3360" s="2"/>
      <c r="F3360" s="19"/>
    </row>
    <row r="3361" ht="15.75" customHeight="1">
      <c r="A3361" s="1">
        <v>5.9929281E7</v>
      </c>
      <c r="B3361" s="2" t="s">
        <v>3204</v>
      </c>
      <c r="C3361" s="19" t="s">
        <v>8150</v>
      </c>
      <c r="D3361" s="19"/>
      <c r="E3361" s="2"/>
      <c r="F3361" s="19"/>
    </row>
    <row r="3362" ht="15.75" customHeight="1">
      <c r="A3362" s="1">
        <v>5.9932262E7</v>
      </c>
      <c r="B3362" s="2" t="s">
        <v>1778</v>
      </c>
      <c r="C3362" s="19" t="s">
        <v>8151</v>
      </c>
      <c r="D3362" s="19"/>
      <c r="E3362" s="2"/>
      <c r="F3362" s="19"/>
    </row>
    <row r="3363" ht="15.75" customHeight="1">
      <c r="A3363" s="1">
        <v>5.9943554E7</v>
      </c>
      <c r="B3363" s="2" t="s">
        <v>2288</v>
      </c>
      <c r="C3363" s="19" t="s">
        <v>8152</v>
      </c>
      <c r="D3363" s="19"/>
      <c r="E3363" s="2"/>
      <c r="F3363" s="19"/>
    </row>
    <row r="3364" ht="15.75" customHeight="1">
      <c r="A3364" s="1">
        <v>5.994768E7</v>
      </c>
      <c r="B3364" s="2" t="s">
        <v>2001</v>
      </c>
      <c r="C3364" s="19" t="s">
        <v>8153</v>
      </c>
      <c r="D3364" s="19"/>
      <c r="E3364" s="2"/>
      <c r="F3364" s="19"/>
    </row>
    <row r="3365" ht="15.75" customHeight="1">
      <c r="A3365" s="1">
        <v>5.9959076E7</v>
      </c>
      <c r="B3365" s="2" t="s">
        <v>3398</v>
      </c>
      <c r="C3365" s="19" t="s">
        <v>8154</v>
      </c>
      <c r="D3365" s="19"/>
      <c r="E3365" s="2"/>
      <c r="F3365" s="19"/>
    </row>
    <row r="3366" ht="15.75" customHeight="1">
      <c r="A3366" s="1">
        <v>5.996013E7</v>
      </c>
      <c r="B3366" s="2" t="s">
        <v>2388</v>
      </c>
      <c r="C3366" s="19" t="s">
        <v>8155</v>
      </c>
      <c r="D3366" s="19" t="s">
        <v>8156</v>
      </c>
      <c r="E3366" s="2"/>
      <c r="F3366" s="19"/>
    </row>
    <row r="3367" ht="15.75" customHeight="1">
      <c r="A3367" s="1">
        <v>5.9962143E7</v>
      </c>
      <c r="B3367" s="2" t="s">
        <v>2042</v>
      </c>
      <c r="C3367" s="19" t="s">
        <v>8157</v>
      </c>
      <c r="D3367" s="19"/>
      <c r="E3367" s="2"/>
      <c r="F3367" s="19"/>
    </row>
    <row r="3368" ht="15.75" customHeight="1">
      <c r="A3368" s="1">
        <v>5.9965143E7</v>
      </c>
      <c r="B3368" s="2" t="s">
        <v>3082</v>
      </c>
      <c r="C3368" s="19" t="s">
        <v>8158</v>
      </c>
      <c r="D3368" s="19"/>
      <c r="E3368" s="2"/>
      <c r="F3368" s="19"/>
    </row>
    <row r="3369" ht="15.75" customHeight="1">
      <c r="A3369" s="1">
        <v>5.9966739E7</v>
      </c>
      <c r="B3369" s="2" t="s">
        <v>3236</v>
      </c>
      <c r="C3369" s="19" t="s">
        <v>8159</v>
      </c>
      <c r="D3369" s="19"/>
      <c r="E3369" s="2"/>
      <c r="F3369" s="19"/>
    </row>
    <row r="3370" ht="15.75" customHeight="1">
      <c r="A3370" s="1">
        <v>5.9979336E7</v>
      </c>
      <c r="B3370" s="2" t="s">
        <v>2641</v>
      </c>
      <c r="C3370" s="19" t="s">
        <v>8160</v>
      </c>
      <c r="D3370" s="19"/>
      <c r="E3370" s="2"/>
      <c r="F3370" s="19"/>
    </row>
    <row r="3371" ht="15.75" customHeight="1">
      <c r="A3371" s="1">
        <v>5.9979487E7</v>
      </c>
      <c r="B3371" s="2" t="s">
        <v>3338</v>
      </c>
      <c r="C3371" s="19" t="s">
        <v>8161</v>
      </c>
      <c r="D3371" s="19"/>
      <c r="E3371" s="2"/>
      <c r="F3371" s="19"/>
    </row>
    <row r="3372" ht="15.75" customHeight="1">
      <c r="A3372" s="1">
        <v>5.998575E7</v>
      </c>
      <c r="B3372" s="2" t="s">
        <v>1827</v>
      </c>
      <c r="C3372" s="19" t="s">
        <v>8162</v>
      </c>
      <c r="D3372" s="19" t="s">
        <v>8163</v>
      </c>
      <c r="E3372" s="2"/>
      <c r="F3372" s="19"/>
    </row>
    <row r="3373" ht="15.75" customHeight="1">
      <c r="A3373" s="1">
        <v>5.9986306E7</v>
      </c>
      <c r="B3373" s="2" t="s">
        <v>2347</v>
      </c>
      <c r="C3373" s="19" t="s">
        <v>8164</v>
      </c>
      <c r="D3373" s="19"/>
      <c r="E3373" s="2"/>
      <c r="F3373" s="19"/>
    </row>
    <row r="3374" ht="15.75" customHeight="1">
      <c r="A3374" s="1">
        <v>6.0005455E7</v>
      </c>
      <c r="B3374" s="2" t="s">
        <v>3466</v>
      </c>
      <c r="C3374" s="19" t="s">
        <v>8165</v>
      </c>
      <c r="D3374" s="19"/>
      <c r="E3374" s="2"/>
      <c r="F3374" s="19"/>
    </row>
    <row r="3375" ht="15.75" customHeight="1">
      <c r="A3375" s="1">
        <v>6.0005599E7</v>
      </c>
      <c r="B3375" s="2" t="s">
        <v>3526</v>
      </c>
      <c r="C3375" s="19" t="s">
        <v>8166</v>
      </c>
      <c r="D3375" s="19"/>
      <c r="E3375" s="2"/>
      <c r="F3375" s="19"/>
    </row>
    <row r="3376" ht="15.75" customHeight="1">
      <c r="A3376" s="1">
        <v>6.0010596E7</v>
      </c>
      <c r="B3376" s="2" t="s">
        <v>3029</v>
      </c>
      <c r="C3376" s="19" t="s">
        <v>8167</v>
      </c>
      <c r="D3376" s="19"/>
      <c r="E3376" s="2"/>
      <c r="F3376" s="19"/>
    </row>
    <row r="3377" ht="15.75" customHeight="1">
      <c r="A3377" s="1">
        <v>6.0017137E7</v>
      </c>
      <c r="B3377" s="2" t="s">
        <v>2710</v>
      </c>
      <c r="C3377" s="19" t="s">
        <v>8168</v>
      </c>
      <c r="D3377" s="19"/>
      <c r="E3377" s="2"/>
      <c r="F3377" s="19"/>
    </row>
    <row r="3378" ht="15.75" customHeight="1">
      <c r="A3378" s="1">
        <v>6.0017517E7</v>
      </c>
      <c r="B3378" s="2" t="s">
        <v>2463</v>
      </c>
      <c r="C3378" s="19" t="s">
        <v>8169</v>
      </c>
      <c r="D3378" s="19"/>
      <c r="E3378" s="2"/>
      <c r="F3378" s="19"/>
    </row>
    <row r="3379" ht="15.75" customHeight="1">
      <c r="A3379" s="1">
        <v>6.0033096E7</v>
      </c>
      <c r="B3379" s="2" t="s">
        <v>3156</v>
      </c>
      <c r="C3379" s="19" t="s">
        <v>8170</v>
      </c>
      <c r="D3379" s="19"/>
      <c r="E3379" s="2"/>
      <c r="F3379" s="19"/>
    </row>
    <row r="3380" ht="15.75" customHeight="1">
      <c r="A3380" s="1">
        <v>6.0044307E7</v>
      </c>
      <c r="B3380" s="2" t="s">
        <v>2538</v>
      </c>
      <c r="C3380" s="19" t="s">
        <v>8171</v>
      </c>
      <c r="D3380" s="19"/>
      <c r="E3380" s="2"/>
      <c r="F3380" s="19"/>
    </row>
    <row r="3381" ht="15.75" customHeight="1">
      <c r="A3381" s="1">
        <v>6.0063934E7</v>
      </c>
      <c r="B3381" s="2" t="s">
        <v>2613</v>
      </c>
      <c r="C3381" s="19" t="s">
        <v>8172</v>
      </c>
      <c r="D3381" s="19"/>
      <c r="E3381" s="2"/>
      <c r="F3381" s="19"/>
    </row>
    <row r="3382" ht="15.75" customHeight="1">
      <c r="A3382" s="1">
        <v>6.0071979E7</v>
      </c>
      <c r="B3382" s="2" t="s">
        <v>823</v>
      </c>
      <c r="C3382" s="19" t="s">
        <v>8173</v>
      </c>
      <c r="D3382" s="19"/>
      <c r="E3382" s="2"/>
      <c r="F3382" s="19"/>
    </row>
    <row r="3383" ht="15.75" customHeight="1">
      <c r="A3383" s="1">
        <v>6.0084638E7</v>
      </c>
      <c r="B3383" s="2" t="s">
        <v>3584</v>
      </c>
      <c r="C3383" s="19" t="s">
        <v>8174</v>
      </c>
      <c r="D3383" s="19"/>
      <c r="E3383" s="2"/>
      <c r="F3383" s="19"/>
    </row>
    <row r="3384" ht="15.75" customHeight="1">
      <c r="A3384" s="1">
        <v>6.0088723E7</v>
      </c>
      <c r="B3384" s="2" t="s">
        <v>3352</v>
      </c>
      <c r="C3384" s="19" t="s">
        <v>8175</v>
      </c>
      <c r="D3384" s="19"/>
      <c r="E3384" s="2"/>
      <c r="F3384" s="19"/>
    </row>
    <row r="3385" ht="15.75" customHeight="1">
      <c r="A3385" s="1">
        <v>6.009778E7</v>
      </c>
      <c r="B3385" s="2" t="s">
        <v>3157</v>
      </c>
      <c r="C3385" s="19" t="s">
        <v>8176</v>
      </c>
      <c r="D3385" s="19"/>
      <c r="E3385" s="2"/>
      <c r="F3385" s="19"/>
    </row>
    <row r="3386" ht="15.75" customHeight="1">
      <c r="A3386" s="1">
        <v>6.0115832E7</v>
      </c>
      <c r="B3386" s="2" t="s">
        <v>2958</v>
      </c>
      <c r="C3386" s="19" t="s">
        <v>8177</v>
      </c>
      <c r="D3386" s="19"/>
      <c r="E3386" s="2"/>
      <c r="F3386" s="19"/>
    </row>
    <row r="3387" ht="15.75" customHeight="1">
      <c r="A3387" s="1">
        <v>6.0140719E7</v>
      </c>
      <c r="B3387" s="2" t="s">
        <v>2419</v>
      </c>
      <c r="C3387" s="19" t="s">
        <v>8178</v>
      </c>
      <c r="D3387" s="19" t="s">
        <v>8179</v>
      </c>
      <c r="E3387" s="2"/>
      <c r="F3387" s="19"/>
    </row>
    <row r="3388" ht="15.75" customHeight="1">
      <c r="A3388" s="1">
        <v>6.015257E7</v>
      </c>
      <c r="B3388" s="2" t="s">
        <v>2774</v>
      </c>
      <c r="C3388" s="19" t="s">
        <v>8180</v>
      </c>
      <c r="D3388" s="19"/>
      <c r="E3388" s="2"/>
      <c r="F3388" s="19"/>
    </row>
    <row r="3389" ht="15.75" customHeight="1">
      <c r="A3389" s="1">
        <v>6.0153052E7</v>
      </c>
      <c r="B3389" s="2" t="s">
        <v>3083</v>
      </c>
      <c r="C3389" s="19" t="s">
        <v>8181</v>
      </c>
      <c r="D3389" s="19"/>
      <c r="E3389" s="2"/>
      <c r="F3389" s="19"/>
    </row>
    <row r="3390" ht="15.75" customHeight="1">
      <c r="A3390" s="1">
        <v>6.0155095E7</v>
      </c>
      <c r="B3390" s="2" t="s">
        <v>3414</v>
      </c>
      <c r="C3390" s="19" t="s">
        <v>8182</v>
      </c>
      <c r="D3390" s="19"/>
      <c r="E3390" s="2"/>
      <c r="F3390" s="19"/>
    </row>
    <row r="3391" ht="15.75" customHeight="1">
      <c r="A3391" s="1">
        <v>6.0168463E7</v>
      </c>
      <c r="B3391" s="2" t="s">
        <v>2959</v>
      </c>
      <c r="C3391" s="19" t="s">
        <v>8183</v>
      </c>
      <c r="D3391" s="19" t="s">
        <v>8184</v>
      </c>
      <c r="E3391" s="2"/>
      <c r="F3391" s="19"/>
    </row>
    <row r="3392" ht="15.75" customHeight="1">
      <c r="A3392" s="1">
        <v>6.0168595E7</v>
      </c>
      <c r="B3392" s="2" t="s">
        <v>3527</v>
      </c>
      <c r="C3392" s="19" t="s">
        <v>8185</v>
      </c>
      <c r="D3392" s="19"/>
      <c r="E3392" s="2"/>
      <c r="F3392" s="19"/>
    </row>
    <row r="3393" ht="15.75" customHeight="1">
      <c r="A3393" s="1">
        <v>6.016952E7</v>
      </c>
      <c r="B3393" s="2" t="s">
        <v>1657</v>
      </c>
      <c r="C3393" s="19" t="s">
        <v>8186</v>
      </c>
      <c r="D3393" s="19" t="s">
        <v>8187</v>
      </c>
      <c r="E3393" s="2"/>
      <c r="F3393" s="19"/>
    </row>
    <row r="3394" ht="15.75" customHeight="1">
      <c r="A3394" s="1">
        <v>6.017598E7</v>
      </c>
      <c r="B3394" s="2" t="s">
        <v>1909</v>
      </c>
      <c r="C3394" s="19" t="s">
        <v>8188</v>
      </c>
      <c r="D3394" s="19"/>
      <c r="E3394" s="2"/>
      <c r="F3394" s="19"/>
    </row>
    <row r="3395" ht="15.75" customHeight="1">
      <c r="A3395" s="1">
        <v>6.0176349E7</v>
      </c>
      <c r="B3395" s="2" t="s">
        <v>3617</v>
      </c>
      <c r="C3395" s="19" t="s">
        <v>8189</v>
      </c>
      <c r="D3395" s="19"/>
      <c r="E3395" s="2"/>
      <c r="F3395" s="19"/>
    </row>
    <row r="3396" ht="15.75" customHeight="1">
      <c r="A3396" s="1">
        <v>6.0177666E7</v>
      </c>
      <c r="B3396" s="2" t="s">
        <v>2890</v>
      </c>
      <c r="C3396" s="19" t="s">
        <v>8190</v>
      </c>
      <c r="D3396" s="19" t="s">
        <v>8191</v>
      </c>
      <c r="E3396" s="2"/>
      <c r="F3396" s="19"/>
    </row>
    <row r="3397" ht="15.75" customHeight="1">
      <c r="A3397" s="1">
        <v>6.01777E7</v>
      </c>
      <c r="B3397" s="2" t="s">
        <v>3084</v>
      </c>
      <c r="C3397" s="19" t="s">
        <v>8192</v>
      </c>
      <c r="D3397" s="19"/>
      <c r="E3397" s="2"/>
      <c r="F3397" s="19"/>
    </row>
    <row r="3398" ht="15.75" customHeight="1">
      <c r="A3398" s="1">
        <v>6.0181728E7</v>
      </c>
      <c r="B3398" s="2" t="s">
        <v>3308</v>
      </c>
      <c r="C3398" s="19" t="s">
        <v>8193</v>
      </c>
      <c r="D3398" s="19"/>
      <c r="E3398" s="2"/>
      <c r="F3398" s="19"/>
    </row>
    <row r="3399" ht="15.75" customHeight="1">
      <c r="A3399" s="1">
        <v>6.0184002E7</v>
      </c>
      <c r="B3399" s="2" t="s">
        <v>3237</v>
      </c>
      <c r="C3399" s="19" t="s">
        <v>8194</v>
      </c>
      <c r="D3399" s="19"/>
      <c r="E3399" s="2"/>
      <c r="F3399" s="19"/>
    </row>
    <row r="3400" ht="15.75" customHeight="1">
      <c r="A3400" s="1">
        <v>6.0193479E7</v>
      </c>
      <c r="B3400" s="2" t="s">
        <v>2104</v>
      </c>
      <c r="C3400" s="19" t="s">
        <v>8195</v>
      </c>
      <c r="D3400" s="19"/>
      <c r="E3400" s="2"/>
      <c r="F3400" s="19"/>
    </row>
    <row r="3401" ht="15.75" customHeight="1">
      <c r="A3401" s="1">
        <v>6.0200773E7</v>
      </c>
      <c r="B3401" s="2" t="s">
        <v>3259</v>
      </c>
      <c r="C3401" s="19" t="s">
        <v>8196</v>
      </c>
      <c r="D3401" s="19"/>
      <c r="E3401" s="2"/>
      <c r="F3401" s="19"/>
    </row>
    <row r="3402" ht="15.75" customHeight="1">
      <c r="A3402" s="1">
        <v>6.0201239E7</v>
      </c>
      <c r="B3402" s="2" t="s">
        <v>1731</v>
      </c>
      <c r="C3402" s="19" t="s">
        <v>8197</v>
      </c>
      <c r="D3402" s="19"/>
      <c r="E3402" s="2"/>
      <c r="F3402" s="19"/>
    </row>
    <row r="3403" ht="15.75" customHeight="1">
      <c r="A3403" s="1">
        <v>6.0209158E7</v>
      </c>
      <c r="B3403" s="2" t="s">
        <v>1181</v>
      </c>
      <c r="C3403" s="19" t="s">
        <v>8198</v>
      </c>
      <c r="D3403" s="19" t="s">
        <v>8199</v>
      </c>
      <c r="E3403" s="2"/>
      <c r="F3403" s="19"/>
    </row>
    <row r="3404" ht="15.75" customHeight="1">
      <c r="A3404" s="1">
        <v>6.0210752E7</v>
      </c>
      <c r="B3404" s="2" t="s">
        <v>3053</v>
      </c>
      <c r="C3404" s="19" t="s">
        <v>8200</v>
      </c>
      <c r="D3404" s="19"/>
      <c r="E3404" s="2"/>
      <c r="F3404" s="19"/>
    </row>
    <row r="3405" ht="15.75" customHeight="1">
      <c r="A3405" s="1">
        <v>6.0211732E7</v>
      </c>
      <c r="B3405" s="2" t="s">
        <v>3334</v>
      </c>
      <c r="C3405" s="19" t="s">
        <v>8201</v>
      </c>
      <c r="D3405" s="19"/>
      <c r="E3405" s="2"/>
      <c r="F3405" s="19"/>
    </row>
    <row r="3406" ht="15.75" customHeight="1">
      <c r="A3406" s="1">
        <v>6.0218411E7</v>
      </c>
      <c r="B3406" s="2" t="s">
        <v>3484</v>
      </c>
      <c r="C3406" s="19" t="s">
        <v>8202</v>
      </c>
      <c r="D3406" s="19"/>
      <c r="E3406" s="2"/>
      <c r="F3406" s="19"/>
    </row>
    <row r="3407" ht="15.75" customHeight="1">
      <c r="A3407" s="1">
        <v>6.022184E7</v>
      </c>
      <c r="B3407" s="2" t="s">
        <v>3285</v>
      </c>
      <c r="C3407" s="19" t="s">
        <v>8203</v>
      </c>
      <c r="D3407" s="19"/>
      <c r="E3407" s="2"/>
      <c r="F3407" s="19"/>
    </row>
    <row r="3408" ht="15.75" customHeight="1">
      <c r="A3408" s="1">
        <v>6.0223835E7</v>
      </c>
      <c r="B3408" s="2" t="s">
        <v>3054</v>
      </c>
      <c r="C3408" s="19" t="s">
        <v>8204</v>
      </c>
      <c r="D3408" s="19"/>
      <c r="E3408" s="2"/>
      <c r="F3408" s="19"/>
    </row>
    <row r="3409" ht="15.75" customHeight="1">
      <c r="A3409" s="1">
        <v>6.0229963E7</v>
      </c>
      <c r="B3409" s="2" t="s">
        <v>2832</v>
      </c>
      <c r="C3409" s="19" t="s">
        <v>8205</v>
      </c>
      <c r="D3409" s="19"/>
      <c r="E3409" s="2"/>
      <c r="F3409" s="19"/>
    </row>
    <row r="3410" ht="15.75" customHeight="1">
      <c r="A3410" s="1">
        <v>6.0230705E7</v>
      </c>
      <c r="B3410" s="2" t="s">
        <v>931</v>
      </c>
      <c r="C3410" s="19" t="s">
        <v>8206</v>
      </c>
      <c r="D3410" s="19"/>
      <c r="E3410" s="2"/>
      <c r="F3410" s="19"/>
    </row>
    <row r="3411" ht="15.75" customHeight="1">
      <c r="A3411" s="1">
        <v>6.0264611E7</v>
      </c>
      <c r="B3411" s="2" t="s">
        <v>3112</v>
      </c>
      <c r="C3411" s="19" t="s">
        <v>8207</v>
      </c>
      <c r="D3411" s="19"/>
      <c r="E3411" s="2"/>
      <c r="F3411" s="19"/>
    </row>
    <row r="3412" ht="15.75" customHeight="1">
      <c r="A3412" s="1">
        <v>6.0269505E7</v>
      </c>
      <c r="B3412" s="2" t="s">
        <v>2398</v>
      </c>
      <c r="C3412" s="19" t="s">
        <v>8208</v>
      </c>
      <c r="D3412" s="19"/>
      <c r="E3412" s="2"/>
      <c r="F3412" s="19"/>
    </row>
    <row r="3413" ht="15.75" customHeight="1">
      <c r="A3413" s="1">
        <v>6.0272262E7</v>
      </c>
      <c r="B3413" s="2" t="s">
        <v>2874</v>
      </c>
      <c r="C3413" s="19" t="s">
        <v>8209</v>
      </c>
      <c r="D3413" s="19" t="s">
        <v>8210</v>
      </c>
      <c r="E3413" s="2"/>
      <c r="F3413" s="19"/>
    </row>
    <row r="3414" ht="15.75" customHeight="1">
      <c r="A3414" s="1">
        <v>6.0284599E7</v>
      </c>
      <c r="B3414" s="2" t="s">
        <v>2009</v>
      </c>
      <c r="C3414" s="19" t="s">
        <v>8211</v>
      </c>
      <c r="D3414" s="19"/>
      <c r="E3414" s="2"/>
      <c r="F3414" s="19"/>
    </row>
    <row r="3415" ht="15.75" customHeight="1">
      <c r="A3415" s="1">
        <v>6.0285447E7</v>
      </c>
      <c r="B3415" s="2" t="s">
        <v>2699</v>
      </c>
      <c r="C3415" s="19" t="s">
        <v>8212</v>
      </c>
      <c r="D3415" s="19"/>
      <c r="E3415" s="2"/>
      <c r="F3415" s="19"/>
    </row>
    <row r="3416" ht="15.75" customHeight="1">
      <c r="A3416" s="1">
        <v>6.0310744E7</v>
      </c>
      <c r="B3416" s="2" t="s">
        <v>3485</v>
      </c>
      <c r="C3416" s="19" t="s">
        <v>8213</v>
      </c>
      <c r="D3416" s="19"/>
      <c r="E3416" s="2"/>
      <c r="F3416" s="19"/>
    </row>
    <row r="3417" ht="15.75" customHeight="1">
      <c r="A3417" s="1">
        <v>6.0312818E7</v>
      </c>
      <c r="B3417" s="2" t="s">
        <v>2796</v>
      </c>
      <c r="C3417" s="19" t="s">
        <v>8214</v>
      </c>
      <c r="D3417" s="19" t="s">
        <v>8215</v>
      </c>
      <c r="E3417" s="2"/>
      <c r="F3417" s="19"/>
    </row>
    <row r="3418" ht="15.75" customHeight="1">
      <c r="A3418" s="1">
        <v>6.0318597E7</v>
      </c>
      <c r="B3418" s="2" t="s">
        <v>2940</v>
      </c>
      <c r="C3418" s="19" t="s">
        <v>8216</v>
      </c>
      <c r="D3418" s="19"/>
      <c r="E3418" s="2"/>
      <c r="F3418" s="19"/>
    </row>
    <row r="3419" ht="15.75" customHeight="1">
      <c r="A3419" s="1">
        <v>6.0323334E7</v>
      </c>
      <c r="B3419" s="2" t="s">
        <v>3242</v>
      </c>
      <c r="C3419" s="19" t="s">
        <v>8217</v>
      </c>
      <c r="D3419" s="19"/>
      <c r="E3419" s="2"/>
      <c r="F3419" s="19"/>
    </row>
    <row r="3420" ht="15.75" customHeight="1">
      <c r="A3420" s="1">
        <v>6.0325363E7</v>
      </c>
      <c r="B3420" s="2" t="s">
        <v>2833</v>
      </c>
      <c r="C3420" s="19" t="s">
        <v>8218</v>
      </c>
      <c r="D3420" s="19"/>
      <c r="E3420" s="2"/>
      <c r="F3420" s="19"/>
    </row>
    <row r="3421" ht="15.75" customHeight="1">
      <c r="A3421" s="1">
        <v>6.0333431E7</v>
      </c>
      <c r="B3421" s="2" t="s">
        <v>3006</v>
      </c>
      <c r="C3421" s="19" t="s">
        <v>8219</v>
      </c>
      <c r="D3421" s="19"/>
      <c r="E3421" s="2"/>
      <c r="F3421" s="19"/>
    </row>
    <row r="3422" ht="15.75" customHeight="1">
      <c r="A3422" s="1">
        <v>6.0333516E7</v>
      </c>
      <c r="B3422" s="2" t="s">
        <v>3286</v>
      </c>
      <c r="C3422" s="19" t="s">
        <v>8220</v>
      </c>
      <c r="D3422" s="19"/>
      <c r="E3422" s="2"/>
      <c r="F3422" s="19"/>
    </row>
    <row r="3423" ht="15.75" customHeight="1">
      <c r="A3423" s="1">
        <v>6.0334874E7</v>
      </c>
      <c r="B3423" s="2" t="s">
        <v>2580</v>
      </c>
      <c r="C3423" s="19" t="s">
        <v>8221</v>
      </c>
      <c r="D3423" s="19"/>
      <c r="E3423" s="2"/>
      <c r="F3423" s="19"/>
    </row>
    <row r="3424" ht="15.75" customHeight="1">
      <c r="A3424" s="1">
        <v>6.0348603E7</v>
      </c>
      <c r="B3424" s="2" t="s">
        <v>3467</v>
      </c>
      <c r="C3424" s="19" t="s">
        <v>8222</v>
      </c>
      <c r="D3424" s="19"/>
      <c r="E3424" s="2"/>
      <c r="F3424" s="19"/>
    </row>
    <row r="3425" ht="15.75" customHeight="1">
      <c r="A3425" s="1">
        <v>6.0357457E7</v>
      </c>
      <c r="B3425" s="2" t="s">
        <v>3184</v>
      </c>
      <c r="C3425" s="19" t="s">
        <v>8223</v>
      </c>
      <c r="D3425" s="19"/>
      <c r="E3425" s="2"/>
      <c r="F3425" s="19"/>
    </row>
    <row r="3426" ht="15.75" customHeight="1">
      <c r="A3426" s="1">
        <v>6.036184E7</v>
      </c>
      <c r="B3426" s="2" t="s">
        <v>3135</v>
      </c>
      <c r="C3426" s="19" t="s">
        <v>8224</v>
      </c>
      <c r="D3426" s="19"/>
      <c r="E3426" s="2"/>
      <c r="F3426" s="19"/>
    </row>
    <row r="3427" ht="15.75" customHeight="1">
      <c r="A3427" s="1">
        <v>6.0366748E7</v>
      </c>
      <c r="B3427" s="2" t="s">
        <v>3158</v>
      </c>
      <c r="C3427" s="19" t="s">
        <v>8225</v>
      </c>
      <c r="D3427" s="19"/>
      <c r="E3427" s="2"/>
      <c r="F3427" s="19"/>
    </row>
    <row r="3428" ht="15.75" customHeight="1">
      <c r="A3428" s="1">
        <v>6.0370378E7</v>
      </c>
      <c r="B3428" s="2" t="s">
        <v>3113</v>
      </c>
      <c r="C3428" s="19" t="s">
        <v>8226</v>
      </c>
      <c r="D3428" s="19"/>
      <c r="E3428" s="2"/>
      <c r="F3428" s="19"/>
    </row>
    <row r="3429" ht="15.75" customHeight="1">
      <c r="A3429" s="1">
        <v>6.0376741E7</v>
      </c>
      <c r="B3429" s="2" t="s">
        <v>2723</v>
      </c>
      <c r="C3429" s="19" t="s">
        <v>8227</v>
      </c>
      <c r="D3429" s="19"/>
      <c r="E3429" s="2"/>
      <c r="F3429" s="19"/>
    </row>
    <row r="3430" ht="15.75" customHeight="1">
      <c r="A3430" s="1">
        <v>6.0379101E7</v>
      </c>
      <c r="B3430" s="2" t="s">
        <v>2711</v>
      </c>
      <c r="C3430" s="19" t="s">
        <v>8228</v>
      </c>
      <c r="D3430" s="19" t="s">
        <v>8229</v>
      </c>
      <c r="E3430" s="2"/>
      <c r="F3430" s="19"/>
    </row>
    <row r="3431" ht="15.75" customHeight="1">
      <c r="A3431" s="1">
        <v>6.038929E7</v>
      </c>
      <c r="B3431" s="2" t="s">
        <v>3353</v>
      </c>
      <c r="C3431" s="19" t="s">
        <v>8230</v>
      </c>
      <c r="D3431" s="19"/>
      <c r="E3431" s="2"/>
      <c r="F3431" s="19"/>
    </row>
    <row r="3432" ht="15.75" customHeight="1">
      <c r="A3432" s="1">
        <v>6.0396107E7</v>
      </c>
      <c r="B3432" s="2" t="s">
        <v>3085</v>
      </c>
      <c r="C3432" s="19" t="s">
        <v>8231</v>
      </c>
      <c r="D3432" s="19"/>
      <c r="E3432" s="2"/>
      <c r="F3432" s="19"/>
    </row>
    <row r="3433" ht="15.75" customHeight="1">
      <c r="A3433" s="1">
        <v>6.039672E7</v>
      </c>
      <c r="B3433" s="2" t="s">
        <v>2524</v>
      </c>
      <c r="C3433" s="19" t="s">
        <v>8232</v>
      </c>
      <c r="D3433" s="19"/>
      <c r="E3433" s="2"/>
      <c r="F3433" s="19"/>
    </row>
    <row r="3434" ht="15.75" customHeight="1">
      <c r="A3434" s="1">
        <v>6.0400547E7</v>
      </c>
      <c r="B3434" s="2" t="s">
        <v>2624</v>
      </c>
      <c r="C3434" s="19" t="s">
        <v>8233</v>
      </c>
      <c r="D3434" s="19" t="s">
        <v>8234</v>
      </c>
      <c r="E3434" s="2"/>
      <c r="F3434" s="19"/>
    </row>
    <row r="3435" ht="15.75" customHeight="1">
      <c r="A3435" s="1">
        <v>6.0407965E7</v>
      </c>
      <c r="B3435" s="2" t="s">
        <v>3362</v>
      </c>
      <c r="C3435" s="19" t="s">
        <v>8235</v>
      </c>
      <c r="D3435" s="19"/>
      <c r="E3435" s="2"/>
      <c r="F3435" s="19"/>
    </row>
    <row r="3436" ht="15.75" customHeight="1">
      <c r="A3436" s="1">
        <v>6.0411724E7</v>
      </c>
      <c r="B3436" s="2" t="s">
        <v>3505</v>
      </c>
      <c r="C3436" s="19" t="s">
        <v>8236</v>
      </c>
      <c r="D3436" s="19"/>
      <c r="E3436" s="2"/>
      <c r="F3436" s="19"/>
    </row>
    <row r="3437" ht="15.75" customHeight="1">
      <c r="A3437" s="1">
        <v>6.0416906E7</v>
      </c>
      <c r="B3437" s="2" t="s">
        <v>2411</v>
      </c>
      <c r="C3437" s="19" t="s">
        <v>8237</v>
      </c>
      <c r="D3437" s="19" t="s">
        <v>8238</v>
      </c>
      <c r="E3437" s="2"/>
      <c r="F3437" s="19"/>
    </row>
    <row r="3438" ht="15.75" customHeight="1">
      <c r="A3438" s="1">
        <v>6.0428312E7</v>
      </c>
      <c r="B3438" s="2" t="s">
        <v>3363</v>
      </c>
      <c r="C3438" s="19" t="s">
        <v>8239</v>
      </c>
      <c r="D3438" s="19"/>
      <c r="E3438" s="2"/>
      <c r="F3438" s="19"/>
    </row>
    <row r="3439" ht="15.75" customHeight="1">
      <c r="A3439" s="1">
        <v>6.0429162E7</v>
      </c>
      <c r="B3439" s="2" t="s">
        <v>3468</v>
      </c>
      <c r="C3439" s="19" t="s">
        <v>8240</v>
      </c>
      <c r="D3439" s="19"/>
      <c r="E3439" s="2"/>
      <c r="F3439" s="19"/>
    </row>
    <row r="3440" ht="15.75" customHeight="1">
      <c r="A3440" s="1">
        <v>6.0434306E7</v>
      </c>
      <c r="B3440" s="2" t="s">
        <v>3185</v>
      </c>
      <c r="C3440" s="19" t="s">
        <v>8241</v>
      </c>
      <c r="D3440" s="19"/>
      <c r="E3440" s="2"/>
      <c r="F3440" s="19"/>
    </row>
    <row r="3441" ht="15.75" customHeight="1">
      <c r="A3441" s="1">
        <v>6.0445843E7</v>
      </c>
      <c r="B3441" s="2" t="s">
        <v>3364</v>
      </c>
      <c r="C3441" s="19" t="s">
        <v>8242</v>
      </c>
      <c r="D3441" s="19"/>
      <c r="E3441" s="2"/>
      <c r="F3441" s="19"/>
    </row>
    <row r="3442" ht="15.75" customHeight="1">
      <c r="A3442" s="1">
        <v>6.0453651E7</v>
      </c>
      <c r="B3442" s="2" t="s">
        <v>3486</v>
      </c>
      <c r="C3442" s="19" t="s">
        <v>8243</v>
      </c>
      <c r="D3442" s="19"/>
      <c r="E3442" s="2"/>
      <c r="F3442" s="19"/>
    </row>
    <row r="3443" ht="15.75" customHeight="1">
      <c r="A3443" s="1">
        <v>6.0455349E7</v>
      </c>
      <c r="B3443" s="2" t="s">
        <v>3528</v>
      </c>
      <c r="C3443" s="19" t="s">
        <v>8244</v>
      </c>
      <c r="D3443" s="19"/>
      <c r="E3443" s="2"/>
      <c r="F3443" s="19"/>
    </row>
    <row r="3444" ht="15.75" customHeight="1">
      <c r="A3444" s="1">
        <v>6.0495312E7</v>
      </c>
      <c r="B3444" s="2" t="s">
        <v>2215</v>
      </c>
      <c r="C3444" s="19" t="s">
        <v>8245</v>
      </c>
      <c r="D3444" s="19"/>
      <c r="E3444" s="2"/>
      <c r="F3444" s="19"/>
    </row>
    <row r="3445" ht="15.75" customHeight="1">
      <c r="A3445" s="1">
        <v>6.0496009E7</v>
      </c>
      <c r="B3445" s="2" t="s">
        <v>2343</v>
      </c>
      <c r="C3445" s="19" t="s">
        <v>8246</v>
      </c>
      <c r="D3445" s="19"/>
      <c r="E3445" s="2"/>
      <c r="F3445" s="19"/>
    </row>
    <row r="3446" ht="15.75" customHeight="1">
      <c r="A3446" s="1">
        <v>6.0500627E7</v>
      </c>
      <c r="B3446" s="2" t="s">
        <v>2537</v>
      </c>
      <c r="C3446" s="19" t="s">
        <v>8247</v>
      </c>
      <c r="D3446" s="19"/>
      <c r="E3446" s="2"/>
      <c r="F3446" s="19"/>
    </row>
    <row r="3447" ht="15.75" customHeight="1">
      <c r="A3447" s="1">
        <v>6.0513317E7</v>
      </c>
      <c r="B3447" s="2" t="s">
        <v>1745</v>
      </c>
      <c r="C3447" s="19" t="s">
        <v>8248</v>
      </c>
      <c r="D3447" s="19" t="s">
        <v>8249</v>
      </c>
      <c r="E3447" s="2"/>
      <c r="F3447" s="19"/>
    </row>
    <row r="3448" ht="15.75" customHeight="1">
      <c r="A3448" s="1">
        <v>6.0532175E7</v>
      </c>
      <c r="B3448" s="2" t="s">
        <v>2909</v>
      </c>
      <c r="C3448" s="19" t="s">
        <v>8250</v>
      </c>
      <c r="D3448" s="19" t="s">
        <v>8251</v>
      </c>
      <c r="E3448" s="2"/>
      <c r="F3448" s="19"/>
    </row>
    <row r="3449" ht="15.75" customHeight="1">
      <c r="A3449" s="1">
        <v>6.0534579E7</v>
      </c>
      <c r="B3449" s="2" t="s">
        <v>1779</v>
      </c>
      <c r="C3449" s="19" t="s">
        <v>8252</v>
      </c>
      <c r="D3449" s="19" t="s">
        <v>8253</v>
      </c>
      <c r="E3449" s="2"/>
      <c r="F3449" s="19"/>
    </row>
    <row r="3450" ht="15.75" customHeight="1">
      <c r="A3450" s="1">
        <v>6.0543867E7</v>
      </c>
      <c r="B3450" s="2" t="s">
        <v>2156</v>
      </c>
      <c r="C3450" s="19" t="s">
        <v>8254</v>
      </c>
      <c r="D3450" s="19"/>
      <c r="E3450" s="2"/>
      <c r="F3450" s="19"/>
    </row>
    <row r="3451" ht="15.75" customHeight="1">
      <c r="A3451" s="1">
        <v>6.0551702E7</v>
      </c>
      <c r="B3451" s="2" t="s">
        <v>3552</v>
      </c>
      <c r="C3451" s="19" t="s">
        <v>8255</v>
      </c>
      <c r="D3451" s="19"/>
      <c r="E3451" s="2"/>
      <c r="F3451" s="19"/>
    </row>
    <row r="3452" ht="15.75" customHeight="1">
      <c r="A3452" s="1">
        <v>6.0555616E7</v>
      </c>
      <c r="B3452" s="2" t="s">
        <v>3415</v>
      </c>
      <c r="C3452" s="19" t="s">
        <v>8256</v>
      </c>
      <c r="D3452" s="19"/>
      <c r="E3452" s="2"/>
      <c r="F3452" s="19"/>
    </row>
    <row r="3453" ht="15.75" customHeight="1">
      <c r="A3453" s="1">
        <v>6.0556126E7</v>
      </c>
      <c r="B3453" s="2" t="s">
        <v>2525</v>
      </c>
      <c r="C3453" s="19" t="s">
        <v>8257</v>
      </c>
      <c r="D3453" s="19" t="s">
        <v>8258</v>
      </c>
      <c r="E3453" s="2"/>
      <c r="F3453" s="19"/>
    </row>
    <row r="3454" ht="15.75" customHeight="1">
      <c r="A3454" s="1">
        <v>6.0556908E7</v>
      </c>
      <c r="B3454" s="2" t="s">
        <v>3287</v>
      </c>
      <c r="C3454" s="19" t="s">
        <v>8259</v>
      </c>
      <c r="D3454" s="19"/>
      <c r="E3454" s="2"/>
      <c r="F3454" s="19"/>
    </row>
    <row r="3455" ht="15.75" customHeight="1">
      <c r="A3455" s="1">
        <v>6.0567487E7</v>
      </c>
      <c r="B3455" s="2" t="s">
        <v>3469</v>
      </c>
      <c r="C3455" s="19" t="s">
        <v>8260</v>
      </c>
      <c r="D3455" s="19"/>
      <c r="E3455" s="2"/>
      <c r="F3455" s="19"/>
    </row>
    <row r="3456" ht="15.75" customHeight="1">
      <c r="A3456" s="1">
        <v>6.0589214E7</v>
      </c>
      <c r="B3456" s="2" t="s">
        <v>3335</v>
      </c>
      <c r="C3456" s="19" t="s">
        <v>8261</v>
      </c>
      <c r="D3456" s="19"/>
      <c r="E3456" s="2"/>
      <c r="F3456" s="19"/>
    </row>
    <row r="3457" ht="15.75" customHeight="1">
      <c r="A3457" s="1">
        <v>6.0594954E7</v>
      </c>
      <c r="B3457" s="2" t="s">
        <v>2926</v>
      </c>
      <c r="C3457" s="19" t="s">
        <v>8262</v>
      </c>
      <c r="D3457" s="19" t="s">
        <v>8263</v>
      </c>
      <c r="E3457" s="2"/>
      <c r="F3457" s="19"/>
    </row>
    <row r="3458" ht="15.75" customHeight="1">
      <c r="A3458" s="1">
        <v>6.0595868E7</v>
      </c>
      <c r="B3458" s="2" t="s">
        <v>2565</v>
      </c>
      <c r="C3458" s="19" t="s">
        <v>8264</v>
      </c>
      <c r="D3458" s="19"/>
      <c r="E3458" s="2"/>
      <c r="F3458" s="19"/>
    </row>
    <row r="3459" ht="15.75" customHeight="1">
      <c r="A3459" s="1">
        <v>6.0601201E7</v>
      </c>
      <c r="B3459" s="2" t="s">
        <v>3159</v>
      </c>
      <c r="C3459" s="19" t="s">
        <v>8265</v>
      </c>
      <c r="D3459" s="19" t="s">
        <v>8266</v>
      </c>
      <c r="E3459" s="2"/>
      <c r="F3459" s="19"/>
    </row>
    <row r="3460" ht="15.75" customHeight="1">
      <c r="A3460" s="1">
        <v>6.0609166E7</v>
      </c>
      <c r="B3460" s="2" t="s">
        <v>1496</v>
      </c>
      <c r="C3460" s="19" t="s">
        <v>8267</v>
      </c>
      <c r="D3460" s="19" t="s">
        <v>8268</v>
      </c>
      <c r="E3460" s="2"/>
      <c r="F3460" s="19"/>
    </row>
    <row r="3461" ht="15.75" customHeight="1">
      <c r="A3461" s="1">
        <v>6.0624406E7</v>
      </c>
      <c r="B3461" s="2" t="s">
        <v>3055</v>
      </c>
      <c r="C3461" s="19" t="s">
        <v>8269</v>
      </c>
      <c r="D3461" s="19"/>
      <c r="E3461" s="2"/>
      <c r="F3461" s="19"/>
    </row>
    <row r="3462" ht="15.75" customHeight="1">
      <c r="A3462" s="1">
        <v>6.063336E7</v>
      </c>
      <c r="B3462" s="2" t="s">
        <v>3260</v>
      </c>
      <c r="C3462" s="19" t="s">
        <v>8270</v>
      </c>
      <c r="D3462" s="19"/>
      <c r="E3462" s="2"/>
      <c r="F3462" s="19"/>
    </row>
    <row r="3463" ht="15.75" customHeight="1">
      <c r="A3463" s="1">
        <v>6.064407E7</v>
      </c>
      <c r="B3463" s="2" t="s">
        <v>2875</v>
      </c>
      <c r="C3463" s="19" t="s">
        <v>8271</v>
      </c>
      <c r="D3463" s="19"/>
      <c r="E3463" s="2"/>
      <c r="F3463" s="19"/>
    </row>
    <row r="3464" ht="15.75" customHeight="1">
      <c r="A3464" s="1">
        <v>6.064824E7</v>
      </c>
      <c r="B3464" s="2" t="s">
        <v>2834</v>
      </c>
      <c r="C3464" s="19" t="s">
        <v>8272</v>
      </c>
      <c r="D3464" s="19"/>
      <c r="E3464" s="2"/>
      <c r="F3464" s="19"/>
    </row>
    <row r="3465" ht="15.75" customHeight="1">
      <c r="A3465" s="1">
        <v>6.0649506E7</v>
      </c>
      <c r="B3465" s="2" t="s">
        <v>3086</v>
      </c>
      <c r="C3465" s="19" t="s">
        <v>8273</v>
      </c>
      <c r="D3465" s="19" t="s">
        <v>8274</v>
      </c>
      <c r="E3465" s="2"/>
      <c r="F3465" s="19"/>
    </row>
    <row r="3466" ht="15.75" customHeight="1">
      <c r="A3466" s="1">
        <v>6.066273E7</v>
      </c>
      <c r="B3466" s="2" t="s">
        <v>2477</v>
      </c>
      <c r="C3466" s="19" t="s">
        <v>8275</v>
      </c>
      <c r="D3466" s="19"/>
      <c r="E3466" s="2"/>
      <c r="F3466" s="19"/>
    </row>
    <row r="3467" ht="15.75" customHeight="1">
      <c r="A3467" s="1">
        <v>6.0665681E7</v>
      </c>
      <c r="B3467" s="2" t="s">
        <v>2921</v>
      </c>
      <c r="C3467" s="19" t="s">
        <v>8276</v>
      </c>
      <c r="D3467" s="19"/>
      <c r="E3467" s="2"/>
      <c r="F3467" s="19"/>
    </row>
    <row r="3468" ht="15.75" customHeight="1">
      <c r="A3468" s="1">
        <v>6.0667139E7</v>
      </c>
      <c r="B3468" s="2" t="s">
        <v>3444</v>
      </c>
      <c r="C3468" s="19" t="s">
        <v>8277</v>
      </c>
      <c r="D3468" s="19"/>
      <c r="E3468" s="2"/>
      <c r="F3468" s="19"/>
    </row>
    <row r="3469" ht="15.75" customHeight="1">
      <c r="A3469" s="1">
        <v>6.0669625E7</v>
      </c>
      <c r="B3469" s="2" t="s">
        <v>2798</v>
      </c>
      <c r="C3469" s="19" t="s">
        <v>8278</v>
      </c>
      <c r="D3469" s="19"/>
      <c r="E3469" s="2"/>
      <c r="F3469" s="19"/>
    </row>
    <row r="3470" ht="15.75" customHeight="1">
      <c r="A3470" s="1">
        <v>6.0672693E7</v>
      </c>
      <c r="B3470" s="2" t="s">
        <v>3529</v>
      </c>
      <c r="C3470" s="19" t="s">
        <v>8279</v>
      </c>
      <c r="D3470" s="19"/>
      <c r="E3470" s="2"/>
      <c r="F3470" s="19"/>
    </row>
    <row r="3471" ht="15.75" customHeight="1">
      <c r="A3471" s="1">
        <v>6.0689697E7</v>
      </c>
      <c r="B3471" s="2" t="s">
        <v>3288</v>
      </c>
      <c r="C3471" s="19" t="s">
        <v>8280</v>
      </c>
      <c r="D3471" s="19"/>
      <c r="E3471" s="2"/>
      <c r="F3471" s="19"/>
    </row>
    <row r="3472" ht="15.75" customHeight="1">
      <c r="A3472" s="1">
        <v>6.0693819E7</v>
      </c>
      <c r="B3472" s="2" t="s">
        <v>2724</v>
      </c>
      <c r="C3472" s="19" t="s">
        <v>8281</v>
      </c>
      <c r="D3472" s="19" t="s">
        <v>8282</v>
      </c>
      <c r="E3472" s="2"/>
      <c r="F3472" s="19"/>
    </row>
    <row r="3473" ht="15.75" customHeight="1">
      <c r="A3473" s="1">
        <v>6.0706026E7</v>
      </c>
      <c r="B3473" s="2" t="s">
        <v>3553</v>
      </c>
      <c r="C3473" s="19" t="s">
        <v>8283</v>
      </c>
      <c r="D3473" s="19"/>
      <c r="E3473" s="2"/>
      <c r="F3473" s="19"/>
    </row>
    <row r="3474" ht="15.75" customHeight="1">
      <c r="A3474" s="1">
        <v>6.0706826E7</v>
      </c>
      <c r="B3474" s="2" t="s">
        <v>2835</v>
      </c>
      <c r="C3474" s="19" t="s">
        <v>8284</v>
      </c>
      <c r="D3474" s="19"/>
      <c r="E3474" s="2"/>
      <c r="F3474" s="19"/>
    </row>
    <row r="3475" ht="15.75" customHeight="1">
      <c r="A3475" s="1">
        <v>6.0715522E7</v>
      </c>
      <c r="B3475" s="2" t="s">
        <v>2059</v>
      </c>
      <c r="C3475" s="19" t="s">
        <v>8285</v>
      </c>
      <c r="D3475" s="19" t="s">
        <v>8286</v>
      </c>
      <c r="E3475" s="2"/>
      <c r="F3475" s="19"/>
    </row>
    <row r="3476" ht="15.75" customHeight="1">
      <c r="A3476" s="1">
        <v>6.0716376E7</v>
      </c>
      <c r="B3476" s="2" t="s">
        <v>3399</v>
      </c>
      <c r="C3476" s="19" t="s">
        <v>8287</v>
      </c>
      <c r="D3476" s="19"/>
      <c r="E3476" s="2"/>
      <c r="F3476" s="19"/>
    </row>
    <row r="3477" ht="15.75" customHeight="1">
      <c r="A3477" s="1">
        <v>6.0727567E7</v>
      </c>
      <c r="B3477" s="2" t="s">
        <v>3487</v>
      </c>
      <c r="C3477" s="19" t="s">
        <v>8288</v>
      </c>
      <c r="D3477" s="19"/>
      <c r="E3477" s="2"/>
      <c r="F3477" s="19"/>
    </row>
    <row r="3478" ht="15.75" customHeight="1">
      <c r="A3478" s="1">
        <v>6.0736675E7</v>
      </c>
      <c r="B3478" s="2" t="s">
        <v>2328</v>
      </c>
      <c r="C3478" s="19" t="s">
        <v>8289</v>
      </c>
      <c r="D3478" s="19" t="s">
        <v>8290</v>
      </c>
      <c r="E3478" s="2"/>
      <c r="F3478" s="19"/>
    </row>
    <row r="3479" ht="15.75" customHeight="1">
      <c r="A3479" s="1">
        <v>6.0738551E7</v>
      </c>
      <c r="B3479" s="2" t="s">
        <v>2623</v>
      </c>
      <c r="C3479" s="19" t="s">
        <v>8291</v>
      </c>
      <c r="D3479" s="19"/>
      <c r="E3479" s="2"/>
      <c r="F3479" s="19"/>
    </row>
    <row r="3480" ht="15.75" customHeight="1">
      <c r="A3480" s="1">
        <v>6.0746275E7</v>
      </c>
      <c r="B3480" s="2" t="s">
        <v>3597</v>
      </c>
      <c r="C3480" s="19" t="s">
        <v>8292</v>
      </c>
      <c r="D3480" s="19"/>
      <c r="E3480" s="2"/>
      <c r="F3480" s="19"/>
    </row>
    <row r="3481" ht="15.75" customHeight="1">
      <c r="A3481" s="1">
        <v>6.0750126E7</v>
      </c>
      <c r="B3481" s="2" t="s">
        <v>2700</v>
      </c>
      <c r="C3481" s="19" t="s">
        <v>8293</v>
      </c>
      <c r="D3481" s="19" t="s">
        <v>8294</v>
      </c>
      <c r="E3481" s="2"/>
      <c r="F3481" s="19"/>
    </row>
    <row r="3482" ht="15.75" customHeight="1">
      <c r="A3482" s="1">
        <v>6.0751498E7</v>
      </c>
      <c r="B3482" s="2" t="s">
        <v>3400</v>
      </c>
      <c r="C3482" s="19" t="s">
        <v>8295</v>
      </c>
      <c r="D3482" s="19"/>
      <c r="E3482" s="2"/>
      <c r="F3482" s="19"/>
    </row>
    <row r="3483" ht="15.75" customHeight="1">
      <c r="A3483" s="1">
        <v>6.0763258E7</v>
      </c>
      <c r="B3483" s="2" t="s">
        <v>1489</v>
      </c>
      <c r="C3483" s="19" t="s">
        <v>8296</v>
      </c>
      <c r="D3483" s="19"/>
      <c r="E3483" s="2"/>
      <c r="F3483" s="19"/>
    </row>
    <row r="3484" ht="15.75" customHeight="1">
      <c r="A3484" s="1">
        <v>6.0769225E7</v>
      </c>
      <c r="B3484" s="2" t="s">
        <v>2412</v>
      </c>
      <c r="C3484" s="19" t="s">
        <v>8297</v>
      </c>
      <c r="D3484" s="19"/>
      <c r="E3484" s="2"/>
      <c r="F3484" s="19"/>
    </row>
    <row r="3485" ht="15.75" customHeight="1">
      <c r="A3485" s="1">
        <v>6.0772816E7</v>
      </c>
      <c r="B3485" s="2" t="s">
        <v>3554</v>
      </c>
      <c r="C3485" s="19" t="s">
        <v>8298</v>
      </c>
      <c r="D3485" s="19"/>
      <c r="E3485" s="2"/>
      <c r="F3485" s="19"/>
    </row>
    <row r="3486" ht="15.75" customHeight="1">
      <c r="A3486" s="1">
        <v>6.0776604E7</v>
      </c>
      <c r="B3486" s="2" t="s">
        <v>3289</v>
      </c>
      <c r="C3486" s="19" t="s">
        <v>8299</v>
      </c>
      <c r="D3486" s="19"/>
      <c r="E3486" s="2"/>
      <c r="F3486" s="19"/>
    </row>
    <row r="3487" ht="15.75" customHeight="1">
      <c r="A3487" s="1">
        <v>6.0779826E7</v>
      </c>
      <c r="B3487" s="2" t="s">
        <v>3035</v>
      </c>
      <c r="C3487" s="19" t="s">
        <v>8300</v>
      </c>
      <c r="D3487" s="19" t="s">
        <v>8301</v>
      </c>
      <c r="E3487" s="2"/>
      <c r="F3487" s="19"/>
    </row>
    <row r="3488" ht="15.75" customHeight="1">
      <c r="A3488" s="1">
        <v>6.0779964E7</v>
      </c>
      <c r="B3488" s="2" t="s">
        <v>2922</v>
      </c>
      <c r="C3488" s="19" t="s">
        <v>8302</v>
      </c>
      <c r="D3488" s="19" t="s">
        <v>8303</v>
      </c>
      <c r="E3488" s="2"/>
      <c r="F3488" s="19"/>
    </row>
    <row r="3489" ht="15.75" customHeight="1">
      <c r="A3489" s="1">
        <v>6.0780585E7</v>
      </c>
      <c r="B3489" s="2" t="s">
        <v>3087</v>
      </c>
      <c r="C3489" s="19" t="s">
        <v>8304</v>
      </c>
      <c r="D3489" s="19"/>
      <c r="E3489" s="2"/>
      <c r="F3489" s="19"/>
    </row>
    <row r="3490" ht="15.75" customHeight="1">
      <c r="A3490" s="1">
        <v>6.078655E7</v>
      </c>
      <c r="B3490" s="2" t="s">
        <v>3160</v>
      </c>
      <c r="C3490" s="19" t="s">
        <v>8305</v>
      </c>
      <c r="D3490" s="19"/>
      <c r="E3490" s="2"/>
      <c r="F3490" s="19"/>
    </row>
    <row r="3491" ht="15.75" customHeight="1">
      <c r="A3491" s="1">
        <v>6.0801953E7</v>
      </c>
      <c r="B3491" s="2" t="s">
        <v>3238</v>
      </c>
      <c r="C3491" s="19" t="s">
        <v>8306</v>
      </c>
      <c r="D3491" s="19" t="s">
        <v>8307</v>
      </c>
      <c r="E3491" s="2"/>
      <c r="F3491" s="19"/>
    </row>
    <row r="3492" ht="15.75" customHeight="1">
      <c r="A3492" s="1">
        <v>6.08111E7</v>
      </c>
      <c r="B3492" s="2" t="s">
        <v>3339</v>
      </c>
      <c r="C3492" s="19" t="s">
        <v>8308</v>
      </c>
      <c r="D3492" s="19"/>
      <c r="E3492" s="2"/>
      <c r="F3492" s="19"/>
    </row>
    <row r="3493" ht="15.75" customHeight="1">
      <c r="A3493" s="1">
        <v>6.0811345E7</v>
      </c>
      <c r="B3493" s="2" t="s">
        <v>3030</v>
      </c>
      <c r="C3493" s="19" t="s">
        <v>8309</v>
      </c>
      <c r="D3493" s="19"/>
      <c r="E3493" s="2"/>
      <c r="F3493" s="19"/>
    </row>
    <row r="3494" ht="15.75" customHeight="1">
      <c r="A3494" s="1">
        <v>6.0815382E7</v>
      </c>
      <c r="B3494" s="2" t="s">
        <v>3309</v>
      </c>
      <c r="C3494" s="19" t="s">
        <v>8310</v>
      </c>
      <c r="D3494" s="19" t="s">
        <v>8311</v>
      </c>
      <c r="E3494" s="2"/>
      <c r="F3494" s="19"/>
    </row>
    <row r="3495" ht="15.75" customHeight="1">
      <c r="A3495" s="1">
        <v>6.0825789E7</v>
      </c>
      <c r="B3495" s="2" t="s">
        <v>2058</v>
      </c>
      <c r="C3495" s="19" t="s">
        <v>8312</v>
      </c>
      <c r="D3495" s="19"/>
      <c r="E3495" s="2"/>
      <c r="F3495" s="19"/>
    </row>
    <row r="3496" ht="15.75" customHeight="1">
      <c r="A3496" s="1">
        <v>6.0825886E7</v>
      </c>
      <c r="B3496" s="2" t="s">
        <v>3161</v>
      </c>
      <c r="C3496" s="19" t="s">
        <v>8313</v>
      </c>
      <c r="D3496" s="19"/>
      <c r="E3496" s="2"/>
      <c r="F3496" s="19"/>
    </row>
    <row r="3497" ht="15.75" customHeight="1">
      <c r="A3497" s="1">
        <v>6.0827803E7</v>
      </c>
      <c r="B3497" s="2" t="s">
        <v>2642</v>
      </c>
      <c r="C3497" s="19" t="s">
        <v>8314</v>
      </c>
      <c r="D3497" s="19" t="s">
        <v>8315</v>
      </c>
      <c r="E3497" s="2"/>
      <c r="F3497" s="19"/>
    </row>
    <row r="3498" ht="15.75" customHeight="1">
      <c r="A3498" s="1">
        <v>6.0831699E7</v>
      </c>
      <c r="B3498" s="2" t="s">
        <v>2725</v>
      </c>
      <c r="C3498" s="19" t="s">
        <v>8316</v>
      </c>
      <c r="D3498" s="19"/>
      <c r="E3498" s="2"/>
      <c r="F3498" s="19"/>
    </row>
    <row r="3499" ht="15.75" customHeight="1">
      <c r="A3499" s="1">
        <v>6.0832887E7</v>
      </c>
      <c r="B3499" s="2" t="s">
        <v>3056</v>
      </c>
      <c r="C3499" s="19" t="s">
        <v>8317</v>
      </c>
      <c r="D3499" s="19" t="s">
        <v>8318</v>
      </c>
      <c r="E3499" s="2"/>
      <c r="F3499" s="19"/>
    </row>
    <row r="3500" ht="15.75" customHeight="1">
      <c r="A3500" s="1">
        <v>6.0836488E7</v>
      </c>
      <c r="B3500" s="2" t="s">
        <v>3530</v>
      </c>
      <c r="C3500" s="19" t="s">
        <v>8319</v>
      </c>
      <c r="D3500" s="19"/>
      <c r="E3500" s="2"/>
      <c r="F3500" s="19"/>
    </row>
    <row r="3501" ht="15.75" customHeight="1">
      <c r="A3501" s="1">
        <v>6.083828E7</v>
      </c>
      <c r="B3501" s="2" t="s">
        <v>3162</v>
      </c>
      <c r="C3501" s="19" t="s">
        <v>8320</v>
      </c>
      <c r="D3501" s="19"/>
      <c r="E3501" s="2"/>
      <c r="F3501" s="19"/>
    </row>
    <row r="3502" ht="15.75" customHeight="1">
      <c r="A3502" s="1">
        <v>6.0849573E7</v>
      </c>
      <c r="B3502" s="2" t="s">
        <v>3310</v>
      </c>
      <c r="C3502" s="19" t="s">
        <v>8321</v>
      </c>
      <c r="D3502" s="19" t="s">
        <v>8322</v>
      </c>
      <c r="E3502" s="2"/>
      <c r="F3502" s="19"/>
    </row>
    <row r="3503" ht="15.75" customHeight="1">
      <c r="A3503" s="1">
        <v>6.0853912E7</v>
      </c>
      <c r="B3503" s="2" t="s">
        <v>2652</v>
      </c>
      <c r="C3503" s="19" t="s">
        <v>8323</v>
      </c>
      <c r="D3503" s="19"/>
      <c r="E3503" s="2"/>
      <c r="F3503" s="19"/>
    </row>
    <row r="3504" ht="15.75" customHeight="1">
      <c r="A3504" s="1">
        <v>6.0859441E7</v>
      </c>
      <c r="B3504" s="2" t="s">
        <v>3261</v>
      </c>
      <c r="C3504" s="19" t="s">
        <v>8324</v>
      </c>
      <c r="D3504" s="19"/>
      <c r="E3504" s="2"/>
      <c r="F3504" s="19"/>
    </row>
    <row r="3505" ht="15.75" customHeight="1">
      <c r="A3505" s="1">
        <v>6.0862896E7</v>
      </c>
      <c r="B3505" s="2" t="s">
        <v>2797</v>
      </c>
      <c r="C3505" s="19" t="s">
        <v>8325</v>
      </c>
      <c r="D3505" s="19" t="s">
        <v>8326</v>
      </c>
      <c r="E3505" s="2"/>
      <c r="F3505" s="19"/>
    </row>
    <row r="3506" ht="15.75" customHeight="1">
      <c r="A3506" s="1">
        <v>6.0875821E7</v>
      </c>
      <c r="B3506" s="2" t="s">
        <v>2712</v>
      </c>
      <c r="C3506" s="19" t="s">
        <v>8327</v>
      </c>
      <c r="D3506" s="19"/>
      <c r="E3506" s="2"/>
      <c r="F3506" s="19"/>
    </row>
    <row r="3507" ht="15.75" customHeight="1">
      <c r="A3507" s="1">
        <v>6.0881303E7</v>
      </c>
      <c r="B3507" s="2" t="s">
        <v>2923</v>
      </c>
      <c r="C3507" s="19" t="s">
        <v>8328</v>
      </c>
      <c r="D3507" s="19"/>
      <c r="E3507" s="2"/>
      <c r="F3507" s="19"/>
    </row>
    <row r="3508" ht="15.75" customHeight="1">
      <c r="A3508" s="1">
        <v>6.0881924E7</v>
      </c>
      <c r="B3508" s="2" t="s">
        <v>3118</v>
      </c>
      <c r="C3508" s="19" t="s">
        <v>8329</v>
      </c>
      <c r="D3508" s="19"/>
      <c r="E3508" s="2"/>
      <c r="F3508" s="19"/>
    </row>
    <row r="3509" ht="15.75" customHeight="1">
      <c r="A3509" s="1">
        <v>6.08872E7</v>
      </c>
      <c r="B3509" s="2" t="s">
        <v>3336</v>
      </c>
      <c r="C3509" s="19" t="s">
        <v>8330</v>
      </c>
      <c r="D3509" s="19" t="s">
        <v>8331</v>
      </c>
      <c r="E3509" s="2"/>
      <c r="F3509" s="19"/>
    </row>
    <row r="3510" ht="15.75" customHeight="1">
      <c r="A3510" s="1">
        <v>6.0906873E7</v>
      </c>
      <c r="B3510" s="2" t="s">
        <v>3608</v>
      </c>
      <c r="C3510" s="19" t="s">
        <v>8332</v>
      </c>
      <c r="D3510" s="19"/>
      <c r="E3510" s="2"/>
      <c r="F3510" s="19"/>
    </row>
    <row r="3511" ht="15.75" customHeight="1">
      <c r="A3511" s="1">
        <v>6.0939663E7</v>
      </c>
      <c r="B3511" s="2" t="s">
        <v>2978</v>
      </c>
      <c r="C3511" s="19" t="s">
        <v>8333</v>
      </c>
      <c r="D3511" s="19"/>
      <c r="E3511" s="2"/>
      <c r="F3511" s="19"/>
    </row>
    <row r="3512" ht="15.75" customHeight="1">
      <c r="A3512" s="1">
        <v>6.094536E7</v>
      </c>
      <c r="B3512" s="2" t="s">
        <v>3416</v>
      </c>
      <c r="C3512" s="19" t="s">
        <v>8334</v>
      </c>
      <c r="D3512" s="19"/>
      <c r="E3512" s="2"/>
      <c r="F3512" s="19"/>
    </row>
    <row r="3513" ht="15.75" customHeight="1">
      <c r="A3513" s="1">
        <v>6.0972901E7</v>
      </c>
      <c r="B3513" s="2" t="s">
        <v>3262</v>
      </c>
      <c r="C3513" s="19" t="s">
        <v>8335</v>
      </c>
      <c r="D3513" s="19"/>
      <c r="E3513" s="2"/>
      <c r="F3513" s="19"/>
    </row>
    <row r="3514" ht="15.75" customHeight="1">
      <c r="A3514" s="1">
        <v>6.0973579E7</v>
      </c>
      <c r="B3514" s="2" t="s">
        <v>3031</v>
      </c>
      <c r="C3514" s="19" t="s">
        <v>8336</v>
      </c>
      <c r="D3514" s="19"/>
      <c r="E3514" s="2"/>
      <c r="F3514" s="19"/>
    </row>
    <row r="3515" ht="15.75" customHeight="1">
      <c r="A3515" s="1">
        <v>6.0982768E7</v>
      </c>
      <c r="B3515" s="2" t="s">
        <v>3585</v>
      </c>
      <c r="C3515" s="19" t="s">
        <v>8337</v>
      </c>
      <c r="D3515" s="19"/>
      <c r="E3515" s="2"/>
      <c r="F3515" s="19"/>
    </row>
    <row r="3516" ht="15.75" customHeight="1">
      <c r="A3516" s="1">
        <v>6.0986606E7</v>
      </c>
      <c r="B3516" s="2" t="s">
        <v>3531</v>
      </c>
      <c r="C3516" s="19" t="s">
        <v>8338</v>
      </c>
      <c r="D3516" s="19" t="s">
        <v>8339</v>
      </c>
      <c r="E3516" s="2"/>
      <c r="F3516" s="19"/>
    </row>
    <row r="3517" ht="15.75" customHeight="1">
      <c r="A3517" s="1">
        <v>6.0990549E7</v>
      </c>
      <c r="B3517" s="2" t="s">
        <v>3239</v>
      </c>
      <c r="C3517" s="19" t="s">
        <v>8340</v>
      </c>
      <c r="D3517" s="19"/>
      <c r="E3517" s="2"/>
      <c r="F3517" s="19"/>
    </row>
    <row r="3518" ht="15.75" customHeight="1">
      <c r="A3518" s="1">
        <v>6.1014391E7</v>
      </c>
      <c r="B3518" s="2" t="s">
        <v>3365</v>
      </c>
      <c r="C3518" s="19" t="s">
        <v>8341</v>
      </c>
      <c r="D3518" s="19"/>
      <c r="E3518" s="2"/>
      <c r="F3518" s="19"/>
    </row>
    <row r="3519" ht="15.75" customHeight="1">
      <c r="A3519" s="1">
        <v>6.1016404E7</v>
      </c>
      <c r="B3519" s="2" t="s">
        <v>3555</v>
      </c>
      <c r="C3519" s="19" t="s">
        <v>8342</v>
      </c>
      <c r="D3519" s="19"/>
      <c r="E3519" s="2"/>
      <c r="F3519" s="19"/>
    </row>
    <row r="3520" ht="15.75" customHeight="1">
      <c r="A3520" s="1">
        <v>6.1016498E7</v>
      </c>
      <c r="B3520" s="2" t="s">
        <v>3445</v>
      </c>
      <c r="C3520" s="19" t="s">
        <v>8343</v>
      </c>
      <c r="D3520" s="19"/>
      <c r="E3520" s="2"/>
      <c r="F3520" s="19"/>
    </row>
    <row r="3521" ht="15.75" customHeight="1">
      <c r="A3521" s="1">
        <v>6.1019105E7</v>
      </c>
      <c r="B3521" s="2" t="s">
        <v>3586</v>
      </c>
      <c r="C3521" s="19" t="s">
        <v>8344</v>
      </c>
      <c r="D3521" s="19"/>
      <c r="E3521" s="2"/>
      <c r="F3521" s="19"/>
    </row>
    <row r="3522" ht="15.75" customHeight="1">
      <c r="A3522" s="1">
        <v>6.102155E7</v>
      </c>
      <c r="B3522" s="2" t="s">
        <v>3417</v>
      </c>
      <c r="C3522" s="19" t="s">
        <v>8345</v>
      </c>
      <c r="D3522" s="19"/>
      <c r="E3522" s="2"/>
      <c r="F3522" s="19"/>
    </row>
    <row r="3523" ht="15.75" customHeight="1">
      <c r="A3523" s="1">
        <v>6.1021604E7</v>
      </c>
      <c r="B3523" s="2" t="s">
        <v>2775</v>
      </c>
      <c r="C3523" s="19" t="s">
        <v>8346</v>
      </c>
      <c r="D3523" s="19" t="s">
        <v>8347</v>
      </c>
      <c r="E3523" s="2"/>
      <c r="F3523" s="19"/>
    </row>
    <row r="3524" ht="15.75" customHeight="1">
      <c r="A3524" s="1">
        <v>6.1038662E7</v>
      </c>
      <c r="B3524" s="2" t="s">
        <v>3488</v>
      </c>
      <c r="C3524" s="19" t="s">
        <v>8348</v>
      </c>
      <c r="D3524" s="19"/>
      <c r="E3524" s="2"/>
      <c r="F3524" s="19"/>
    </row>
    <row r="3525" ht="15.75" customHeight="1">
      <c r="A3525" s="1">
        <v>6.1051123E7</v>
      </c>
      <c r="B3525" s="2" t="s">
        <v>3418</v>
      </c>
      <c r="C3525" s="19" t="s">
        <v>8349</v>
      </c>
      <c r="D3525" s="19"/>
      <c r="E3525" s="2"/>
      <c r="F3525" s="19"/>
    </row>
    <row r="3526" ht="15.75" customHeight="1">
      <c r="A3526" s="1">
        <v>6.1058282E7</v>
      </c>
      <c r="B3526" s="2" t="s">
        <v>3419</v>
      </c>
      <c r="C3526" s="19" t="s">
        <v>8350</v>
      </c>
      <c r="D3526" s="19"/>
      <c r="E3526" s="2"/>
      <c r="F3526" s="19"/>
    </row>
    <row r="3527" ht="15.75" customHeight="1">
      <c r="A3527" s="1">
        <v>6.106077E7</v>
      </c>
      <c r="B3527" s="2" t="s">
        <v>2836</v>
      </c>
      <c r="C3527" s="19" t="s">
        <v>8351</v>
      </c>
      <c r="D3527" s="19"/>
      <c r="E3527" s="2"/>
      <c r="F3527" s="19"/>
    </row>
    <row r="3528" ht="15.75" customHeight="1">
      <c r="A3528" s="1">
        <v>6.1065007E7</v>
      </c>
      <c r="B3528" s="2" t="s">
        <v>1872</v>
      </c>
      <c r="C3528" s="19" t="s">
        <v>8352</v>
      </c>
      <c r="D3528" s="19"/>
      <c r="E3528" s="2"/>
      <c r="F3528" s="19"/>
    </row>
    <row r="3529" ht="15.75" customHeight="1">
      <c r="A3529" s="1">
        <v>6.107325E7</v>
      </c>
      <c r="B3529" s="2" t="s">
        <v>3420</v>
      </c>
      <c r="C3529" s="19" t="s">
        <v>8353</v>
      </c>
      <c r="D3529" s="19"/>
      <c r="E3529" s="2"/>
      <c r="F3529" s="19"/>
    </row>
    <row r="3530" ht="15.75" customHeight="1">
      <c r="A3530" s="1">
        <v>6.107468E7</v>
      </c>
      <c r="B3530" s="2" t="s">
        <v>3506</v>
      </c>
      <c r="C3530" s="19" t="s">
        <v>8354</v>
      </c>
      <c r="D3530" s="19"/>
      <c r="E3530" s="2"/>
      <c r="F3530" s="19"/>
    </row>
    <row r="3531" ht="15.75" customHeight="1">
      <c r="A3531" s="1">
        <v>6.1076418E7</v>
      </c>
      <c r="B3531" s="2" t="s">
        <v>3446</v>
      </c>
      <c r="C3531" s="19" t="s">
        <v>8355</v>
      </c>
      <c r="D3531" s="19"/>
      <c r="E3531" s="2"/>
      <c r="F3531" s="19"/>
    </row>
    <row r="3532" ht="15.75" customHeight="1">
      <c r="A3532" s="1">
        <v>6.1076786E7</v>
      </c>
      <c r="B3532" s="2" t="s">
        <v>3507</v>
      </c>
      <c r="C3532" s="19" t="s">
        <v>8356</v>
      </c>
      <c r="D3532" s="19"/>
      <c r="E3532" s="2"/>
      <c r="F3532" s="19"/>
    </row>
    <row r="3533" ht="15.75" customHeight="1">
      <c r="A3533" s="1">
        <v>6.1078197E7</v>
      </c>
      <c r="B3533" s="2" t="s">
        <v>3508</v>
      </c>
      <c r="C3533" s="19" t="s">
        <v>8357</v>
      </c>
      <c r="D3533" s="19"/>
      <c r="E3533" s="2"/>
      <c r="F3533" s="19"/>
    </row>
    <row r="3534" ht="15.75" customHeight="1">
      <c r="A3534" s="1">
        <v>6.1088814E7</v>
      </c>
      <c r="B3534" s="2" t="s">
        <v>3532</v>
      </c>
      <c r="C3534" s="19" t="s">
        <v>8358</v>
      </c>
      <c r="D3534" s="19"/>
      <c r="E3534" s="2"/>
      <c r="F3534" s="19"/>
    </row>
    <row r="3535" ht="15.75" customHeight="1">
      <c r="A3535" s="1">
        <v>6.1093844E7</v>
      </c>
      <c r="B3535" s="2" t="s">
        <v>3401</v>
      </c>
      <c r="C3535" s="19" t="s">
        <v>8359</v>
      </c>
      <c r="D3535" s="19"/>
      <c r="E3535" s="2"/>
      <c r="F3535" s="19"/>
    </row>
    <row r="3536" ht="15.75" customHeight="1">
      <c r="A3536" s="1">
        <v>6.1094682E7</v>
      </c>
      <c r="B3536" s="2" t="s">
        <v>3447</v>
      </c>
      <c r="C3536" s="19" t="s">
        <v>8360</v>
      </c>
      <c r="D3536" s="19"/>
      <c r="E3536" s="2"/>
      <c r="F3536" s="19"/>
    </row>
    <row r="3537" ht="15.75" customHeight="1">
      <c r="A3537" s="1">
        <v>6.1100181E7</v>
      </c>
      <c r="B3537" s="2" t="s">
        <v>3402</v>
      </c>
      <c r="C3537" s="19" t="s">
        <v>8361</v>
      </c>
      <c r="D3537" s="19" t="s">
        <v>8362</v>
      </c>
      <c r="E3537" s="2"/>
      <c r="F3537" s="19"/>
    </row>
    <row r="3538" ht="15.75" customHeight="1">
      <c r="A3538" s="1">
        <v>6.110589E7</v>
      </c>
      <c r="B3538" s="2" t="s">
        <v>3163</v>
      </c>
      <c r="C3538" s="19" t="s">
        <v>8363</v>
      </c>
      <c r="D3538" s="19" t="s">
        <v>8364</v>
      </c>
      <c r="E3538" s="2"/>
      <c r="F3538" s="19"/>
    </row>
    <row r="3539" ht="15.75" customHeight="1">
      <c r="A3539" s="1">
        <v>6.1470698E7</v>
      </c>
      <c r="B3539" s="2" t="s">
        <v>3263</v>
      </c>
      <c r="C3539" s="19" t="s">
        <v>8365</v>
      </c>
      <c r="D3539" s="19"/>
      <c r="E3539" s="2"/>
      <c r="F3539" s="19"/>
    </row>
    <row r="3540" ht="15.75" customHeight="1">
      <c r="A3540" s="1">
        <v>6.1473114E7</v>
      </c>
      <c r="B3540" s="2" t="s">
        <v>3448</v>
      </c>
      <c r="C3540" s="19" t="s">
        <v>8366</v>
      </c>
      <c r="D3540" s="19"/>
      <c r="E3540" s="2"/>
      <c r="F3540" s="19"/>
    </row>
    <row r="3541" ht="15.75" customHeight="1">
      <c r="A3541" s="1">
        <v>6.1481389E7</v>
      </c>
      <c r="B3541" s="2" t="s">
        <v>3489</v>
      </c>
      <c r="C3541" s="19" t="s">
        <v>8367</v>
      </c>
      <c r="D3541" s="19" t="s">
        <v>8368</v>
      </c>
      <c r="E3541" s="2"/>
      <c r="F3541" s="19"/>
    </row>
    <row r="3542" ht="15.75" customHeight="1">
      <c r="A3542" s="1">
        <v>6.1483577E7</v>
      </c>
      <c r="B3542" s="2" t="s">
        <v>3164</v>
      </c>
      <c r="C3542" s="19" t="s">
        <v>8369</v>
      </c>
      <c r="D3542" s="19"/>
      <c r="E3542" s="2"/>
      <c r="F3542" s="19"/>
    </row>
    <row r="3543" ht="15.75" customHeight="1">
      <c r="A3543" s="1">
        <v>6.1487083E7</v>
      </c>
      <c r="B3543" s="2" t="s">
        <v>3378</v>
      </c>
      <c r="C3543" s="19" t="s">
        <v>8370</v>
      </c>
      <c r="D3543" s="19"/>
      <c r="E3543" s="2"/>
      <c r="F3543" s="19"/>
    </row>
    <row r="3544" ht="15.75" customHeight="1">
      <c r="A3544" s="1">
        <v>6.1488025E7</v>
      </c>
      <c r="B3544" s="2" t="s">
        <v>3490</v>
      </c>
      <c r="C3544" s="19" t="s">
        <v>8371</v>
      </c>
      <c r="D3544" s="19"/>
      <c r="E3544" s="2"/>
      <c r="F3544" s="19"/>
    </row>
    <row r="3545" ht="15.75" customHeight="1">
      <c r="A3545" s="1">
        <v>6.1489793E7</v>
      </c>
      <c r="B3545" s="2" t="s">
        <v>3569</v>
      </c>
      <c r="C3545" s="19" t="s">
        <v>8372</v>
      </c>
      <c r="D3545" s="19"/>
      <c r="E3545" s="2"/>
      <c r="F3545" s="19"/>
    </row>
    <row r="3546" ht="15.75" customHeight="1">
      <c r="A3546" s="1">
        <v>6.1491488E7</v>
      </c>
      <c r="B3546" s="2" t="s">
        <v>3491</v>
      </c>
      <c r="C3546" s="19" t="s">
        <v>8373</v>
      </c>
      <c r="D3546" s="19"/>
      <c r="E3546" s="2"/>
      <c r="F3546" s="19"/>
    </row>
    <row r="3547" ht="15.75" customHeight="1">
      <c r="A3547" s="1">
        <v>6.1494118E7</v>
      </c>
      <c r="B3547" s="2" t="s">
        <v>2735</v>
      </c>
      <c r="C3547" s="19" t="s">
        <v>8374</v>
      </c>
      <c r="D3547" s="19" t="s">
        <v>8375</v>
      </c>
      <c r="E3547" s="2"/>
      <c r="F3547" s="19"/>
    </row>
    <row r="3548" ht="15.75" customHeight="1">
      <c r="A3548" s="1">
        <v>6.150559E7</v>
      </c>
      <c r="B3548" s="2" t="s">
        <v>3264</v>
      </c>
      <c r="C3548" s="19" t="s">
        <v>8376</v>
      </c>
      <c r="D3548" s="19"/>
      <c r="E3548" s="2"/>
      <c r="F3548" s="19"/>
    </row>
    <row r="3549" ht="15.75" customHeight="1">
      <c r="A3549" s="1">
        <v>6.1507119E7</v>
      </c>
      <c r="B3549" s="2" t="s">
        <v>3449</v>
      </c>
      <c r="C3549" s="19" t="s">
        <v>8377</v>
      </c>
      <c r="D3549" s="19"/>
      <c r="E3549" s="2"/>
      <c r="F3549" s="19"/>
    </row>
    <row r="3550" ht="15.75" customHeight="1">
      <c r="A3550" s="1">
        <v>6.1509495E7</v>
      </c>
      <c r="B3550" s="2" t="s">
        <v>3421</v>
      </c>
      <c r="C3550" s="19" t="s">
        <v>8378</v>
      </c>
      <c r="D3550" s="19"/>
      <c r="E3550" s="2"/>
      <c r="F3550" s="19"/>
    </row>
    <row r="3551" ht="15.75" customHeight="1">
      <c r="A3551" s="1">
        <v>6.150997E7</v>
      </c>
      <c r="B3551" s="2" t="s">
        <v>3366</v>
      </c>
      <c r="C3551" s="19" t="s">
        <v>8379</v>
      </c>
      <c r="D3551" s="19"/>
      <c r="E3551" s="2"/>
      <c r="F3551" s="19"/>
    </row>
    <row r="3552" ht="15.75" customHeight="1">
      <c r="A3552" s="1">
        <v>6.1515127E7</v>
      </c>
      <c r="B3552" s="2" t="s">
        <v>2941</v>
      </c>
      <c r="C3552" s="19" t="s">
        <v>8380</v>
      </c>
      <c r="D3552" s="19"/>
      <c r="E3552" s="2"/>
      <c r="F3552" s="19"/>
    </row>
    <row r="3553" ht="15.75" customHeight="1">
      <c r="A3553" s="1">
        <v>6.1519093E7</v>
      </c>
      <c r="B3553" s="2" t="s">
        <v>2893</v>
      </c>
      <c r="C3553" s="19" t="s">
        <v>8381</v>
      </c>
      <c r="D3553" s="19"/>
      <c r="E3553" s="2"/>
      <c r="F3553" s="19"/>
    </row>
    <row r="3554" ht="15.75" customHeight="1">
      <c r="A3554" s="1">
        <v>6.1526443E7</v>
      </c>
      <c r="B3554" s="2" t="s">
        <v>2278</v>
      </c>
      <c r="C3554" s="19" t="s">
        <v>8382</v>
      </c>
      <c r="D3554" s="19"/>
      <c r="E3554" s="2"/>
      <c r="F3554" s="19"/>
    </row>
    <row r="3555" ht="15.75" customHeight="1">
      <c r="A3555" s="1">
        <v>6.1526756E7</v>
      </c>
      <c r="B3555" s="2" t="s">
        <v>3311</v>
      </c>
      <c r="C3555" s="19" t="s">
        <v>8383</v>
      </c>
      <c r="D3555" s="19"/>
      <c r="E3555" s="2"/>
      <c r="F3555" s="19"/>
    </row>
    <row r="3556" ht="15.75" customHeight="1">
      <c r="A3556" s="1">
        <v>6.153034E7</v>
      </c>
      <c r="B3556" s="2" t="s">
        <v>3379</v>
      </c>
      <c r="C3556" s="19" t="s">
        <v>8384</v>
      </c>
      <c r="D3556" s="19"/>
      <c r="E3556" s="2"/>
      <c r="F3556" s="19"/>
    </row>
    <row r="3557" ht="15.75" customHeight="1">
      <c r="A3557" s="1">
        <v>6.1531008E7</v>
      </c>
      <c r="B3557" s="2" t="s">
        <v>3312</v>
      </c>
      <c r="C3557" s="19" t="s">
        <v>8385</v>
      </c>
      <c r="D3557" s="19" t="s">
        <v>8386</v>
      </c>
      <c r="E3557" s="2"/>
      <c r="F3557" s="19"/>
    </row>
    <row r="3558" ht="15.75" customHeight="1">
      <c r="A3558" s="1">
        <v>6.1531727E7</v>
      </c>
      <c r="B3558" s="2" t="s">
        <v>3556</v>
      </c>
      <c r="C3558" s="19" t="s">
        <v>8387</v>
      </c>
      <c r="D3558" s="19"/>
      <c r="E3558" s="2"/>
      <c r="F3558" s="19"/>
    </row>
    <row r="3559" ht="15.75" customHeight="1">
      <c r="A3559" s="1">
        <v>6.1537914E7</v>
      </c>
      <c r="B3559" s="2" t="s">
        <v>3470</v>
      </c>
      <c r="C3559" s="19" t="s">
        <v>8388</v>
      </c>
      <c r="D3559" s="19" t="s">
        <v>8389</v>
      </c>
      <c r="E3559" s="2"/>
      <c r="F3559" s="19"/>
    </row>
    <row r="3560" ht="15.75" customHeight="1">
      <c r="A3560" s="1">
        <v>6.1548727E7</v>
      </c>
      <c r="B3560" s="2" t="s">
        <v>3609</v>
      </c>
      <c r="C3560" s="19" t="s">
        <v>8390</v>
      </c>
      <c r="D3560" s="19"/>
      <c r="E3560" s="2"/>
      <c r="F3560" s="19"/>
    </row>
    <row r="3561" ht="15.75" customHeight="1">
      <c r="A3561" s="1">
        <v>6.1552568E7</v>
      </c>
      <c r="B3561" s="2" t="s">
        <v>2942</v>
      </c>
      <c r="C3561" s="19" t="s">
        <v>8391</v>
      </c>
      <c r="D3561" s="19"/>
      <c r="E3561" s="2"/>
      <c r="F3561" s="19"/>
    </row>
    <row r="3562" ht="15.75" customHeight="1">
      <c r="A3562" s="1">
        <v>6.1557784E7</v>
      </c>
      <c r="B3562" s="2" t="s">
        <v>3450</v>
      </c>
      <c r="C3562" s="19" t="s">
        <v>8392</v>
      </c>
      <c r="D3562" s="19"/>
      <c r="E3562" s="2"/>
      <c r="F3562" s="19"/>
    </row>
    <row r="3563" ht="15.75" customHeight="1">
      <c r="A3563" s="1">
        <v>6.1579511E7</v>
      </c>
      <c r="B3563" s="2" t="s">
        <v>3533</v>
      </c>
      <c r="C3563" s="19" t="s">
        <v>8393</v>
      </c>
      <c r="D3563" s="19"/>
      <c r="E3563" s="2"/>
      <c r="F3563" s="19"/>
    </row>
    <row r="3564" ht="15.75" customHeight="1">
      <c r="A3564" s="1">
        <v>6.1583655E7</v>
      </c>
      <c r="B3564" s="2" t="s">
        <v>3422</v>
      </c>
      <c r="C3564" s="19" t="s">
        <v>8394</v>
      </c>
      <c r="D3564" s="19"/>
      <c r="E3564" s="2"/>
      <c r="F3564" s="19"/>
    </row>
    <row r="3565" ht="15.75" customHeight="1">
      <c r="A3565" s="1">
        <v>6.1588758E7</v>
      </c>
      <c r="B3565" s="2" t="s">
        <v>2891</v>
      </c>
      <c r="C3565" s="19" t="s">
        <v>8395</v>
      </c>
      <c r="D3565" s="19"/>
      <c r="E3565" s="2"/>
      <c r="F3565" s="19"/>
    </row>
    <row r="3566" ht="15.75" customHeight="1">
      <c r="A3566" s="1">
        <v>6.1594436E7</v>
      </c>
      <c r="B3566" s="2" t="s">
        <v>3380</v>
      </c>
      <c r="C3566" s="19" t="s">
        <v>8396</v>
      </c>
      <c r="D3566" s="19"/>
      <c r="E3566" s="2"/>
      <c r="F3566" s="19"/>
    </row>
    <row r="3567" ht="15.75" customHeight="1">
      <c r="A3567" s="1">
        <v>6.1597162E7</v>
      </c>
      <c r="B3567" s="2" t="s">
        <v>3265</v>
      </c>
      <c r="C3567" s="19" t="s">
        <v>8397</v>
      </c>
      <c r="D3567" s="19"/>
      <c r="E3567" s="2"/>
      <c r="F3567" s="19"/>
    </row>
    <row r="3568" ht="15.75" customHeight="1">
      <c r="A3568" s="1">
        <v>6.1604943E7</v>
      </c>
      <c r="B3568" s="2" t="s">
        <v>3136</v>
      </c>
      <c r="C3568" s="19" t="s">
        <v>8398</v>
      </c>
      <c r="D3568" s="19"/>
      <c r="E3568" s="2"/>
      <c r="F3568" s="19"/>
    </row>
    <row r="3569" ht="15.75" customHeight="1">
      <c r="A3569" s="1">
        <v>6.161195E7</v>
      </c>
      <c r="B3569" s="2" t="s">
        <v>2856</v>
      </c>
      <c r="C3569" s="19" t="s">
        <v>8399</v>
      </c>
      <c r="D3569" s="19"/>
      <c r="E3569" s="2"/>
      <c r="F3569" s="19"/>
    </row>
    <row r="3570" ht="15.75" customHeight="1">
      <c r="A3570" s="1">
        <v>6.1618284E7</v>
      </c>
      <c r="B3570" s="2" t="s">
        <v>3290</v>
      </c>
      <c r="C3570" s="19" t="s">
        <v>8400</v>
      </c>
      <c r="D3570" s="19"/>
      <c r="E3570" s="2"/>
      <c r="F3570" s="19"/>
    </row>
    <row r="3571" ht="15.75" customHeight="1">
      <c r="A3571" s="1">
        <v>6.1623473E7</v>
      </c>
      <c r="B3571" s="2" t="s">
        <v>3266</v>
      </c>
      <c r="C3571" s="19" t="s">
        <v>8401</v>
      </c>
      <c r="D3571" s="19"/>
      <c r="E3571" s="2"/>
      <c r="F3571" s="19"/>
    </row>
    <row r="3572" ht="15.75" customHeight="1">
      <c r="A3572" s="1">
        <v>6.1626875E7</v>
      </c>
      <c r="B3572" s="2" t="s">
        <v>3534</v>
      </c>
      <c r="C3572" s="19" t="s">
        <v>8402</v>
      </c>
      <c r="D3572" s="19"/>
      <c r="E3572" s="2"/>
      <c r="F3572" s="19"/>
    </row>
    <row r="3573" ht="15.75" customHeight="1">
      <c r="A3573" s="1">
        <v>6.16284E7</v>
      </c>
      <c r="B3573" s="2" t="s">
        <v>3509</v>
      </c>
      <c r="C3573" s="19" t="s">
        <v>8403</v>
      </c>
      <c r="D3573" s="19"/>
      <c r="E3573" s="2"/>
      <c r="F3573" s="19"/>
    </row>
    <row r="3574" ht="15.75" customHeight="1">
      <c r="A3574" s="1">
        <v>6.1632938E7</v>
      </c>
      <c r="B3574" s="2" t="s">
        <v>3313</v>
      </c>
      <c r="C3574" s="19" t="s">
        <v>8404</v>
      </c>
      <c r="D3574" s="19"/>
      <c r="E3574" s="2"/>
      <c r="F3574" s="19"/>
    </row>
    <row r="3575" ht="15.75" customHeight="1">
      <c r="A3575" s="1">
        <v>6.1634293E7</v>
      </c>
      <c r="B3575" s="2" t="s">
        <v>3598</v>
      </c>
      <c r="C3575" s="19" t="s">
        <v>8405</v>
      </c>
      <c r="D3575" s="19"/>
      <c r="E3575" s="2"/>
      <c r="F3575" s="19"/>
    </row>
    <row r="3576" ht="15.75" customHeight="1">
      <c r="A3576" s="1">
        <v>6.1639444E7</v>
      </c>
      <c r="B3576" s="2" t="s">
        <v>3535</v>
      </c>
      <c r="C3576" s="19" t="s">
        <v>8406</v>
      </c>
      <c r="D3576" s="19"/>
      <c r="E3576" s="2"/>
      <c r="F3576" s="19"/>
    </row>
    <row r="3577" ht="15.75" customHeight="1">
      <c r="A3577" s="1">
        <v>6.1656958E7</v>
      </c>
      <c r="B3577" s="2" t="s">
        <v>3599</v>
      </c>
      <c r="C3577" s="19" t="s">
        <v>8407</v>
      </c>
      <c r="D3577" s="19"/>
      <c r="E3577" s="2"/>
      <c r="F3577" s="19"/>
    </row>
    <row r="3578" ht="15.75" customHeight="1">
      <c r="A3578" s="1">
        <v>6.1709741E7</v>
      </c>
      <c r="B3578" s="2" t="s">
        <v>3451</v>
      </c>
      <c r="C3578" s="19" t="s">
        <v>8408</v>
      </c>
      <c r="D3578" s="19"/>
      <c r="E3578" s="2"/>
      <c r="F3578" s="19"/>
    </row>
    <row r="3579" ht="15.75" customHeight="1">
      <c r="A3579" s="1">
        <v>6.1903819E7</v>
      </c>
      <c r="B3579" s="2" t="s">
        <v>3240</v>
      </c>
      <c r="C3579" s="19" t="s">
        <v>8409</v>
      </c>
      <c r="D3579" s="19"/>
      <c r="E3579" s="2"/>
      <c r="F3579" s="19"/>
    </row>
    <row r="3580" ht="15.75" customHeight="1">
      <c r="A3580" s="1">
        <v>6.1950117E7</v>
      </c>
      <c r="B3580" s="2" t="s">
        <v>3610</v>
      </c>
      <c r="C3580" s="19" t="s">
        <v>8410</v>
      </c>
      <c r="D3580" s="19"/>
      <c r="E3580" s="2"/>
      <c r="F3580" s="19"/>
    </row>
    <row r="3581" ht="15.75" customHeight="1">
      <c r="A3581" s="1">
        <v>6.2074209E7</v>
      </c>
      <c r="B3581" s="2" t="s">
        <v>3492</v>
      </c>
      <c r="C3581" s="19" t="s">
        <v>8411</v>
      </c>
      <c r="D3581" s="19"/>
      <c r="E3581" s="2"/>
      <c r="F3581" s="19"/>
    </row>
    <row r="3582" ht="15.75" customHeight="1">
      <c r="A3582" s="1">
        <v>6.2074644E7</v>
      </c>
      <c r="B3582" s="2" t="s">
        <v>3510</v>
      </c>
      <c r="C3582" s="19" t="s">
        <v>8412</v>
      </c>
      <c r="D3582" s="19"/>
      <c r="E3582" s="2"/>
      <c r="F3582" s="19"/>
    </row>
    <row r="3583" ht="15.75" customHeight="1">
      <c r="A3583" s="1">
        <v>6.2074726E7</v>
      </c>
      <c r="B3583" s="2" t="s">
        <v>3618</v>
      </c>
      <c r="C3583" s="19" t="s">
        <v>8413</v>
      </c>
      <c r="D3583" s="19"/>
      <c r="E3583" s="2"/>
      <c r="F3583" s="19"/>
    </row>
    <row r="3584" ht="15.75" customHeight="1">
      <c r="A3584" s="1">
        <v>6.2075536E7</v>
      </c>
      <c r="B3584" s="2" t="s">
        <v>3631</v>
      </c>
      <c r="C3584" s="19" t="s">
        <v>8414</v>
      </c>
      <c r="D3584" s="19"/>
      <c r="E3584" s="2"/>
      <c r="F3584" s="19"/>
    </row>
    <row r="3585" ht="15.75" customHeight="1">
      <c r="A3585" s="1">
        <v>6.2076983E7</v>
      </c>
      <c r="B3585" s="2" t="s">
        <v>3570</v>
      </c>
      <c r="C3585" s="19" t="s">
        <v>8415</v>
      </c>
      <c r="D3585" s="19"/>
      <c r="E3585" s="2"/>
      <c r="F3585" s="19"/>
    </row>
    <row r="3586" ht="15.75" customHeight="1">
      <c r="A3586" s="1">
        <v>6.2077982E7</v>
      </c>
      <c r="B3586" s="2" t="s">
        <v>3423</v>
      </c>
      <c r="C3586" s="19" t="s">
        <v>8416</v>
      </c>
      <c r="D3586" s="19"/>
      <c r="E3586" s="2"/>
      <c r="F3586" s="19"/>
    </row>
    <row r="3587" ht="15.75" customHeight="1">
      <c r="A3587" s="1">
        <v>6.2078096E7</v>
      </c>
      <c r="B3587" s="2" t="s">
        <v>3267</v>
      </c>
      <c r="C3587" s="19" t="s">
        <v>8417</v>
      </c>
      <c r="D3587" s="19"/>
      <c r="E3587" s="2"/>
      <c r="F3587" s="19"/>
    </row>
    <row r="3588" ht="15.75" customHeight="1">
      <c r="A3588" s="1">
        <v>6.2078382E7</v>
      </c>
      <c r="B3588" s="2" t="s">
        <v>3611</v>
      </c>
      <c r="C3588" s="19" t="s">
        <v>8418</v>
      </c>
      <c r="D3588" s="19"/>
      <c r="E3588" s="2"/>
      <c r="F3588" s="19"/>
    </row>
    <row r="3589" ht="15.75" customHeight="1">
      <c r="A3589" s="1">
        <v>6.20798E7</v>
      </c>
      <c r="B3589" s="2" t="s">
        <v>3619</v>
      </c>
      <c r="C3589" s="19" t="s">
        <v>8419</v>
      </c>
      <c r="D3589" s="19"/>
      <c r="E3589" s="2"/>
      <c r="F3589" s="19"/>
    </row>
    <row r="3590" ht="15.75" customHeight="1">
      <c r="A3590" s="1">
        <v>6.208013E7</v>
      </c>
      <c r="B3590" s="2" t="s">
        <v>3632</v>
      </c>
      <c r="C3590" s="19" t="s">
        <v>8420</v>
      </c>
      <c r="D3590" s="19"/>
      <c r="E3590" s="2"/>
      <c r="F3590" s="19"/>
    </row>
    <row r="3591" ht="15.75" customHeight="1">
      <c r="A3591" s="1">
        <v>6.2081474E7</v>
      </c>
      <c r="B3591" s="2" t="s">
        <v>3471</v>
      </c>
      <c r="C3591" s="19" t="s">
        <v>8421</v>
      </c>
      <c r="D3591" s="19"/>
      <c r="E3591" s="2"/>
      <c r="F3591" s="19"/>
    </row>
    <row r="3592" ht="15.75" customHeight="1">
      <c r="A3592" s="1">
        <v>6.2087465E7</v>
      </c>
      <c r="B3592" s="2" t="s">
        <v>3634</v>
      </c>
      <c r="C3592" s="19" t="s">
        <v>8422</v>
      </c>
      <c r="D3592" s="19"/>
      <c r="E3592" s="2"/>
      <c r="F3592" s="19"/>
    </row>
    <row r="3593" ht="15.75" customHeight="1">
      <c r="A3593" s="1">
        <v>6.2099257E7</v>
      </c>
      <c r="B3593" s="2" t="s">
        <v>3536</v>
      </c>
      <c r="C3593" s="19" t="s">
        <v>8423</v>
      </c>
      <c r="D3593" s="19"/>
      <c r="E3593" s="2"/>
      <c r="F3593" s="19"/>
    </row>
    <row r="3594" ht="15.75" customHeight="1">
      <c r="A3594" s="1">
        <v>6.2100067E7</v>
      </c>
      <c r="B3594" s="2" t="s">
        <v>3600</v>
      </c>
      <c r="C3594" s="19" t="s">
        <v>8424</v>
      </c>
      <c r="D3594" s="19"/>
      <c r="E3594" s="2"/>
      <c r="F3594" s="19"/>
    </row>
    <row r="3595" ht="15.75" customHeight="1">
      <c r="A3595" s="1">
        <v>6.2100452E7</v>
      </c>
      <c r="B3595" s="2" t="s">
        <v>3640</v>
      </c>
      <c r="C3595" s="19" t="s">
        <v>8425</v>
      </c>
      <c r="D3595" s="19"/>
      <c r="E3595" s="2"/>
      <c r="F3595" s="19"/>
    </row>
    <row r="3596" ht="15.75" customHeight="1">
      <c r="A3596" s="1">
        <v>6.2101239E7</v>
      </c>
      <c r="B3596" s="2" t="s">
        <v>3635</v>
      </c>
      <c r="C3596" s="19" t="s">
        <v>8426</v>
      </c>
      <c r="D3596" s="19"/>
      <c r="E3596" s="2"/>
      <c r="F3596" s="19"/>
    </row>
    <row r="3597" ht="15.75" customHeight="1">
      <c r="A3597" s="1">
        <v>6.2103461E7</v>
      </c>
      <c r="B3597" s="2" t="s">
        <v>3620</v>
      </c>
      <c r="C3597" s="19" t="s">
        <v>8427</v>
      </c>
      <c r="D3597" s="19"/>
      <c r="E3597" s="2"/>
      <c r="F3597" s="19"/>
    </row>
    <row r="3598" ht="15.75" customHeight="1">
      <c r="A3598" s="1">
        <v>6.2107434E7</v>
      </c>
      <c r="B3598" s="2" t="s">
        <v>3587</v>
      </c>
      <c r="C3598" s="19" t="s">
        <v>8428</v>
      </c>
      <c r="D3598" s="19"/>
      <c r="E3598" s="2"/>
      <c r="F3598" s="19"/>
    </row>
    <row r="3599" ht="15.75" customHeight="1">
      <c r="A3599" s="1"/>
      <c r="B3599" s="2"/>
      <c r="C3599" s="19"/>
      <c r="D3599" s="19"/>
      <c r="E3599" s="2"/>
      <c r="F3599" s="19"/>
    </row>
    <row r="3600" ht="15.75" customHeight="1">
      <c r="A3600" s="1"/>
      <c r="B3600" s="2"/>
      <c r="C3600" s="19"/>
      <c r="D3600" s="19"/>
      <c r="E3600" s="2"/>
      <c r="F3600" s="19"/>
    </row>
  </sheetData>
  <dataValidations>
    <dataValidation type="list" allowBlank="1" sqref="E1:E3600">
      <formula1>"1__requirement,2__design,3__development,4__testing,5__deployment,6__maintenance"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s>
  <sheetData>
    <row r="1" ht="15.0" customHeight="1">
      <c r="A1" s="1" t="s">
        <v>0</v>
      </c>
      <c r="B1" s="2" t="s">
        <v>1</v>
      </c>
      <c r="C1" s="19" t="s">
        <v>3642</v>
      </c>
      <c r="D1" s="19" t="s">
        <v>3643</v>
      </c>
      <c r="E1" s="2" t="s">
        <v>4</v>
      </c>
      <c r="F1" s="19"/>
    </row>
    <row r="2" ht="15.75" customHeight="1">
      <c r="A2" s="1">
        <v>326366.0</v>
      </c>
      <c r="B2" s="2" t="s">
        <v>233</v>
      </c>
      <c r="C2" s="19" t="s">
        <v>3644</v>
      </c>
      <c r="D2" s="19" t="s">
        <v>3645</v>
      </c>
      <c r="E2" s="2" t="s">
        <v>20</v>
      </c>
      <c r="F2" s="19"/>
    </row>
    <row r="3" ht="15.75" customHeight="1">
      <c r="A3" s="1">
        <v>359717.0</v>
      </c>
      <c r="B3" s="2" t="s">
        <v>1323</v>
      </c>
      <c r="C3" s="19" t="s">
        <v>3646</v>
      </c>
      <c r="D3" s="19" t="s">
        <v>3647</v>
      </c>
      <c r="E3" s="2" t="s">
        <v>20</v>
      </c>
      <c r="F3" s="19"/>
    </row>
    <row r="4" ht="15.75" customHeight="1">
      <c r="A4" s="1">
        <v>980932.0</v>
      </c>
      <c r="B4" s="2" t="s">
        <v>418</v>
      </c>
      <c r="C4" s="19" t="s">
        <v>3722</v>
      </c>
      <c r="D4" s="19" t="s">
        <v>3723</v>
      </c>
      <c r="E4" s="2" t="s">
        <v>11</v>
      </c>
      <c r="F4" s="19"/>
    </row>
    <row r="5" ht="15.75" customHeight="1">
      <c r="A5" s="1">
        <v>1236439.0</v>
      </c>
      <c r="B5" s="2" t="s">
        <v>162</v>
      </c>
      <c r="C5" s="19" t="s">
        <v>3724</v>
      </c>
      <c r="D5" s="19" t="s">
        <v>3725</v>
      </c>
      <c r="E5" s="2" t="s">
        <v>11</v>
      </c>
      <c r="F5" s="19"/>
    </row>
    <row r="6" ht="15.75" customHeight="1">
      <c r="A6" s="1">
        <v>1258834.0</v>
      </c>
      <c r="B6" s="2" t="s">
        <v>110</v>
      </c>
      <c r="C6" s="19" t="s">
        <v>3726</v>
      </c>
      <c r="D6" s="19" t="s">
        <v>3727</v>
      </c>
      <c r="E6" s="2" t="s">
        <v>11</v>
      </c>
      <c r="F6" s="19"/>
    </row>
    <row r="7" ht="15.75" customHeight="1">
      <c r="A7" s="1">
        <v>2022549.0</v>
      </c>
      <c r="B7" s="2" t="s">
        <v>317</v>
      </c>
      <c r="C7" s="19" t="s">
        <v>3728</v>
      </c>
      <c r="D7" s="19" t="s">
        <v>3729</v>
      </c>
      <c r="E7" s="2" t="s">
        <v>11</v>
      </c>
      <c r="F7" s="19"/>
    </row>
    <row r="8" ht="15.75" customHeight="1">
      <c r="A8" s="1">
        <v>2377082.0</v>
      </c>
      <c r="B8" s="2" t="s">
        <v>1317</v>
      </c>
      <c r="C8" s="19" t="s">
        <v>3730</v>
      </c>
      <c r="D8" s="19"/>
      <c r="E8" s="2" t="s">
        <v>11</v>
      </c>
      <c r="F8" s="19"/>
    </row>
    <row r="9" ht="15.75" customHeight="1">
      <c r="A9" s="1">
        <v>3016015.0</v>
      </c>
      <c r="B9" s="2" t="s">
        <v>19</v>
      </c>
      <c r="C9" s="19" t="s">
        <v>3648</v>
      </c>
      <c r="D9" s="19" t="s">
        <v>3649</v>
      </c>
      <c r="E9" s="2" t="s">
        <v>20</v>
      </c>
      <c r="F9" s="19"/>
    </row>
    <row r="10" ht="15.75" customHeight="1">
      <c r="A10" s="1">
        <v>3700594.0</v>
      </c>
      <c r="B10" s="2" t="s">
        <v>826</v>
      </c>
      <c r="C10" s="19" t="s">
        <v>3731</v>
      </c>
      <c r="D10" s="19"/>
      <c r="E10" s="2" t="s">
        <v>11</v>
      </c>
      <c r="F10" s="19"/>
    </row>
    <row r="11" ht="15.75" customHeight="1">
      <c r="A11" s="1">
        <v>3906522.0</v>
      </c>
      <c r="B11" s="2" t="s">
        <v>246</v>
      </c>
      <c r="C11" s="19" t="s">
        <v>3732</v>
      </c>
      <c r="D11" s="19"/>
      <c r="E11" s="2" t="s">
        <v>11</v>
      </c>
      <c r="F11" s="19"/>
    </row>
    <row r="12" ht="15.75" customHeight="1">
      <c r="A12" s="1">
        <v>3990732.0</v>
      </c>
      <c r="B12" s="2" t="s">
        <v>469</v>
      </c>
      <c r="C12" s="19" t="s">
        <v>3650</v>
      </c>
      <c r="D12" s="19"/>
      <c r="E12" s="2" t="s">
        <v>20</v>
      </c>
      <c r="F12" s="19"/>
    </row>
    <row r="13" ht="15.75" customHeight="1">
      <c r="A13" s="1">
        <v>4432075.0</v>
      </c>
      <c r="B13" s="2" t="s">
        <v>295</v>
      </c>
      <c r="C13" s="19" t="s">
        <v>3733</v>
      </c>
      <c r="D13" s="19" t="s">
        <v>3734</v>
      </c>
      <c r="E13" s="2" t="s">
        <v>11</v>
      </c>
      <c r="F13" s="19"/>
    </row>
    <row r="14" ht="15.75" customHeight="1">
      <c r="A14" s="1">
        <v>4439797.0</v>
      </c>
      <c r="B14" s="2" t="s">
        <v>797</v>
      </c>
      <c r="C14" s="19" t="s">
        <v>3735</v>
      </c>
      <c r="D14" s="19" t="s">
        <v>3736</v>
      </c>
      <c r="E14" s="2" t="s">
        <v>11</v>
      </c>
      <c r="F14" s="19"/>
    </row>
    <row r="15" ht="15.75" customHeight="1">
      <c r="A15" s="1">
        <v>4556252.0</v>
      </c>
      <c r="B15" s="2" t="s">
        <v>433</v>
      </c>
      <c r="C15" s="19" t="s">
        <v>3737</v>
      </c>
      <c r="D15" s="19" t="s">
        <v>3738</v>
      </c>
      <c r="E15" s="2" t="s">
        <v>11</v>
      </c>
      <c r="F15" s="19"/>
    </row>
    <row r="16" ht="15.75" customHeight="1">
      <c r="A16" s="1">
        <v>4598926.0</v>
      </c>
      <c r="B16" s="2" t="s">
        <v>492</v>
      </c>
      <c r="C16" s="19" t="s">
        <v>3739</v>
      </c>
      <c r="D16" s="19" t="s">
        <v>3740</v>
      </c>
      <c r="E16" s="9" t="s">
        <v>11</v>
      </c>
      <c r="F16" s="19"/>
    </row>
    <row r="17" ht="15.75" customHeight="1">
      <c r="A17" s="1">
        <v>4804623.0</v>
      </c>
      <c r="B17" s="2" t="s">
        <v>497</v>
      </c>
      <c r="C17" s="19" t="s">
        <v>3741</v>
      </c>
      <c r="D17" s="19"/>
      <c r="E17" s="2" t="s">
        <v>11</v>
      </c>
      <c r="F17" s="19"/>
    </row>
    <row r="18" ht="15.75" customHeight="1">
      <c r="A18" s="1">
        <v>5552901.0</v>
      </c>
      <c r="B18" s="2" t="s">
        <v>1065</v>
      </c>
      <c r="C18" s="19" t="s">
        <v>3742</v>
      </c>
      <c r="D18" s="19"/>
      <c r="E18" s="2" t="s">
        <v>11</v>
      </c>
      <c r="F18" s="19"/>
    </row>
    <row r="19" ht="15.75" customHeight="1">
      <c r="A19" s="1">
        <v>7048854.0</v>
      </c>
      <c r="B19" s="2" t="s">
        <v>308</v>
      </c>
      <c r="C19" s="19" t="s">
        <v>3743</v>
      </c>
      <c r="D19" s="19" t="s">
        <v>3744</v>
      </c>
      <c r="E19" s="2" t="s">
        <v>11</v>
      </c>
      <c r="F19" s="19"/>
    </row>
    <row r="20" ht="15.75" customHeight="1">
      <c r="A20" s="1">
        <v>7304006.0</v>
      </c>
      <c r="B20" s="2" t="s">
        <v>125</v>
      </c>
      <c r="C20" s="19" t="s">
        <v>3745</v>
      </c>
      <c r="D20" s="19" t="s">
        <v>3746</v>
      </c>
      <c r="E20" s="2" t="s">
        <v>11</v>
      </c>
      <c r="F20" s="19"/>
    </row>
    <row r="21" ht="15.75" customHeight="1">
      <c r="A21" s="1">
        <v>7383641.0</v>
      </c>
      <c r="B21" s="2" t="s">
        <v>1501</v>
      </c>
      <c r="C21" s="19" t="s">
        <v>3747</v>
      </c>
      <c r="D21" s="19"/>
      <c r="E21" s="2" t="s">
        <v>11</v>
      </c>
      <c r="F21" s="19"/>
    </row>
    <row r="22" ht="15.75" customHeight="1">
      <c r="A22" s="1">
        <v>7679733.0</v>
      </c>
      <c r="B22" s="2" t="s">
        <v>985</v>
      </c>
      <c r="C22" s="19" t="s">
        <v>3748</v>
      </c>
      <c r="D22" s="19" t="s">
        <v>3749</v>
      </c>
      <c r="E22" s="2" t="s">
        <v>11</v>
      </c>
      <c r="F22" s="19"/>
    </row>
    <row r="23" ht="15.75" customHeight="1">
      <c r="A23" s="1">
        <v>7699717.0</v>
      </c>
      <c r="B23" s="2" t="s">
        <v>449</v>
      </c>
      <c r="C23" s="19" t="s">
        <v>3750</v>
      </c>
      <c r="D23" s="19" t="s">
        <v>3751</v>
      </c>
      <c r="E23" s="2" t="s">
        <v>11</v>
      </c>
      <c r="F23" s="19"/>
    </row>
    <row r="24" ht="15.75" customHeight="1">
      <c r="A24" s="1">
        <v>7839597.0</v>
      </c>
      <c r="B24" s="2" t="s">
        <v>213</v>
      </c>
      <c r="C24" s="19" t="s">
        <v>3752</v>
      </c>
      <c r="D24" s="19" t="s">
        <v>3753</v>
      </c>
      <c r="E24" s="2" t="s">
        <v>11</v>
      </c>
      <c r="F24" s="19"/>
    </row>
    <row r="25" ht="15.75" customHeight="1">
      <c r="A25" s="1">
        <v>8005085.0</v>
      </c>
      <c r="B25" s="2" t="s">
        <v>237</v>
      </c>
      <c r="C25" s="19" t="s">
        <v>3754</v>
      </c>
      <c r="D25" s="19"/>
      <c r="E25" s="2" t="s">
        <v>11</v>
      </c>
      <c r="F25" s="19"/>
    </row>
    <row r="26" ht="15.75" customHeight="1">
      <c r="A26" s="1">
        <v>8040701.0</v>
      </c>
      <c r="B26" s="2" t="s">
        <v>478</v>
      </c>
      <c r="C26" s="19" t="s">
        <v>3755</v>
      </c>
      <c r="D26" s="19"/>
      <c r="E26" s="2" t="s">
        <v>11</v>
      </c>
      <c r="F26" s="19"/>
    </row>
    <row r="27" ht="15.75" customHeight="1">
      <c r="A27" s="1">
        <v>8067099.0</v>
      </c>
      <c r="B27" s="2" t="s">
        <v>104</v>
      </c>
      <c r="C27" s="19" t="s">
        <v>3756</v>
      </c>
      <c r="D27" s="19"/>
      <c r="E27" s="2" t="s">
        <v>11</v>
      </c>
      <c r="F27" s="19"/>
    </row>
    <row r="28" ht="15.75" customHeight="1">
      <c r="A28" s="1">
        <v>8123314.0</v>
      </c>
      <c r="B28" s="2" t="s">
        <v>676</v>
      </c>
      <c r="C28" s="19" t="s">
        <v>3757</v>
      </c>
      <c r="D28" s="19" t="s">
        <v>3758</v>
      </c>
      <c r="E28" s="2" t="s">
        <v>11</v>
      </c>
      <c r="F28" s="19"/>
    </row>
    <row r="29" ht="15.75" customHeight="1">
      <c r="A29" s="1">
        <v>8430681.0</v>
      </c>
      <c r="B29" s="2" t="s">
        <v>979</v>
      </c>
      <c r="C29" s="19" t="s">
        <v>3759</v>
      </c>
      <c r="D29" s="19"/>
      <c r="E29" s="2" t="s">
        <v>11</v>
      </c>
      <c r="F29" s="19"/>
    </row>
    <row r="30" ht="15.75" customHeight="1">
      <c r="A30" s="1">
        <v>8430696.0</v>
      </c>
      <c r="B30" s="2" t="s">
        <v>196</v>
      </c>
      <c r="C30" s="19" t="s">
        <v>3760</v>
      </c>
      <c r="D30" s="19"/>
      <c r="E30" s="9" t="s">
        <v>11</v>
      </c>
      <c r="F30" s="19"/>
    </row>
    <row r="31" ht="15.75" customHeight="1">
      <c r="A31" s="1">
        <v>8657698.0</v>
      </c>
      <c r="B31" s="2" t="s">
        <v>793</v>
      </c>
      <c r="C31" s="19" t="s">
        <v>4831</v>
      </c>
      <c r="D31" s="19" t="s">
        <v>4832</v>
      </c>
      <c r="E31" s="2" t="s">
        <v>537</v>
      </c>
      <c r="F31" s="19"/>
    </row>
    <row r="32" ht="15.75" customHeight="1">
      <c r="A32" s="1">
        <v>8980486.0</v>
      </c>
      <c r="B32" s="2" t="s">
        <v>813</v>
      </c>
      <c r="C32" s="19" t="s">
        <v>3761</v>
      </c>
      <c r="D32" s="19"/>
      <c r="E32" s="9" t="s">
        <v>11</v>
      </c>
      <c r="F32" s="19"/>
    </row>
    <row r="33" ht="15.75" customHeight="1">
      <c r="A33" s="1">
        <v>9041860.0</v>
      </c>
      <c r="B33" s="2" t="s">
        <v>686</v>
      </c>
      <c r="C33" s="19" t="s">
        <v>3663</v>
      </c>
      <c r="D33" s="19"/>
      <c r="E33" s="2" t="s">
        <v>59</v>
      </c>
      <c r="F33" s="19"/>
    </row>
    <row r="34" ht="15.75" customHeight="1">
      <c r="A34" s="1">
        <v>9054254.0</v>
      </c>
      <c r="B34" s="2" t="s">
        <v>1126</v>
      </c>
      <c r="C34" s="19" t="s">
        <v>3762</v>
      </c>
      <c r="D34" s="19" t="s">
        <v>3763</v>
      </c>
      <c r="E34" s="2" t="s">
        <v>11</v>
      </c>
      <c r="F34" s="19"/>
    </row>
    <row r="35" ht="15.75" customHeight="1">
      <c r="A35" s="1">
        <v>9076585.0</v>
      </c>
      <c r="B35" s="2" t="s">
        <v>376</v>
      </c>
      <c r="C35" s="19" t="s">
        <v>3764</v>
      </c>
      <c r="D35" s="19"/>
      <c r="E35" s="2" t="s">
        <v>11</v>
      </c>
      <c r="F35" s="19"/>
    </row>
    <row r="36" ht="15.75" customHeight="1">
      <c r="A36" s="1">
        <v>9139207.0</v>
      </c>
      <c r="B36" s="2" t="s">
        <v>1182</v>
      </c>
      <c r="C36" s="19" t="s">
        <v>3765</v>
      </c>
      <c r="D36" s="19"/>
      <c r="E36" s="9" t="s">
        <v>11</v>
      </c>
      <c r="F36" s="19"/>
    </row>
    <row r="37" ht="15.75" customHeight="1">
      <c r="A37" s="1">
        <v>9168994.0</v>
      </c>
      <c r="B37" s="2" t="s">
        <v>29</v>
      </c>
      <c r="C37" s="19" t="s">
        <v>3766</v>
      </c>
      <c r="D37" s="19" t="s">
        <v>3767</v>
      </c>
      <c r="E37" s="9" t="s">
        <v>11</v>
      </c>
      <c r="F37" s="19"/>
    </row>
    <row r="38" ht="15.75" customHeight="1">
      <c r="A38" s="1">
        <v>9187799.0</v>
      </c>
      <c r="B38" s="2" t="s">
        <v>1093</v>
      </c>
      <c r="C38" s="19" t="s">
        <v>3768</v>
      </c>
      <c r="D38" s="19"/>
      <c r="E38" s="2" t="s">
        <v>11</v>
      </c>
      <c r="F38" s="19"/>
    </row>
    <row r="39" ht="15.75" customHeight="1">
      <c r="A39" s="1">
        <v>9391137.0</v>
      </c>
      <c r="B39" s="2" t="s">
        <v>10</v>
      </c>
      <c r="C39" s="19" t="s">
        <v>3769</v>
      </c>
      <c r="D39" s="19" t="s">
        <v>3770</v>
      </c>
      <c r="E39" s="2" t="s">
        <v>11</v>
      </c>
      <c r="F39" s="19"/>
    </row>
    <row r="40" ht="15.75" customHeight="1">
      <c r="A40" s="1">
        <v>9959449.0</v>
      </c>
      <c r="B40" s="2" t="s">
        <v>33</v>
      </c>
      <c r="C40" s="19" t="s">
        <v>3771</v>
      </c>
      <c r="D40" s="19"/>
      <c r="E40" s="2" t="s">
        <v>11</v>
      </c>
      <c r="F40" s="19"/>
    </row>
    <row r="41" ht="15.75" customHeight="1">
      <c r="A41" s="1">
        <v>1.017094E7</v>
      </c>
      <c r="B41" s="2" t="s">
        <v>78</v>
      </c>
      <c r="C41" s="19" t="s">
        <v>3664</v>
      </c>
      <c r="D41" s="19" t="s">
        <v>3665</v>
      </c>
      <c r="E41" s="2" t="s">
        <v>59</v>
      </c>
      <c r="F41" s="19"/>
    </row>
    <row r="42" ht="15.75" customHeight="1">
      <c r="A42" s="1">
        <v>1.0557731E7</v>
      </c>
      <c r="B42" s="2" t="s">
        <v>290</v>
      </c>
      <c r="C42" s="19" t="s">
        <v>3772</v>
      </c>
      <c r="D42" s="19"/>
      <c r="E42" s="2" t="s">
        <v>11</v>
      </c>
      <c r="F42" s="19"/>
    </row>
    <row r="43" ht="15.75" customHeight="1">
      <c r="A43" s="1">
        <v>1.092387E7</v>
      </c>
      <c r="B43" s="2" t="s">
        <v>273</v>
      </c>
      <c r="C43" s="19" t="s">
        <v>3773</v>
      </c>
      <c r="D43" s="19" t="s">
        <v>3774</v>
      </c>
      <c r="E43" s="2" t="s">
        <v>11</v>
      </c>
      <c r="F43" s="19"/>
    </row>
    <row r="44" ht="15.75" customHeight="1">
      <c r="A44" s="1">
        <v>1.1248169E7</v>
      </c>
      <c r="B44" s="2" t="s">
        <v>948</v>
      </c>
      <c r="C44" s="19" t="s">
        <v>4833</v>
      </c>
      <c r="D44" s="19" t="s">
        <v>4834</v>
      </c>
      <c r="E44" s="2" t="s">
        <v>537</v>
      </c>
      <c r="F44" s="19"/>
    </row>
    <row r="45" ht="15.75" customHeight="1">
      <c r="A45" s="1">
        <v>1.1513122E7</v>
      </c>
      <c r="B45" s="2" t="s">
        <v>74</v>
      </c>
      <c r="C45" s="19" t="s">
        <v>3775</v>
      </c>
      <c r="D45" s="19" t="s">
        <v>3776</v>
      </c>
      <c r="E45" s="2" t="s">
        <v>11</v>
      </c>
      <c r="F45" s="19"/>
    </row>
    <row r="46" ht="15.75" customHeight="1">
      <c r="A46" s="1">
        <v>1.2004748E7</v>
      </c>
      <c r="B46" s="2" t="s">
        <v>65</v>
      </c>
      <c r="C46" s="19" t="s">
        <v>3651</v>
      </c>
      <c r="D46" s="19" t="s">
        <v>3652</v>
      </c>
      <c r="E46" s="2" t="s">
        <v>20</v>
      </c>
      <c r="F46" s="19"/>
    </row>
    <row r="47" ht="15.75" customHeight="1">
      <c r="A47" s="1">
        <v>1.2242168E7</v>
      </c>
      <c r="B47" s="2" t="s">
        <v>97</v>
      </c>
      <c r="C47" s="19" t="s">
        <v>3777</v>
      </c>
      <c r="D47" s="19" t="s">
        <v>3778</v>
      </c>
      <c r="E47" s="2" t="s">
        <v>11</v>
      </c>
      <c r="F47" s="19"/>
    </row>
    <row r="48" ht="15.75" customHeight="1">
      <c r="A48" s="1">
        <v>1.2412269E7</v>
      </c>
      <c r="B48" s="2" t="s">
        <v>17</v>
      </c>
      <c r="C48" s="19" t="s">
        <v>3779</v>
      </c>
      <c r="D48" s="19"/>
      <c r="E48" s="2" t="s">
        <v>11</v>
      </c>
      <c r="F48" s="19"/>
    </row>
    <row r="49" ht="15.75" customHeight="1">
      <c r="A49" s="1">
        <v>1.2507134E7</v>
      </c>
      <c r="B49" s="2" t="s">
        <v>274</v>
      </c>
      <c r="C49" s="19" t="s">
        <v>3780</v>
      </c>
      <c r="D49" s="19" t="s">
        <v>3781</v>
      </c>
      <c r="E49" s="2" t="s">
        <v>11</v>
      </c>
      <c r="F49" s="19"/>
    </row>
    <row r="50" ht="15.75" customHeight="1">
      <c r="A50" s="1">
        <v>1.2559029E7</v>
      </c>
      <c r="B50" s="2" t="s">
        <v>278</v>
      </c>
      <c r="C50" s="19" t="s">
        <v>3782</v>
      </c>
      <c r="D50" s="19" t="s">
        <v>3783</v>
      </c>
      <c r="E50" s="2" t="s">
        <v>11</v>
      </c>
      <c r="F50" s="19"/>
    </row>
    <row r="51" ht="15.75" customHeight="1">
      <c r="A51" s="1">
        <v>1.3991036E7</v>
      </c>
      <c r="B51" s="2" t="s">
        <v>75</v>
      </c>
      <c r="C51" s="19" t="s">
        <v>3784</v>
      </c>
      <c r="D51" s="19" t="s">
        <v>3785</v>
      </c>
      <c r="E51" s="2" t="s">
        <v>11</v>
      </c>
      <c r="F51" s="19"/>
    </row>
    <row r="52" ht="15.75" customHeight="1">
      <c r="A52" s="1">
        <v>1.6200946E7</v>
      </c>
      <c r="B52" s="2" t="s">
        <v>63</v>
      </c>
      <c r="C52" s="19" t="s">
        <v>3786</v>
      </c>
      <c r="D52" s="19" t="s">
        <v>3787</v>
      </c>
      <c r="E52" s="2" t="s">
        <v>11</v>
      </c>
      <c r="F52" s="19"/>
    </row>
    <row r="53" ht="15.75" customHeight="1">
      <c r="A53" s="1">
        <v>1.6617053E7</v>
      </c>
      <c r="B53" s="2" t="s">
        <v>53</v>
      </c>
      <c r="C53" s="19" t="s">
        <v>3788</v>
      </c>
      <c r="D53" s="19" t="s">
        <v>3789</v>
      </c>
      <c r="E53" s="2" t="s">
        <v>11</v>
      </c>
      <c r="F53" s="19"/>
    </row>
    <row r="54" ht="15.75" customHeight="1">
      <c r="A54" s="1">
        <v>1.6930202E7</v>
      </c>
      <c r="B54" s="2" t="s">
        <v>117</v>
      </c>
      <c r="C54" s="19" t="s">
        <v>3790</v>
      </c>
      <c r="D54" s="19"/>
      <c r="E54" s="2" t="s">
        <v>11</v>
      </c>
      <c r="F54" s="19"/>
    </row>
    <row r="55" ht="15.75" customHeight="1">
      <c r="A55" s="1">
        <v>1.7126323E7</v>
      </c>
      <c r="B55" s="2" t="s">
        <v>31</v>
      </c>
      <c r="C55" s="19" t="s">
        <v>3791</v>
      </c>
      <c r="D55" s="19" t="s">
        <v>3792</v>
      </c>
      <c r="E55" s="2" t="s">
        <v>11</v>
      </c>
      <c r="F55" s="19"/>
    </row>
    <row r="56" ht="15.75" customHeight="1">
      <c r="A56" s="1">
        <v>1.7886545E7</v>
      </c>
      <c r="B56" s="2" t="s">
        <v>100</v>
      </c>
      <c r="C56" s="19" t="s">
        <v>3793</v>
      </c>
      <c r="D56" s="19" t="s">
        <v>3794</v>
      </c>
      <c r="E56" s="2" t="s">
        <v>11</v>
      </c>
      <c r="F56" s="19"/>
    </row>
    <row r="57" ht="15.75" customHeight="1">
      <c r="A57" s="1">
        <v>1.8440385E7</v>
      </c>
      <c r="B57" s="2" t="s">
        <v>288</v>
      </c>
      <c r="C57" s="19" t="s">
        <v>3795</v>
      </c>
      <c r="D57" s="19" t="s">
        <v>3796</v>
      </c>
      <c r="E57" s="2" t="s">
        <v>11</v>
      </c>
      <c r="F57" s="19"/>
    </row>
    <row r="58" ht="15.75" customHeight="1">
      <c r="A58" s="1">
        <v>2.043782E7</v>
      </c>
      <c r="B58" s="2" t="s">
        <v>90</v>
      </c>
      <c r="C58" s="19" t="s">
        <v>3797</v>
      </c>
      <c r="D58" s="19"/>
      <c r="E58" s="2" t="s">
        <v>11</v>
      </c>
      <c r="F58" s="19"/>
    </row>
    <row r="59" ht="15.75" customHeight="1">
      <c r="A59" s="1">
        <v>2.2562925E7</v>
      </c>
      <c r="B59" s="2" t="s">
        <v>58</v>
      </c>
      <c r="C59" s="19" t="s">
        <v>3666</v>
      </c>
      <c r="D59" s="19"/>
      <c r="E59" s="2" t="s">
        <v>59</v>
      </c>
      <c r="F59" s="19"/>
    </row>
    <row r="60" ht="15.75" customHeight="1">
      <c r="A60" s="1">
        <v>2.3062636E7</v>
      </c>
      <c r="B60" s="2" t="s">
        <v>268</v>
      </c>
      <c r="C60" s="19" t="s">
        <v>3798</v>
      </c>
      <c r="D60" s="19" t="s">
        <v>3799</v>
      </c>
      <c r="E60" s="2" t="s">
        <v>11</v>
      </c>
      <c r="F60" s="19"/>
    </row>
    <row r="61" ht="15.75" customHeight="1">
      <c r="A61" s="1">
        <v>2.3984516E7</v>
      </c>
      <c r="B61" s="2" t="s">
        <v>271</v>
      </c>
      <c r="C61" s="19" t="s">
        <v>3800</v>
      </c>
      <c r="D61" s="19" t="s">
        <v>3801</v>
      </c>
      <c r="E61" s="2" t="s">
        <v>11</v>
      </c>
      <c r="F61" s="19"/>
    </row>
    <row r="62" ht="15.75" customHeight="1">
      <c r="A62" s="1">
        <v>2.4450595E7</v>
      </c>
      <c r="B62" s="2" t="s">
        <v>95</v>
      </c>
      <c r="C62" s="19" t="s">
        <v>3802</v>
      </c>
      <c r="D62" s="19"/>
      <c r="E62" s="2" t="s">
        <v>11</v>
      </c>
      <c r="F62" s="19"/>
    </row>
    <row r="63" ht="15.75" customHeight="1">
      <c r="A63" s="1">
        <v>2.4808967E7</v>
      </c>
      <c r="B63" s="2" t="s">
        <v>68</v>
      </c>
      <c r="C63" s="19" t="s">
        <v>3803</v>
      </c>
      <c r="D63" s="19"/>
      <c r="E63" s="2" t="s">
        <v>11</v>
      </c>
      <c r="F63" s="19"/>
    </row>
    <row r="64" ht="15.75" customHeight="1">
      <c r="A64" s="12">
        <v>2.6655087E7</v>
      </c>
      <c r="B64" s="10" t="s">
        <v>43</v>
      </c>
      <c r="C64" s="19" t="s">
        <v>3804</v>
      </c>
      <c r="D64" s="19"/>
      <c r="E64" s="10" t="s">
        <v>11</v>
      </c>
      <c r="F64" s="19"/>
      <c r="G64" s="12"/>
    </row>
    <row r="65" ht="15.75" customHeight="1">
      <c r="A65" s="1">
        <v>2.9386945E7</v>
      </c>
      <c r="B65" s="2" t="s">
        <v>105</v>
      </c>
      <c r="C65" s="19" t="s">
        <v>3805</v>
      </c>
      <c r="D65" s="19"/>
      <c r="E65" s="2" t="s">
        <v>11</v>
      </c>
      <c r="F65" s="19"/>
    </row>
    <row r="66" ht="15.75" customHeight="1">
      <c r="A66" s="1">
        <v>3.0193726E7</v>
      </c>
      <c r="B66" s="2" t="s">
        <v>280</v>
      </c>
      <c r="C66" s="19" t="s">
        <v>3806</v>
      </c>
      <c r="D66" s="19"/>
      <c r="E66" s="2" t="s">
        <v>11</v>
      </c>
      <c r="F66" s="19"/>
    </row>
    <row r="67" ht="15.75" customHeight="1">
      <c r="A67" s="1">
        <v>3.1052944E7</v>
      </c>
      <c r="B67" s="2" t="s">
        <v>276</v>
      </c>
      <c r="C67" s="19" t="s">
        <v>3807</v>
      </c>
      <c r="D67" s="19" t="s">
        <v>3808</v>
      </c>
      <c r="E67" s="2" t="s">
        <v>11</v>
      </c>
      <c r="F67" s="19"/>
    </row>
    <row r="68" ht="15.75" customHeight="1">
      <c r="A68" s="1">
        <v>3.2747702E7</v>
      </c>
      <c r="B68" s="2" t="s">
        <v>536</v>
      </c>
      <c r="C68" s="19" t="s">
        <v>4835</v>
      </c>
      <c r="D68" s="19"/>
      <c r="E68" s="2" t="s">
        <v>537</v>
      </c>
      <c r="F68" s="19"/>
    </row>
    <row r="69" ht="15.75" customHeight="1">
      <c r="A69" s="1">
        <v>3.4179466E7</v>
      </c>
      <c r="B69" s="2" t="s">
        <v>47</v>
      </c>
      <c r="C69" s="19" t="s">
        <v>3809</v>
      </c>
      <c r="D69" s="19"/>
      <c r="E69" s="2" t="s">
        <v>11</v>
      </c>
      <c r="F69" s="19"/>
    </row>
    <row r="70" ht="15.75" customHeight="1">
      <c r="A70" s="1">
        <v>3.4292278E7</v>
      </c>
      <c r="B70" s="2" t="s">
        <v>291</v>
      </c>
      <c r="C70" s="19" t="s">
        <v>3810</v>
      </c>
      <c r="D70" s="19" t="s">
        <v>3811</v>
      </c>
      <c r="E70" s="2" t="s">
        <v>11</v>
      </c>
      <c r="F70" s="19"/>
    </row>
    <row r="71" ht="15.75" customHeight="1">
      <c r="A71" s="1">
        <v>3.4341952E7</v>
      </c>
      <c r="B71" s="2" t="s">
        <v>27</v>
      </c>
      <c r="C71" s="19" t="s">
        <v>3812</v>
      </c>
      <c r="D71" s="19" t="s">
        <v>3813</v>
      </c>
      <c r="E71" s="2" t="s">
        <v>11</v>
      </c>
      <c r="F71" s="19"/>
    </row>
    <row r="72" ht="15.75" customHeight="1">
      <c r="A72" s="1">
        <v>3.4510911E7</v>
      </c>
      <c r="B72" s="2" t="s">
        <v>386</v>
      </c>
      <c r="C72" s="19" t="s">
        <v>3814</v>
      </c>
      <c r="D72" s="19" t="s">
        <v>3815</v>
      </c>
      <c r="E72" s="2" t="s">
        <v>11</v>
      </c>
      <c r="F72" s="19"/>
    </row>
    <row r="73" ht="15.75" customHeight="1">
      <c r="A73" s="1">
        <v>3.4963112E7</v>
      </c>
      <c r="B73" s="2" t="s">
        <v>286</v>
      </c>
      <c r="C73" s="19" t="s">
        <v>3816</v>
      </c>
      <c r="D73" s="19" t="s">
        <v>3817</v>
      </c>
      <c r="E73" s="2" t="s">
        <v>11</v>
      </c>
      <c r="F73" s="19"/>
    </row>
    <row r="74" ht="15.75" customHeight="1">
      <c r="A74" s="1">
        <v>3.5609644E7</v>
      </c>
      <c r="B74" s="2" t="s">
        <v>399</v>
      </c>
      <c r="C74" s="19" t="s">
        <v>3818</v>
      </c>
      <c r="D74" s="19" t="s">
        <v>3819</v>
      </c>
      <c r="E74" s="2" t="s">
        <v>11</v>
      </c>
      <c r="F74" s="19"/>
    </row>
    <row r="75" ht="15.75" customHeight="1">
      <c r="A75" s="1">
        <v>3.7196287E7</v>
      </c>
      <c r="B75" s="2" t="s">
        <v>24</v>
      </c>
      <c r="C75" s="19" t="s">
        <v>3820</v>
      </c>
      <c r="D75" s="19" t="s">
        <v>3821</v>
      </c>
      <c r="E75" s="2" t="s">
        <v>11</v>
      </c>
      <c r="F75" s="19"/>
    </row>
    <row r="76" ht="15.75" customHeight="1">
      <c r="A76" s="1">
        <v>3.7481142E7</v>
      </c>
      <c r="B76" s="2" t="s">
        <v>80</v>
      </c>
      <c r="C76" s="19" t="s">
        <v>3822</v>
      </c>
      <c r="D76" s="19"/>
      <c r="E76" s="2" t="s">
        <v>11</v>
      </c>
      <c r="F76" s="19"/>
    </row>
    <row r="77" ht="15.75" customHeight="1">
      <c r="A77" s="1">
        <v>3.7816734E7</v>
      </c>
      <c r="B77" s="2" t="s">
        <v>46</v>
      </c>
      <c r="C77" s="19" t="s">
        <v>3823</v>
      </c>
      <c r="D77" s="19"/>
      <c r="E77" s="2" t="s">
        <v>11</v>
      </c>
      <c r="F77" s="19"/>
    </row>
    <row r="78" ht="15.75" customHeight="1">
      <c r="A78" s="1">
        <v>3.8951765E7</v>
      </c>
      <c r="B78" s="2" t="s">
        <v>71</v>
      </c>
      <c r="C78" s="19" t="s">
        <v>4801</v>
      </c>
      <c r="D78" s="19" t="s">
        <v>4802</v>
      </c>
      <c r="E78" s="2" t="s">
        <v>72</v>
      </c>
      <c r="F78" s="19"/>
    </row>
    <row r="79" ht="15.75" customHeight="1">
      <c r="A79" s="1">
        <v>3.9232599E7</v>
      </c>
      <c r="B79" s="2" t="s">
        <v>26</v>
      </c>
      <c r="C79" s="19" t="s">
        <v>3824</v>
      </c>
      <c r="D79" s="19" t="s">
        <v>3825</v>
      </c>
      <c r="E79" s="2" t="s">
        <v>11</v>
      </c>
      <c r="F79" s="19"/>
    </row>
    <row r="80" ht="15.75" customHeight="1">
      <c r="A80" s="1">
        <v>3.9488461E7</v>
      </c>
      <c r="B80" s="2" t="s">
        <v>40</v>
      </c>
      <c r="C80" s="19" t="s">
        <v>3826</v>
      </c>
      <c r="D80" s="19" t="s">
        <v>3827</v>
      </c>
      <c r="E80" s="2" t="s">
        <v>11</v>
      </c>
      <c r="F80" s="19"/>
    </row>
    <row r="81" ht="15.75" customHeight="1">
      <c r="A81" s="1">
        <v>3.94902E7</v>
      </c>
      <c r="B81" s="2" t="s">
        <v>39</v>
      </c>
      <c r="C81" s="19" t="s">
        <v>3828</v>
      </c>
      <c r="D81" s="19" t="s">
        <v>3829</v>
      </c>
      <c r="E81" s="2" t="s">
        <v>11</v>
      </c>
      <c r="F81" s="19"/>
    </row>
    <row r="82" ht="15.75" customHeight="1">
      <c r="A82" s="1">
        <v>3.9493708E7</v>
      </c>
      <c r="B82" s="2" t="s">
        <v>52</v>
      </c>
      <c r="C82" s="19" t="s">
        <v>3830</v>
      </c>
      <c r="D82" s="19" t="s">
        <v>3831</v>
      </c>
      <c r="E82" s="2" t="s">
        <v>11</v>
      </c>
      <c r="F82" s="19"/>
    </row>
    <row r="83" ht="15.75" customHeight="1">
      <c r="A83" s="1">
        <v>4.0159662E7</v>
      </c>
      <c r="B83" s="2" t="s">
        <v>15</v>
      </c>
      <c r="C83" s="19" t="s">
        <v>3832</v>
      </c>
      <c r="D83" s="19" t="s">
        <v>3833</v>
      </c>
      <c r="E83" s="2" t="s">
        <v>11</v>
      </c>
      <c r="F83" s="19"/>
    </row>
    <row r="84" ht="15.75" customHeight="1">
      <c r="A84" s="1">
        <v>4.1002487E7</v>
      </c>
      <c r="B84" s="2" t="s">
        <v>77</v>
      </c>
      <c r="C84" s="19" t="s">
        <v>3834</v>
      </c>
      <c r="D84" s="19"/>
      <c r="E84" s="2" t="s">
        <v>11</v>
      </c>
      <c r="F84" s="19"/>
    </row>
    <row r="85" ht="15.75" customHeight="1">
      <c r="A85" s="1">
        <v>4.1438021E7</v>
      </c>
      <c r="B85" s="2" t="s">
        <v>193</v>
      </c>
      <c r="C85" s="19" t="s">
        <v>3835</v>
      </c>
      <c r="D85" s="19" t="s">
        <v>3836</v>
      </c>
      <c r="E85" s="2" t="s">
        <v>11</v>
      </c>
      <c r="F85" s="19"/>
    </row>
    <row r="86" ht="15.75" customHeight="1">
      <c r="A86" s="1">
        <v>4.1467659E7</v>
      </c>
      <c r="B86" s="2" t="s">
        <v>866</v>
      </c>
      <c r="C86" s="19" t="s">
        <v>4803</v>
      </c>
      <c r="D86" s="19" t="s">
        <v>4804</v>
      </c>
      <c r="E86" s="2" t="s">
        <v>72</v>
      </c>
      <c r="F86" s="19"/>
    </row>
    <row r="87" ht="15.75" customHeight="1">
      <c r="A87" s="1">
        <v>4.1469924E7</v>
      </c>
      <c r="B87" s="2" t="s">
        <v>477</v>
      </c>
      <c r="C87" s="19" t="s">
        <v>3837</v>
      </c>
      <c r="D87" s="19"/>
      <c r="E87" s="2" t="s">
        <v>11</v>
      </c>
      <c r="F87" s="19"/>
    </row>
    <row r="88" ht="15.75" customHeight="1">
      <c r="A88" s="1">
        <v>4.148405E7</v>
      </c>
      <c r="B88" s="2" t="s">
        <v>187</v>
      </c>
      <c r="C88" s="19" t="s">
        <v>3838</v>
      </c>
      <c r="D88" s="19"/>
      <c r="E88" s="2" t="s">
        <v>11</v>
      </c>
      <c r="F88" s="19"/>
    </row>
    <row r="89" ht="15.75" customHeight="1">
      <c r="A89" s="1">
        <v>4.1542609E7</v>
      </c>
      <c r="B89" s="2" t="s">
        <v>292</v>
      </c>
      <c r="C89" s="19" t="s">
        <v>3839</v>
      </c>
      <c r="D89" s="19"/>
      <c r="E89" s="2" t="s">
        <v>11</v>
      </c>
      <c r="F89" s="19"/>
    </row>
    <row r="90" ht="15.75" customHeight="1">
      <c r="A90" s="1">
        <v>4.1574944E7</v>
      </c>
      <c r="B90" s="2" t="s">
        <v>1134</v>
      </c>
      <c r="C90" s="19" t="s">
        <v>3840</v>
      </c>
      <c r="D90" s="19"/>
      <c r="E90" s="2" t="s">
        <v>11</v>
      </c>
      <c r="F90" s="19"/>
    </row>
    <row r="91" ht="15.75" customHeight="1">
      <c r="A91" s="1">
        <v>4.1577382E7</v>
      </c>
      <c r="B91" s="2" t="s">
        <v>218</v>
      </c>
      <c r="C91" s="19" t="s">
        <v>3841</v>
      </c>
      <c r="D91" s="19"/>
      <c r="E91" s="2" t="s">
        <v>11</v>
      </c>
      <c r="F91" s="19"/>
    </row>
    <row r="92" ht="15.75" customHeight="1">
      <c r="A92" s="1">
        <v>4.1580358E7</v>
      </c>
      <c r="B92" s="2" t="s">
        <v>471</v>
      </c>
      <c r="C92" s="19" t="s">
        <v>3842</v>
      </c>
      <c r="D92" s="19"/>
      <c r="E92" s="2" t="s">
        <v>11</v>
      </c>
      <c r="F92" s="19"/>
    </row>
    <row r="93" ht="15.75" customHeight="1">
      <c r="A93" s="1">
        <v>4.1638663E7</v>
      </c>
      <c r="B93" s="2" t="s">
        <v>523</v>
      </c>
      <c r="C93" s="19" t="s">
        <v>3843</v>
      </c>
      <c r="D93" s="19" t="s">
        <v>3844</v>
      </c>
      <c r="E93" s="2" t="s">
        <v>11</v>
      </c>
      <c r="F93" s="19"/>
    </row>
    <row r="94" ht="15.75" customHeight="1">
      <c r="A94" s="1">
        <v>4.1645111E7</v>
      </c>
      <c r="B94" s="2" t="s">
        <v>999</v>
      </c>
      <c r="C94" s="19" t="s">
        <v>3845</v>
      </c>
      <c r="D94" s="19" t="s">
        <v>3846</v>
      </c>
      <c r="E94" s="2" t="s">
        <v>11</v>
      </c>
      <c r="F94" s="19"/>
    </row>
    <row r="95" ht="15.75" customHeight="1">
      <c r="A95" s="1">
        <v>4.1652958E7</v>
      </c>
      <c r="B95" s="2" t="s">
        <v>533</v>
      </c>
      <c r="C95" s="19" t="s">
        <v>3847</v>
      </c>
      <c r="D95" s="19"/>
      <c r="E95" s="2" t="s">
        <v>11</v>
      </c>
      <c r="F95" s="19"/>
    </row>
    <row r="96" ht="15.75" customHeight="1">
      <c r="A96" s="1">
        <v>4.1679881E7</v>
      </c>
      <c r="B96" s="2" t="s">
        <v>257</v>
      </c>
      <c r="C96" s="19" t="s">
        <v>3667</v>
      </c>
      <c r="D96" s="19" t="s">
        <v>3668</v>
      </c>
      <c r="E96" s="2" t="s">
        <v>59</v>
      </c>
      <c r="F96" s="19"/>
    </row>
    <row r="97" ht="15.75" customHeight="1">
      <c r="A97" s="1">
        <v>4.1733883E7</v>
      </c>
      <c r="B97" s="2" t="s">
        <v>662</v>
      </c>
      <c r="C97" s="19" t="s">
        <v>3848</v>
      </c>
      <c r="D97" s="19"/>
      <c r="E97" s="2" t="s">
        <v>11</v>
      </c>
      <c r="F97" s="19"/>
    </row>
    <row r="98" ht="15.75" customHeight="1">
      <c r="A98" s="1">
        <v>4.1749324E7</v>
      </c>
      <c r="B98" s="2" t="s">
        <v>1775</v>
      </c>
      <c r="C98" s="19" t="s">
        <v>3849</v>
      </c>
      <c r="D98" s="19"/>
      <c r="E98" s="2" t="s">
        <v>11</v>
      </c>
      <c r="F98" s="19"/>
    </row>
    <row r="99" ht="15.75" customHeight="1">
      <c r="A99" s="1">
        <v>4.1755842E7</v>
      </c>
      <c r="B99" s="2" t="s">
        <v>1330</v>
      </c>
      <c r="C99" s="19" t="s">
        <v>3850</v>
      </c>
      <c r="D99" s="19"/>
      <c r="E99" s="2" t="s">
        <v>11</v>
      </c>
      <c r="F99" s="19"/>
    </row>
    <row r="100" ht="15.75" customHeight="1">
      <c r="A100" s="1">
        <v>4.1800137E7</v>
      </c>
      <c r="B100" s="2" t="s">
        <v>865</v>
      </c>
      <c r="C100" s="19" t="s">
        <v>4784</v>
      </c>
      <c r="D100" s="19"/>
      <c r="E100" s="2" t="s">
        <v>86</v>
      </c>
      <c r="F100" s="19"/>
    </row>
    <row r="101" ht="15.75" customHeight="1">
      <c r="A101" s="1">
        <v>4.1803929E7</v>
      </c>
      <c r="B101" s="2" t="s">
        <v>1204</v>
      </c>
      <c r="C101" s="19" t="s">
        <v>3851</v>
      </c>
      <c r="D101" s="19" t="s">
        <v>3852</v>
      </c>
      <c r="E101" s="2" t="s">
        <v>11</v>
      </c>
      <c r="F101" s="19"/>
    </row>
    <row r="102" ht="15.75" customHeight="1">
      <c r="A102" s="1">
        <v>4.180658E7</v>
      </c>
      <c r="B102" s="2" t="s">
        <v>142</v>
      </c>
      <c r="C102" s="19" t="s">
        <v>3853</v>
      </c>
      <c r="D102" s="19"/>
      <c r="E102" s="2" t="s">
        <v>11</v>
      </c>
      <c r="F102" s="19"/>
    </row>
    <row r="103" ht="15.75" customHeight="1">
      <c r="A103" s="1">
        <v>4.1813166E7</v>
      </c>
      <c r="B103" s="2" t="s">
        <v>532</v>
      </c>
      <c r="C103" s="19" t="s">
        <v>3669</v>
      </c>
      <c r="D103" s="19" t="s">
        <v>3670</v>
      </c>
      <c r="E103" s="2" t="s">
        <v>59</v>
      </c>
      <c r="F103" s="19"/>
    </row>
    <row r="104" ht="15.75" customHeight="1">
      <c r="A104" s="1">
        <v>4.1838629E7</v>
      </c>
      <c r="B104" s="2" t="s">
        <v>504</v>
      </c>
      <c r="C104" s="19" t="s">
        <v>3854</v>
      </c>
      <c r="D104" s="19"/>
      <c r="E104" s="2" t="s">
        <v>11</v>
      </c>
      <c r="F104" s="19"/>
    </row>
    <row r="105" ht="15.75" customHeight="1">
      <c r="A105" s="1">
        <v>4.1842171E7</v>
      </c>
      <c r="B105" s="2" t="s">
        <v>622</v>
      </c>
      <c r="C105" s="19" t="s">
        <v>3855</v>
      </c>
      <c r="D105" s="19"/>
      <c r="E105" s="2" t="s">
        <v>11</v>
      </c>
      <c r="F105" s="19"/>
    </row>
    <row r="106" ht="15.75" customHeight="1">
      <c r="A106" s="1">
        <v>4.1860322E7</v>
      </c>
      <c r="B106" s="2" t="s">
        <v>1056</v>
      </c>
      <c r="C106" s="19" t="s">
        <v>3856</v>
      </c>
      <c r="D106" s="19" t="s">
        <v>3857</v>
      </c>
      <c r="E106" s="2" t="s">
        <v>11</v>
      </c>
      <c r="F106" s="19"/>
    </row>
    <row r="107" ht="15.75" customHeight="1">
      <c r="A107" s="1">
        <v>4.1867303E7</v>
      </c>
      <c r="B107" s="2" t="s">
        <v>1030</v>
      </c>
      <c r="C107" s="19" t="s">
        <v>3858</v>
      </c>
      <c r="D107" s="19" t="s">
        <v>3859</v>
      </c>
      <c r="E107" s="2" t="s">
        <v>11</v>
      </c>
      <c r="F107" s="19"/>
    </row>
    <row r="108" ht="15.75" customHeight="1">
      <c r="A108" s="1">
        <v>4.1881534E7</v>
      </c>
      <c r="B108" s="2" t="s">
        <v>1432</v>
      </c>
      <c r="C108" s="19" t="s">
        <v>3860</v>
      </c>
      <c r="D108" s="19"/>
      <c r="E108" s="2" t="s">
        <v>11</v>
      </c>
      <c r="F108" s="19"/>
    </row>
    <row r="109" ht="15.75" customHeight="1">
      <c r="A109" s="1">
        <v>4.1883521E7</v>
      </c>
      <c r="B109" s="2" t="s">
        <v>171</v>
      </c>
      <c r="C109" s="19" t="s">
        <v>3861</v>
      </c>
      <c r="D109" s="19"/>
      <c r="E109" s="2" t="s">
        <v>11</v>
      </c>
      <c r="F109" s="19"/>
    </row>
    <row r="110" ht="15.75" customHeight="1">
      <c r="A110" s="1">
        <v>4.1886336E7</v>
      </c>
      <c r="B110" s="2" t="s">
        <v>1303</v>
      </c>
      <c r="C110" s="19" t="s">
        <v>3862</v>
      </c>
      <c r="D110" s="19"/>
      <c r="E110" s="2" t="s">
        <v>11</v>
      </c>
      <c r="F110" s="19"/>
    </row>
    <row r="111" ht="15.75" customHeight="1">
      <c r="A111" s="1">
        <v>4.1904477E7</v>
      </c>
      <c r="B111" s="2" t="s">
        <v>915</v>
      </c>
      <c r="C111" s="19" t="s">
        <v>3863</v>
      </c>
      <c r="D111" s="19" t="s">
        <v>3864</v>
      </c>
      <c r="E111" s="2" t="s">
        <v>11</v>
      </c>
      <c r="F111" s="19"/>
    </row>
    <row r="112" ht="15.75" customHeight="1">
      <c r="A112" s="1">
        <v>4.1905258E7</v>
      </c>
      <c r="B112" s="2" t="s">
        <v>715</v>
      </c>
      <c r="C112" s="19" t="s">
        <v>3865</v>
      </c>
      <c r="D112" s="19"/>
      <c r="E112" s="2" t="s">
        <v>11</v>
      </c>
      <c r="F112" s="19"/>
    </row>
    <row r="113" ht="15.75" customHeight="1">
      <c r="A113" s="1">
        <v>4.1920583E7</v>
      </c>
      <c r="B113" s="2" t="s">
        <v>2043</v>
      </c>
      <c r="C113" s="19" t="s">
        <v>3866</v>
      </c>
      <c r="D113" s="19"/>
      <c r="E113" s="2" t="s">
        <v>11</v>
      </c>
      <c r="F113" s="19"/>
    </row>
    <row r="114" ht="15.75" customHeight="1">
      <c r="A114" s="1">
        <v>4.1935351E7</v>
      </c>
      <c r="B114" s="2" t="s">
        <v>138</v>
      </c>
      <c r="C114" s="19" t="s">
        <v>3867</v>
      </c>
      <c r="D114" s="19" t="s">
        <v>3868</v>
      </c>
      <c r="E114" s="2" t="s">
        <v>11</v>
      </c>
      <c r="F114" s="19"/>
    </row>
    <row r="115" ht="15.75" customHeight="1">
      <c r="A115" s="1">
        <v>4.1944876E7</v>
      </c>
      <c r="B115" s="2" t="s">
        <v>581</v>
      </c>
      <c r="C115" s="19" t="s">
        <v>3869</v>
      </c>
      <c r="D115" s="19"/>
      <c r="E115" s="2" t="s">
        <v>11</v>
      </c>
      <c r="F115" s="19"/>
    </row>
    <row r="116" ht="15.75" customHeight="1">
      <c r="A116" s="1">
        <v>4.1945601E7</v>
      </c>
      <c r="B116" s="2" t="s">
        <v>1765</v>
      </c>
      <c r="C116" s="19" t="s">
        <v>3870</v>
      </c>
      <c r="D116" s="19" t="s">
        <v>3871</v>
      </c>
      <c r="E116" s="9" t="s">
        <v>11</v>
      </c>
      <c r="F116" s="19"/>
    </row>
    <row r="117" ht="15.75" customHeight="1">
      <c r="A117" s="1">
        <v>4.1980071E7</v>
      </c>
      <c r="B117" s="2" t="s">
        <v>809</v>
      </c>
      <c r="C117" s="19" t="s">
        <v>3872</v>
      </c>
      <c r="D117" s="19"/>
      <c r="E117" s="2" t="s">
        <v>11</v>
      </c>
      <c r="F117" s="19"/>
    </row>
    <row r="118" ht="15.75" customHeight="1">
      <c r="A118" s="1">
        <v>4.1983737E7</v>
      </c>
      <c r="B118" s="2" t="s">
        <v>1144</v>
      </c>
      <c r="C118" s="19" t="s">
        <v>3873</v>
      </c>
      <c r="D118" s="19"/>
      <c r="E118" s="2" t="s">
        <v>11</v>
      </c>
      <c r="F118" s="19"/>
    </row>
    <row r="119" ht="15.75" customHeight="1">
      <c r="A119" s="1">
        <v>4.1984603E7</v>
      </c>
      <c r="B119" s="2" t="s">
        <v>1638</v>
      </c>
      <c r="C119" s="19" t="s">
        <v>3874</v>
      </c>
      <c r="D119" s="19" t="s">
        <v>3875</v>
      </c>
      <c r="E119" s="2" t="s">
        <v>11</v>
      </c>
      <c r="F119" s="19"/>
    </row>
    <row r="120" ht="15.75" customHeight="1">
      <c r="A120" s="1">
        <v>4.1987911E7</v>
      </c>
      <c r="B120" s="2" t="s">
        <v>2182</v>
      </c>
      <c r="C120" s="19" t="s">
        <v>3876</v>
      </c>
      <c r="D120" s="19"/>
      <c r="E120" s="2" t="s">
        <v>11</v>
      </c>
      <c r="F120" s="19"/>
    </row>
    <row r="121" ht="15.75" customHeight="1">
      <c r="A121" s="1">
        <v>4.1994114E7</v>
      </c>
      <c r="B121" s="2" t="s">
        <v>857</v>
      </c>
      <c r="C121" s="19" t="s">
        <v>3877</v>
      </c>
      <c r="D121" s="19"/>
      <c r="E121" s="2" t="s">
        <v>11</v>
      </c>
      <c r="F121" s="19"/>
    </row>
    <row r="122" ht="15.75" customHeight="1">
      <c r="A122" s="1">
        <v>4.2006707E7</v>
      </c>
      <c r="B122" s="2" t="s">
        <v>1449</v>
      </c>
      <c r="C122" s="19" t="s">
        <v>3878</v>
      </c>
      <c r="D122" s="19" t="s">
        <v>3879</v>
      </c>
      <c r="E122" s="2" t="s">
        <v>11</v>
      </c>
      <c r="F122" s="19"/>
    </row>
    <row r="123" ht="15.75" customHeight="1">
      <c r="A123" s="1">
        <v>4.2010994E7</v>
      </c>
      <c r="B123" s="2" t="s">
        <v>960</v>
      </c>
      <c r="C123" s="19" t="s">
        <v>3880</v>
      </c>
      <c r="D123" s="19" t="s">
        <v>3881</v>
      </c>
      <c r="E123" s="2" t="s">
        <v>11</v>
      </c>
      <c r="F123" s="19"/>
    </row>
    <row r="124" ht="15.75" customHeight="1">
      <c r="A124" s="1">
        <v>4.2020377E7</v>
      </c>
      <c r="B124" s="2" t="s">
        <v>225</v>
      </c>
      <c r="C124" s="19" t="s">
        <v>3882</v>
      </c>
      <c r="D124" s="19" t="s">
        <v>3883</v>
      </c>
      <c r="E124" s="2" t="s">
        <v>11</v>
      </c>
      <c r="F124" s="19"/>
    </row>
    <row r="125" ht="15.75" customHeight="1">
      <c r="A125" s="1">
        <v>4.2024359E7</v>
      </c>
      <c r="B125" s="2" t="s">
        <v>293</v>
      </c>
      <c r="C125" s="19" t="s">
        <v>3884</v>
      </c>
      <c r="D125" s="19"/>
      <c r="E125" s="2" t="s">
        <v>11</v>
      </c>
      <c r="F125" s="19"/>
    </row>
    <row r="126" ht="15.75" customHeight="1">
      <c r="A126" s="1">
        <v>4.2053998E7</v>
      </c>
      <c r="B126" s="2" t="s">
        <v>358</v>
      </c>
      <c r="C126" s="19" t="s">
        <v>3885</v>
      </c>
      <c r="D126" s="19" t="s">
        <v>3886</v>
      </c>
      <c r="E126" s="2" t="s">
        <v>11</v>
      </c>
      <c r="F126" s="19"/>
    </row>
    <row r="127" ht="15.75" customHeight="1">
      <c r="A127" s="1">
        <v>4.2073424E7</v>
      </c>
      <c r="B127" s="2" t="s">
        <v>503</v>
      </c>
      <c r="C127" s="19" t="s">
        <v>3887</v>
      </c>
      <c r="D127" s="19"/>
      <c r="E127" s="2" t="s">
        <v>11</v>
      </c>
      <c r="F127" s="19"/>
    </row>
    <row r="128" ht="15.75" customHeight="1">
      <c r="A128" s="1">
        <v>4.2106471E7</v>
      </c>
      <c r="B128" s="2" t="s">
        <v>2089</v>
      </c>
      <c r="C128" s="19" t="s">
        <v>3888</v>
      </c>
      <c r="D128" s="19"/>
      <c r="E128" s="2" t="s">
        <v>11</v>
      </c>
      <c r="F128" s="19"/>
    </row>
    <row r="129" ht="15.75" customHeight="1">
      <c r="A129" s="1">
        <v>4.2121564E7</v>
      </c>
      <c r="B129" s="2" t="s">
        <v>259</v>
      </c>
      <c r="C129" s="19" t="s">
        <v>3889</v>
      </c>
      <c r="D129" s="19"/>
      <c r="E129" s="2" t="s">
        <v>11</v>
      </c>
      <c r="F129" s="19"/>
    </row>
    <row r="130" ht="15.75" customHeight="1">
      <c r="A130" s="1">
        <v>4.2145093E7</v>
      </c>
      <c r="B130" s="2" t="s">
        <v>941</v>
      </c>
      <c r="C130" s="19" t="s">
        <v>3890</v>
      </c>
      <c r="D130" s="19"/>
      <c r="E130" s="2" t="s">
        <v>11</v>
      </c>
      <c r="F130" s="19"/>
    </row>
    <row r="131" ht="15.75" customHeight="1">
      <c r="A131" s="1">
        <v>4.2148587E7</v>
      </c>
      <c r="B131" s="2" t="s">
        <v>400</v>
      </c>
      <c r="C131" s="19" t="s">
        <v>3891</v>
      </c>
      <c r="D131" s="19"/>
      <c r="E131" s="2" t="s">
        <v>11</v>
      </c>
      <c r="F131" s="19"/>
    </row>
    <row r="132" ht="15.75" customHeight="1">
      <c r="A132" s="1">
        <v>4.2169656E7</v>
      </c>
      <c r="B132" s="2" t="s">
        <v>336</v>
      </c>
      <c r="C132" s="19" t="s">
        <v>3892</v>
      </c>
      <c r="D132" s="19"/>
      <c r="E132" s="2" t="s">
        <v>11</v>
      </c>
      <c r="F132" s="19"/>
    </row>
    <row r="133" ht="15.75" customHeight="1">
      <c r="A133" s="1">
        <v>4.2170805E7</v>
      </c>
      <c r="B133" s="2" t="s">
        <v>1709</v>
      </c>
      <c r="C133" s="19" t="s">
        <v>3893</v>
      </c>
      <c r="D133" s="19"/>
      <c r="E133" s="2" t="s">
        <v>11</v>
      </c>
      <c r="F133" s="19"/>
    </row>
    <row r="134" ht="15.75" customHeight="1">
      <c r="A134" s="1">
        <v>4.2215621E7</v>
      </c>
      <c r="B134" s="2" t="s">
        <v>1933</v>
      </c>
      <c r="C134" s="19" t="s">
        <v>3894</v>
      </c>
      <c r="D134" s="19"/>
      <c r="E134" s="2" t="s">
        <v>11</v>
      </c>
      <c r="F134" s="19"/>
    </row>
    <row r="135" ht="15.75" customHeight="1">
      <c r="A135" s="1">
        <v>4.2227249E7</v>
      </c>
      <c r="B135" s="2" t="s">
        <v>1338</v>
      </c>
      <c r="C135" s="19" t="s">
        <v>3895</v>
      </c>
      <c r="D135" s="19" t="s">
        <v>3896</v>
      </c>
      <c r="E135" s="9" t="s">
        <v>11</v>
      </c>
      <c r="F135" s="19"/>
    </row>
    <row r="136" ht="15.75" customHeight="1">
      <c r="A136" s="1">
        <v>4.2238738E7</v>
      </c>
      <c r="B136" s="2" t="s">
        <v>1059</v>
      </c>
      <c r="C136" s="19" t="s">
        <v>3897</v>
      </c>
      <c r="D136" s="19" t="s">
        <v>3898</v>
      </c>
      <c r="E136" s="2" t="s">
        <v>11</v>
      </c>
      <c r="F136" s="19"/>
    </row>
    <row r="137" ht="15.75" customHeight="1">
      <c r="A137" s="1">
        <v>4.2239047E7</v>
      </c>
      <c r="B137" s="2" t="s">
        <v>1936</v>
      </c>
      <c r="C137" s="19" t="s">
        <v>3899</v>
      </c>
      <c r="D137" s="19" t="s">
        <v>3900</v>
      </c>
      <c r="E137" s="2" t="s">
        <v>11</v>
      </c>
      <c r="F137" s="19"/>
    </row>
    <row r="138" ht="15.75" customHeight="1">
      <c r="A138" s="1">
        <v>4.2254535E7</v>
      </c>
      <c r="B138" s="2" t="s">
        <v>369</v>
      </c>
      <c r="C138" s="19" t="s">
        <v>3901</v>
      </c>
      <c r="D138" s="19" t="s">
        <v>3902</v>
      </c>
      <c r="E138" s="2" t="s">
        <v>11</v>
      </c>
      <c r="F138" s="19"/>
    </row>
    <row r="139" ht="15.75" customHeight="1">
      <c r="A139" s="1">
        <v>4.2277585E7</v>
      </c>
      <c r="B139" s="2" t="s">
        <v>871</v>
      </c>
      <c r="C139" s="19" t="s">
        <v>3903</v>
      </c>
      <c r="D139" s="19"/>
      <c r="E139" s="2" t="s">
        <v>11</v>
      </c>
      <c r="F139" s="19"/>
    </row>
    <row r="140" ht="15.75" customHeight="1">
      <c r="A140" s="1">
        <v>4.2295539E7</v>
      </c>
      <c r="B140" s="2" t="s">
        <v>1887</v>
      </c>
      <c r="C140" s="19" t="s">
        <v>3904</v>
      </c>
      <c r="D140" s="19" t="s">
        <v>3905</v>
      </c>
      <c r="E140" s="2" t="s">
        <v>11</v>
      </c>
      <c r="F140" s="19"/>
    </row>
    <row r="141" ht="15.75" customHeight="1">
      <c r="A141" s="1">
        <v>4.2305224E7</v>
      </c>
      <c r="B141" s="2" t="s">
        <v>1437</v>
      </c>
      <c r="C141" s="19" t="s">
        <v>3906</v>
      </c>
      <c r="D141" s="19"/>
      <c r="E141" s="9" t="s">
        <v>11</v>
      </c>
      <c r="F141" s="19"/>
    </row>
    <row r="142" ht="15.75" customHeight="1">
      <c r="A142" s="1">
        <v>4.2313976E7</v>
      </c>
      <c r="B142" s="2" t="s">
        <v>2672</v>
      </c>
      <c r="C142" s="19" t="s">
        <v>3907</v>
      </c>
      <c r="D142" s="19"/>
      <c r="E142" s="2" t="s">
        <v>11</v>
      </c>
      <c r="F142" s="19"/>
    </row>
    <row r="143" ht="15.75" customHeight="1">
      <c r="A143" s="1">
        <v>4.2375516E7</v>
      </c>
      <c r="B143" s="2" t="s">
        <v>2728</v>
      </c>
      <c r="C143" s="19" t="s">
        <v>3908</v>
      </c>
      <c r="D143" s="19"/>
      <c r="E143" s="2" t="s">
        <v>11</v>
      </c>
      <c r="F143" s="19"/>
    </row>
    <row r="144" ht="15.75" customHeight="1">
      <c r="A144" s="1">
        <v>4.2379606E7</v>
      </c>
      <c r="B144" s="2" t="s">
        <v>1737</v>
      </c>
      <c r="C144" s="19" t="s">
        <v>3909</v>
      </c>
      <c r="D144" s="19"/>
      <c r="E144" s="2" t="s">
        <v>11</v>
      </c>
      <c r="F144" s="19"/>
    </row>
    <row r="145" ht="15.75" customHeight="1">
      <c r="A145" s="1">
        <v>4.2388942E7</v>
      </c>
      <c r="B145" s="2" t="s">
        <v>405</v>
      </c>
      <c r="C145" s="19" t="s">
        <v>3910</v>
      </c>
      <c r="D145" s="19"/>
      <c r="E145" s="2" t="s">
        <v>11</v>
      </c>
      <c r="F145" s="19"/>
    </row>
    <row r="146" ht="15.75" customHeight="1">
      <c r="A146" s="1">
        <v>4.2405004E7</v>
      </c>
      <c r="B146" s="2" t="s">
        <v>530</v>
      </c>
      <c r="C146" s="19" t="s">
        <v>3911</v>
      </c>
      <c r="D146" s="19"/>
      <c r="E146" s="2" t="s">
        <v>11</v>
      </c>
      <c r="F146" s="19"/>
    </row>
    <row r="147" ht="15.75" customHeight="1">
      <c r="A147" s="1">
        <v>4.2444198E7</v>
      </c>
      <c r="B147" s="2" t="s">
        <v>567</v>
      </c>
      <c r="C147" s="19" t="s">
        <v>3912</v>
      </c>
      <c r="D147" s="19"/>
      <c r="E147" s="2" t="s">
        <v>11</v>
      </c>
      <c r="F147" s="19"/>
    </row>
    <row r="148" ht="15.75" customHeight="1">
      <c r="A148" s="1">
        <v>4.2470252E7</v>
      </c>
      <c r="B148" s="2" t="s">
        <v>1037</v>
      </c>
      <c r="C148" s="19" t="s">
        <v>3913</v>
      </c>
      <c r="D148" s="19" t="s">
        <v>3914</v>
      </c>
      <c r="E148" s="2" t="s">
        <v>11</v>
      </c>
      <c r="F148" s="19"/>
    </row>
    <row r="149" ht="15.75" customHeight="1">
      <c r="A149" s="1">
        <v>4.2483638E7</v>
      </c>
      <c r="B149" s="2" t="s">
        <v>850</v>
      </c>
      <c r="C149" s="19" t="s">
        <v>3915</v>
      </c>
      <c r="D149" s="19"/>
      <c r="E149" s="2" t="s">
        <v>11</v>
      </c>
      <c r="F149" s="19"/>
    </row>
    <row r="150" ht="15.75" customHeight="1">
      <c r="A150" s="1">
        <v>4.2484228E7</v>
      </c>
      <c r="B150" s="2" t="s">
        <v>2654</v>
      </c>
      <c r="C150" s="19" t="s">
        <v>3916</v>
      </c>
      <c r="D150" s="19"/>
      <c r="E150" s="2" t="s">
        <v>11</v>
      </c>
      <c r="F150" s="19"/>
    </row>
    <row r="151" ht="15.75" customHeight="1">
      <c r="A151" s="1">
        <v>4.2503229E7</v>
      </c>
      <c r="B151" s="2" t="s">
        <v>1630</v>
      </c>
      <c r="C151" s="19" t="s">
        <v>3917</v>
      </c>
      <c r="D151" s="19"/>
      <c r="E151" s="2" t="s">
        <v>11</v>
      </c>
      <c r="F151" s="19"/>
    </row>
    <row r="152" ht="15.75" customHeight="1">
      <c r="A152" s="1">
        <v>4.2506938E7</v>
      </c>
      <c r="B152" s="2" t="s">
        <v>505</v>
      </c>
      <c r="C152" s="19" t="s">
        <v>4805</v>
      </c>
      <c r="D152" s="19" t="s">
        <v>4806</v>
      </c>
      <c r="E152" s="2" t="s">
        <v>72</v>
      </c>
      <c r="F152" s="19"/>
    </row>
    <row r="153" ht="15.75" customHeight="1">
      <c r="A153" s="1">
        <v>4.2530654E7</v>
      </c>
      <c r="B153" s="2" t="s">
        <v>253</v>
      </c>
      <c r="C153" s="19" t="s">
        <v>3918</v>
      </c>
      <c r="D153" s="19"/>
      <c r="E153" s="2" t="s">
        <v>11</v>
      </c>
      <c r="F153" s="19"/>
    </row>
    <row r="154" ht="15.75" customHeight="1">
      <c r="A154" s="1">
        <v>4.2560474E7</v>
      </c>
      <c r="B154" s="2" t="s">
        <v>598</v>
      </c>
      <c r="C154" s="19" t="s">
        <v>3919</v>
      </c>
      <c r="D154" s="19" t="s">
        <v>3920</v>
      </c>
      <c r="E154" s="2" t="s">
        <v>11</v>
      </c>
      <c r="F154" s="19"/>
    </row>
    <row r="155" ht="15.75" customHeight="1">
      <c r="A155" s="1">
        <v>4.2619631E7</v>
      </c>
      <c r="B155" s="2" t="s">
        <v>2540</v>
      </c>
      <c r="C155" s="19" t="s">
        <v>3921</v>
      </c>
      <c r="D155" s="19" t="s">
        <v>3922</v>
      </c>
      <c r="E155" s="9" t="s">
        <v>11</v>
      </c>
      <c r="F155" s="19"/>
    </row>
    <row r="156" ht="15.75" customHeight="1">
      <c r="A156" s="1">
        <v>4.2623994E7</v>
      </c>
      <c r="B156" s="2" t="s">
        <v>905</v>
      </c>
      <c r="C156" s="19" t="s">
        <v>3923</v>
      </c>
      <c r="D156" s="19"/>
      <c r="E156" s="9" t="s">
        <v>11</v>
      </c>
      <c r="F156" s="19"/>
    </row>
    <row r="157" ht="15.75" customHeight="1">
      <c r="A157" s="1">
        <v>4.2638538E7</v>
      </c>
      <c r="B157" s="2" t="s">
        <v>1867</v>
      </c>
      <c r="C157" s="19" t="s">
        <v>3924</v>
      </c>
      <c r="D157" s="19"/>
      <c r="E157" s="2" t="s">
        <v>11</v>
      </c>
      <c r="F157" s="19"/>
    </row>
    <row r="158" ht="15.75" customHeight="1">
      <c r="A158" s="1">
        <v>4.2642927E7</v>
      </c>
      <c r="B158" s="2" t="s">
        <v>2655</v>
      </c>
      <c r="C158" s="19" t="s">
        <v>3925</v>
      </c>
      <c r="D158" s="19"/>
      <c r="E158" s="9" t="s">
        <v>11</v>
      </c>
      <c r="F158" s="19"/>
    </row>
    <row r="159" ht="15.75" customHeight="1">
      <c r="A159" s="1">
        <v>4.2647054E7</v>
      </c>
      <c r="B159" s="2" t="s">
        <v>411</v>
      </c>
      <c r="C159" s="19" t="s">
        <v>3671</v>
      </c>
      <c r="D159" s="19" t="s">
        <v>3672</v>
      </c>
      <c r="E159" s="2" t="s">
        <v>59</v>
      </c>
      <c r="F159" s="19"/>
    </row>
    <row r="160" ht="15.75" customHeight="1">
      <c r="A160" s="1">
        <v>4.2658036E7</v>
      </c>
      <c r="B160" s="2" t="s">
        <v>3340</v>
      </c>
      <c r="C160" s="19" t="s">
        <v>3926</v>
      </c>
      <c r="D160" s="19"/>
      <c r="E160" s="2" t="s">
        <v>11</v>
      </c>
      <c r="F160" s="19"/>
    </row>
    <row r="161" ht="15.75" customHeight="1">
      <c r="A161" s="1">
        <v>4.2672196E7</v>
      </c>
      <c r="B161" s="2" t="s">
        <v>409</v>
      </c>
      <c r="C161" s="19" t="s">
        <v>3927</v>
      </c>
      <c r="D161" s="19" t="s">
        <v>3928</v>
      </c>
      <c r="E161" s="2" t="s">
        <v>11</v>
      </c>
      <c r="F161" s="19"/>
    </row>
    <row r="162" ht="15.75" customHeight="1">
      <c r="A162" s="1">
        <v>4.2677688E7</v>
      </c>
      <c r="B162" s="2" t="s">
        <v>831</v>
      </c>
      <c r="C162" s="19" t="s">
        <v>3929</v>
      </c>
      <c r="D162" s="19" t="s">
        <v>3930</v>
      </c>
      <c r="E162" s="2" t="s">
        <v>11</v>
      </c>
      <c r="F162" s="19"/>
    </row>
    <row r="163" ht="15.75" customHeight="1">
      <c r="A163" s="1">
        <v>4.2705379E7</v>
      </c>
      <c r="B163" s="2" t="s">
        <v>385</v>
      </c>
      <c r="C163" s="19" t="s">
        <v>3931</v>
      </c>
      <c r="D163" s="19" t="s">
        <v>3932</v>
      </c>
      <c r="E163" s="2" t="s">
        <v>11</v>
      </c>
      <c r="F163" s="19"/>
    </row>
    <row r="164" ht="15.75" customHeight="1">
      <c r="A164" s="1">
        <v>4.2730602E7</v>
      </c>
      <c r="B164" s="2" t="s">
        <v>1555</v>
      </c>
      <c r="C164" s="19" t="s">
        <v>4836</v>
      </c>
      <c r="D164" s="19"/>
      <c r="E164" s="2" t="s">
        <v>537</v>
      </c>
      <c r="F164" s="19"/>
    </row>
    <row r="165" ht="15.75" customHeight="1">
      <c r="A165" s="1">
        <v>4.2739284E7</v>
      </c>
      <c r="B165" s="2" t="s">
        <v>481</v>
      </c>
      <c r="C165" s="19" t="s">
        <v>3933</v>
      </c>
      <c r="D165" s="19"/>
      <c r="E165" s="2" t="s">
        <v>11</v>
      </c>
      <c r="F165" s="19"/>
    </row>
    <row r="166" ht="15.75" customHeight="1">
      <c r="A166" s="1">
        <v>4.2756855E7</v>
      </c>
      <c r="B166" s="2" t="s">
        <v>1634</v>
      </c>
      <c r="C166" s="19" t="s">
        <v>3934</v>
      </c>
      <c r="D166" s="19" t="s">
        <v>3935</v>
      </c>
      <c r="E166" s="2" t="s">
        <v>11</v>
      </c>
      <c r="F166" s="19"/>
    </row>
    <row r="167" ht="15.75" customHeight="1">
      <c r="A167" s="1">
        <v>4.2784576E7</v>
      </c>
      <c r="B167" s="2" t="s">
        <v>619</v>
      </c>
      <c r="C167" s="19" t="s">
        <v>3936</v>
      </c>
      <c r="D167" s="19"/>
      <c r="E167" s="2" t="s">
        <v>11</v>
      </c>
      <c r="F167" s="19"/>
    </row>
    <row r="168" ht="15.75" customHeight="1">
      <c r="A168" s="1">
        <v>4.2797456E7</v>
      </c>
      <c r="B168" s="2" t="s">
        <v>511</v>
      </c>
      <c r="C168" s="19" t="s">
        <v>3937</v>
      </c>
      <c r="D168" s="19" t="s">
        <v>3938</v>
      </c>
      <c r="E168" s="2" t="s">
        <v>11</v>
      </c>
      <c r="F168" s="19"/>
    </row>
    <row r="169" ht="15.75" customHeight="1">
      <c r="A169" s="1">
        <v>4.2809056E7</v>
      </c>
      <c r="B169" s="2" t="s">
        <v>2139</v>
      </c>
      <c r="C169" s="19" t="s">
        <v>3939</v>
      </c>
      <c r="D169" s="19"/>
      <c r="E169" s="2" t="s">
        <v>11</v>
      </c>
      <c r="F169" s="19"/>
    </row>
    <row r="170" ht="15.75" customHeight="1">
      <c r="A170" s="1">
        <v>4.2835744E7</v>
      </c>
      <c r="B170" s="2" t="s">
        <v>2667</v>
      </c>
      <c r="C170" s="19" t="s">
        <v>3940</v>
      </c>
      <c r="D170" s="19" t="s">
        <v>3941</v>
      </c>
      <c r="E170" s="2" t="s">
        <v>11</v>
      </c>
      <c r="F170" s="19"/>
    </row>
    <row r="171" ht="15.75" customHeight="1">
      <c r="A171" s="1">
        <v>4.2841546E7</v>
      </c>
      <c r="B171" s="2" t="s">
        <v>2092</v>
      </c>
      <c r="C171" s="19" t="s">
        <v>4837</v>
      </c>
      <c r="D171" s="19" t="s">
        <v>4838</v>
      </c>
      <c r="E171" s="2" t="s">
        <v>537</v>
      </c>
      <c r="F171" s="19"/>
    </row>
    <row r="172" ht="15.75" customHeight="1">
      <c r="A172" s="1">
        <v>4.2859142E7</v>
      </c>
      <c r="B172" s="2" t="s">
        <v>2318</v>
      </c>
      <c r="C172" s="19" t="s">
        <v>3942</v>
      </c>
      <c r="D172" s="19" t="s">
        <v>3943</v>
      </c>
      <c r="E172" s="2" t="s">
        <v>11</v>
      </c>
      <c r="F172" s="19"/>
    </row>
    <row r="173" ht="15.75" customHeight="1">
      <c r="A173" s="1">
        <v>4.2859891E7</v>
      </c>
      <c r="B173" s="2" t="s">
        <v>618</v>
      </c>
      <c r="C173" s="19" t="s">
        <v>3944</v>
      </c>
      <c r="D173" s="19" t="s">
        <v>3945</v>
      </c>
      <c r="E173" s="2" t="s">
        <v>11</v>
      </c>
      <c r="F173" s="19"/>
    </row>
    <row r="174" ht="15.75" customHeight="1">
      <c r="A174" s="1">
        <v>4.290054E7</v>
      </c>
      <c r="B174" s="2" t="s">
        <v>132</v>
      </c>
      <c r="C174" s="19" t="s">
        <v>3946</v>
      </c>
      <c r="D174" s="19"/>
      <c r="E174" s="2" t="s">
        <v>11</v>
      </c>
      <c r="F174" s="19"/>
    </row>
    <row r="175" ht="15.75" customHeight="1">
      <c r="A175" s="1">
        <v>4.2908516E7</v>
      </c>
      <c r="B175" s="2" t="s">
        <v>1937</v>
      </c>
      <c r="C175" s="19" t="s">
        <v>3947</v>
      </c>
      <c r="D175" s="19"/>
      <c r="E175" s="2" t="s">
        <v>11</v>
      </c>
      <c r="F175" s="19"/>
    </row>
    <row r="176" ht="15.75" customHeight="1">
      <c r="A176" s="1">
        <v>4.2912565E7</v>
      </c>
      <c r="B176" s="2" t="s">
        <v>231</v>
      </c>
      <c r="C176" s="19" t="s">
        <v>3948</v>
      </c>
      <c r="D176" s="19"/>
      <c r="E176" s="2" t="s">
        <v>11</v>
      </c>
      <c r="F176" s="19"/>
    </row>
    <row r="177" ht="15.75" customHeight="1">
      <c r="A177" s="1">
        <v>4.2914503E7</v>
      </c>
      <c r="B177" s="2" t="s">
        <v>1575</v>
      </c>
      <c r="C177" s="19" t="s">
        <v>4839</v>
      </c>
      <c r="D177" s="19" t="s">
        <v>4840</v>
      </c>
      <c r="E177" s="2" t="s">
        <v>537</v>
      </c>
      <c r="F177" s="19"/>
    </row>
    <row r="178" ht="15.75" customHeight="1">
      <c r="A178" s="1">
        <v>4.2938295E7</v>
      </c>
      <c r="B178" s="2" t="s">
        <v>1670</v>
      </c>
      <c r="C178" s="19" t="s">
        <v>3949</v>
      </c>
      <c r="D178" s="19" t="s">
        <v>3950</v>
      </c>
      <c r="E178" s="9" t="s">
        <v>11</v>
      </c>
      <c r="F178" s="19"/>
    </row>
    <row r="179" ht="15.75" customHeight="1">
      <c r="A179" s="1">
        <v>4.2946766E7</v>
      </c>
      <c r="B179" s="2" t="s">
        <v>786</v>
      </c>
      <c r="C179" s="19" t="s">
        <v>3951</v>
      </c>
      <c r="D179" s="19"/>
      <c r="E179" s="2" t="s">
        <v>11</v>
      </c>
      <c r="F179" s="19"/>
    </row>
    <row r="180" ht="15.75" customHeight="1">
      <c r="A180" s="1">
        <v>4.2955004E7</v>
      </c>
      <c r="B180" s="2" t="s">
        <v>1878</v>
      </c>
      <c r="C180" s="19" t="s">
        <v>3952</v>
      </c>
      <c r="D180" s="19" t="s">
        <v>3953</v>
      </c>
      <c r="E180" s="2" t="s">
        <v>11</v>
      </c>
      <c r="F180" s="19"/>
    </row>
    <row r="181" ht="15.75" customHeight="1">
      <c r="A181" s="1">
        <v>4.295953E7</v>
      </c>
      <c r="B181" s="2" t="s">
        <v>1008</v>
      </c>
      <c r="C181" s="19" t="s">
        <v>3954</v>
      </c>
      <c r="D181" s="19"/>
      <c r="E181" s="2" t="s">
        <v>11</v>
      </c>
      <c r="F181" s="19"/>
    </row>
    <row r="182" ht="15.75" customHeight="1">
      <c r="A182" s="1">
        <v>4.2996482E7</v>
      </c>
      <c r="B182" s="2" t="s">
        <v>382</v>
      </c>
      <c r="C182" s="19" t="s">
        <v>3955</v>
      </c>
      <c r="D182" s="19" t="s">
        <v>3956</v>
      </c>
      <c r="E182" s="2" t="s">
        <v>11</v>
      </c>
      <c r="F182" s="19"/>
    </row>
    <row r="183" ht="15.75" customHeight="1">
      <c r="A183" s="1">
        <v>4.3007141E7</v>
      </c>
      <c r="B183" s="2" t="s">
        <v>429</v>
      </c>
      <c r="C183" s="19" t="s">
        <v>3957</v>
      </c>
      <c r="D183" s="19"/>
      <c r="E183" s="2" t="s">
        <v>11</v>
      </c>
      <c r="F183" s="19"/>
    </row>
    <row r="184" ht="15.75" customHeight="1">
      <c r="A184" s="1">
        <v>4.3008145E7</v>
      </c>
      <c r="B184" s="2" t="s">
        <v>1333</v>
      </c>
      <c r="C184" s="19" t="s">
        <v>3958</v>
      </c>
      <c r="D184" s="19"/>
      <c r="E184" s="2" t="s">
        <v>11</v>
      </c>
      <c r="F184" s="19"/>
    </row>
    <row r="185" ht="15.75" customHeight="1">
      <c r="A185" s="1">
        <v>4.303364E7</v>
      </c>
      <c r="B185" s="2" t="s">
        <v>957</v>
      </c>
      <c r="C185" s="19" t="s">
        <v>3959</v>
      </c>
      <c r="D185" s="19" t="s">
        <v>3960</v>
      </c>
      <c r="E185" s="9" t="s">
        <v>11</v>
      </c>
      <c r="F185" s="19"/>
    </row>
    <row r="186" ht="15.75" customHeight="1">
      <c r="A186" s="1">
        <v>4.3045887E7</v>
      </c>
      <c r="B186" s="2" t="s">
        <v>1017</v>
      </c>
      <c r="C186" s="19" t="s">
        <v>3653</v>
      </c>
      <c r="D186" s="19" t="s">
        <v>3654</v>
      </c>
      <c r="E186" s="2" t="s">
        <v>20</v>
      </c>
      <c r="F186" s="19"/>
    </row>
    <row r="187" ht="15.75" customHeight="1">
      <c r="A187" s="1">
        <v>4.3061699E7</v>
      </c>
      <c r="B187" s="2" t="s">
        <v>2478</v>
      </c>
      <c r="C187" s="19" t="s">
        <v>3961</v>
      </c>
      <c r="D187" s="19"/>
      <c r="E187" s="2" t="s">
        <v>11</v>
      </c>
      <c r="F187" s="19"/>
    </row>
    <row r="188" ht="15.75" customHeight="1">
      <c r="A188" s="1">
        <v>4.3079162E7</v>
      </c>
      <c r="B188" s="2" t="s">
        <v>975</v>
      </c>
      <c r="C188" s="19" t="s">
        <v>3962</v>
      </c>
      <c r="D188" s="19" t="s">
        <v>3963</v>
      </c>
      <c r="E188" s="2" t="s">
        <v>11</v>
      </c>
      <c r="F188" s="19"/>
    </row>
    <row r="189" ht="15.75" customHeight="1">
      <c r="A189" s="1">
        <v>4.3096166E7</v>
      </c>
      <c r="B189" s="2" t="s">
        <v>106</v>
      </c>
      <c r="C189" s="19" t="s">
        <v>3964</v>
      </c>
      <c r="D189" s="19"/>
      <c r="E189" s="2" t="s">
        <v>11</v>
      </c>
      <c r="F189" s="19"/>
    </row>
    <row r="190" ht="15.75" customHeight="1">
      <c r="A190" s="1">
        <v>4.3097927E7</v>
      </c>
      <c r="B190" s="2" t="s">
        <v>461</v>
      </c>
      <c r="C190" s="19" t="s">
        <v>3965</v>
      </c>
      <c r="D190" s="19" t="s">
        <v>3966</v>
      </c>
      <c r="E190" s="2" t="s">
        <v>11</v>
      </c>
      <c r="F190" s="19"/>
    </row>
    <row r="191" ht="15.75" customHeight="1">
      <c r="A191" s="1">
        <v>4.3164321E7</v>
      </c>
      <c r="B191" s="2" t="s">
        <v>1426</v>
      </c>
      <c r="C191" s="19" t="s">
        <v>3967</v>
      </c>
      <c r="D191" s="19"/>
      <c r="E191" s="9" t="s">
        <v>11</v>
      </c>
      <c r="F191" s="19"/>
    </row>
    <row r="192" ht="15.75" customHeight="1">
      <c r="A192" s="1">
        <v>4.320189E7</v>
      </c>
      <c r="B192" s="2" t="s">
        <v>892</v>
      </c>
      <c r="C192" s="19" t="s">
        <v>3968</v>
      </c>
      <c r="D192" s="19"/>
      <c r="E192" s="2" t="s">
        <v>11</v>
      </c>
      <c r="F192" s="19"/>
    </row>
    <row r="193" ht="15.75" customHeight="1">
      <c r="A193" s="1">
        <v>4.3207458E7</v>
      </c>
      <c r="B193" s="2" t="s">
        <v>1992</v>
      </c>
      <c r="C193" s="19" t="s">
        <v>3969</v>
      </c>
      <c r="D193" s="19"/>
      <c r="E193" s="2" t="s">
        <v>11</v>
      </c>
      <c r="F193" s="19"/>
    </row>
    <row r="194" ht="15.75" customHeight="1">
      <c r="A194" s="1">
        <v>4.3212275E7</v>
      </c>
      <c r="B194" s="2" t="s">
        <v>2106</v>
      </c>
      <c r="C194" s="19" t="s">
        <v>3970</v>
      </c>
      <c r="D194" s="19" t="s">
        <v>3971</v>
      </c>
      <c r="E194" s="9" t="s">
        <v>11</v>
      </c>
      <c r="F194" s="19"/>
    </row>
    <row r="195" ht="15.75" customHeight="1">
      <c r="A195" s="1">
        <v>4.3213661E7</v>
      </c>
      <c r="B195" s="2" t="s">
        <v>1587</v>
      </c>
      <c r="C195" s="19" t="s">
        <v>3972</v>
      </c>
      <c r="D195" s="19" t="s">
        <v>3973</v>
      </c>
      <c r="E195" s="9" t="s">
        <v>11</v>
      </c>
      <c r="F195" s="19"/>
    </row>
    <row r="196" ht="15.75" customHeight="1">
      <c r="A196" s="1">
        <v>4.3241155E7</v>
      </c>
      <c r="B196" s="2" t="s">
        <v>1691</v>
      </c>
      <c r="C196" s="19" t="s">
        <v>3974</v>
      </c>
      <c r="D196" s="19"/>
      <c r="E196" s="2" t="s">
        <v>11</v>
      </c>
      <c r="F196" s="19"/>
    </row>
    <row r="197" ht="15.75" customHeight="1">
      <c r="A197" s="1">
        <v>4.324312E7</v>
      </c>
      <c r="B197" s="2" t="s">
        <v>2233</v>
      </c>
      <c r="C197" s="19" t="s">
        <v>3673</v>
      </c>
      <c r="D197" s="19" t="s">
        <v>3674</v>
      </c>
      <c r="E197" s="2" t="s">
        <v>59</v>
      </c>
      <c r="F197" s="19"/>
    </row>
    <row r="198" ht="15.75" customHeight="1">
      <c r="A198" s="1">
        <v>4.3244727E7</v>
      </c>
      <c r="B198" s="2" t="s">
        <v>791</v>
      </c>
      <c r="C198" s="19" t="s">
        <v>3975</v>
      </c>
      <c r="D198" s="19" t="s">
        <v>3976</v>
      </c>
      <c r="E198" s="2" t="s">
        <v>11</v>
      </c>
      <c r="F198" s="19"/>
    </row>
    <row r="199" ht="15.75" customHeight="1">
      <c r="A199" s="1">
        <v>4.326174E7</v>
      </c>
      <c r="B199" s="2" t="s">
        <v>159</v>
      </c>
      <c r="C199" s="19" t="s">
        <v>3977</v>
      </c>
      <c r="D199" s="19"/>
      <c r="E199" s="2" t="s">
        <v>11</v>
      </c>
      <c r="F199" s="19"/>
    </row>
    <row r="200" ht="15.75" customHeight="1">
      <c r="A200" s="1">
        <v>4.3299948E7</v>
      </c>
      <c r="B200" s="2" t="s">
        <v>1374</v>
      </c>
      <c r="C200" s="19" t="s">
        <v>3978</v>
      </c>
      <c r="D200" s="19"/>
      <c r="E200" s="2" t="s">
        <v>11</v>
      </c>
      <c r="F200" s="19"/>
    </row>
    <row r="201" ht="15.75" customHeight="1">
      <c r="A201" s="1">
        <v>4.3332875E7</v>
      </c>
      <c r="B201" s="2" t="s">
        <v>483</v>
      </c>
      <c r="C201" s="19" t="s">
        <v>3979</v>
      </c>
      <c r="D201" s="19" t="s">
        <v>3980</v>
      </c>
      <c r="E201" s="2" t="s">
        <v>11</v>
      </c>
      <c r="F201" s="19"/>
    </row>
    <row r="202" ht="15.75" customHeight="1">
      <c r="A202" s="1">
        <v>4.340112E7</v>
      </c>
      <c r="B202" s="2" t="s">
        <v>1260</v>
      </c>
      <c r="C202" s="19" t="s">
        <v>3981</v>
      </c>
      <c r="D202" s="19"/>
      <c r="E202" s="2" t="s">
        <v>11</v>
      </c>
      <c r="F202" s="19"/>
    </row>
    <row r="203" ht="15.75" customHeight="1">
      <c r="A203" s="1">
        <v>4.3454426E7</v>
      </c>
      <c r="B203" s="2" t="s">
        <v>2169</v>
      </c>
      <c r="C203" s="19" t="s">
        <v>3982</v>
      </c>
      <c r="D203" s="19"/>
      <c r="E203" s="2" t="s">
        <v>11</v>
      </c>
      <c r="F203" s="19"/>
    </row>
    <row r="204" ht="15.75" customHeight="1">
      <c r="A204" s="1">
        <v>4.345454E7</v>
      </c>
      <c r="B204" s="2" t="s">
        <v>867</v>
      </c>
      <c r="C204" s="19" t="s">
        <v>3983</v>
      </c>
      <c r="D204" s="19"/>
      <c r="E204" s="2" t="s">
        <v>11</v>
      </c>
      <c r="F204" s="19"/>
    </row>
    <row r="205" ht="15.75" customHeight="1">
      <c r="A205" s="1">
        <v>4.346294E7</v>
      </c>
      <c r="B205" s="2" t="s">
        <v>625</v>
      </c>
      <c r="C205" s="19" t="s">
        <v>3984</v>
      </c>
      <c r="D205" s="19" t="s">
        <v>3985</v>
      </c>
      <c r="E205" s="2" t="s">
        <v>11</v>
      </c>
      <c r="F205" s="19"/>
    </row>
    <row r="206" ht="15.75" customHeight="1">
      <c r="A206" s="1">
        <v>4.3480568E7</v>
      </c>
      <c r="B206" s="2" t="s">
        <v>118</v>
      </c>
      <c r="C206" s="19" t="s">
        <v>3986</v>
      </c>
      <c r="D206" s="19" t="s">
        <v>3987</v>
      </c>
      <c r="E206" s="2" t="s">
        <v>11</v>
      </c>
      <c r="F206" s="19"/>
    </row>
    <row r="207" ht="15.75" customHeight="1">
      <c r="A207" s="1">
        <v>4.34964E7</v>
      </c>
      <c r="B207" s="2" t="s">
        <v>574</v>
      </c>
      <c r="C207" s="19" t="s">
        <v>3675</v>
      </c>
      <c r="D207" s="19" t="s">
        <v>3676</v>
      </c>
      <c r="E207" s="2" t="s">
        <v>59</v>
      </c>
      <c r="F207" s="19"/>
    </row>
    <row r="208" ht="15.75" customHeight="1">
      <c r="A208" s="1">
        <v>4.3500546E7</v>
      </c>
      <c r="B208" s="2" t="s">
        <v>1942</v>
      </c>
      <c r="C208" s="19" t="s">
        <v>3988</v>
      </c>
      <c r="D208" s="19" t="s">
        <v>3989</v>
      </c>
      <c r="E208" s="2" t="s">
        <v>11</v>
      </c>
      <c r="F208" s="19"/>
    </row>
    <row r="209" ht="15.75" customHeight="1">
      <c r="A209" s="1">
        <v>4.3529651E7</v>
      </c>
      <c r="B209" s="2" t="s">
        <v>297</v>
      </c>
      <c r="C209" s="19" t="s">
        <v>3990</v>
      </c>
      <c r="D209" s="19"/>
      <c r="E209" s="2" t="s">
        <v>11</v>
      </c>
      <c r="F209" s="19"/>
    </row>
    <row r="210" ht="15.75" customHeight="1">
      <c r="A210" s="1">
        <v>4.3535377E7</v>
      </c>
      <c r="B210" s="2" t="s">
        <v>70</v>
      </c>
      <c r="C210" s="19" t="s">
        <v>3991</v>
      </c>
      <c r="D210" s="19"/>
      <c r="E210" s="2" t="s">
        <v>11</v>
      </c>
      <c r="F210" s="19"/>
    </row>
    <row r="211" ht="15.75" customHeight="1">
      <c r="A211" s="1">
        <v>4.3549104E7</v>
      </c>
      <c r="B211" s="2" t="s">
        <v>262</v>
      </c>
      <c r="C211" s="19" t="s">
        <v>3992</v>
      </c>
      <c r="D211" s="19" t="s">
        <v>3993</v>
      </c>
      <c r="E211" s="2" t="s">
        <v>11</v>
      </c>
      <c r="F211" s="19"/>
    </row>
    <row r="212" ht="15.75" customHeight="1">
      <c r="A212" s="1">
        <v>4.3549963E7</v>
      </c>
      <c r="B212" s="2" t="s">
        <v>2506</v>
      </c>
      <c r="C212" s="19" t="s">
        <v>3994</v>
      </c>
      <c r="D212" s="19"/>
      <c r="E212" s="2" t="s">
        <v>11</v>
      </c>
      <c r="F212" s="19"/>
    </row>
    <row r="213" ht="15.75" customHeight="1">
      <c r="A213" s="1">
        <v>4.3589592E7</v>
      </c>
      <c r="B213" s="2" t="s">
        <v>835</v>
      </c>
      <c r="C213" s="19" t="s">
        <v>3995</v>
      </c>
      <c r="D213" s="19"/>
      <c r="E213" s="2" t="s">
        <v>11</v>
      </c>
      <c r="F213" s="19"/>
    </row>
    <row r="214" ht="15.75" customHeight="1">
      <c r="A214" s="1">
        <v>4.3611109E7</v>
      </c>
      <c r="B214" s="2" t="s">
        <v>704</v>
      </c>
      <c r="C214" s="19" t="s">
        <v>3996</v>
      </c>
      <c r="D214" s="19"/>
      <c r="E214" s="2" t="s">
        <v>11</v>
      </c>
      <c r="F214" s="19"/>
    </row>
    <row r="215" ht="15.75" customHeight="1">
      <c r="A215" s="1">
        <v>4.3612228E7</v>
      </c>
      <c r="B215" s="2" t="s">
        <v>3166</v>
      </c>
      <c r="C215" s="19" t="s">
        <v>3997</v>
      </c>
      <c r="D215" s="19" t="s">
        <v>3998</v>
      </c>
      <c r="E215" s="2" t="s">
        <v>11</v>
      </c>
      <c r="F215" s="19"/>
    </row>
    <row r="216" ht="15.75" customHeight="1">
      <c r="A216" s="1">
        <v>4.3618424E7</v>
      </c>
      <c r="B216" s="2" t="s">
        <v>2911</v>
      </c>
      <c r="C216" s="19" t="s">
        <v>3999</v>
      </c>
      <c r="D216" s="19"/>
      <c r="E216" s="9" t="s">
        <v>11</v>
      </c>
      <c r="F216" s="19"/>
    </row>
    <row r="217" ht="15.75" customHeight="1">
      <c r="A217" s="1">
        <v>4.3634549E7</v>
      </c>
      <c r="B217" s="2" t="s">
        <v>1450</v>
      </c>
      <c r="C217" s="19" t="s">
        <v>4000</v>
      </c>
      <c r="D217" s="19" t="s">
        <v>4001</v>
      </c>
      <c r="E217" s="2" t="s">
        <v>11</v>
      </c>
      <c r="F217" s="19"/>
    </row>
    <row r="218" ht="15.75" customHeight="1">
      <c r="A218" s="1">
        <v>4.3642384E7</v>
      </c>
      <c r="B218" s="2" t="s">
        <v>760</v>
      </c>
      <c r="C218" s="19" t="s">
        <v>3677</v>
      </c>
      <c r="D218" s="19" t="s">
        <v>3678</v>
      </c>
      <c r="E218" s="2" t="s">
        <v>59</v>
      </c>
      <c r="F218" s="19"/>
    </row>
    <row r="219" ht="15.75" customHeight="1">
      <c r="A219" s="1">
        <v>4.364646E7</v>
      </c>
      <c r="B219" s="2" t="s">
        <v>1004</v>
      </c>
      <c r="C219" s="19" t="s">
        <v>4002</v>
      </c>
      <c r="D219" s="19"/>
      <c r="E219" s="9" t="s">
        <v>11</v>
      </c>
      <c r="F219" s="19"/>
    </row>
    <row r="220" ht="15.75" customHeight="1">
      <c r="A220" s="1">
        <v>4.3655581E7</v>
      </c>
      <c r="B220" s="2" t="s">
        <v>119</v>
      </c>
      <c r="C220" s="19" t="s">
        <v>4003</v>
      </c>
      <c r="D220" s="19"/>
      <c r="E220" s="2" t="s">
        <v>11</v>
      </c>
      <c r="F220" s="19"/>
    </row>
    <row r="221" ht="15.75" customHeight="1">
      <c r="A221" s="1">
        <v>4.3667724E7</v>
      </c>
      <c r="B221" s="2" t="s">
        <v>818</v>
      </c>
      <c r="C221" s="19" t="s">
        <v>4004</v>
      </c>
      <c r="D221" s="19" t="s">
        <v>4005</v>
      </c>
      <c r="E221" s="2" t="s">
        <v>11</v>
      </c>
      <c r="F221" s="19"/>
    </row>
    <row r="222" ht="15.75" customHeight="1">
      <c r="A222" s="1">
        <v>4.3725028E7</v>
      </c>
      <c r="B222" s="2" t="s">
        <v>69</v>
      </c>
      <c r="C222" s="19" t="s">
        <v>4006</v>
      </c>
      <c r="D222" s="19" t="s">
        <v>4007</v>
      </c>
      <c r="E222" s="2" t="s">
        <v>11</v>
      </c>
      <c r="F222" s="19"/>
    </row>
    <row r="223" ht="15.75" customHeight="1">
      <c r="A223" s="1">
        <v>4.3733425E7</v>
      </c>
      <c r="B223" s="2" t="s">
        <v>1560</v>
      </c>
      <c r="C223" s="19" t="s">
        <v>4008</v>
      </c>
      <c r="D223" s="19"/>
      <c r="E223" s="9" t="s">
        <v>11</v>
      </c>
      <c r="F223" s="19"/>
    </row>
    <row r="224" ht="15.75" customHeight="1">
      <c r="A224" s="1">
        <v>4.3734104E7</v>
      </c>
      <c r="B224" s="2" t="s">
        <v>578</v>
      </c>
      <c r="C224" s="19" t="s">
        <v>4009</v>
      </c>
      <c r="D224" s="19" t="s">
        <v>4010</v>
      </c>
      <c r="E224" s="2" t="s">
        <v>11</v>
      </c>
      <c r="F224" s="19"/>
    </row>
    <row r="225" ht="15.75" customHeight="1">
      <c r="A225" s="1">
        <v>4.3737787E7</v>
      </c>
      <c r="B225" s="2" t="s">
        <v>590</v>
      </c>
      <c r="C225" s="19" t="s">
        <v>4011</v>
      </c>
      <c r="D225" s="19"/>
      <c r="E225" s="2" t="s">
        <v>11</v>
      </c>
      <c r="F225" s="19"/>
    </row>
    <row r="226" ht="15.75" customHeight="1">
      <c r="A226" s="1">
        <v>4.3752772E7</v>
      </c>
      <c r="B226" s="2" t="s">
        <v>206</v>
      </c>
      <c r="C226" s="19" t="s">
        <v>4012</v>
      </c>
      <c r="D226" s="19" t="s">
        <v>4013</v>
      </c>
      <c r="E226" s="2" t="s">
        <v>11</v>
      </c>
      <c r="F226" s="19"/>
    </row>
    <row r="227" ht="15.75" customHeight="1">
      <c r="A227" s="1">
        <v>4.3764771E7</v>
      </c>
      <c r="B227" s="2" t="s">
        <v>1713</v>
      </c>
      <c r="C227" s="19" t="s">
        <v>4014</v>
      </c>
      <c r="D227" s="19" t="s">
        <v>4015</v>
      </c>
      <c r="E227" s="9" t="s">
        <v>11</v>
      </c>
      <c r="F227" s="19"/>
    </row>
    <row r="228" ht="15.75" customHeight="1">
      <c r="A228" s="1">
        <v>4.3778494E7</v>
      </c>
      <c r="B228" s="2" t="s">
        <v>2600</v>
      </c>
      <c r="C228" s="19" t="s">
        <v>4807</v>
      </c>
      <c r="D228" s="19"/>
      <c r="E228" s="2" t="s">
        <v>72</v>
      </c>
      <c r="F228" s="19"/>
    </row>
    <row r="229" ht="15.75" customHeight="1">
      <c r="A229" s="1">
        <v>4.3837603E7</v>
      </c>
      <c r="B229" s="2" t="s">
        <v>556</v>
      </c>
      <c r="C229" s="19" t="s">
        <v>4016</v>
      </c>
      <c r="D229" s="19"/>
      <c r="E229" s="2" t="s">
        <v>11</v>
      </c>
      <c r="F229" s="19"/>
    </row>
    <row r="230" ht="15.75" customHeight="1">
      <c r="A230" s="1">
        <v>4.3849977E7</v>
      </c>
      <c r="B230" s="2" t="s">
        <v>1287</v>
      </c>
      <c r="C230" s="19" t="s">
        <v>4017</v>
      </c>
      <c r="D230" s="19"/>
      <c r="E230" s="2" t="s">
        <v>11</v>
      </c>
      <c r="F230" s="19"/>
    </row>
    <row r="231" ht="15.75" customHeight="1">
      <c r="A231" s="1">
        <v>4.3860043E7</v>
      </c>
      <c r="B231" s="2" t="s">
        <v>1050</v>
      </c>
      <c r="C231" s="19" t="s">
        <v>4808</v>
      </c>
      <c r="D231" s="19"/>
      <c r="E231" s="2" t="s">
        <v>72</v>
      </c>
      <c r="F231" s="19"/>
    </row>
    <row r="232" ht="15.75" customHeight="1">
      <c r="A232" s="1">
        <v>4.3860901E7</v>
      </c>
      <c r="B232" s="2" t="s">
        <v>744</v>
      </c>
      <c r="C232" s="19" t="s">
        <v>4018</v>
      </c>
      <c r="D232" s="19" t="s">
        <v>4019</v>
      </c>
      <c r="E232" s="2" t="s">
        <v>11</v>
      </c>
      <c r="F232" s="19"/>
    </row>
    <row r="233" ht="15.75" customHeight="1">
      <c r="A233" s="1">
        <v>4.3861008E7</v>
      </c>
      <c r="B233" s="2" t="s">
        <v>551</v>
      </c>
      <c r="C233" s="19" t="s">
        <v>4020</v>
      </c>
      <c r="D233" s="19" t="s">
        <v>4021</v>
      </c>
      <c r="E233" s="2" t="s">
        <v>11</v>
      </c>
      <c r="F233" s="19"/>
    </row>
    <row r="234" ht="15.75" customHeight="1">
      <c r="A234" s="1">
        <v>4.3876357E7</v>
      </c>
      <c r="B234" s="2" t="s">
        <v>412</v>
      </c>
      <c r="C234" s="19" t="s">
        <v>4022</v>
      </c>
      <c r="D234" s="19" t="s">
        <v>4023</v>
      </c>
      <c r="E234" s="2" t="s">
        <v>11</v>
      </c>
      <c r="F234" s="19"/>
    </row>
    <row r="235" ht="15.75" customHeight="1">
      <c r="A235" s="1">
        <v>4.3877814E7</v>
      </c>
      <c r="B235" s="2" t="s">
        <v>898</v>
      </c>
      <c r="C235" s="19" t="s">
        <v>4024</v>
      </c>
      <c r="D235" s="19"/>
      <c r="E235" s="2" t="s">
        <v>11</v>
      </c>
      <c r="F235" s="19"/>
    </row>
    <row r="236" ht="15.75" customHeight="1">
      <c r="A236" s="1">
        <v>4.3906526E7</v>
      </c>
      <c r="B236" s="2" t="s">
        <v>1792</v>
      </c>
      <c r="C236" s="19" t="s">
        <v>4025</v>
      </c>
      <c r="D236" s="19"/>
      <c r="E236" s="2" t="s">
        <v>11</v>
      </c>
      <c r="F236" s="19"/>
    </row>
    <row r="237" ht="15.75" customHeight="1">
      <c r="A237" s="1">
        <v>4.3908577E7</v>
      </c>
      <c r="B237" s="2" t="s">
        <v>2736</v>
      </c>
      <c r="C237" s="19" t="s">
        <v>4026</v>
      </c>
      <c r="D237" s="19" t="s">
        <v>4027</v>
      </c>
      <c r="E237" s="9" t="s">
        <v>11</v>
      </c>
      <c r="F237" s="19"/>
    </row>
    <row r="238" ht="15.75" customHeight="1">
      <c r="A238" s="1">
        <v>4.3919778E7</v>
      </c>
      <c r="B238" s="2" t="s">
        <v>1028</v>
      </c>
      <c r="C238" s="19" t="s">
        <v>3655</v>
      </c>
      <c r="D238" s="19"/>
      <c r="E238" s="2" t="s">
        <v>20</v>
      </c>
      <c r="F238" s="19"/>
    </row>
    <row r="239" ht="15.75" customHeight="1">
      <c r="A239" s="1">
        <v>4.3924709E7</v>
      </c>
      <c r="B239" s="2" t="s">
        <v>380</v>
      </c>
      <c r="C239" s="19" t="s">
        <v>3679</v>
      </c>
      <c r="D239" s="19" t="s">
        <v>3680</v>
      </c>
      <c r="E239" s="2" t="s">
        <v>59</v>
      </c>
      <c r="F239" s="19"/>
    </row>
    <row r="240" ht="15.75" customHeight="1">
      <c r="A240" s="1">
        <v>4.3937563E7</v>
      </c>
      <c r="B240" s="2" t="s">
        <v>1680</v>
      </c>
      <c r="C240" s="19" t="s">
        <v>4028</v>
      </c>
      <c r="D240" s="19"/>
      <c r="E240" s="2" t="s">
        <v>11</v>
      </c>
      <c r="F240" s="19"/>
    </row>
    <row r="241" ht="15.75" customHeight="1">
      <c r="A241" s="1">
        <v>4.3947704E7</v>
      </c>
      <c r="B241" s="2" t="s">
        <v>1845</v>
      </c>
      <c r="C241" s="19" t="s">
        <v>4029</v>
      </c>
      <c r="D241" s="19"/>
      <c r="E241" s="2" t="s">
        <v>11</v>
      </c>
      <c r="F241" s="19"/>
    </row>
    <row r="242" ht="15.75" customHeight="1">
      <c r="A242" s="1">
        <v>4.3965841E7</v>
      </c>
      <c r="B242" s="2" t="s">
        <v>2010</v>
      </c>
      <c r="C242" s="19" t="s">
        <v>4030</v>
      </c>
      <c r="D242" s="19"/>
      <c r="E242" s="2" t="s">
        <v>11</v>
      </c>
      <c r="F242" s="19"/>
    </row>
    <row r="243" ht="15.75" customHeight="1">
      <c r="A243" s="1">
        <v>4.3995641E7</v>
      </c>
      <c r="B243" s="2" t="s">
        <v>379</v>
      </c>
      <c r="C243" s="19" t="s">
        <v>3681</v>
      </c>
      <c r="D243" s="19"/>
      <c r="E243" s="2" t="s">
        <v>59</v>
      </c>
      <c r="F243" s="19"/>
    </row>
    <row r="244" ht="15.75" customHeight="1">
      <c r="A244" s="1">
        <v>4.3995671E7</v>
      </c>
      <c r="B244" s="2" t="s">
        <v>641</v>
      </c>
      <c r="C244" s="19" t="s">
        <v>4031</v>
      </c>
      <c r="D244" s="19"/>
      <c r="E244" s="2" t="s">
        <v>11</v>
      </c>
      <c r="F244" s="19"/>
    </row>
    <row r="245" ht="15.75" customHeight="1">
      <c r="A245" s="1">
        <v>4.4005685E7</v>
      </c>
      <c r="B245" s="2" t="s">
        <v>1060</v>
      </c>
      <c r="C245" s="19" t="s">
        <v>4032</v>
      </c>
      <c r="D245" s="19" t="s">
        <v>4033</v>
      </c>
      <c r="E245" s="2" t="s">
        <v>11</v>
      </c>
      <c r="F245" s="19"/>
    </row>
    <row r="246" ht="15.75" customHeight="1">
      <c r="A246" s="1">
        <v>4.4013975E7</v>
      </c>
      <c r="B246" s="2" t="s">
        <v>1572</v>
      </c>
      <c r="C246" s="19" t="s">
        <v>4034</v>
      </c>
      <c r="D246" s="19" t="s">
        <v>4035</v>
      </c>
      <c r="E246" s="2" t="s">
        <v>11</v>
      </c>
      <c r="F246" s="19"/>
    </row>
    <row r="247" ht="15.75" customHeight="1">
      <c r="A247" s="1">
        <v>4.402541E7</v>
      </c>
      <c r="B247" s="2" t="s">
        <v>697</v>
      </c>
      <c r="C247" s="19" t="s">
        <v>4809</v>
      </c>
      <c r="D247" s="19" t="s">
        <v>4810</v>
      </c>
      <c r="E247" s="2" t="s">
        <v>72</v>
      </c>
      <c r="F247" s="19"/>
    </row>
    <row r="248" ht="15.75" customHeight="1">
      <c r="A248" s="1">
        <v>4.4041037E7</v>
      </c>
      <c r="B248" s="2" t="s">
        <v>2317</v>
      </c>
      <c r="C248" s="19" t="s">
        <v>4036</v>
      </c>
      <c r="D248" s="19"/>
      <c r="E248" s="9" t="s">
        <v>11</v>
      </c>
      <c r="F248" s="19"/>
    </row>
    <row r="249" ht="15.75" customHeight="1">
      <c r="A249" s="1">
        <v>4.4050836E7</v>
      </c>
      <c r="B249" s="2" t="s">
        <v>326</v>
      </c>
      <c r="C249" s="19" t="s">
        <v>4037</v>
      </c>
      <c r="D249" s="19"/>
      <c r="E249" s="2" t="s">
        <v>11</v>
      </c>
      <c r="F249" s="19"/>
    </row>
    <row r="250" ht="15.75" customHeight="1">
      <c r="A250" s="1">
        <v>4.4070042E7</v>
      </c>
      <c r="B250" s="2" t="s">
        <v>2400</v>
      </c>
      <c r="C250" s="19" t="s">
        <v>4038</v>
      </c>
      <c r="D250" s="19"/>
      <c r="E250" s="2" t="s">
        <v>11</v>
      </c>
      <c r="F250" s="19"/>
    </row>
    <row r="251" ht="15.75" customHeight="1">
      <c r="A251" s="1">
        <v>4.4073389E7</v>
      </c>
      <c r="B251" s="2" t="s">
        <v>2366</v>
      </c>
      <c r="C251" s="19" t="s">
        <v>4039</v>
      </c>
      <c r="D251" s="19"/>
      <c r="E251" s="2" t="s">
        <v>11</v>
      </c>
      <c r="F251" s="19"/>
    </row>
    <row r="252" ht="15.75" customHeight="1">
      <c r="A252" s="1">
        <v>4.4073502E7</v>
      </c>
      <c r="B252" s="2" t="s">
        <v>1686</v>
      </c>
      <c r="C252" s="19" t="s">
        <v>4040</v>
      </c>
      <c r="D252" s="19" t="s">
        <v>4041</v>
      </c>
      <c r="E252" s="2" t="s">
        <v>11</v>
      </c>
      <c r="F252" s="19"/>
    </row>
    <row r="253" ht="15.75" customHeight="1">
      <c r="A253" s="1">
        <v>4.4076048E7</v>
      </c>
      <c r="B253" s="2" t="s">
        <v>927</v>
      </c>
      <c r="C253" s="19" t="s">
        <v>4042</v>
      </c>
      <c r="D253" s="19" t="s">
        <v>4043</v>
      </c>
      <c r="E253" s="2" t="s">
        <v>11</v>
      </c>
      <c r="F253" s="19"/>
    </row>
    <row r="254" ht="15.75" customHeight="1">
      <c r="A254" s="1">
        <v>4.4078721E7</v>
      </c>
      <c r="B254" s="2" t="s">
        <v>1774</v>
      </c>
      <c r="C254" s="19" t="s">
        <v>4044</v>
      </c>
      <c r="D254" s="19"/>
      <c r="E254" s="2" t="s">
        <v>11</v>
      </c>
      <c r="F254" s="19"/>
    </row>
    <row r="255" ht="15.75" customHeight="1">
      <c r="A255" s="1">
        <v>4.4080566E7</v>
      </c>
      <c r="B255" s="2" t="s">
        <v>696</v>
      </c>
      <c r="C255" s="19" t="s">
        <v>4045</v>
      </c>
      <c r="D255" s="19" t="s">
        <v>4046</v>
      </c>
      <c r="E255" s="2" t="s">
        <v>11</v>
      </c>
      <c r="F255" s="19"/>
    </row>
    <row r="256" ht="15.75" customHeight="1">
      <c r="A256" s="1">
        <v>4.4091275E7</v>
      </c>
      <c r="B256" s="2" t="s">
        <v>652</v>
      </c>
      <c r="C256" s="19" t="s">
        <v>4047</v>
      </c>
      <c r="D256" s="19" t="s">
        <v>4048</v>
      </c>
      <c r="E256" s="2" t="s">
        <v>11</v>
      </c>
      <c r="F256" s="19"/>
    </row>
    <row r="257" ht="15.75" customHeight="1">
      <c r="A257" s="1">
        <v>4.4102892E7</v>
      </c>
      <c r="B257" s="2" t="s">
        <v>1324</v>
      </c>
      <c r="C257" s="19" t="s">
        <v>4049</v>
      </c>
      <c r="D257" s="19"/>
      <c r="E257" s="2" t="s">
        <v>11</v>
      </c>
      <c r="F257" s="19"/>
    </row>
    <row r="258" ht="15.75" customHeight="1">
      <c r="A258" s="1">
        <v>4.4106979E7</v>
      </c>
      <c r="B258" s="2" t="s">
        <v>1500</v>
      </c>
      <c r="C258" s="19" t="s">
        <v>4050</v>
      </c>
      <c r="D258" s="19" t="s">
        <v>4051</v>
      </c>
      <c r="E258" s="9" t="s">
        <v>11</v>
      </c>
      <c r="F258" s="19"/>
    </row>
    <row r="259" ht="15.75" customHeight="1">
      <c r="A259" s="1">
        <v>4.4111993E7</v>
      </c>
      <c r="B259" s="2" t="s">
        <v>604</v>
      </c>
      <c r="C259" s="19" t="s">
        <v>4052</v>
      </c>
      <c r="D259" s="19"/>
      <c r="E259" s="2" t="s">
        <v>11</v>
      </c>
      <c r="F259" s="19"/>
    </row>
    <row r="260" ht="15.75" customHeight="1">
      <c r="A260" s="1">
        <v>4.4131065E7</v>
      </c>
      <c r="B260" s="2" t="s">
        <v>55</v>
      </c>
      <c r="C260" s="19" t="s">
        <v>4053</v>
      </c>
      <c r="D260" s="19"/>
      <c r="E260" s="2" t="s">
        <v>11</v>
      </c>
      <c r="F260" s="19"/>
    </row>
    <row r="261" ht="15.75" customHeight="1">
      <c r="A261" s="1">
        <v>4.4136328E7</v>
      </c>
      <c r="B261" s="2" t="s">
        <v>1543</v>
      </c>
      <c r="C261" s="19" t="s">
        <v>4811</v>
      </c>
      <c r="D261" s="19"/>
      <c r="E261" s="2" t="s">
        <v>72</v>
      </c>
      <c r="F261" s="19"/>
    </row>
    <row r="262" ht="15.75" customHeight="1">
      <c r="A262" s="1">
        <v>4.4140332E7</v>
      </c>
      <c r="B262" s="2" t="s">
        <v>2308</v>
      </c>
      <c r="C262" s="19" t="s">
        <v>4054</v>
      </c>
      <c r="D262" s="19" t="s">
        <v>4055</v>
      </c>
      <c r="E262" s="2" t="s">
        <v>11</v>
      </c>
      <c r="F262" s="19"/>
    </row>
    <row r="263" ht="15.75" customHeight="1">
      <c r="A263" s="1">
        <v>4.4145365E7</v>
      </c>
      <c r="B263" s="2" t="s">
        <v>2011</v>
      </c>
      <c r="C263" s="19" t="s">
        <v>4056</v>
      </c>
      <c r="D263" s="19"/>
      <c r="E263" s="2" t="s">
        <v>11</v>
      </c>
      <c r="F263" s="19"/>
    </row>
    <row r="264" ht="15.75" customHeight="1">
      <c r="A264" s="1">
        <v>4.4165995E7</v>
      </c>
      <c r="B264" s="2" t="s">
        <v>1239</v>
      </c>
      <c r="C264" s="19" t="s">
        <v>3682</v>
      </c>
      <c r="D264" s="19" t="s">
        <v>3683</v>
      </c>
      <c r="E264" s="2" t="s">
        <v>59</v>
      </c>
      <c r="F264" s="19"/>
    </row>
    <row r="265" ht="15.75" customHeight="1">
      <c r="A265" s="1">
        <v>4.4178272E7</v>
      </c>
      <c r="B265" s="2" t="s">
        <v>912</v>
      </c>
      <c r="C265" s="19" t="s">
        <v>4057</v>
      </c>
      <c r="D265" s="19"/>
      <c r="E265" s="2" t="s">
        <v>11</v>
      </c>
      <c r="F265" s="19"/>
    </row>
    <row r="266" ht="15.75" customHeight="1">
      <c r="A266" s="1">
        <v>4.4178802E7</v>
      </c>
      <c r="B266" s="2" t="s">
        <v>2817</v>
      </c>
      <c r="C266" s="19" t="s">
        <v>4058</v>
      </c>
      <c r="D266" s="19" t="s">
        <v>4059</v>
      </c>
      <c r="E266" s="2" t="s">
        <v>11</v>
      </c>
      <c r="F266" s="19"/>
    </row>
    <row r="267" ht="15.75" customHeight="1">
      <c r="A267" s="1">
        <v>4.4233707E7</v>
      </c>
      <c r="B267" s="2" t="s">
        <v>32</v>
      </c>
      <c r="C267" s="19" t="s">
        <v>4060</v>
      </c>
      <c r="D267" s="19" t="s">
        <v>4061</v>
      </c>
      <c r="E267" s="2" t="s">
        <v>11</v>
      </c>
      <c r="F267" s="19"/>
    </row>
    <row r="268" ht="15.75" customHeight="1">
      <c r="A268" s="1">
        <v>4.4242378E7</v>
      </c>
      <c r="B268" s="2" t="s">
        <v>94</v>
      </c>
      <c r="C268" s="19" t="s">
        <v>4062</v>
      </c>
      <c r="D268" s="19" t="s">
        <v>4063</v>
      </c>
      <c r="E268" s="2" t="s">
        <v>11</v>
      </c>
      <c r="F268" s="19"/>
    </row>
    <row r="269" ht="15.75" customHeight="1">
      <c r="A269" s="1">
        <v>4.4375912E7</v>
      </c>
      <c r="B269" s="2" t="s">
        <v>289</v>
      </c>
      <c r="C269" s="19" t="s">
        <v>4064</v>
      </c>
      <c r="D269" s="19"/>
      <c r="E269" s="2" t="s">
        <v>11</v>
      </c>
      <c r="F269" s="19"/>
    </row>
    <row r="270" ht="15.75" customHeight="1">
      <c r="A270" s="1">
        <v>4.4565423E7</v>
      </c>
      <c r="B270" s="2" t="s">
        <v>76</v>
      </c>
      <c r="C270" s="19" t="s">
        <v>4065</v>
      </c>
      <c r="D270" s="19"/>
      <c r="E270" s="2" t="s">
        <v>11</v>
      </c>
      <c r="F270" s="19"/>
    </row>
    <row r="271" ht="15.75" customHeight="1">
      <c r="A271" s="1">
        <v>4.5310234E7</v>
      </c>
      <c r="B271" s="2" t="s">
        <v>197</v>
      </c>
      <c r="C271" s="19" t="s">
        <v>4066</v>
      </c>
      <c r="D271" s="19"/>
      <c r="E271" s="2" t="s">
        <v>11</v>
      </c>
      <c r="F271" s="19"/>
    </row>
    <row r="272" ht="15.75" customHeight="1">
      <c r="A272" s="1">
        <v>4.5442784E7</v>
      </c>
      <c r="B272" s="2" t="s">
        <v>107</v>
      </c>
      <c r="C272" s="19" t="s">
        <v>4067</v>
      </c>
      <c r="D272" s="19"/>
      <c r="E272" s="2" t="s">
        <v>11</v>
      </c>
      <c r="F272" s="19"/>
    </row>
    <row r="273" ht="15.75" customHeight="1">
      <c r="A273" s="1">
        <v>4.5483554E7</v>
      </c>
      <c r="B273" s="2" t="s">
        <v>79</v>
      </c>
      <c r="C273" s="19" t="s">
        <v>4068</v>
      </c>
      <c r="D273" s="19"/>
      <c r="E273" s="2" t="s">
        <v>11</v>
      </c>
      <c r="F273" s="19"/>
    </row>
    <row r="274" ht="15.75" customHeight="1">
      <c r="A274" s="1">
        <v>4.5555969E7</v>
      </c>
      <c r="B274" s="2" t="s">
        <v>2466</v>
      </c>
      <c r="C274" s="19" t="s">
        <v>4812</v>
      </c>
      <c r="D274" s="19"/>
      <c r="E274" s="2" t="s">
        <v>72</v>
      </c>
      <c r="F274" s="19"/>
    </row>
    <row r="275" ht="15.75" customHeight="1">
      <c r="A275" s="1">
        <v>4.572376E7</v>
      </c>
      <c r="B275" s="2" t="s">
        <v>1027</v>
      </c>
      <c r="C275" s="19" t="s">
        <v>4069</v>
      </c>
      <c r="D275" s="19" t="s">
        <v>4070</v>
      </c>
      <c r="E275" s="9" t="s">
        <v>11</v>
      </c>
      <c r="F275" s="19"/>
    </row>
    <row r="276" ht="15.75" customHeight="1">
      <c r="A276" s="1">
        <v>4.5834435E7</v>
      </c>
      <c r="B276" s="2" t="s">
        <v>126</v>
      </c>
      <c r="C276" s="19" t="s">
        <v>4071</v>
      </c>
      <c r="D276" s="19"/>
      <c r="E276" s="2" t="s">
        <v>11</v>
      </c>
      <c r="F276" s="19"/>
    </row>
    <row r="277" ht="15.75" customHeight="1">
      <c r="A277" s="1">
        <v>4.5955538E7</v>
      </c>
      <c r="B277" s="2" t="s">
        <v>13</v>
      </c>
      <c r="C277" s="19" t="s">
        <v>4072</v>
      </c>
      <c r="D277" s="19"/>
      <c r="E277" s="2" t="s">
        <v>11</v>
      </c>
      <c r="F277" s="19"/>
    </row>
    <row r="278" ht="15.75" customHeight="1">
      <c r="A278" s="1">
        <v>4.6067509E7</v>
      </c>
      <c r="B278" s="2" t="s">
        <v>667</v>
      </c>
      <c r="C278" s="19" t="s">
        <v>4073</v>
      </c>
      <c r="D278" s="19" t="s">
        <v>4074</v>
      </c>
      <c r="E278" s="2" t="s">
        <v>11</v>
      </c>
      <c r="F278" s="19"/>
    </row>
    <row r="279" ht="15.75" customHeight="1">
      <c r="A279" s="1">
        <v>4.6067552E7</v>
      </c>
      <c r="B279" s="2" t="s">
        <v>242</v>
      </c>
      <c r="C279" s="19" t="s">
        <v>4075</v>
      </c>
      <c r="D279" s="19"/>
      <c r="E279" s="2" t="s">
        <v>11</v>
      </c>
      <c r="F279" s="19"/>
    </row>
    <row r="280" ht="15.75" customHeight="1">
      <c r="A280" s="1">
        <v>4.607784E7</v>
      </c>
      <c r="B280" s="2" t="s">
        <v>1714</v>
      </c>
      <c r="C280" s="19" t="s">
        <v>4076</v>
      </c>
      <c r="D280" s="19"/>
      <c r="E280" s="9" t="s">
        <v>11</v>
      </c>
      <c r="F280" s="19"/>
    </row>
    <row r="281" ht="15.75" customHeight="1">
      <c r="A281" s="1">
        <v>4.6088465E7</v>
      </c>
      <c r="B281" s="2" t="s">
        <v>277</v>
      </c>
      <c r="C281" s="19" t="s">
        <v>4077</v>
      </c>
      <c r="D281" s="19" t="s">
        <v>4078</v>
      </c>
      <c r="E281" s="2" t="s">
        <v>11</v>
      </c>
      <c r="F281" s="19"/>
    </row>
    <row r="282" ht="15.75" customHeight="1">
      <c r="A282" s="1">
        <v>4.6090082E7</v>
      </c>
      <c r="B282" s="2" t="s">
        <v>1558</v>
      </c>
      <c r="C282" s="19" t="s">
        <v>4079</v>
      </c>
      <c r="D282" s="19" t="s">
        <v>4080</v>
      </c>
      <c r="E282" s="2" t="s">
        <v>11</v>
      </c>
      <c r="F282" s="19"/>
    </row>
    <row r="283" ht="15.75" customHeight="1">
      <c r="A283" s="1">
        <v>4.6124156E7</v>
      </c>
      <c r="B283" s="2" t="s">
        <v>2449</v>
      </c>
      <c r="C283" s="19" t="s">
        <v>4081</v>
      </c>
      <c r="D283" s="19"/>
      <c r="E283" s="9" t="s">
        <v>11</v>
      </c>
      <c r="F283" s="19"/>
    </row>
    <row r="284" ht="15.75" customHeight="1">
      <c r="A284" s="1">
        <v>4.6144718E7</v>
      </c>
      <c r="B284" s="2" t="s">
        <v>1000</v>
      </c>
      <c r="C284" s="19" t="s">
        <v>4082</v>
      </c>
      <c r="D284" s="19"/>
      <c r="E284" s="2" t="s">
        <v>11</v>
      </c>
      <c r="F284" s="19"/>
    </row>
    <row r="285" ht="15.75" customHeight="1">
      <c r="A285" s="1">
        <v>4.6158698E7</v>
      </c>
      <c r="B285" s="2" t="s">
        <v>929</v>
      </c>
      <c r="C285" s="19" t="s">
        <v>4083</v>
      </c>
      <c r="D285" s="19"/>
      <c r="E285" s="9" t="s">
        <v>11</v>
      </c>
      <c r="F285" s="19"/>
    </row>
    <row r="286" ht="15.75" customHeight="1">
      <c r="A286" s="1">
        <v>4.6171283E7</v>
      </c>
      <c r="B286" s="2" t="s">
        <v>285</v>
      </c>
      <c r="C286" s="19" t="s">
        <v>4084</v>
      </c>
      <c r="D286" s="19" t="s">
        <v>4085</v>
      </c>
      <c r="E286" s="2" t="s">
        <v>11</v>
      </c>
      <c r="F286" s="19"/>
    </row>
    <row r="287" ht="15.75" customHeight="1">
      <c r="A287" s="1">
        <v>4.6193704E7</v>
      </c>
      <c r="B287" s="2" t="s">
        <v>1732</v>
      </c>
      <c r="C287" s="19" t="s">
        <v>4086</v>
      </c>
      <c r="D287" s="19"/>
      <c r="E287" s="2" t="s">
        <v>11</v>
      </c>
      <c r="F287" s="19"/>
    </row>
    <row r="288" ht="15.75" customHeight="1">
      <c r="A288" s="1">
        <v>4.6195839E7</v>
      </c>
      <c r="B288" s="2" t="s">
        <v>964</v>
      </c>
      <c r="C288" s="19" t="s">
        <v>3684</v>
      </c>
      <c r="D288" s="19"/>
      <c r="E288" s="2" t="s">
        <v>59</v>
      </c>
      <c r="F288" s="19"/>
    </row>
    <row r="289" ht="15.75" customHeight="1">
      <c r="A289" s="1">
        <v>4.62062E7</v>
      </c>
      <c r="B289" s="2" t="s">
        <v>2257</v>
      </c>
      <c r="C289" s="19" t="s">
        <v>4087</v>
      </c>
      <c r="D289" s="19"/>
      <c r="E289" s="2" t="s">
        <v>11</v>
      </c>
      <c r="F289" s="19"/>
    </row>
    <row r="290" ht="15.75" customHeight="1">
      <c r="A290" s="1">
        <v>4.6206207E7</v>
      </c>
      <c r="B290" s="2" t="s">
        <v>2421</v>
      </c>
      <c r="C290" s="19" t="s">
        <v>4088</v>
      </c>
      <c r="D290" s="19" t="s">
        <v>4089</v>
      </c>
      <c r="E290" s="2" t="s">
        <v>11</v>
      </c>
      <c r="F290" s="19"/>
    </row>
    <row r="291" ht="15.75" customHeight="1">
      <c r="A291" s="1">
        <v>4.6211514E7</v>
      </c>
      <c r="B291" s="2" t="s">
        <v>659</v>
      </c>
      <c r="C291" s="19" t="s">
        <v>4090</v>
      </c>
      <c r="D291" s="19"/>
      <c r="E291" s="2" t="s">
        <v>11</v>
      </c>
      <c r="F291" s="19"/>
    </row>
    <row r="292" ht="15.75" customHeight="1">
      <c r="A292" s="1">
        <v>4.6226398E7</v>
      </c>
      <c r="B292" s="2" t="s">
        <v>1639</v>
      </c>
      <c r="C292" s="19" t="s">
        <v>4091</v>
      </c>
      <c r="D292" s="19"/>
      <c r="E292" s="9" t="s">
        <v>11</v>
      </c>
      <c r="F292" s="19"/>
    </row>
    <row r="293" ht="15.75" customHeight="1">
      <c r="A293" s="1">
        <v>4.6227182E7</v>
      </c>
      <c r="B293" s="2" t="s">
        <v>716</v>
      </c>
      <c r="C293" s="19" t="s">
        <v>4092</v>
      </c>
      <c r="D293" s="19" t="s">
        <v>4093</v>
      </c>
      <c r="E293" s="2" t="s">
        <v>11</v>
      </c>
      <c r="F293" s="19"/>
    </row>
    <row r="294" ht="15.75" customHeight="1">
      <c r="A294" s="1">
        <v>4.6236405E7</v>
      </c>
      <c r="B294" s="2" t="s">
        <v>1828</v>
      </c>
      <c r="C294" s="19" t="s">
        <v>4094</v>
      </c>
      <c r="D294" s="19" t="s">
        <v>4095</v>
      </c>
      <c r="E294" s="2" t="s">
        <v>11</v>
      </c>
      <c r="F294" s="19"/>
    </row>
    <row r="295" ht="15.75" customHeight="1">
      <c r="A295" s="1">
        <v>4.6238759E7</v>
      </c>
      <c r="B295" s="2" t="s">
        <v>1399</v>
      </c>
      <c r="C295" s="19" t="s">
        <v>4096</v>
      </c>
      <c r="D295" s="19"/>
      <c r="E295" s="2" t="s">
        <v>11</v>
      </c>
      <c r="F295" s="19"/>
    </row>
    <row r="296" ht="15.75" customHeight="1">
      <c r="A296" s="1">
        <v>4.6241015E7</v>
      </c>
      <c r="B296" s="2" t="s">
        <v>1035</v>
      </c>
      <c r="C296" s="19" t="s">
        <v>4097</v>
      </c>
      <c r="D296" s="19"/>
      <c r="E296" s="2" t="s">
        <v>11</v>
      </c>
      <c r="F296" s="19"/>
    </row>
    <row r="297" ht="15.75" customHeight="1">
      <c r="A297" s="1">
        <v>4.6250017E7</v>
      </c>
      <c r="B297" s="2" t="s">
        <v>407</v>
      </c>
      <c r="C297" s="19" t="s">
        <v>4098</v>
      </c>
      <c r="D297" s="19"/>
      <c r="E297" s="2" t="s">
        <v>11</v>
      </c>
      <c r="F297" s="19"/>
    </row>
    <row r="298" ht="15.75" customHeight="1">
      <c r="A298" s="1">
        <v>4.6257017E7</v>
      </c>
      <c r="B298" s="2" t="s">
        <v>1147</v>
      </c>
      <c r="C298" s="19" t="s">
        <v>4099</v>
      </c>
      <c r="D298" s="19"/>
      <c r="E298" s="2" t="s">
        <v>11</v>
      </c>
      <c r="F298" s="19"/>
    </row>
    <row r="299" ht="15.75" customHeight="1">
      <c r="A299" s="1">
        <v>4.6271988E7</v>
      </c>
      <c r="B299" s="2" t="s">
        <v>2147</v>
      </c>
      <c r="C299" s="19" t="s">
        <v>4100</v>
      </c>
      <c r="D299" s="19"/>
      <c r="E299" s="9" t="s">
        <v>11</v>
      </c>
      <c r="F299" s="19"/>
    </row>
    <row r="300" ht="15.75" customHeight="1">
      <c r="A300" s="1">
        <v>4.6275169E7</v>
      </c>
      <c r="B300" s="2" t="s">
        <v>2006</v>
      </c>
      <c r="C300" s="19" t="s">
        <v>4101</v>
      </c>
      <c r="D300" s="19" t="s">
        <v>4102</v>
      </c>
      <c r="E300" s="9" t="s">
        <v>11</v>
      </c>
      <c r="F300" s="19"/>
    </row>
    <row r="301" ht="15.75" customHeight="1">
      <c r="A301" s="1">
        <v>4.627736E7</v>
      </c>
      <c r="B301" s="2" t="s">
        <v>906</v>
      </c>
      <c r="C301" s="19" t="s">
        <v>4103</v>
      </c>
      <c r="D301" s="19"/>
      <c r="E301" s="2" t="s">
        <v>11</v>
      </c>
      <c r="F301" s="19"/>
    </row>
    <row r="302" ht="15.75" customHeight="1">
      <c r="A302" s="1">
        <v>4.6289453E7</v>
      </c>
      <c r="B302" s="2" t="s">
        <v>1736</v>
      </c>
      <c r="C302" s="19" t="s">
        <v>4104</v>
      </c>
      <c r="D302" s="19"/>
      <c r="E302" s="2" t="s">
        <v>11</v>
      </c>
      <c r="F302" s="19"/>
    </row>
    <row r="303" ht="15.75" customHeight="1">
      <c r="A303" s="1">
        <v>4.6295367E7</v>
      </c>
      <c r="B303" s="2" t="s">
        <v>1016</v>
      </c>
      <c r="C303" s="19" t="s">
        <v>4105</v>
      </c>
      <c r="D303" s="19"/>
      <c r="E303" s="2" t="s">
        <v>11</v>
      </c>
      <c r="F303" s="19"/>
    </row>
    <row r="304" ht="15.75" customHeight="1">
      <c r="A304" s="1">
        <v>4.6297894E7</v>
      </c>
      <c r="B304" s="2" t="s">
        <v>784</v>
      </c>
      <c r="C304" s="19" t="s">
        <v>4785</v>
      </c>
      <c r="D304" s="19"/>
      <c r="E304" s="2" t="s">
        <v>86</v>
      </c>
      <c r="F304" s="19"/>
    </row>
    <row r="305" ht="15.75" customHeight="1">
      <c r="A305" s="1">
        <v>4.630337E7</v>
      </c>
      <c r="B305" s="2" t="s">
        <v>156</v>
      </c>
      <c r="C305" s="19" t="s">
        <v>4106</v>
      </c>
      <c r="D305" s="19"/>
      <c r="E305" s="2" t="s">
        <v>11</v>
      </c>
      <c r="F305" s="19"/>
    </row>
    <row r="306" ht="15.75" customHeight="1">
      <c r="A306" s="1">
        <v>4.6314967E7</v>
      </c>
      <c r="B306" s="2" t="s">
        <v>281</v>
      </c>
      <c r="C306" s="19" t="s">
        <v>3685</v>
      </c>
      <c r="D306" s="19"/>
      <c r="E306" s="2" t="s">
        <v>59</v>
      </c>
      <c r="F306" s="19"/>
    </row>
    <row r="307" ht="15.75" customHeight="1">
      <c r="A307" s="1">
        <v>4.6321865E7</v>
      </c>
      <c r="B307" s="2" t="s">
        <v>664</v>
      </c>
      <c r="C307" s="19" t="s">
        <v>4107</v>
      </c>
      <c r="D307" s="19" t="s">
        <v>4108</v>
      </c>
      <c r="E307" s="2" t="s">
        <v>11</v>
      </c>
      <c r="F307" s="19"/>
    </row>
    <row r="308" ht="15.75" customHeight="1">
      <c r="A308" s="1">
        <v>4.6330301E7</v>
      </c>
      <c r="B308" s="2" t="s">
        <v>1766</v>
      </c>
      <c r="C308" s="19" t="s">
        <v>4109</v>
      </c>
      <c r="D308" s="19" t="s">
        <v>4110</v>
      </c>
      <c r="E308" s="2" t="s">
        <v>11</v>
      </c>
      <c r="F308" s="19"/>
    </row>
    <row r="309" ht="15.75" customHeight="1">
      <c r="A309" s="1">
        <v>4.6336305E7</v>
      </c>
      <c r="B309" s="2" t="s">
        <v>2242</v>
      </c>
      <c r="C309" s="19" t="s">
        <v>4111</v>
      </c>
      <c r="D309" s="19"/>
      <c r="E309" s="2" t="s">
        <v>11</v>
      </c>
      <c r="F309" s="19"/>
    </row>
    <row r="310" ht="15.75" customHeight="1">
      <c r="A310" s="1">
        <v>4.6340789E7</v>
      </c>
      <c r="B310" s="2" t="s">
        <v>2356</v>
      </c>
      <c r="C310" s="19" t="s">
        <v>4112</v>
      </c>
      <c r="D310" s="19"/>
      <c r="E310" s="9" t="s">
        <v>11</v>
      </c>
      <c r="F310" s="19"/>
    </row>
    <row r="311" ht="15.75" customHeight="1">
      <c r="A311" s="1">
        <v>4.6348449E7</v>
      </c>
      <c r="B311" s="2" t="s">
        <v>2541</v>
      </c>
      <c r="C311" s="19" t="s">
        <v>4813</v>
      </c>
      <c r="D311" s="19"/>
      <c r="E311" s="2" t="s">
        <v>72</v>
      </c>
      <c r="F311" s="19"/>
    </row>
    <row r="312" ht="15.75" customHeight="1">
      <c r="A312" s="1">
        <v>4.6362311E7</v>
      </c>
      <c r="B312" s="2" t="s">
        <v>1031</v>
      </c>
      <c r="C312" s="19" t="s">
        <v>4113</v>
      </c>
      <c r="D312" s="19" t="s">
        <v>4114</v>
      </c>
      <c r="E312" s="2" t="s">
        <v>11</v>
      </c>
      <c r="F312" s="19"/>
    </row>
    <row r="313" ht="15.75" customHeight="1">
      <c r="A313" s="1">
        <v>4.6369742E7</v>
      </c>
      <c r="B313" s="2" t="s">
        <v>2801</v>
      </c>
      <c r="C313" s="19" t="s">
        <v>4814</v>
      </c>
      <c r="D313" s="19"/>
      <c r="E313" s="2" t="s">
        <v>72</v>
      </c>
      <c r="F313" s="19"/>
    </row>
    <row r="314" ht="15.75" customHeight="1">
      <c r="A314" s="1">
        <v>4.6378576E7</v>
      </c>
      <c r="B314" s="2" t="s">
        <v>2148</v>
      </c>
      <c r="C314" s="19" t="s">
        <v>4115</v>
      </c>
      <c r="D314" s="19" t="s">
        <v>4116</v>
      </c>
      <c r="E314" s="2" t="s">
        <v>11</v>
      </c>
      <c r="F314" s="19"/>
    </row>
    <row r="315" ht="15.75" customHeight="1">
      <c r="A315" s="1">
        <v>4.6382002E7</v>
      </c>
      <c r="B315" s="2" t="s">
        <v>2131</v>
      </c>
      <c r="C315" s="19" t="s">
        <v>4117</v>
      </c>
      <c r="D315" s="19"/>
      <c r="E315" s="2" t="s">
        <v>11</v>
      </c>
      <c r="F315" s="19"/>
    </row>
    <row r="316" ht="15.75" customHeight="1">
      <c r="A316" s="1">
        <v>4.63872E7</v>
      </c>
      <c r="B316" s="2" t="s">
        <v>919</v>
      </c>
      <c r="C316" s="19" t="s">
        <v>4118</v>
      </c>
      <c r="D316" s="19"/>
      <c r="E316" s="2" t="s">
        <v>11</v>
      </c>
      <c r="F316" s="19"/>
    </row>
    <row r="317" ht="15.75" customHeight="1">
      <c r="A317" s="1">
        <v>4.6417978E7</v>
      </c>
      <c r="B317" s="2" t="s">
        <v>1173</v>
      </c>
      <c r="C317" s="19" t="s">
        <v>4119</v>
      </c>
      <c r="D317" s="19"/>
      <c r="E317" s="9" t="s">
        <v>11</v>
      </c>
      <c r="F317" s="19"/>
    </row>
    <row r="318" ht="15.75" customHeight="1">
      <c r="A318" s="1">
        <v>4.6421271E7</v>
      </c>
      <c r="B318" s="2" t="s">
        <v>548</v>
      </c>
      <c r="C318" s="19" t="s">
        <v>3686</v>
      </c>
      <c r="D318" s="19" t="s">
        <v>3687</v>
      </c>
      <c r="E318" s="2" t="s">
        <v>59</v>
      </c>
      <c r="F318" s="19"/>
    </row>
    <row r="319" ht="15.75" customHeight="1">
      <c r="A319" s="1">
        <v>4.6422037E7</v>
      </c>
      <c r="B319" s="2" t="s">
        <v>282</v>
      </c>
      <c r="C319" s="19" t="s">
        <v>4120</v>
      </c>
      <c r="D319" s="19" t="s">
        <v>4121</v>
      </c>
      <c r="E319" s="9" t="s">
        <v>11</v>
      </c>
      <c r="F319" s="19"/>
    </row>
    <row r="320" ht="15.75" customHeight="1">
      <c r="A320" s="1">
        <v>4.6429884E7</v>
      </c>
      <c r="B320" s="2" t="s">
        <v>2509</v>
      </c>
      <c r="C320" s="19" t="s">
        <v>4122</v>
      </c>
      <c r="D320" s="19"/>
      <c r="E320" s="9" t="s">
        <v>11</v>
      </c>
      <c r="F320" s="19"/>
    </row>
    <row r="321" ht="15.75" customHeight="1">
      <c r="A321" s="1">
        <v>4.6447525E7</v>
      </c>
      <c r="B321" s="2" t="s">
        <v>2331</v>
      </c>
      <c r="C321" s="19" t="s">
        <v>4123</v>
      </c>
      <c r="D321" s="19"/>
      <c r="E321" s="2" t="s">
        <v>11</v>
      </c>
      <c r="F321" s="19"/>
    </row>
    <row r="322" ht="15.75" customHeight="1">
      <c r="A322" s="1">
        <v>4.6453448E7</v>
      </c>
      <c r="B322" s="2" t="s">
        <v>487</v>
      </c>
      <c r="C322" s="19" t="s">
        <v>3688</v>
      </c>
      <c r="D322" s="19"/>
      <c r="E322" s="2" t="s">
        <v>59</v>
      </c>
      <c r="F322" s="19"/>
    </row>
    <row r="323" ht="15.75" customHeight="1">
      <c r="A323" s="1">
        <v>4.6463283E7</v>
      </c>
      <c r="B323" s="2" t="s">
        <v>880</v>
      </c>
      <c r="C323" s="19" t="s">
        <v>3689</v>
      </c>
      <c r="D323" s="19" t="s">
        <v>3690</v>
      </c>
      <c r="E323" s="2" t="s">
        <v>59</v>
      </c>
      <c r="F323" s="19"/>
    </row>
    <row r="324" ht="15.75" customHeight="1">
      <c r="A324" s="1">
        <v>4.6482177E7</v>
      </c>
      <c r="B324" s="2" t="s">
        <v>569</v>
      </c>
      <c r="C324" s="19" t="s">
        <v>4124</v>
      </c>
      <c r="D324" s="19"/>
      <c r="E324" s="2" t="s">
        <v>11</v>
      </c>
      <c r="F324" s="19"/>
    </row>
    <row r="325" ht="15.75" customHeight="1">
      <c r="A325" s="1">
        <v>4.6483388E7</v>
      </c>
      <c r="B325" s="2" t="s">
        <v>1478</v>
      </c>
      <c r="C325" s="19" t="s">
        <v>4125</v>
      </c>
      <c r="D325" s="19"/>
      <c r="E325" s="2" t="s">
        <v>11</v>
      </c>
      <c r="F325" s="19"/>
    </row>
    <row r="326" ht="15.75" customHeight="1">
      <c r="A326" s="1">
        <v>4.6492413E7</v>
      </c>
      <c r="B326" s="2" t="s">
        <v>899</v>
      </c>
      <c r="C326" s="19" t="s">
        <v>4126</v>
      </c>
      <c r="D326" s="19" t="s">
        <v>4127</v>
      </c>
      <c r="E326" s="9" t="s">
        <v>11</v>
      </c>
      <c r="F326" s="19"/>
    </row>
    <row r="327" ht="15.75" customHeight="1">
      <c r="A327" s="1">
        <v>4.6493441E7</v>
      </c>
      <c r="B327" s="2" t="s">
        <v>2802</v>
      </c>
      <c r="C327" s="19" t="s">
        <v>4815</v>
      </c>
      <c r="D327" s="19"/>
      <c r="E327" s="2" t="s">
        <v>72</v>
      </c>
      <c r="F327" s="19"/>
    </row>
    <row r="328" ht="15.75" customHeight="1">
      <c r="A328" s="1">
        <v>4.6495006E7</v>
      </c>
      <c r="B328" s="2" t="s">
        <v>2626</v>
      </c>
      <c r="C328" s="19" t="s">
        <v>4816</v>
      </c>
      <c r="D328" s="19"/>
      <c r="E328" s="2" t="s">
        <v>72</v>
      </c>
      <c r="F328" s="19"/>
    </row>
    <row r="329" ht="15.75" customHeight="1">
      <c r="A329" s="1">
        <v>4.6514457E7</v>
      </c>
      <c r="B329" s="2" t="s">
        <v>1781</v>
      </c>
      <c r="C329" s="19" t="s">
        <v>4817</v>
      </c>
      <c r="D329" s="19" t="s">
        <v>4818</v>
      </c>
      <c r="E329" s="2" t="s">
        <v>72</v>
      </c>
      <c r="F329" s="19"/>
    </row>
    <row r="330" ht="15.75" customHeight="1">
      <c r="A330" s="1">
        <v>4.653744E7</v>
      </c>
      <c r="B330" s="2" t="s">
        <v>1869</v>
      </c>
      <c r="C330" s="19" t="s">
        <v>4128</v>
      </c>
      <c r="D330" s="19"/>
      <c r="E330" s="9" t="s">
        <v>11</v>
      </c>
      <c r="F330" s="19"/>
    </row>
    <row r="331" ht="15.75" customHeight="1">
      <c r="A331" s="1">
        <v>4.6541679E7</v>
      </c>
      <c r="B331" s="2" t="s">
        <v>2100</v>
      </c>
      <c r="C331" s="19" t="s">
        <v>4129</v>
      </c>
      <c r="D331" s="19"/>
      <c r="E331" s="2" t="s">
        <v>11</v>
      </c>
      <c r="F331" s="19"/>
    </row>
    <row r="332" ht="15.75" customHeight="1">
      <c r="A332" s="1">
        <v>4.6550925E7</v>
      </c>
      <c r="B332" s="2" t="s">
        <v>2581</v>
      </c>
      <c r="C332" s="19" t="s">
        <v>4130</v>
      </c>
      <c r="D332" s="19"/>
      <c r="E332" s="2" t="s">
        <v>11</v>
      </c>
      <c r="F332" s="19"/>
    </row>
    <row r="333" ht="15.75" customHeight="1">
      <c r="A333" s="1">
        <v>4.655851E7</v>
      </c>
      <c r="B333" s="2" t="s">
        <v>1480</v>
      </c>
      <c r="C333" s="19" t="s">
        <v>4131</v>
      </c>
      <c r="D333" s="19"/>
      <c r="E333" s="2" t="s">
        <v>11</v>
      </c>
      <c r="F333" s="19"/>
    </row>
    <row r="334" ht="15.75" customHeight="1">
      <c r="A334" s="1">
        <v>4.6565154E7</v>
      </c>
      <c r="B334" s="2" t="s">
        <v>2307</v>
      </c>
      <c r="C334" s="19" t="s">
        <v>3656</v>
      </c>
      <c r="D334" s="19"/>
      <c r="E334" s="2" t="s">
        <v>20</v>
      </c>
      <c r="F334" s="19"/>
    </row>
    <row r="335" ht="15.75" customHeight="1">
      <c r="A335" s="1">
        <v>4.6574894E7</v>
      </c>
      <c r="B335" s="2" t="s">
        <v>2149</v>
      </c>
      <c r="C335" s="19" t="s">
        <v>4132</v>
      </c>
      <c r="D335" s="19"/>
      <c r="E335" s="2" t="s">
        <v>11</v>
      </c>
      <c r="F335" s="19"/>
    </row>
    <row r="336" ht="15.75" customHeight="1">
      <c r="A336" s="1">
        <v>4.6595947E7</v>
      </c>
      <c r="B336" s="2" t="s">
        <v>2193</v>
      </c>
      <c r="C336" s="19" t="s">
        <v>4133</v>
      </c>
      <c r="D336" s="19"/>
      <c r="E336" s="2" t="s">
        <v>11</v>
      </c>
      <c r="F336" s="19"/>
    </row>
    <row r="337" ht="15.75" customHeight="1">
      <c r="A337" s="1">
        <v>4.6600731E7</v>
      </c>
      <c r="B337" s="2" t="s">
        <v>2279</v>
      </c>
      <c r="C337" s="19" t="s">
        <v>4134</v>
      </c>
      <c r="D337" s="19" t="s">
        <v>4135</v>
      </c>
      <c r="E337" s="2" t="s">
        <v>11</v>
      </c>
      <c r="F337" s="19"/>
    </row>
    <row r="338" ht="15.75" customHeight="1">
      <c r="A338" s="1">
        <v>4.6606062E7</v>
      </c>
      <c r="B338" s="2" t="s">
        <v>390</v>
      </c>
      <c r="C338" s="19" t="s">
        <v>4136</v>
      </c>
      <c r="D338" s="19"/>
      <c r="E338" s="2" t="s">
        <v>11</v>
      </c>
      <c r="F338" s="19"/>
    </row>
    <row r="339" ht="15.75" customHeight="1">
      <c r="A339" s="1">
        <v>4.6608926E7</v>
      </c>
      <c r="B339" s="2" t="s">
        <v>2492</v>
      </c>
      <c r="C339" s="19" t="s">
        <v>4137</v>
      </c>
      <c r="D339" s="19" t="s">
        <v>4138</v>
      </c>
      <c r="E339" s="2" t="s">
        <v>11</v>
      </c>
      <c r="F339" s="19"/>
    </row>
    <row r="340" ht="15.75" customHeight="1">
      <c r="A340" s="1">
        <v>4.6612266E7</v>
      </c>
      <c r="B340" s="2" t="s">
        <v>318</v>
      </c>
      <c r="C340" s="19" t="s">
        <v>4139</v>
      </c>
      <c r="D340" s="19"/>
      <c r="E340" s="2" t="s">
        <v>11</v>
      </c>
      <c r="F340" s="19"/>
    </row>
    <row r="341" ht="15.75" customHeight="1">
      <c r="A341" s="1">
        <v>4.6612872E7</v>
      </c>
      <c r="B341" s="2" t="s">
        <v>2658</v>
      </c>
      <c r="C341" s="19" t="s">
        <v>4819</v>
      </c>
      <c r="D341" s="19"/>
      <c r="E341" s="2" t="s">
        <v>72</v>
      </c>
      <c r="F341" s="19"/>
    </row>
    <row r="342" ht="15.75" customHeight="1">
      <c r="A342" s="1">
        <v>4.6614237E7</v>
      </c>
      <c r="B342" s="2" t="s">
        <v>2653</v>
      </c>
      <c r="C342" s="19" t="s">
        <v>3691</v>
      </c>
      <c r="D342" s="19"/>
      <c r="E342" s="2" t="s">
        <v>59</v>
      </c>
      <c r="F342" s="19"/>
    </row>
    <row r="343" ht="15.75" customHeight="1">
      <c r="A343" s="1">
        <v>4.6627009E7</v>
      </c>
      <c r="B343" s="2" t="s">
        <v>442</v>
      </c>
      <c r="C343" s="19" t="s">
        <v>4140</v>
      </c>
      <c r="D343" s="19" t="s">
        <v>4141</v>
      </c>
      <c r="E343" s="2" t="s">
        <v>11</v>
      </c>
      <c r="F343" s="19"/>
    </row>
    <row r="344" ht="15.75" customHeight="1">
      <c r="A344" s="1">
        <v>4.6636237E7</v>
      </c>
      <c r="B344" s="2" t="s">
        <v>50</v>
      </c>
      <c r="C344" s="19" t="s">
        <v>4142</v>
      </c>
      <c r="D344" s="19"/>
      <c r="E344" s="2" t="s">
        <v>11</v>
      </c>
      <c r="F344" s="19"/>
    </row>
    <row r="345" ht="15.75" customHeight="1">
      <c r="A345" s="1">
        <v>4.6647666E7</v>
      </c>
      <c r="B345" s="2" t="s">
        <v>2450</v>
      </c>
      <c r="C345" s="19" t="s">
        <v>4143</v>
      </c>
      <c r="D345" s="19"/>
      <c r="E345" s="2" t="s">
        <v>11</v>
      </c>
      <c r="F345" s="19"/>
    </row>
    <row r="346" ht="15.75" customHeight="1">
      <c r="A346" s="1">
        <v>4.6647682E7</v>
      </c>
      <c r="B346" s="2" t="s">
        <v>509</v>
      </c>
      <c r="C346" s="19" t="s">
        <v>4144</v>
      </c>
      <c r="D346" s="19"/>
      <c r="E346" s="2" t="s">
        <v>11</v>
      </c>
      <c r="F346" s="19"/>
    </row>
    <row r="347" ht="15.75" customHeight="1">
      <c r="A347" s="1">
        <v>4.6655042E7</v>
      </c>
      <c r="B347" s="2" t="s">
        <v>1970</v>
      </c>
      <c r="C347" s="19" t="s">
        <v>4145</v>
      </c>
      <c r="D347" s="19" t="s">
        <v>4146</v>
      </c>
      <c r="E347" s="2" t="s">
        <v>11</v>
      </c>
      <c r="F347" s="19"/>
    </row>
    <row r="348" ht="15.75" customHeight="1">
      <c r="A348" s="1">
        <v>4.666969E7</v>
      </c>
      <c r="B348" s="2" t="s">
        <v>1768</v>
      </c>
      <c r="C348" s="19" t="s">
        <v>4786</v>
      </c>
      <c r="D348" s="19"/>
      <c r="E348" s="2" t="s">
        <v>86</v>
      </c>
      <c r="F348" s="19"/>
    </row>
    <row r="349" ht="15.75" customHeight="1">
      <c r="A349" s="1">
        <v>4.6681967E7</v>
      </c>
      <c r="B349" s="2" t="s">
        <v>1631</v>
      </c>
      <c r="C349" s="19" t="s">
        <v>4147</v>
      </c>
      <c r="D349" s="19"/>
      <c r="E349" s="2" t="s">
        <v>11</v>
      </c>
      <c r="F349" s="19"/>
    </row>
    <row r="350" ht="15.75" customHeight="1">
      <c r="A350" s="1">
        <v>4.6684369E7</v>
      </c>
      <c r="B350" s="2" t="s">
        <v>963</v>
      </c>
      <c r="C350" s="19" t="s">
        <v>3657</v>
      </c>
      <c r="D350" s="19"/>
      <c r="E350" s="2" t="s">
        <v>20</v>
      </c>
      <c r="F350" s="19"/>
    </row>
    <row r="351" ht="15.75" customHeight="1">
      <c r="A351" s="1">
        <v>4.6703013E7</v>
      </c>
      <c r="B351" s="2" t="s">
        <v>264</v>
      </c>
      <c r="C351" s="19" t="s">
        <v>4148</v>
      </c>
      <c r="D351" s="19"/>
      <c r="E351" s="2" t="s">
        <v>11</v>
      </c>
      <c r="F351" s="19"/>
    </row>
    <row r="352" ht="15.75" customHeight="1">
      <c r="A352" s="1">
        <v>4.6705213E7</v>
      </c>
      <c r="B352" s="2" t="s">
        <v>1022</v>
      </c>
      <c r="C352" s="19" t="s">
        <v>4841</v>
      </c>
      <c r="D352" s="19"/>
      <c r="E352" s="2" t="s">
        <v>537</v>
      </c>
      <c r="F352" s="19"/>
    </row>
    <row r="353" ht="15.75" customHeight="1">
      <c r="A353" s="1">
        <v>4.6717398E7</v>
      </c>
      <c r="B353" s="2" t="s">
        <v>2243</v>
      </c>
      <c r="C353" s="19" t="s">
        <v>4149</v>
      </c>
      <c r="D353" s="19" t="s">
        <v>4150</v>
      </c>
      <c r="E353" s="2" t="s">
        <v>11</v>
      </c>
      <c r="F353" s="19"/>
    </row>
    <row r="354" ht="15.75" customHeight="1">
      <c r="A354" s="1">
        <v>4.6732318E7</v>
      </c>
      <c r="B354" s="2" t="s">
        <v>1650</v>
      </c>
      <c r="C354" s="19" t="s">
        <v>4842</v>
      </c>
      <c r="D354" s="19"/>
      <c r="E354" s="2" t="s">
        <v>537</v>
      </c>
      <c r="F354" s="19"/>
    </row>
    <row r="355" ht="15.75" customHeight="1">
      <c r="A355" s="1">
        <v>4.6733068E7</v>
      </c>
      <c r="B355" s="2" t="s">
        <v>542</v>
      </c>
      <c r="C355" s="19" t="s">
        <v>4151</v>
      </c>
      <c r="D355" s="19"/>
      <c r="E355" s="2" t="s">
        <v>11</v>
      </c>
      <c r="F355" s="19"/>
    </row>
    <row r="356" ht="15.75" customHeight="1">
      <c r="A356" s="1">
        <v>4.6738962E7</v>
      </c>
      <c r="B356" s="2" t="s">
        <v>1808</v>
      </c>
      <c r="C356" s="19" t="s">
        <v>4152</v>
      </c>
      <c r="D356" s="19"/>
      <c r="E356" s="2" t="s">
        <v>11</v>
      </c>
      <c r="F356" s="19"/>
    </row>
    <row r="357" ht="15.75" customHeight="1">
      <c r="A357" s="1">
        <v>4.6739891E7</v>
      </c>
      <c r="B357" s="2" t="s">
        <v>1663</v>
      </c>
      <c r="C357" s="19" t="s">
        <v>4153</v>
      </c>
      <c r="D357" s="19" t="s">
        <v>4154</v>
      </c>
      <c r="E357" s="2" t="s">
        <v>11</v>
      </c>
      <c r="F357" s="19"/>
    </row>
    <row r="358" ht="15.75" customHeight="1">
      <c r="A358" s="1">
        <v>4.6767048E7</v>
      </c>
      <c r="B358" s="2" t="s">
        <v>1681</v>
      </c>
      <c r="C358" s="19" t="s">
        <v>4155</v>
      </c>
      <c r="D358" s="19"/>
      <c r="E358" s="2" t="s">
        <v>11</v>
      </c>
      <c r="F358" s="19"/>
    </row>
    <row r="359" ht="15.75" customHeight="1">
      <c r="A359" s="1">
        <v>4.6776819E7</v>
      </c>
      <c r="B359" s="2" t="s">
        <v>1573</v>
      </c>
      <c r="C359" s="19" t="s">
        <v>4156</v>
      </c>
      <c r="D359" s="19"/>
      <c r="E359" s="2" t="s">
        <v>11</v>
      </c>
      <c r="F359" s="19"/>
    </row>
    <row r="360" ht="15.75" customHeight="1">
      <c r="A360" s="1">
        <v>4.6776955E7</v>
      </c>
      <c r="B360" s="2" t="s">
        <v>1244</v>
      </c>
      <c r="C360" s="19" t="s">
        <v>4157</v>
      </c>
      <c r="D360" s="19" t="s">
        <v>4158</v>
      </c>
      <c r="E360" s="2" t="s">
        <v>11</v>
      </c>
      <c r="F360" s="19"/>
    </row>
    <row r="361" ht="15.75" customHeight="1">
      <c r="A361" s="1">
        <v>4.6779664E7</v>
      </c>
      <c r="B361" s="2" t="s">
        <v>982</v>
      </c>
      <c r="C361" s="19" t="s">
        <v>4159</v>
      </c>
      <c r="D361" s="19"/>
      <c r="E361" s="9" t="s">
        <v>11</v>
      </c>
      <c r="F361" s="19"/>
    </row>
    <row r="362" ht="15.75" customHeight="1">
      <c r="A362" s="1">
        <v>4.6798235E7</v>
      </c>
      <c r="B362" s="2" t="s">
        <v>722</v>
      </c>
      <c r="C362" s="19" t="s">
        <v>4160</v>
      </c>
      <c r="D362" s="19"/>
      <c r="E362" s="2" t="s">
        <v>11</v>
      </c>
      <c r="F362" s="19"/>
    </row>
    <row r="363" ht="15.75" customHeight="1">
      <c r="A363" s="1">
        <v>4.6798556E7</v>
      </c>
      <c r="B363" s="2" t="s">
        <v>2422</v>
      </c>
      <c r="C363" s="19" t="s">
        <v>4161</v>
      </c>
      <c r="D363" s="19"/>
      <c r="E363" s="2" t="s">
        <v>11</v>
      </c>
      <c r="F363" s="19"/>
    </row>
    <row r="364" ht="15.75" customHeight="1">
      <c r="A364" s="1">
        <v>4.68014E7</v>
      </c>
      <c r="B364" s="2" t="s">
        <v>1122</v>
      </c>
      <c r="C364" s="19" t="s">
        <v>4162</v>
      </c>
      <c r="D364" s="19" t="s">
        <v>4163</v>
      </c>
      <c r="E364" s="2" t="s">
        <v>11</v>
      </c>
      <c r="F364" s="19"/>
    </row>
    <row r="365" ht="15.75" customHeight="1">
      <c r="A365" s="1">
        <v>4.6803436E7</v>
      </c>
      <c r="B365" s="2" t="s">
        <v>3167</v>
      </c>
      <c r="C365" s="19" t="s">
        <v>4164</v>
      </c>
      <c r="D365" s="19"/>
      <c r="E365" s="2" t="s">
        <v>11</v>
      </c>
      <c r="F365" s="19"/>
    </row>
    <row r="366" ht="15.75" customHeight="1">
      <c r="A366" s="1">
        <v>4.6837399E7</v>
      </c>
      <c r="B366" s="2" t="s">
        <v>1835</v>
      </c>
      <c r="C366" s="19" t="s">
        <v>4165</v>
      </c>
      <c r="D366" s="19"/>
      <c r="E366" s="2" t="s">
        <v>11</v>
      </c>
      <c r="F366" s="19"/>
    </row>
    <row r="367" ht="15.75" customHeight="1">
      <c r="A367" s="1">
        <v>4.6866935E7</v>
      </c>
      <c r="B367" s="2" t="s">
        <v>1557</v>
      </c>
      <c r="C367" s="19" t="s">
        <v>3692</v>
      </c>
      <c r="D367" s="19"/>
      <c r="E367" s="2" t="s">
        <v>59</v>
      </c>
      <c r="F367" s="19"/>
    </row>
    <row r="368" ht="15.75" customHeight="1">
      <c r="A368" s="1">
        <v>4.6874301E7</v>
      </c>
      <c r="B368" s="2" t="s">
        <v>2755</v>
      </c>
      <c r="C368" s="19" t="s">
        <v>4166</v>
      </c>
      <c r="D368" s="19"/>
      <c r="E368" s="9" t="s">
        <v>11</v>
      </c>
      <c r="F368" s="19"/>
    </row>
    <row r="369" ht="15.75" customHeight="1">
      <c r="A369" s="1">
        <v>4.6882235E7</v>
      </c>
      <c r="B369" s="2" t="s">
        <v>756</v>
      </c>
      <c r="C369" s="19" t="s">
        <v>4167</v>
      </c>
      <c r="D369" s="19" t="s">
        <v>4168</v>
      </c>
      <c r="E369" s="2" t="s">
        <v>11</v>
      </c>
      <c r="F369" s="19"/>
    </row>
    <row r="370" ht="15.75" customHeight="1">
      <c r="A370" s="1">
        <v>4.6894604E7</v>
      </c>
      <c r="B370" s="2" t="s">
        <v>1814</v>
      </c>
      <c r="C370" s="19" t="s">
        <v>4169</v>
      </c>
      <c r="D370" s="19"/>
      <c r="E370" s="2" t="s">
        <v>11</v>
      </c>
      <c r="F370" s="19"/>
    </row>
    <row r="371" ht="15.75" customHeight="1">
      <c r="A371" s="1">
        <v>4.6921029E7</v>
      </c>
      <c r="B371" s="2" t="s">
        <v>1328</v>
      </c>
      <c r="C371" s="19" t="s">
        <v>4170</v>
      </c>
      <c r="D371" s="19" t="s">
        <v>4171</v>
      </c>
      <c r="E371" s="9" t="s">
        <v>11</v>
      </c>
      <c r="F371" s="19"/>
    </row>
    <row r="372" ht="15.75" customHeight="1">
      <c r="A372" s="1">
        <v>4.6945536E7</v>
      </c>
      <c r="B372" s="2" t="s">
        <v>387</v>
      </c>
      <c r="C372" s="19" t="s">
        <v>4172</v>
      </c>
      <c r="D372" s="19"/>
      <c r="E372" s="2" t="s">
        <v>11</v>
      </c>
      <c r="F372" s="19"/>
    </row>
    <row r="373" ht="15.75" customHeight="1">
      <c r="A373" s="1">
        <v>4.6966587E7</v>
      </c>
      <c r="B373" s="2" t="s">
        <v>464</v>
      </c>
      <c r="C373" s="19" t="s">
        <v>4820</v>
      </c>
      <c r="D373" s="19"/>
      <c r="E373" s="2" t="s">
        <v>72</v>
      </c>
      <c r="F373" s="19"/>
    </row>
    <row r="374" ht="15.75" customHeight="1">
      <c r="A374" s="1">
        <v>4.6970906E7</v>
      </c>
      <c r="B374" s="2" t="s">
        <v>1879</v>
      </c>
      <c r="C374" s="19" t="s">
        <v>4173</v>
      </c>
      <c r="D374" s="19"/>
      <c r="E374" s="2" t="s">
        <v>11</v>
      </c>
      <c r="F374" s="19"/>
    </row>
    <row r="375" ht="15.75" customHeight="1">
      <c r="A375" s="1">
        <v>4.697448E7</v>
      </c>
      <c r="B375" s="2" t="s">
        <v>219</v>
      </c>
      <c r="C375" s="19" t="s">
        <v>4174</v>
      </c>
      <c r="D375" s="19"/>
      <c r="E375" s="9" t="s">
        <v>11</v>
      </c>
      <c r="F375" s="19"/>
    </row>
    <row r="376" ht="15.75" customHeight="1">
      <c r="A376" s="1">
        <v>4.6976184E7</v>
      </c>
      <c r="B376" s="2" t="s">
        <v>1640</v>
      </c>
      <c r="C376" s="19" t="s">
        <v>4175</v>
      </c>
      <c r="D376" s="19"/>
      <c r="E376" s="2" t="s">
        <v>11</v>
      </c>
      <c r="F376" s="19"/>
    </row>
    <row r="377" ht="15.75" customHeight="1">
      <c r="A377" s="1">
        <v>4.6976482E7</v>
      </c>
      <c r="B377" s="2" t="s">
        <v>2334</v>
      </c>
      <c r="C377" s="19" t="s">
        <v>4843</v>
      </c>
      <c r="D377" s="19"/>
      <c r="E377" s="2" t="s">
        <v>537</v>
      </c>
      <c r="F377" s="19"/>
    </row>
    <row r="378" ht="15.75" customHeight="1">
      <c r="A378" s="1">
        <v>4.6978495E7</v>
      </c>
      <c r="B378" s="2" t="s">
        <v>1367</v>
      </c>
      <c r="C378" s="19" t="s">
        <v>4176</v>
      </c>
      <c r="D378" s="19" t="s">
        <v>4177</v>
      </c>
      <c r="E378" s="2" t="s">
        <v>11</v>
      </c>
      <c r="F378" s="19"/>
    </row>
    <row r="379" ht="15.75" customHeight="1">
      <c r="A379" s="1">
        <v>4.6978829E7</v>
      </c>
      <c r="B379" s="2" t="s">
        <v>617</v>
      </c>
      <c r="C379" s="19" t="s">
        <v>4178</v>
      </c>
      <c r="D379" s="19"/>
      <c r="E379" s="2" t="s">
        <v>11</v>
      </c>
      <c r="F379" s="19"/>
    </row>
    <row r="380" ht="15.75" customHeight="1">
      <c r="A380" s="1">
        <v>4.6989444E7</v>
      </c>
      <c r="B380" s="2" t="s">
        <v>549</v>
      </c>
      <c r="C380" s="19" t="s">
        <v>4179</v>
      </c>
      <c r="D380" s="19"/>
      <c r="E380" s="2" t="s">
        <v>11</v>
      </c>
      <c r="F380" s="19"/>
    </row>
    <row r="381" ht="15.75" customHeight="1">
      <c r="A381" s="1">
        <v>4.7005811E7</v>
      </c>
      <c r="B381" s="2" t="s">
        <v>2032</v>
      </c>
      <c r="C381" s="19" t="s">
        <v>4180</v>
      </c>
      <c r="D381" s="19"/>
      <c r="E381" s="2" t="s">
        <v>11</v>
      </c>
      <c r="F381" s="19"/>
    </row>
    <row r="382" ht="15.75" customHeight="1">
      <c r="A382" s="1">
        <v>4.7013133E7</v>
      </c>
      <c r="B382" s="2" t="s">
        <v>1292</v>
      </c>
      <c r="C382" s="19" t="s">
        <v>4181</v>
      </c>
      <c r="D382" s="19"/>
      <c r="E382" s="9" t="s">
        <v>11</v>
      </c>
      <c r="F382" s="19"/>
    </row>
    <row r="383" ht="15.75" customHeight="1">
      <c r="A383" s="1">
        <v>4.7013716E7</v>
      </c>
      <c r="B383" s="2" t="s">
        <v>1910</v>
      </c>
      <c r="C383" s="19" t="s">
        <v>4844</v>
      </c>
      <c r="D383" s="19"/>
      <c r="E383" s="2" t="s">
        <v>537</v>
      </c>
      <c r="F383" s="19"/>
    </row>
    <row r="384" ht="15.75" customHeight="1">
      <c r="A384" s="1">
        <v>4.7025667E7</v>
      </c>
      <c r="B384" s="2" t="s">
        <v>1927</v>
      </c>
      <c r="C384" s="19" t="s">
        <v>4182</v>
      </c>
      <c r="D384" s="19" t="s">
        <v>4183</v>
      </c>
      <c r="E384" s="9" t="s">
        <v>11</v>
      </c>
      <c r="F384" s="19"/>
    </row>
    <row r="385" ht="15.75" customHeight="1">
      <c r="A385" s="1">
        <v>4.7048165E7</v>
      </c>
      <c r="B385" s="2" t="s">
        <v>836</v>
      </c>
      <c r="C385" s="19" t="s">
        <v>4184</v>
      </c>
      <c r="D385" s="19"/>
      <c r="E385" s="9" t="s">
        <v>11</v>
      </c>
      <c r="F385" s="19"/>
    </row>
    <row r="386" ht="15.75" customHeight="1">
      <c r="A386" s="1">
        <v>4.7057239E7</v>
      </c>
      <c r="B386" s="2" t="s">
        <v>1994</v>
      </c>
      <c r="C386" s="19" t="s">
        <v>4185</v>
      </c>
      <c r="D386" s="19"/>
      <c r="E386" s="2" t="s">
        <v>11</v>
      </c>
      <c r="F386" s="19"/>
    </row>
    <row r="387" ht="15.75" customHeight="1">
      <c r="A387" s="1">
        <v>4.7060216E7</v>
      </c>
      <c r="B387" s="2" t="s">
        <v>934</v>
      </c>
      <c r="C387" s="19" t="s">
        <v>4186</v>
      </c>
      <c r="D387" s="19" t="s">
        <v>4187</v>
      </c>
      <c r="E387" s="2" t="s">
        <v>11</v>
      </c>
      <c r="F387" s="19"/>
    </row>
    <row r="388" ht="15.75" customHeight="1">
      <c r="A388" s="1">
        <v>4.7084869E7</v>
      </c>
      <c r="B388" s="2" t="s">
        <v>287</v>
      </c>
      <c r="C388" s="19" t="s">
        <v>4188</v>
      </c>
      <c r="D388" s="19"/>
      <c r="E388" s="2" t="s">
        <v>11</v>
      </c>
      <c r="F388" s="19"/>
    </row>
    <row r="389" ht="15.75" customHeight="1">
      <c r="A389" s="1">
        <v>4.7087186E7</v>
      </c>
      <c r="B389" s="2" t="s">
        <v>1551</v>
      </c>
      <c r="C389" s="19" t="s">
        <v>4189</v>
      </c>
      <c r="D389" s="19" t="s">
        <v>4190</v>
      </c>
      <c r="E389" s="2" t="s">
        <v>11</v>
      </c>
      <c r="F389" s="19"/>
    </row>
    <row r="390" ht="15.75" customHeight="1">
      <c r="A390" s="1">
        <v>4.7104623E7</v>
      </c>
      <c r="B390" s="2" t="s">
        <v>950</v>
      </c>
      <c r="C390" s="19" t="s">
        <v>4191</v>
      </c>
      <c r="D390" s="19"/>
      <c r="E390" s="2" t="s">
        <v>11</v>
      </c>
      <c r="F390" s="19"/>
    </row>
    <row r="391" ht="15.75" customHeight="1">
      <c r="A391" s="1">
        <v>4.7107774E7</v>
      </c>
      <c r="B391" s="2" t="s">
        <v>761</v>
      </c>
      <c r="C391" s="19" t="s">
        <v>4192</v>
      </c>
      <c r="D391" s="19"/>
      <c r="E391" s="2" t="s">
        <v>11</v>
      </c>
      <c r="F391" s="19"/>
    </row>
    <row r="392" ht="15.75" customHeight="1">
      <c r="A392" s="1">
        <v>4.7174045E7</v>
      </c>
      <c r="B392" s="2" t="s">
        <v>1304</v>
      </c>
      <c r="C392" s="19" t="s">
        <v>4193</v>
      </c>
      <c r="D392" s="19"/>
      <c r="E392" s="2" t="s">
        <v>11</v>
      </c>
      <c r="F392" s="19"/>
    </row>
    <row r="393" ht="15.75" customHeight="1">
      <c r="A393" s="1">
        <v>4.7178776E7</v>
      </c>
      <c r="B393" s="2" t="s">
        <v>1167</v>
      </c>
      <c r="C393" s="19" t="s">
        <v>4194</v>
      </c>
      <c r="D393" s="19" t="s">
        <v>4195</v>
      </c>
      <c r="E393" s="2" t="s">
        <v>11</v>
      </c>
      <c r="F393" s="19"/>
    </row>
    <row r="394" ht="15.75" customHeight="1">
      <c r="A394" s="1">
        <v>4.7178968E7</v>
      </c>
      <c r="B394" s="2" t="s">
        <v>763</v>
      </c>
      <c r="C394" s="19" t="s">
        <v>4196</v>
      </c>
      <c r="D394" s="19" t="s">
        <v>4197</v>
      </c>
      <c r="E394" s="2" t="s">
        <v>11</v>
      </c>
      <c r="F394" s="19"/>
    </row>
    <row r="395" ht="15.75" customHeight="1">
      <c r="A395" s="1">
        <v>4.7189669E7</v>
      </c>
      <c r="B395" s="2" t="s">
        <v>96</v>
      </c>
      <c r="C395" s="19" t="s">
        <v>4198</v>
      </c>
      <c r="D395" s="19" t="s">
        <v>4199</v>
      </c>
      <c r="E395" s="2" t="s">
        <v>11</v>
      </c>
      <c r="F395" s="19"/>
    </row>
    <row r="396" ht="15.75" customHeight="1">
      <c r="A396" s="1">
        <v>4.7194231E7</v>
      </c>
      <c r="B396" s="2" t="s">
        <v>685</v>
      </c>
      <c r="C396" s="19" t="s">
        <v>4821</v>
      </c>
      <c r="D396" s="19"/>
      <c r="E396" s="2" t="s">
        <v>72</v>
      </c>
      <c r="F396" s="19"/>
    </row>
    <row r="397" ht="15.75" customHeight="1">
      <c r="A397" s="1">
        <v>4.7194805E7</v>
      </c>
      <c r="B397" s="2" t="s">
        <v>665</v>
      </c>
      <c r="C397" s="19" t="s">
        <v>4200</v>
      </c>
      <c r="D397" s="19" t="s">
        <v>4201</v>
      </c>
      <c r="E397" s="2" t="s">
        <v>11</v>
      </c>
      <c r="F397" s="19"/>
    </row>
    <row r="398" ht="15.75" customHeight="1">
      <c r="A398" s="1">
        <v>4.7213805E7</v>
      </c>
      <c r="B398" s="2" t="s">
        <v>1076</v>
      </c>
      <c r="C398" s="19" t="s">
        <v>4202</v>
      </c>
      <c r="D398" s="19"/>
      <c r="E398" s="2" t="s">
        <v>11</v>
      </c>
      <c r="F398" s="19"/>
    </row>
    <row r="399" ht="15.75" customHeight="1">
      <c r="A399" s="1">
        <v>4.7236477E7</v>
      </c>
      <c r="B399" s="2" t="s">
        <v>754</v>
      </c>
      <c r="C399" s="19" t="s">
        <v>4203</v>
      </c>
      <c r="D399" s="19"/>
      <c r="E399" s="2" t="s">
        <v>11</v>
      </c>
      <c r="F399" s="19"/>
    </row>
    <row r="400" ht="15.75" customHeight="1">
      <c r="A400" s="1">
        <v>4.725401E7</v>
      </c>
      <c r="B400" s="2" t="s">
        <v>595</v>
      </c>
      <c r="C400" s="19" t="s">
        <v>4787</v>
      </c>
      <c r="D400" s="19"/>
      <c r="E400" s="2" t="s">
        <v>86</v>
      </c>
      <c r="F400" s="19"/>
    </row>
    <row r="401" ht="15.75" customHeight="1">
      <c r="A401" s="1">
        <v>4.7258597E7</v>
      </c>
      <c r="B401" s="2" t="s">
        <v>913</v>
      </c>
      <c r="C401" s="19" t="s">
        <v>4204</v>
      </c>
      <c r="D401" s="19"/>
      <c r="E401" s="2" t="s">
        <v>11</v>
      </c>
      <c r="F401" s="19"/>
    </row>
    <row r="402" ht="15.75" customHeight="1">
      <c r="A402" s="1">
        <v>4.7293778E7</v>
      </c>
      <c r="B402" s="2" t="s">
        <v>742</v>
      </c>
      <c r="C402" s="19" t="s">
        <v>4205</v>
      </c>
      <c r="D402" s="19"/>
      <c r="E402" s="2" t="s">
        <v>11</v>
      </c>
      <c r="F402" s="19"/>
    </row>
    <row r="403" ht="15.75" customHeight="1">
      <c r="A403" s="1">
        <v>4.72963E7</v>
      </c>
      <c r="B403" s="2" t="s">
        <v>757</v>
      </c>
      <c r="C403" s="19" t="s">
        <v>4206</v>
      </c>
      <c r="D403" s="19"/>
      <c r="E403" s="2" t="s">
        <v>11</v>
      </c>
      <c r="F403" s="19"/>
    </row>
    <row r="404" ht="15.75" customHeight="1">
      <c r="A404" s="1">
        <v>4.730563E7</v>
      </c>
      <c r="B404" s="2" t="s">
        <v>1597</v>
      </c>
      <c r="C404" s="19" t="s">
        <v>4207</v>
      </c>
      <c r="D404" s="19" t="s">
        <v>4208</v>
      </c>
      <c r="E404" s="9" t="s">
        <v>11</v>
      </c>
      <c r="F404" s="19"/>
    </row>
    <row r="405" ht="15.75" customHeight="1">
      <c r="A405" s="1">
        <v>4.7317006E7</v>
      </c>
      <c r="B405" s="2" t="s">
        <v>1274</v>
      </c>
      <c r="C405" s="19" t="s">
        <v>4209</v>
      </c>
      <c r="D405" s="19" t="s">
        <v>4210</v>
      </c>
      <c r="E405" s="2" t="s">
        <v>11</v>
      </c>
      <c r="F405" s="19"/>
    </row>
    <row r="406" ht="15.75" customHeight="1">
      <c r="A406" s="1">
        <v>4.7333242E7</v>
      </c>
      <c r="B406" s="2" t="s">
        <v>2399</v>
      </c>
      <c r="C406" s="19" t="s">
        <v>3693</v>
      </c>
      <c r="D406" s="19"/>
      <c r="E406" s="2" t="s">
        <v>59</v>
      </c>
      <c r="F406" s="19"/>
    </row>
    <row r="407" ht="15.75" customHeight="1">
      <c r="A407" s="1">
        <v>4.7336062E7</v>
      </c>
      <c r="B407" s="2" t="s">
        <v>348</v>
      </c>
      <c r="C407" s="19" t="s">
        <v>4211</v>
      </c>
      <c r="D407" s="19"/>
      <c r="E407" s="2" t="s">
        <v>11</v>
      </c>
      <c r="F407" s="19"/>
    </row>
    <row r="408" ht="15.75" customHeight="1">
      <c r="A408" s="1">
        <v>4.7345382E7</v>
      </c>
      <c r="B408" s="2" t="s">
        <v>688</v>
      </c>
      <c r="C408" s="19" t="s">
        <v>4212</v>
      </c>
      <c r="D408" s="19" t="s">
        <v>4213</v>
      </c>
      <c r="E408" s="2" t="s">
        <v>11</v>
      </c>
      <c r="F408" s="19"/>
    </row>
    <row r="409" ht="15.75" customHeight="1">
      <c r="A409" s="1">
        <v>4.7358219E7</v>
      </c>
      <c r="B409" s="2" t="s">
        <v>935</v>
      </c>
      <c r="C409" s="19" t="s">
        <v>4214</v>
      </c>
      <c r="D409" s="19" t="s">
        <v>4215</v>
      </c>
      <c r="E409" s="2" t="s">
        <v>11</v>
      </c>
      <c r="F409" s="19"/>
    </row>
    <row r="410" ht="15.75" customHeight="1">
      <c r="A410" s="1">
        <v>4.7378071E7</v>
      </c>
      <c r="B410" s="2" t="s">
        <v>939</v>
      </c>
      <c r="C410" s="19" t="s">
        <v>4216</v>
      </c>
      <c r="D410" s="19"/>
      <c r="E410" s="2" t="s">
        <v>11</v>
      </c>
      <c r="F410" s="19"/>
    </row>
    <row r="411" ht="15.75" customHeight="1">
      <c r="A411" s="1">
        <v>4.7388164E7</v>
      </c>
      <c r="B411" s="2" t="s">
        <v>852</v>
      </c>
      <c r="C411" s="19" t="s">
        <v>4217</v>
      </c>
      <c r="D411" s="19"/>
      <c r="E411" s="2" t="s">
        <v>11</v>
      </c>
      <c r="F411" s="19"/>
    </row>
    <row r="412" ht="15.75" customHeight="1">
      <c r="A412" s="1">
        <v>4.7393775E7</v>
      </c>
      <c r="B412" s="2" t="s">
        <v>812</v>
      </c>
      <c r="C412" s="19" t="s">
        <v>4218</v>
      </c>
      <c r="D412" s="19"/>
      <c r="E412" s="2" t="s">
        <v>11</v>
      </c>
      <c r="F412" s="19"/>
    </row>
    <row r="413" ht="15.75" customHeight="1">
      <c r="A413" s="1">
        <v>4.7430596E7</v>
      </c>
      <c r="B413" s="2" t="s">
        <v>658</v>
      </c>
      <c r="C413" s="19" t="s">
        <v>4219</v>
      </c>
      <c r="D413" s="19"/>
      <c r="E413" s="2" t="s">
        <v>11</v>
      </c>
      <c r="F413" s="19"/>
    </row>
    <row r="414" ht="15.75" customHeight="1">
      <c r="A414" s="1">
        <v>4.7432384E7</v>
      </c>
      <c r="B414" s="2" t="s">
        <v>315</v>
      </c>
      <c r="C414" s="19" t="s">
        <v>4220</v>
      </c>
      <c r="D414" s="19" t="s">
        <v>4221</v>
      </c>
      <c r="E414" s="9" t="s">
        <v>11</v>
      </c>
      <c r="F414" s="19"/>
    </row>
    <row r="415" ht="15.75" customHeight="1">
      <c r="A415" s="1">
        <v>4.7437912E7</v>
      </c>
      <c r="B415" s="2" t="s">
        <v>340</v>
      </c>
      <c r="C415" s="19" t="s">
        <v>4222</v>
      </c>
      <c r="D415" s="19" t="s">
        <v>4223</v>
      </c>
      <c r="E415" s="2" t="s">
        <v>11</v>
      </c>
      <c r="F415" s="19"/>
    </row>
    <row r="416" ht="15.75" customHeight="1">
      <c r="A416" s="1">
        <v>4.7442099E7</v>
      </c>
      <c r="B416" s="2" t="s">
        <v>1505</v>
      </c>
      <c r="C416" s="19" t="s">
        <v>4224</v>
      </c>
      <c r="D416" s="19" t="s">
        <v>4225</v>
      </c>
      <c r="E416" s="2" t="s">
        <v>11</v>
      </c>
      <c r="F416" s="19"/>
    </row>
    <row r="417" ht="15.75" customHeight="1">
      <c r="A417" s="1">
        <v>4.7451392E7</v>
      </c>
      <c r="B417" s="2" t="s">
        <v>1588</v>
      </c>
      <c r="C417" s="19" t="s">
        <v>4226</v>
      </c>
      <c r="D417" s="19" t="s">
        <v>4227</v>
      </c>
      <c r="E417" s="9" t="s">
        <v>11</v>
      </c>
      <c r="F417" s="19"/>
    </row>
    <row r="418" ht="15.75" customHeight="1">
      <c r="A418" s="1">
        <v>4.7497901E7</v>
      </c>
      <c r="B418" s="2" t="s">
        <v>2756</v>
      </c>
      <c r="C418" s="19" t="s">
        <v>4228</v>
      </c>
      <c r="D418" s="19"/>
      <c r="E418" s="2" t="s">
        <v>11</v>
      </c>
      <c r="F418" s="19"/>
    </row>
    <row r="419" ht="15.75" customHeight="1">
      <c r="A419" s="1">
        <v>4.7505898E7</v>
      </c>
      <c r="B419" s="2" t="s">
        <v>3404</v>
      </c>
      <c r="C419" s="19" t="s">
        <v>4229</v>
      </c>
      <c r="D419" s="19"/>
      <c r="E419" s="2" t="s">
        <v>11</v>
      </c>
      <c r="F419" s="19"/>
    </row>
    <row r="420" ht="15.75" customHeight="1">
      <c r="A420" s="1">
        <v>4.7515082E7</v>
      </c>
      <c r="B420" s="2" t="s">
        <v>708</v>
      </c>
      <c r="C420" s="19" t="s">
        <v>4230</v>
      </c>
      <c r="D420" s="19"/>
      <c r="E420" s="2" t="s">
        <v>11</v>
      </c>
      <c r="F420" s="19"/>
    </row>
    <row r="421" ht="15.75" customHeight="1">
      <c r="A421" s="1">
        <v>4.7518599E7</v>
      </c>
      <c r="B421" s="2" t="s">
        <v>1129</v>
      </c>
      <c r="C421" s="19" t="s">
        <v>4231</v>
      </c>
      <c r="D421" s="19" t="s">
        <v>4232</v>
      </c>
      <c r="E421" s="2" t="s">
        <v>11</v>
      </c>
      <c r="F421" s="19"/>
    </row>
    <row r="422" ht="15.75" customHeight="1">
      <c r="A422" s="1">
        <v>4.7520197E7</v>
      </c>
      <c r="B422" s="2" t="s">
        <v>1095</v>
      </c>
      <c r="C422" s="19" t="s">
        <v>4233</v>
      </c>
      <c r="D422" s="19" t="s">
        <v>4234</v>
      </c>
      <c r="E422" s="2" t="s">
        <v>11</v>
      </c>
      <c r="F422" s="19"/>
    </row>
    <row r="423" ht="15.75" customHeight="1">
      <c r="A423" s="1">
        <v>4.7522277E7</v>
      </c>
      <c r="B423" s="2" t="s">
        <v>1372</v>
      </c>
      <c r="C423" s="19" t="s">
        <v>4235</v>
      </c>
      <c r="D423" s="19"/>
      <c r="E423" s="2" t="s">
        <v>11</v>
      </c>
      <c r="F423" s="19"/>
    </row>
    <row r="424" ht="15.75" customHeight="1">
      <c r="A424" s="1">
        <v>4.7564757E7</v>
      </c>
      <c r="B424" s="2" t="s">
        <v>2083</v>
      </c>
      <c r="C424" s="19" t="s">
        <v>4236</v>
      </c>
      <c r="D424" s="19" t="s">
        <v>4237</v>
      </c>
      <c r="E424" s="2" t="s">
        <v>11</v>
      </c>
      <c r="F424" s="19"/>
    </row>
    <row r="425" ht="15.75" customHeight="1">
      <c r="A425" s="1">
        <v>4.7617463E7</v>
      </c>
      <c r="B425" s="2" t="s">
        <v>591</v>
      </c>
      <c r="C425" s="19" t="s">
        <v>4238</v>
      </c>
      <c r="D425" s="19"/>
      <c r="E425" s="2" t="s">
        <v>11</v>
      </c>
      <c r="F425" s="19"/>
    </row>
    <row r="426" ht="15.75" customHeight="1">
      <c r="A426" s="1">
        <v>4.7628734E7</v>
      </c>
      <c r="B426" s="2" t="s">
        <v>3315</v>
      </c>
      <c r="C426" s="19" t="s">
        <v>4239</v>
      </c>
      <c r="D426" s="19"/>
      <c r="E426" s="2" t="s">
        <v>11</v>
      </c>
      <c r="F426" s="19"/>
    </row>
    <row r="427" ht="15.75" customHeight="1">
      <c r="A427" s="1">
        <v>4.7688993E7</v>
      </c>
      <c r="B427" s="2" t="s">
        <v>1851</v>
      </c>
      <c r="C427" s="19" t="s">
        <v>4240</v>
      </c>
      <c r="D427" s="19"/>
      <c r="E427" s="2" t="s">
        <v>11</v>
      </c>
      <c r="F427" s="19"/>
    </row>
    <row r="428" ht="15.75" customHeight="1">
      <c r="A428" s="1">
        <v>4.7704069E7</v>
      </c>
      <c r="B428" s="2" t="s">
        <v>681</v>
      </c>
      <c r="C428" s="19" t="s">
        <v>3694</v>
      </c>
      <c r="D428" s="19" t="s">
        <v>3695</v>
      </c>
      <c r="E428" s="2" t="s">
        <v>59</v>
      </c>
      <c r="F428" s="19"/>
    </row>
    <row r="429" ht="15.75" customHeight="1">
      <c r="A429" s="1">
        <v>4.7705174E7</v>
      </c>
      <c r="B429" s="2" t="s">
        <v>955</v>
      </c>
      <c r="C429" s="19" t="s">
        <v>4241</v>
      </c>
      <c r="D429" s="19"/>
      <c r="E429" s="2" t="s">
        <v>11</v>
      </c>
      <c r="F429" s="19"/>
    </row>
    <row r="430" ht="15.75" customHeight="1">
      <c r="A430" s="1">
        <v>4.7706182E7</v>
      </c>
      <c r="B430" s="2" t="s">
        <v>649</v>
      </c>
      <c r="C430" s="19" t="s">
        <v>4242</v>
      </c>
      <c r="D430" s="19"/>
      <c r="E430" s="9" t="s">
        <v>11</v>
      </c>
      <c r="F430" s="19"/>
    </row>
    <row r="431" ht="15.75" customHeight="1">
      <c r="A431" s="1">
        <v>4.7731051E7</v>
      </c>
      <c r="B431" s="2" t="s">
        <v>1296</v>
      </c>
      <c r="C431" s="19" t="s">
        <v>4243</v>
      </c>
      <c r="D431" s="19" t="s">
        <v>4244</v>
      </c>
      <c r="E431" s="2" t="s">
        <v>11</v>
      </c>
      <c r="F431" s="19"/>
    </row>
    <row r="432" ht="15.75" customHeight="1">
      <c r="A432" s="1">
        <v>4.7732539E7</v>
      </c>
      <c r="B432" s="2" t="s">
        <v>266</v>
      </c>
      <c r="C432" s="19" t="s">
        <v>4245</v>
      </c>
      <c r="D432" s="19" t="s">
        <v>4246</v>
      </c>
      <c r="E432" s="2" t="s">
        <v>11</v>
      </c>
      <c r="F432" s="19"/>
    </row>
    <row r="433" ht="15.75" customHeight="1">
      <c r="A433" s="1">
        <v>4.7737631E7</v>
      </c>
      <c r="B433" s="2" t="s">
        <v>375</v>
      </c>
      <c r="C433" s="19" t="s">
        <v>4247</v>
      </c>
      <c r="D433" s="19" t="s">
        <v>4248</v>
      </c>
      <c r="E433" s="2" t="s">
        <v>11</v>
      </c>
      <c r="F433" s="19"/>
    </row>
    <row r="434" ht="15.75" customHeight="1">
      <c r="A434" s="1">
        <v>4.7742984E7</v>
      </c>
      <c r="B434" s="2" t="s">
        <v>864</v>
      </c>
      <c r="C434" s="19" t="s">
        <v>4249</v>
      </c>
      <c r="D434" s="19"/>
      <c r="E434" s="2" t="s">
        <v>11</v>
      </c>
      <c r="F434" s="19"/>
    </row>
    <row r="435" ht="15.75" customHeight="1">
      <c r="A435" s="1">
        <v>4.7749485E7</v>
      </c>
      <c r="B435" s="2" t="s">
        <v>1793</v>
      </c>
      <c r="C435" s="19" t="s">
        <v>4250</v>
      </c>
      <c r="D435" s="19"/>
      <c r="E435" s="2" t="s">
        <v>11</v>
      </c>
      <c r="F435" s="19"/>
    </row>
    <row r="436" ht="15.75" customHeight="1">
      <c r="A436" s="1">
        <v>4.77627E7</v>
      </c>
      <c r="B436" s="2" t="s">
        <v>1231</v>
      </c>
      <c r="C436" s="19" t="s">
        <v>4251</v>
      </c>
      <c r="D436" s="19"/>
      <c r="E436" s="2" t="s">
        <v>11</v>
      </c>
      <c r="F436" s="19"/>
    </row>
    <row r="437" ht="15.75" customHeight="1">
      <c r="A437" s="1">
        <v>4.77642E7</v>
      </c>
      <c r="B437" s="2" t="s">
        <v>882</v>
      </c>
      <c r="C437" s="19" t="s">
        <v>4252</v>
      </c>
      <c r="D437" s="19" t="s">
        <v>4253</v>
      </c>
      <c r="E437" s="2" t="s">
        <v>11</v>
      </c>
      <c r="F437" s="19"/>
    </row>
    <row r="438" ht="15.75" customHeight="1">
      <c r="A438" s="1">
        <v>4.7772835E7</v>
      </c>
      <c r="B438" s="2" t="s">
        <v>1424</v>
      </c>
      <c r="C438" s="19" t="s">
        <v>4254</v>
      </c>
      <c r="D438" s="19"/>
      <c r="E438" s="9" t="s">
        <v>11</v>
      </c>
      <c r="F438" s="19"/>
    </row>
    <row r="439" ht="15.75" customHeight="1">
      <c r="A439" s="1">
        <v>4.7795639E7</v>
      </c>
      <c r="B439" s="2" t="s">
        <v>1446</v>
      </c>
      <c r="C439" s="19" t="s">
        <v>4845</v>
      </c>
      <c r="D439" s="19"/>
      <c r="E439" s="2" t="s">
        <v>537</v>
      </c>
      <c r="F439" s="19"/>
    </row>
    <row r="440" ht="15.75" customHeight="1">
      <c r="A440" s="1">
        <v>4.7800766E7</v>
      </c>
      <c r="B440" s="2" t="s">
        <v>2175</v>
      </c>
      <c r="C440" s="19" t="s">
        <v>4255</v>
      </c>
      <c r="D440" s="19"/>
      <c r="E440" s="9" t="s">
        <v>11</v>
      </c>
      <c r="F440" s="19"/>
    </row>
    <row r="441" ht="15.75" customHeight="1">
      <c r="A441" s="1">
        <v>4.7801654E7</v>
      </c>
      <c r="B441" s="2" t="s">
        <v>796</v>
      </c>
      <c r="C441" s="19" t="s">
        <v>4256</v>
      </c>
      <c r="D441" s="19"/>
      <c r="E441" s="2" t="s">
        <v>11</v>
      </c>
      <c r="F441" s="19"/>
    </row>
    <row r="442" ht="15.75" customHeight="1">
      <c r="A442" s="1">
        <v>4.7802967E7</v>
      </c>
      <c r="B442" s="2" t="s">
        <v>431</v>
      </c>
      <c r="C442" s="19" t="s">
        <v>4257</v>
      </c>
      <c r="D442" s="19" t="s">
        <v>4258</v>
      </c>
      <c r="E442" s="2" t="s">
        <v>11</v>
      </c>
      <c r="F442" s="19"/>
    </row>
    <row r="443" ht="15.75" customHeight="1">
      <c r="A443" s="1">
        <v>4.7803698E7</v>
      </c>
      <c r="B443" s="2" t="s">
        <v>82</v>
      </c>
      <c r="C443" s="19" t="s">
        <v>4259</v>
      </c>
      <c r="D443" s="19"/>
      <c r="E443" s="2" t="s">
        <v>11</v>
      </c>
      <c r="F443" s="19"/>
    </row>
    <row r="444" ht="15.75" customHeight="1">
      <c r="A444" s="1">
        <v>4.7817723E7</v>
      </c>
      <c r="B444" s="2" t="s">
        <v>672</v>
      </c>
      <c r="C444" s="19" t="s">
        <v>4260</v>
      </c>
      <c r="D444" s="19" t="s">
        <v>4261</v>
      </c>
      <c r="E444" s="2" t="s">
        <v>11</v>
      </c>
      <c r="F444" s="19"/>
    </row>
    <row r="445" ht="15.75" customHeight="1">
      <c r="A445" s="1">
        <v>4.7820165E7</v>
      </c>
      <c r="B445" s="2" t="s">
        <v>848</v>
      </c>
      <c r="C445" s="19" t="s">
        <v>3696</v>
      </c>
      <c r="D445" s="19" t="s">
        <v>3697</v>
      </c>
      <c r="E445" s="2" t="s">
        <v>59</v>
      </c>
      <c r="F445" s="19"/>
    </row>
    <row r="446" ht="15.75" customHeight="1">
      <c r="A446" s="1">
        <v>4.7820479E7</v>
      </c>
      <c r="B446" s="2" t="s">
        <v>1602</v>
      </c>
      <c r="C446" s="19" t="s">
        <v>4262</v>
      </c>
      <c r="D446" s="19" t="s">
        <v>4263</v>
      </c>
      <c r="E446" s="2" t="s">
        <v>11</v>
      </c>
      <c r="F446" s="19"/>
    </row>
    <row r="447" ht="15.75" customHeight="1">
      <c r="A447" s="1">
        <v>4.7823345E7</v>
      </c>
      <c r="B447" s="2" t="s">
        <v>849</v>
      </c>
      <c r="C447" s="19" t="s">
        <v>3698</v>
      </c>
      <c r="D447" s="19" t="s">
        <v>3699</v>
      </c>
      <c r="E447" s="2" t="s">
        <v>59</v>
      </c>
      <c r="F447" s="19"/>
    </row>
    <row r="448" ht="15.75" customHeight="1">
      <c r="A448" s="1">
        <v>4.7830107E7</v>
      </c>
      <c r="B448" s="2" t="s">
        <v>693</v>
      </c>
      <c r="C448" s="19" t="s">
        <v>4264</v>
      </c>
      <c r="D448" s="19" t="s">
        <v>4265</v>
      </c>
      <c r="E448" s="2" t="s">
        <v>11</v>
      </c>
      <c r="F448" s="19"/>
    </row>
    <row r="449" ht="15.75" customHeight="1">
      <c r="A449" s="1">
        <v>4.7886587E7</v>
      </c>
      <c r="B449" s="2" t="s">
        <v>896</v>
      </c>
      <c r="C449" s="19" t="s">
        <v>4266</v>
      </c>
      <c r="D449" s="19" t="s">
        <v>4267</v>
      </c>
      <c r="E449" s="2" t="s">
        <v>11</v>
      </c>
      <c r="F449" s="19"/>
    </row>
    <row r="450" ht="15.75" customHeight="1">
      <c r="A450" s="1">
        <v>4.7910518E7</v>
      </c>
      <c r="B450" s="2" t="s">
        <v>1481</v>
      </c>
      <c r="C450" s="19" t="s">
        <v>4268</v>
      </c>
      <c r="D450" s="19" t="s">
        <v>4269</v>
      </c>
      <c r="E450" s="2" t="s">
        <v>11</v>
      </c>
      <c r="F450" s="19"/>
    </row>
    <row r="451" ht="15.75" customHeight="1">
      <c r="A451" s="1">
        <v>4.7943399E7</v>
      </c>
      <c r="B451" s="2" t="s">
        <v>1198</v>
      </c>
      <c r="C451" s="19" t="s">
        <v>4270</v>
      </c>
      <c r="D451" s="19"/>
      <c r="E451" s="2" t="s">
        <v>11</v>
      </c>
      <c r="F451" s="19"/>
    </row>
    <row r="452" ht="15.75" customHeight="1">
      <c r="A452" s="16">
        <v>4.8001643E7</v>
      </c>
      <c r="B452" s="14" t="s">
        <v>85</v>
      </c>
      <c r="C452" s="19" t="s">
        <v>4788</v>
      </c>
      <c r="D452" s="19" t="s">
        <v>4789</v>
      </c>
      <c r="E452" s="14" t="s">
        <v>86</v>
      </c>
      <c r="F452" s="19"/>
      <c r="G452" s="16"/>
    </row>
    <row r="453" ht="15.75" customHeight="1">
      <c r="A453" s="1">
        <v>4.8026832E7</v>
      </c>
      <c r="B453" s="2" t="s">
        <v>1556</v>
      </c>
      <c r="C453" s="19" t="s">
        <v>4271</v>
      </c>
      <c r="D453" s="19"/>
      <c r="E453" s="2" t="s">
        <v>11</v>
      </c>
      <c r="F453" s="19"/>
    </row>
    <row r="454" ht="15.75" customHeight="1">
      <c r="A454" s="1">
        <v>4.8054534E7</v>
      </c>
      <c r="B454" s="2" t="s">
        <v>1601</v>
      </c>
      <c r="C454" s="19" t="s">
        <v>3700</v>
      </c>
      <c r="D454" s="19"/>
      <c r="E454" s="2" t="s">
        <v>59</v>
      </c>
      <c r="F454" s="19"/>
    </row>
    <row r="455" ht="15.75" customHeight="1">
      <c r="A455" s="1">
        <v>4.8082476E7</v>
      </c>
      <c r="B455" s="2" t="s">
        <v>2216</v>
      </c>
      <c r="C455" s="19" t="s">
        <v>4272</v>
      </c>
      <c r="D455" s="19"/>
      <c r="E455" s="2" t="s">
        <v>11</v>
      </c>
      <c r="F455" s="19"/>
    </row>
    <row r="456" ht="15.75" customHeight="1">
      <c r="A456" s="1">
        <v>4.808986E7</v>
      </c>
      <c r="B456" s="2" t="s">
        <v>364</v>
      </c>
      <c r="C456" s="19" t="s">
        <v>4273</v>
      </c>
      <c r="D456" s="19"/>
      <c r="E456" s="2" t="s">
        <v>11</v>
      </c>
      <c r="F456" s="19"/>
    </row>
    <row r="457" ht="15.75" customHeight="1">
      <c r="A457" s="1">
        <v>4.8091397E7</v>
      </c>
      <c r="B457" s="2" t="s">
        <v>1740</v>
      </c>
      <c r="C457" s="19" t="s">
        <v>4274</v>
      </c>
      <c r="D457" s="19"/>
      <c r="E457" s="9" t="s">
        <v>11</v>
      </c>
      <c r="F457" s="19"/>
    </row>
    <row r="458" ht="15.75" customHeight="1">
      <c r="A458" s="1">
        <v>4.810588E7</v>
      </c>
      <c r="B458" s="2" t="s">
        <v>1293</v>
      </c>
      <c r="C458" s="19" t="s">
        <v>4275</v>
      </c>
      <c r="D458" s="19"/>
      <c r="E458" s="9" t="s">
        <v>11</v>
      </c>
      <c r="F458" s="19"/>
    </row>
    <row r="459" ht="15.75" customHeight="1">
      <c r="A459" s="1">
        <v>4.8119162E7</v>
      </c>
      <c r="B459" s="2" t="s">
        <v>101</v>
      </c>
      <c r="C459" s="19" t="s">
        <v>4276</v>
      </c>
      <c r="D459" s="19" t="s">
        <v>4277</v>
      </c>
      <c r="E459" s="2" t="s">
        <v>11</v>
      </c>
      <c r="F459" s="19"/>
    </row>
    <row r="460" ht="15.75" customHeight="1">
      <c r="A460" s="1">
        <v>4.8158928E7</v>
      </c>
      <c r="B460" s="2" t="s">
        <v>332</v>
      </c>
      <c r="C460" s="19" t="s">
        <v>4278</v>
      </c>
      <c r="D460" s="19"/>
      <c r="E460" s="2" t="s">
        <v>11</v>
      </c>
      <c r="F460" s="19"/>
    </row>
    <row r="461" ht="15.75" customHeight="1">
      <c r="A461" s="1">
        <v>4.8168891E7</v>
      </c>
      <c r="B461" s="2" t="s">
        <v>3270</v>
      </c>
      <c r="C461" s="19" t="s">
        <v>4279</v>
      </c>
      <c r="D461" s="19"/>
      <c r="E461" s="9" t="s">
        <v>11</v>
      </c>
      <c r="F461" s="19"/>
    </row>
    <row r="462" ht="15.75" customHeight="1">
      <c r="A462" s="1">
        <v>4.8185677E7</v>
      </c>
      <c r="B462" s="2" t="s">
        <v>3271</v>
      </c>
      <c r="C462" s="19" t="s">
        <v>4280</v>
      </c>
      <c r="D462" s="19"/>
      <c r="E462" s="2" t="s">
        <v>11</v>
      </c>
      <c r="F462" s="19"/>
    </row>
    <row r="463" ht="15.75" customHeight="1">
      <c r="A463" s="1">
        <v>4.8190454E7</v>
      </c>
      <c r="B463" s="2" t="s">
        <v>2359</v>
      </c>
      <c r="C463" s="19" t="s">
        <v>4281</v>
      </c>
      <c r="D463" s="19"/>
      <c r="E463" s="2" t="s">
        <v>11</v>
      </c>
      <c r="F463" s="19"/>
    </row>
    <row r="464" ht="15.75" customHeight="1">
      <c r="A464" s="1">
        <v>4.8267239E7</v>
      </c>
      <c r="B464" s="2" t="s">
        <v>1013</v>
      </c>
      <c r="C464" s="19" t="s">
        <v>4282</v>
      </c>
      <c r="D464" s="19"/>
      <c r="E464" s="2" t="s">
        <v>11</v>
      </c>
      <c r="F464" s="19"/>
    </row>
    <row r="465" ht="15.75" customHeight="1">
      <c r="A465" s="1">
        <v>4.8279047E7</v>
      </c>
      <c r="B465" s="2" t="s">
        <v>2247</v>
      </c>
      <c r="C465" s="19" t="s">
        <v>4283</v>
      </c>
      <c r="D465" s="19" t="s">
        <v>4284</v>
      </c>
      <c r="E465" s="2" t="s">
        <v>11</v>
      </c>
      <c r="F465" s="19"/>
    </row>
    <row r="466" ht="15.75" customHeight="1">
      <c r="A466" s="1">
        <v>4.8439073E7</v>
      </c>
      <c r="B466" s="2" t="s">
        <v>60</v>
      </c>
      <c r="C466" s="19" t="s">
        <v>4285</v>
      </c>
      <c r="D466" s="19" t="s">
        <v>4286</v>
      </c>
      <c r="E466" s="2" t="s">
        <v>11</v>
      </c>
      <c r="F466" s="19"/>
    </row>
    <row r="467" ht="15.75" customHeight="1">
      <c r="A467" s="1">
        <v>4.8611208E7</v>
      </c>
      <c r="B467" s="2" t="s">
        <v>88</v>
      </c>
      <c r="C467" s="19" t="s">
        <v>4287</v>
      </c>
      <c r="D467" s="19" t="s">
        <v>4288</v>
      </c>
      <c r="E467" s="2" t="s">
        <v>11</v>
      </c>
      <c r="F467" s="19"/>
    </row>
    <row r="468" ht="15.75" customHeight="1">
      <c r="A468" s="1">
        <v>4.8646795E7</v>
      </c>
      <c r="B468" s="2" t="s">
        <v>98</v>
      </c>
      <c r="C468" s="19" t="s">
        <v>4289</v>
      </c>
      <c r="D468" s="19" t="s">
        <v>4290</v>
      </c>
      <c r="E468" s="2" t="s">
        <v>11</v>
      </c>
      <c r="F468" s="19"/>
    </row>
    <row r="469" ht="15.75" customHeight="1">
      <c r="A469" s="1">
        <v>4.9006215E7</v>
      </c>
      <c r="B469" s="2" t="s">
        <v>66</v>
      </c>
      <c r="C469" s="19" t="s">
        <v>4291</v>
      </c>
      <c r="D469" s="19" t="s">
        <v>4292</v>
      </c>
      <c r="E469" s="2" t="s">
        <v>11</v>
      </c>
      <c r="F469" s="19"/>
    </row>
    <row r="470" ht="15.75" customHeight="1">
      <c r="A470" s="1">
        <v>4.9033921E7</v>
      </c>
      <c r="B470" s="2" t="s">
        <v>54</v>
      </c>
      <c r="C470" s="19" t="s">
        <v>4293</v>
      </c>
      <c r="D470" s="19"/>
      <c r="E470" s="2" t="s">
        <v>11</v>
      </c>
      <c r="F470" s="19"/>
    </row>
    <row r="471" ht="15.75" customHeight="1">
      <c r="A471" s="1">
        <v>4.9419372E7</v>
      </c>
      <c r="B471" s="2" t="s">
        <v>2116</v>
      </c>
      <c r="C471" s="19" t="s">
        <v>4294</v>
      </c>
      <c r="D471" s="19"/>
      <c r="E471" s="2" t="s">
        <v>11</v>
      </c>
      <c r="F471" s="19"/>
    </row>
    <row r="472" ht="15.75" customHeight="1">
      <c r="A472" s="1">
        <v>4.9424033E7</v>
      </c>
      <c r="B472" s="2" t="s">
        <v>830</v>
      </c>
      <c r="C472" s="19" t="s">
        <v>4295</v>
      </c>
      <c r="D472" s="19" t="s">
        <v>4296</v>
      </c>
      <c r="E472" s="2" t="s">
        <v>11</v>
      </c>
      <c r="F472" s="19"/>
    </row>
    <row r="473" ht="15.75" customHeight="1">
      <c r="A473" s="1">
        <v>4.966694E7</v>
      </c>
      <c r="B473" s="2" t="s">
        <v>594</v>
      </c>
      <c r="C473" s="19" t="s">
        <v>4297</v>
      </c>
      <c r="D473" s="19" t="s">
        <v>4298</v>
      </c>
      <c r="E473" s="2" t="s">
        <v>11</v>
      </c>
      <c r="F473" s="19"/>
    </row>
    <row r="474" ht="15.75" customHeight="1">
      <c r="A474" s="1">
        <v>5.0415065E7</v>
      </c>
      <c r="B474" s="2" t="s">
        <v>92</v>
      </c>
      <c r="C474" s="19" t="s">
        <v>4299</v>
      </c>
      <c r="D474" s="19"/>
      <c r="E474" s="2" t="s">
        <v>11</v>
      </c>
      <c r="F474" s="19"/>
    </row>
    <row r="475" ht="15.75" customHeight="1">
      <c r="A475" s="1">
        <v>5.0444796E7</v>
      </c>
      <c r="B475" s="2" t="s">
        <v>57</v>
      </c>
      <c r="C475" s="19" t="s">
        <v>4300</v>
      </c>
      <c r="D475" s="19" t="s">
        <v>4301</v>
      </c>
      <c r="E475" s="2" t="s">
        <v>11</v>
      </c>
      <c r="F475" s="19"/>
    </row>
    <row r="476" ht="15.75" customHeight="1">
      <c r="A476" s="1">
        <v>5.0447594E7</v>
      </c>
      <c r="B476" s="2" t="s">
        <v>41</v>
      </c>
      <c r="C476" s="19" t="s">
        <v>4302</v>
      </c>
      <c r="D476" s="19"/>
      <c r="E476" s="2" t="s">
        <v>11</v>
      </c>
      <c r="F476" s="19"/>
    </row>
    <row r="477" ht="15.75" customHeight="1">
      <c r="A477" s="1">
        <v>5.0775621E7</v>
      </c>
      <c r="B477" s="2" t="s">
        <v>83</v>
      </c>
      <c r="C477" s="19" t="s">
        <v>4303</v>
      </c>
      <c r="D477" s="19"/>
      <c r="E477" s="2" t="s">
        <v>11</v>
      </c>
      <c r="F477" s="19"/>
    </row>
    <row r="478" ht="15.75" customHeight="1">
      <c r="A478" s="1">
        <v>5.1050661E7</v>
      </c>
      <c r="B478" s="2" t="s">
        <v>93</v>
      </c>
      <c r="C478" s="19" t="s">
        <v>4304</v>
      </c>
      <c r="D478" s="19"/>
      <c r="E478" s="2" t="s">
        <v>11</v>
      </c>
      <c r="F478" s="19"/>
    </row>
    <row r="479" ht="15.75" customHeight="1">
      <c r="A479" s="1">
        <v>5.1171853E7</v>
      </c>
      <c r="B479" s="2" t="s">
        <v>99</v>
      </c>
      <c r="C479" s="19" t="s">
        <v>4305</v>
      </c>
      <c r="D479" s="19" t="s">
        <v>4306</v>
      </c>
      <c r="E479" s="2" t="s">
        <v>11</v>
      </c>
      <c r="F479" s="19"/>
    </row>
    <row r="480" ht="15.75" customHeight="1">
      <c r="A480" s="1">
        <v>5.1308896E7</v>
      </c>
      <c r="B480" s="2" t="s">
        <v>1637</v>
      </c>
      <c r="C480" s="19" t="s">
        <v>4307</v>
      </c>
      <c r="D480" s="19"/>
      <c r="E480" s="2" t="s">
        <v>11</v>
      </c>
      <c r="F480" s="19"/>
    </row>
    <row r="481" ht="15.75" customHeight="1">
      <c r="A481" s="1">
        <v>5.1312073E7</v>
      </c>
      <c r="B481" s="2" t="s">
        <v>900</v>
      </c>
      <c r="C481" s="19" t="s">
        <v>4308</v>
      </c>
      <c r="D481" s="19" t="s">
        <v>4309</v>
      </c>
      <c r="E481" s="2" t="s">
        <v>11</v>
      </c>
      <c r="F481" s="19"/>
    </row>
    <row r="482" ht="15.75" customHeight="1">
      <c r="A482" s="1">
        <v>5.1324328E7</v>
      </c>
      <c r="B482" s="2" t="s">
        <v>1322</v>
      </c>
      <c r="C482" s="19" t="s">
        <v>4310</v>
      </c>
      <c r="D482" s="19"/>
      <c r="E482" s="2" t="s">
        <v>11</v>
      </c>
      <c r="F482" s="19"/>
    </row>
    <row r="483" ht="15.75" customHeight="1">
      <c r="A483" s="1">
        <v>5.1351353E7</v>
      </c>
      <c r="B483" s="2" t="s">
        <v>279</v>
      </c>
      <c r="C483" s="19" t="s">
        <v>4311</v>
      </c>
      <c r="D483" s="19" t="s">
        <v>4312</v>
      </c>
      <c r="E483" s="2" t="s">
        <v>11</v>
      </c>
      <c r="F483" s="19"/>
    </row>
    <row r="484" ht="15.75" customHeight="1">
      <c r="A484" s="1">
        <v>5.1352265E7</v>
      </c>
      <c r="B484" s="2" t="s">
        <v>168</v>
      </c>
      <c r="C484" s="19" t="s">
        <v>4313</v>
      </c>
      <c r="D484" s="19" t="s">
        <v>4314</v>
      </c>
      <c r="E484" s="2" t="s">
        <v>11</v>
      </c>
      <c r="F484" s="19"/>
    </row>
    <row r="485" ht="15.75" customHeight="1">
      <c r="A485" s="1">
        <v>5.1352351E7</v>
      </c>
      <c r="B485" s="2" t="s">
        <v>1852</v>
      </c>
      <c r="C485" s="19" t="s">
        <v>4315</v>
      </c>
      <c r="D485" s="19" t="s">
        <v>4316</v>
      </c>
      <c r="E485" s="2" t="s">
        <v>11</v>
      </c>
      <c r="F485" s="19"/>
    </row>
    <row r="486" ht="15.75" customHeight="1">
      <c r="A486" s="1">
        <v>5.13527E7</v>
      </c>
      <c r="B486" s="2" t="s">
        <v>1829</v>
      </c>
      <c r="C486" s="19" t="s">
        <v>4317</v>
      </c>
      <c r="D486" s="19" t="s">
        <v>4318</v>
      </c>
      <c r="E486" s="2" t="s">
        <v>11</v>
      </c>
      <c r="F486" s="19"/>
    </row>
    <row r="487" ht="15.75" customHeight="1">
      <c r="A487" s="1">
        <v>5.1360587E7</v>
      </c>
      <c r="B487" s="2" t="s">
        <v>1101</v>
      </c>
      <c r="C487" s="19" t="s">
        <v>4319</v>
      </c>
      <c r="D487" s="19" t="s">
        <v>4320</v>
      </c>
      <c r="E487" s="2" t="s">
        <v>11</v>
      </c>
      <c r="F487" s="19"/>
    </row>
    <row r="488" ht="15.75" customHeight="1">
      <c r="A488" s="1">
        <v>5.1364441E7</v>
      </c>
      <c r="B488" s="2" t="s">
        <v>1350</v>
      </c>
      <c r="C488" s="19" t="s">
        <v>4321</v>
      </c>
      <c r="D488" s="19" t="s">
        <v>4322</v>
      </c>
      <c r="E488" s="9" t="s">
        <v>11</v>
      </c>
      <c r="F488" s="19"/>
    </row>
    <row r="489" ht="15.75" customHeight="1">
      <c r="A489" s="1">
        <v>5.1364575E7</v>
      </c>
      <c r="B489" s="2" t="s">
        <v>1599</v>
      </c>
      <c r="C489" s="19" t="s">
        <v>4323</v>
      </c>
      <c r="D489" s="19"/>
      <c r="E489" s="9" t="s">
        <v>11</v>
      </c>
      <c r="F489" s="19"/>
    </row>
    <row r="490" ht="15.75" customHeight="1">
      <c r="A490" s="1">
        <v>5.1369708E7</v>
      </c>
      <c r="B490" s="2" t="s">
        <v>1398</v>
      </c>
      <c r="C490" s="19" t="s">
        <v>4324</v>
      </c>
      <c r="D490" s="19"/>
      <c r="E490" s="2" t="s">
        <v>11</v>
      </c>
      <c r="F490" s="19"/>
    </row>
    <row r="491" ht="15.75" customHeight="1">
      <c r="A491" s="1">
        <v>5.1380757E7</v>
      </c>
      <c r="B491" s="2" t="s">
        <v>2107</v>
      </c>
      <c r="C491" s="19" t="s">
        <v>4325</v>
      </c>
      <c r="D491" s="19"/>
      <c r="E491" s="2" t="s">
        <v>11</v>
      </c>
      <c r="F491" s="19"/>
    </row>
    <row r="492" ht="15.75" customHeight="1">
      <c r="A492" s="1">
        <v>5.1381243E7</v>
      </c>
      <c r="B492" s="2" t="s">
        <v>1032</v>
      </c>
      <c r="C492" s="19" t="s">
        <v>4326</v>
      </c>
      <c r="D492" s="19" t="s">
        <v>4327</v>
      </c>
      <c r="E492" s="2" t="s">
        <v>11</v>
      </c>
      <c r="F492" s="19"/>
    </row>
    <row r="493" ht="15.75" customHeight="1">
      <c r="A493" s="1">
        <v>5.1381376E7</v>
      </c>
      <c r="B493" s="2" t="s">
        <v>1735</v>
      </c>
      <c r="C493" s="19" t="s">
        <v>3701</v>
      </c>
      <c r="D493" s="19" t="s">
        <v>3702</v>
      </c>
      <c r="E493" s="2" t="s">
        <v>59</v>
      </c>
      <c r="F493" s="19"/>
    </row>
    <row r="494" ht="15.75" customHeight="1">
      <c r="A494" s="1">
        <v>5.1383918E7</v>
      </c>
      <c r="B494" s="2" t="s">
        <v>515</v>
      </c>
      <c r="C494" s="19" t="s">
        <v>4328</v>
      </c>
      <c r="D494" s="19" t="s">
        <v>4329</v>
      </c>
      <c r="E494" s="2" t="s">
        <v>11</v>
      </c>
      <c r="F494" s="19"/>
    </row>
    <row r="495" ht="15.75" customHeight="1">
      <c r="A495" s="1">
        <v>5.1384016E7</v>
      </c>
      <c r="B495" s="2" t="s">
        <v>1468</v>
      </c>
      <c r="C495" s="19" t="s">
        <v>4330</v>
      </c>
      <c r="D495" s="19" t="s">
        <v>4331</v>
      </c>
      <c r="E495" s="9" t="s">
        <v>11</v>
      </c>
      <c r="F495" s="19"/>
    </row>
    <row r="496" ht="15.75" customHeight="1">
      <c r="A496" s="1">
        <v>5.1389551E7</v>
      </c>
      <c r="B496" s="2" t="s">
        <v>1581</v>
      </c>
      <c r="C496" s="19" t="s">
        <v>4332</v>
      </c>
      <c r="D496" s="19"/>
      <c r="E496" s="2" t="s">
        <v>11</v>
      </c>
      <c r="F496" s="19"/>
    </row>
    <row r="497" ht="15.75" customHeight="1">
      <c r="A497" s="1">
        <v>5.1432021E7</v>
      </c>
      <c r="B497" s="2" t="s">
        <v>2479</v>
      </c>
      <c r="C497" s="19" t="s">
        <v>4333</v>
      </c>
      <c r="D497" s="19"/>
      <c r="E497" s="2" t="s">
        <v>11</v>
      </c>
      <c r="F497" s="19"/>
    </row>
    <row r="498" ht="15.75" customHeight="1">
      <c r="A498" s="1">
        <v>5.1443599E7</v>
      </c>
      <c r="B498" s="2" t="s">
        <v>42</v>
      </c>
      <c r="C498" s="19" t="s">
        <v>4334</v>
      </c>
      <c r="D498" s="19"/>
      <c r="E498" s="2" t="s">
        <v>11</v>
      </c>
      <c r="F498" s="19"/>
    </row>
    <row r="499" ht="15.75" customHeight="1">
      <c r="A499" s="1">
        <v>5.1580416E7</v>
      </c>
      <c r="B499" s="2" t="s">
        <v>283</v>
      </c>
      <c r="C499" s="19" t="s">
        <v>4335</v>
      </c>
      <c r="D499" s="19"/>
      <c r="E499" s="2" t="s">
        <v>11</v>
      </c>
      <c r="F499" s="19"/>
    </row>
    <row r="500" ht="15.75" customHeight="1">
      <c r="A500" s="1">
        <v>5.1737007E7</v>
      </c>
      <c r="B500" s="2" t="s">
        <v>269</v>
      </c>
      <c r="C500" s="19" t="s">
        <v>4336</v>
      </c>
      <c r="D500" s="19"/>
      <c r="E500" s="2" t="s">
        <v>11</v>
      </c>
      <c r="F500" s="19"/>
    </row>
    <row r="501" ht="15.75" customHeight="1">
      <c r="A501" s="1">
        <v>5.1884008E7</v>
      </c>
      <c r="B501" s="2" t="s">
        <v>1477</v>
      </c>
      <c r="C501" s="19" t="s">
        <v>3658</v>
      </c>
      <c r="D501" s="19"/>
      <c r="E501" s="2" t="s">
        <v>20</v>
      </c>
      <c r="F501" s="19"/>
    </row>
    <row r="502" ht="15.75" customHeight="1">
      <c r="A502" s="1">
        <v>5.2704291E7</v>
      </c>
      <c r="B502" s="2" t="s">
        <v>37</v>
      </c>
      <c r="C502" s="19" t="s">
        <v>4337</v>
      </c>
      <c r="D502" s="19" t="s">
        <v>4338</v>
      </c>
      <c r="E502" s="2" t="s">
        <v>11</v>
      </c>
      <c r="F502" s="19"/>
    </row>
    <row r="503" ht="15.75" customHeight="1">
      <c r="A503" s="1">
        <v>5.2744026E7</v>
      </c>
      <c r="B503" s="2" t="s">
        <v>1156</v>
      </c>
      <c r="C503" s="19" t="s">
        <v>4339</v>
      </c>
      <c r="D503" s="19"/>
      <c r="E503" s="2" t="s">
        <v>11</v>
      </c>
      <c r="F503" s="19"/>
    </row>
    <row r="504" ht="15.75" customHeight="1">
      <c r="A504" s="1">
        <v>5.2762374E7</v>
      </c>
      <c r="B504" s="2" t="s">
        <v>182</v>
      </c>
      <c r="C504" s="19" t="s">
        <v>4790</v>
      </c>
      <c r="D504" s="19" t="s">
        <v>4791</v>
      </c>
      <c r="E504" s="2" t="s">
        <v>86</v>
      </c>
      <c r="F504" s="19"/>
    </row>
    <row r="505" ht="15.75" customHeight="1">
      <c r="A505" s="1">
        <v>5.27644E7</v>
      </c>
      <c r="B505" s="2" t="s">
        <v>89</v>
      </c>
      <c r="C505" s="19" t="s">
        <v>4340</v>
      </c>
      <c r="D505" s="19"/>
      <c r="E505" s="2" t="s">
        <v>11</v>
      </c>
      <c r="F505" s="19"/>
    </row>
    <row r="506" ht="15.75" customHeight="1">
      <c r="A506" s="1">
        <v>5.2831801E7</v>
      </c>
      <c r="B506" s="2" t="s">
        <v>1959</v>
      </c>
      <c r="C506" s="19" t="s">
        <v>4341</v>
      </c>
      <c r="D506" s="19" t="s">
        <v>4342</v>
      </c>
      <c r="E506" s="9" t="s">
        <v>11</v>
      </c>
      <c r="F506" s="19"/>
    </row>
    <row r="507" ht="15.75" customHeight="1">
      <c r="A507" s="1">
        <v>5.2836878E7</v>
      </c>
      <c r="B507" s="2" t="s">
        <v>3058</v>
      </c>
      <c r="C507" s="19" t="s">
        <v>4343</v>
      </c>
      <c r="D507" s="19"/>
      <c r="E507" s="2" t="s">
        <v>11</v>
      </c>
      <c r="F507" s="19"/>
    </row>
    <row r="508" ht="15.75" customHeight="1">
      <c r="A508" s="1">
        <v>5.2952265E7</v>
      </c>
      <c r="B508" s="2" t="s">
        <v>2569</v>
      </c>
      <c r="C508" s="19" t="s">
        <v>4822</v>
      </c>
      <c r="D508" s="19" t="s">
        <v>4823</v>
      </c>
      <c r="E508" s="2" t="s">
        <v>72</v>
      </c>
      <c r="F508" s="19"/>
    </row>
    <row r="509" ht="15.75" customHeight="1">
      <c r="A509" s="1">
        <v>5.3286917E7</v>
      </c>
      <c r="B509" s="2" t="s">
        <v>102</v>
      </c>
      <c r="C509" s="19" t="s">
        <v>4344</v>
      </c>
      <c r="D509" s="19"/>
      <c r="E509" s="2" t="s">
        <v>11</v>
      </c>
      <c r="F509" s="19"/>
    </row>
    <row r="510" ht="15.75" customHeight="1">
      <c r="A510" s="1">
        <v>5.3826899E7</v>
      </c>
      <c r="B510" s="2" t="s">
        <v>2910</v>
      </c>
      <c r="C510" s="19" t="s">
        <v>3703</v>
      </c>
      <c r="D510" s="19"/>
      <c r="E510" s="2" t="s">
        <v>59</v>
      </c>
      <c r="F510" s="19"/>
    </row>
    <row r="511" ht="15.75" customHeight="1">
      <c r="A511" s="1">
        <v>5.3838659E7</v>
      </c>
      <c r="B511" s="2" t="s">
        <v>2440</v>
      </c>
      <c r="C511" s="19" t="s">
        <v>4345</v>
      </c>
      <c r="D511" s="19"/>
      <c r="E511" s="2" t="s">
        <v>11</v>
      </c>
      <c r="F511" s="19"/>
    </row>
    <row r="512" ht="15.75" customHeight="1">
      <c r="A512" s="1">
        <v>5.3843335E7</v>
      </c>
      <c r="B512" s="2" t="s">
        <v>2033</v>
      </c>
      <c r="C512" s="19" t="s">
        <v>4346</v>
      </c>
      <c r="D512" s="19"/>
      <c r="E512" s="2" t="s">
        <v>11</v>
      </c>
      <c r="F512" s="19"/>
    </row>
    <row r="513" ht="15.75" customHeight="1">
      <c r="A513" s="1">
        <v>5.3843585E7</v>
      </c>
      <c r="B513" s="2" t="s">
        <v>313</v>
      </c>
      <c r="C513" s="19" t="s">
        <v>4347</v>
      </c>
      <c r="D513" s="19"/>
      <c r="E513" s="2" t="s">
        <v>11</v>
      </c>
      <c r="F513" s="19"/>
    </row>
    <row r="514" ht="15.75" customHeight="1">
      <c r="A514" s="1">
        <v>5.3843783E7</v>
      </c>
      <c r="B514" s="2" t="s">
        <v>2451</v>
      </c>
      <c r="C514" s="19" t="s">
        <v>4348</v>
      </c>
      <c r="D514" s="19"/>
      <c r="E514" s="2" t="s">
        <v>11</v>
      </c>
      <c r="F514" s="19"/>
    </row>
    <row r="515" ht="15.75" customHeight="1">
      <c r="A515" s="1">
        <v>5.3862192E7</v>
      </c>
      <c r="B515" s="2" t="s">
        <v>2480</v>
      </c>
      <c r="C515" s="19" t="s">
        <v>4349</v>
      </c>
      <c r="D515" s="19" t="s">
        <v>4350</v>
      </c>
      <c r="E515" s="2" t="s">
        <v>11</v>
      </c>
      <c r="F515" s="19"/>
    </row>
    <row r="516" ht="15.75" customHeight="1">
      <c r="A516" s="1">
        <v>5.3874059E7</v>
      </c>
      <c r="B516" s="2" t="s">
        <v>2044</v>
      </c>
      <c r="C516" s="19" t="s">
        <v>4351</v>
      </c>
      <c r="D516" s="19" t="s">
        <v>4352</v>
      </c>
      <c r="E516" s="2" t="s">
        <v>11</v>
      </c>
      <c r="F516" s="19"/>
    </row>
    <row r="517" ht="15.75" customHeight="1">
      <c r="A517" s="1">
        <v>5.3884162E7</v>
      </c>
      <c r="B517" s="2" t="s">
        <v>1451</v>
      </c>
      <c r="C517" s="19" t="s">
        <v>4824</v>
      </c>
      <c r="D517" s="19" t="s">
        <v>4825</v>
      </c>
      <c r="E517" s="2" t="s">
        <v>72</v>
      </c>
      <c r="F517" s="19"/>
    </row>
    <row r="518" ht="15.75" customHeight="1">
      <c r="A518" s="1">
        <v>5.3884595E7</v>
      </c>
      <c r="B518" s="2" t="s">
        <v>1719</v>
      </c>
      <c r="C518" s="19" t="s">
        <v>4846</v>
      </c>
      <c r="D518" s="19"/>
      <c r="E518" s="2" t="s">
        <v>537</v>
      </c>
      <c r="F518" s="19"/>
    </row>
    <row r="519" ht="15.75" customHeight="1">
      <c r="A519" s="1">
        <v>5.3887719E7</v>
      </c>
      <c r="B519" s="2" t="s">
        <v>2150</v>
      </c>
      <c r="C519" s="19" t="s">
        <v>4353</v>
      </c>
      <c r="D519" s="19"/>
      <c r="E519" s="2" t="s">
        <v>11</v>
      </c>
      <c r="F519" s="19"/>
    </row>
    <row r="520" ht="15.75" customHeight="1">
      <c r="A520" s="1">
        <v>5.3891777E7</v>
      </c>
      <c r="B520" s="2" t="s">
        <v>2558</v>
      </c>
      <c r="C520" s="19" t="s">
        <v>4354</v>
      </c>
      <c r="D520" s="19"/>
      <c r="E520" s="9" t="s">
        <v>11</v>
      </c>
      <c r="F520" s="19"/>
    </row>
    <row r="521" ht="15.75" customHeight="1">
      <c r="A521" s="1">
        <v>5.3916396E7</v>
      </c>
      <c r="B521" s="2" t="s">
        <v>1165</v>
      </c>
      <c r="C521" s="19" t="s">
        <v>4355</v>
      </c>
      <c r="D521" s="19" t="s">
        <v>4356</v>
      </c>
      <c r="E521" s="2" t="s">
        <v>11</v>
      </c>
      <c r="F521" s="19"/>
    </row>
    <row r="522" ht="15.75" customHeight="1">
      <c r="A522" s="1">
        <v>5.3930543E7</v>
      </c>
      <c r="B522" s="2" t="s">
        <v>2268</v>
      </c>
      <c r="C522" s="19" t="s">
        <v>4847</v>
      </c>
      <c r="D522" s="19"/>
      <c r="E522" s="2" t="s">
        <v>537</v>
      </c>
      <c r="F522" s="19"/>
    </row>
    <row r="523" ht="15.75" customHeight="1">
      <c r="A523" s="1">
        <v>5.3933243E7</v>
      </c>
      <c r="B523" s="2" t="s">
        <v>1157</v>
      </c>
      <c r="C523" s="19" t="s">
        <v>4826</v>
      </c>
      <c r="D523" s="19"/>
      <c r="E523" s="2" t="s">
        <v>72</v>
      </c>
      <c r="F523" s="19"/>
    </row>
    <row r="524" ht="15.75" customHeight="1">
      <c r="A524" s="1">
        <v>5.3937189E7</v>
      </c>
      <c r="B524" s="2" t="s">
        <v>1756</v>
      </c>
      <c r="C524" s="19" t="s">
        <v>4357</v>
      </c>
      <c r="D524" s="19" t="s">
        <v>4358</v>
      </c>
      <c r="E524" s="2" t="s">
        <v>11</v>
      </c>
      <c r="F524" s="19"/>
    </row>
    <row r="525" ht="15.75" customHeight="1">
      <c r="A525" s="1">
        <v>5.3942601E7</v>
      </c>
      <c r="B525" s="2" t="s">
        <v>1899</v>
      </c>
      <c r="C525" s="19" t="s">
        <v>4359</v>
      </c>
      <c r="D525" s="19"/>
      <c r="E525" s="2" t="s">
        <v>11</v>
      </c>
      <c r="F525" s="19"/>
    </row>
    <row r="526" ht="15.75" customHeight="1">
      <c r="A526" s="1">
        <v>5.3944354E7</v>
      </c>
      <c r="B526" s="2" t="s">
        <v>1860</v>
      </c>
      <c r="C526" s="19" t="s">
        <v>4360</v>
      </c>
      <c r="D526" s="19" t="s">
        <v>4361</v>
      </c>
      <c r="E526" s="2" t="s">
        <v>11</v>
      </c>
      <c r="F526" s="19"/>
    </row>
    <row r="527" ht="15.75" customHeight="1">
      <c r="A527" s="1">
        <v>5.3961151E7</v>
      </c>
      <c r="B527" s="2" t="s">
        <v>2776</v>
      </c>
      <c r="C527" s="19" t="s">
        <v>4362</v>
      </c>
      <c r="D527" s="19"/>
      <c r="E527" s="2" t="s">
        <v>11</v>
      </c>
      <c r="F527" s="19"/>
    </row>
    <row r="528" ht="15.75" customHeight="1">
      <c r="A528" s="1">
        <v>5.3966488E7</v>
      </c>
      <c r="B528" s="2" t="s">
        <v>3208</v>
      </c>
      <c r="C528" s="19" t="s">
        <v>4363</v>
      </c>
      <c r="D528" s="19"/>
      <c r="E528" s="9" t="s">
        <v>11</v>
      </c>
      <c r="F528" s="19"/>
    </row>
    <row r="529" ht="15.75" customHeight="1">
      <c r="A529" s="1">
        <v>5.3970869E7</v>
      </c>
      <c r="B529" s="2" t="s">
        <v>585</v>
      </c>
      <c r="C529" s="19" t="s">
        <v>4364</v>
      </c>
      <c r="D529" s="19"/>
      <c r="E529" s="2" t="s">
        <v>11</v>
      </c>
      <c r="F529" s="19"/>
    </row>
    <row r="530" ht="15.75" customHeight="1">
      <c r="A530" s="1">
        <v>5.3990868E7</v>
      </c>
      <c r="B530" s="2" t="s">
        <v>2684</v>
      </c>
      <c r="C530" s="19" t="s">
        <v>4365</v>
      </c>
      <c r="D530" s="19"/>
      <c r="E530" s="2" t="s">
        <v>11</v>
      </c>
      <c r="F530" s="19"/>
    </row>
    <row r="531" ht="15.75" customHeight="1">
      <c r="A531" s="1">
        <v>5.4005457E7</v>
      </c>
      <c r="B531" s="2" t="s">
        <v>2389</v>
      </c>
      <c r="C531" s="19" t="s">
        <v>4366</v>
      </c>
      <c r="D531" s="19"/>
      <c r="E531" s="9" t="s">
        <v>11</v>
      </c>
      <c r="F531" s="19"/>
    </row>
    <row r="532" ht="15.75" customHeight="1">
      <c r="A532" s="1">
        <v>5.4011731E7</v>
      </c>
      <c r="B532" s="2" t="s">
        <v>2158</v>
      </c>
      <c r="C532" s="19" t="s">
        <v>4367</v>
      </c>
      <c r="D532" s="19"/>
      <c r="E532" s="9" t="s">
        <v>11</v>
      </c>
      <c r="F532" s="19"/>
    </row>
    <row r="533" ht="15.75" customHeight="1">
      <c r="A533" s="1">
        <v>5.4011765E7</v>
      </c>
      <c r="B533" s="2" t="s">
        <v>2527</v>
      </c>
      <c r="C533" s="19" t="s">
        <v>4368</v>
      </c>
      <c r="D533" s="19"/>
      <c r="E533" s="2" t="s">
        <v>11</v>
      </c>
      <c r="F533" s="19"/>
    </row>
    <row r="534" ht="15.75" customHeight="1">
      <c r="A534" s="1">
        <v>5.4042741E7</v>
      </c>
      <c r="B534" s="2" t="s">
        <v>2248</v>
      </c>
      <c r="C534" s="19" t="s">
        <v>4369</v>
      </c>
      <c r="D534" s="19" t="s">
        <v>4370</v>
      </c>
      <c r="E534" s="9" t="s">
        <v>11</v>
      </c>
      <c r="F534" s="19"/>
    </row>
    <row r="535" ht="15.75" customHeight="1">
      <c r="A535" s="1">
        <v>5.4045187E7</v>
      </c>
      <c r="B535" s="2" t="s">
        <v>1720</v>
      </c>
      <c r="C535" s="19" t="s">
        <v>4371</v>
      </c>
      <c r="D535" s="19"/>
      <c r="E535" s="9" t="s">
        <v>11</v>
      </c>
      <c r="F535" s="19"/>
    </row>
    <row r="536" ht="15.75" customHeight="1">
      <c r="A536" s="1">
        <v>5.4049205E7</v>
      </c>
      <c r="B536" s="2" t="s">
        <v>1892</v>
      </c>
      <c r="C536" s="19" t="s">
        <v>4372</v>
      </c>
      <c r="D536" s="19"/>
      <c r="E536" s="2" t="s">
        <v>11</v>
      </c>
      <c r="F536" s="19"/>
    </row>
    <row r="537" ht="15.75" customHeight="1">
      <c r="A537" s="1">
        <v>5.4060551E7</v>
      </c>
      <c r="B537" s="2" t="s">
        <v>2090</v>
      </c>
      <c r="C537" s="19" t="s">
        <v>4373</v>
      </c>
      <c r="D537" s="19"/>
      <c r="E537" s="2" t="s">
        <v>11</v>
      </c>
      <c r="F537" s="19"/>
    </row>
    <row r="538" ht="15.75" customHeight="1">
      <c r="A538" s="1">
        <v>5.4060686E7</v>
      </c>
      <c r="B538" s="2" t="s">
        <v>1943</v>
      </c>
      <c r="C538" s="19" t="s">
        <v>4374</v>
      </c>
      <c r="D538" s="19"/>
      <c r="E538" s="2" t="s">
        <v>11</v>
      </c>
      <c r="F538" s="19"/>
    </row>
    <row r="539" ht="15.75" customHeight="1">
      <c r="A539" s="1">
        <v>5.4066925E7</v>
      </c>
      <c r="B539" s="2" t="s">
        <v>543</v>
      </c>
      <c r="C539" s="19" t="s">
        <v>4375</v>
      </c>
      <c r="D539" s="19"/>
      <c r="E539" s="9" t="s">
        <v>11</v>
      </c>
      <c r="F539" s="19"/>
    </row>
    <row r="540" ht="15.75" customHeight="1">
      <c r="A540" s="1">
        <v>5.4068351E7</v>
      </c>
      <c r="B540" s="2" t="s">
        <v>3091</v>
      </c>
      <c r="C540" s="19" t="s">
        <v>4376</v>
      </c>
      <c r="D540" s="19"/>
      <c r="E540" s="2" t="s">
        <v>11</v>
      </c>
      <c r="F540" s="19"/>
    </row>
    <row r="541" ht="15.75" customHeight="1">
      <c r="A541" s="1">
        <v>5.4069553E7</v>
      </c>
      <c r="B541" s="2" t="s">
        <v>2599</v>
      </c>
      <c r="C541" s="19" t="s">
        <v>4377</v>
      </c>
      <c r="D541" s="19"/>
      <c r="E541" s="2" t="s">
        <v>11</v>
      </c>
      <c r="F541" s="19"/>
    </row>
    <row r="542" ht="15.75" customHeight="1">
      <c r="A542" s="1">
        <v>5.4077904E7</v>
      </c>
      <c r="B542" s="2" t="s">
        <v>1576</v>
      </c>
      <c r="C542" s="19" t="s">
        <v>4848</v>
      </c>
      <c r="D542" s="19"/>
      <c r="E542" s="2" t="s">
        <v>537</v>
      </c>
      <c r="F542" s="19"/>
    </row>
    <row r="543" ht="15.75" customHeight="1">
      <c r="A543" s="1">
        <v>5.4079576E7</v>
      </c>
      <c r="B543" s="2" t="s">
        <v>596</v>
      </c>
      <c r="C543" s="19" t="s">
        <v>4378</v>
      </c>
      <c r="D543" s="19" t="s">
        <v>4379</v>
      </c>
      <c r="E543" s="2" t="s">
        <v>11</v>
      </c>
      <c r="F543" s="19"/>
    </row>
    <row r="544" ht="15.75" customHeight="1">
      <c r="A544" s="1">
        <v>5.4105367E7</v>
      </c>
      <c r="B544" s="2" t="s">
        <v>635</v>
      </c>
      <c r="C544" s="19" t="s">
        <v>4380</v>
      </c>
      <c r="D544" s="19" t="s">
        <v>4381</v>
      </c>
      <c r="E544" s="2" t="s">
        <v>11</v>
      </c>
      <c r="F544" s="19"/>
    </row>
    <row r="545" ht="15.75" customHeight="1">
      <c r="A545" s="1">
        <v>5.411448E7</v>
      </c>
      <c r="B545" s="2" t="s">
        <v>3293</v>
      </c>
      <c r="C545" s="19" t="s">
        <v>4382</v>
      </c>
      <c r="D545" s="19"/>
      <c r="E545" s="2" t="s">
        <v>11</v>
      </c>
      <c r="F545" s="19"/>
    </row>
    <row r="546" ht="15.75" customHeight="1">
      <c r="A546" s="1">
        <v>5.4118895E7</v>
      </c>
      <c r="B546" s="2" t="s">
        <v>3059</v>
      </c>
      <c r="C546" s="19" t="s">
        <v>4383</v>
      </c>
      <c r="D546" s="19" t="s">
        <v>4384</v>
      </c>
      <c r="E546" s="2" t="s">
        <v>11</v>
      </c>
      <c r="F546" s="19"/>
    </row>
    <row r="547" ht="15.75" customHeight="1">
      <c r="A547" s="1">
        <v>5.4161244E7</v>
      </c>
      <c r="B547" s="2" t="s">
        <v>3318</v>
      </c>
      <c r="C547" s="19" t="s">
        <v>4792</v>
      </c>
      <c r="D547" s="19"/>
      <c r="E547" s="2" t="s">
        <v>86</v>
      </c>
      <c r="F547" s="19"/>
    </row>
    <row r="548" ht="15.75" customHeight="1">
      <c r="A548" s="1">
        <v>5.417805E7</v>
      </c>
      <c r="B548" s="2" t="s">
        <v>1497</v>
      </c>
      <c r="C548" s="19" t="s">
        <v>4385</v>
      </c>
      <c r="D548" s="19"/>
      <c r="E548" s="9" t="s">
        <v>11</v>
      </c>
      <c r="F548" s="19"/>
    </row>
    <row r="549" ht="15.75" customHeight="1">
      <c r="A549" s="1">
        <v>5.4186801E7</v>
      </c>
      <c r="B549" s="2" t="s">
        <v>2737</v>
      </c>
      <c r="C549" s="19" t="s">
        <v>4386</v>
      </c>
      <c r="D549" s="19"/>
      <c r="E549" s="2" t="s">
        <v>11</v>
      </c>
      <c r="F549" s="19"/>
    </row>
    <row r="550" ht="15.75" customHeight="1">
      <c r="A550" s="1">
        <v>5.4192453E7</v>
      </c>
      <c r="B550" s="2" t="s">
        <v>1815</v>
      </c>
      <c r="C550" s="19" t="s">
        <v>4387</v>
      </c>
      <c r="D550" s="19"/>
      <c r="E550" s="2" t="s">
        <v>11</v>
      </c>
      <c r="F550" s="19"/>
    </row>
    <row r="551" ht="15.75" customHeight="1">
      <c r="A551" s="1">
        <v>5.4200067E7</v>
      </c>
      <c r="B551" s="2" t="s">
        <v>3274</v>
      </c>
      <c r="C551" s="19" t="s">
        <v>4827</v>
      </c>
      <c r="D551" s="19"/>
      <c r="E551" s="2" t="s">
        <v>72</v>
      </c>
      <c r="F551" s="19"/>
    </row>
    <row r="552" ht="15.75" customHeight="1">
      <c r="A552" s="1">
        <v>5.4216119E7</v>
      </c>
      <c r="B552" s="2" t="s">
        <v>1130</v>
      </c>
      <c r="C552" s="19" t="s">
        <v>4388</v>
      </c>
      <c r="D552" s="19"/>
      <c r="E552" s="2" t="s">
        <v>11</v>
      </c>
      <c r="F552" s="19"/>
    </row>
    <row r="553" ht="15.75" customHeight="1">
      <c r="A553" s="1">
        <v>5.4223484E7</v>
      </c>
      <c r="B553" s="2" t="s">
        <v>1760</v>
      </c>
      <c r="C553" s="19" t="s">
        <v>3659</v>
      </c>
      <c r="D553" s="19"/>
      <c r="E553" s="2" t="s">
        <v>20</v>
      </c>
      <c r="F553" s="19"/>
    </row>
    <row r="554" ht="15.75" customHeight="1">
      <c r="A554" s="1">
        <v>5.4235734E7</v>
      </c>
      <c r="B554" s="2" t="s">
        <v>2757</v>
      </c>
      <c r="C554" s="19" t="s">
        <v>4389</v>
      </c>
      <c r="D554" s="19" t="s">
        <v>4390</v>
      </c>
      <c r="E554" s="9" t="s">
        <v>11</v>
      </c>
      <c r="F554" s="19"/>
    </row>
    <row r="555" ht="15.75" customHeight="1">
      <c r="A555" s="1">
        <v>5.4241538E7</v>
      </c>
      <c r="B555" s="2" t="s">
        <v>1383</v>
      </c>
      <c r="C555" s="19" t="s">
        <v>4391</v>
      </c>
      <c r="D555" s="19"/>
      <c r="E555" s="2" t="s">
        <v>11</v>
      </c>
      <c r="F555" s="19"/>
    </row>
    <row r="556" ht="15.75" customHeight="1">
      <c r="A556" s="1">
        <v>5.424877E7</v>
      </c>
      <c r="B556" s="2" t="s">
        <v>2367</v>
      </c>
      <c r="C556" s="19" t="s">
        <v>4392</v>
      </c>
      <c r="D556" s="19"/>
      <c r="E556" s="2" t="s">
        <v>11</v>
      </c>
      <c r="F556" s="19"/>
    </row>
    <row r="557" ht="15.75" customHeight="1">
      <c r="A557" s="1">
        <v>5.4270158E7</v>
      </c>
      <c r="B557" s="2" t="s">
        <v>683</v>
      </c>
      <c r="C557" s="19" t="s">
        <v>4393</v>
      </c>
      <c r="D557" s="19" t="s">
        <v>4394</v>
      </c>
      <c r="E557" s="2" t="s">
        <v>11</v>
      </c>
      <c r="F557" s="19"/>
    </row>
    <row r="558" ht="15.75" customHeight="1">
      <c r="A558" s="1">
        <v>5.427151E7</v>
      </c>
      <c r="B558" s="2" t="s">
        <v>1440</v>
      </c>
      <c r="C558" s="19" t="s">
        <v>4395</v>
      </c>
      <c r="D558" s="19"/>
      <c r="E558" s="9" t="s">
        <v>11</v>
      </c>
      <c r="F558" s="19"/>
    </row>
    <row r="559" ht="15.75" customHeight="1">
      <c r="A559" s="1">
        <v>5.4285728E7</v>
      </c>
      <c r="B559" s="2" t="s">
        <v>2912</v>
      </c>
      <c r="C559" s="19" t="s">
        <v>4396</v>
      </c>
      <c r="D559" s="19"/>
      <c r="E559" s="2" t="s">
        <v>11</v>
      </c>
      <c r="F559" s="19"/>
    </row>
    <row r="560" ht="15.75" customHeight="1">
      <c r="A560" s="1">
        <v>5.4288494E7</v>
      </c>
      <c r="B560" s="2" t="s">
        <v>2420</v>
      </c>
      <c r="C560" s="19" t="s">
        <v>4397</v>
      </c>
      <c r="D560" s="19"/>
      <c r="E560" s="2" t="s">
        <v>11</v>
      </c>
      <c r="F560" s="19"/>
    </row>
    <row r="561" ht="15.75" customHeight="1">
      <c r="A561" s="1">
        <v>5.4291354E7</v>
      </c>
      <c r="B561" s="2" t="s">
        <v>789</v>
      </c>
      <c r="C561" s="19" t="s">
        <v>4398</v>
      </c>
      <c r="D561" s="19"/>
      <c r="E561" s="2" t="s">
        <v>11</v>
      </c>
      <c r="F561" s="19"/>
    </row>
    <row r="562" ht="15.75" customHeight="1">
      <c r="A562" s="1">
        <v>5.4291428E7</v>
      </c>
      <c r="B562" s="2" t="s">
        <v>1717</v>
      </c>
      <c r="C562" s="19" t="s">
        <v>4399</v>
      </c>
      <c r="D562" s="19"/>
      <c r="E562" s="2" t="s">
        <v>11</v>
      </c>
      <c r="F562" s="19"/>
    </row>
    <row r="563" ht="15.75" customHeight="1">
      <c r="A563" s="1">
        <v>5.4316826E7</v>
      </c>
      <c r="B563" s="2" t="s">
        <v>1661</v>
      </c>
      <c r="C563" s="19" t="s">
        <v>4400</v>
      </c>
      <c r="D563" s="19"/>
      <c r="E563" s="2" t="s">
        <v>11</v>
      </c>
      <c r="F563" s="19"/>
    </row>
    <row r="564" ht="15.75" customHeight="1">
      <c r="A564" s="1">
        <v>5.4321038E7</v>
      </c>
      <c r="B564" s="2" t="s">
        <v>2685</v>
      </c>
      <c r="C564" s="19" t="s">
        <v>4401</v>
      </c>
      <c r="D564" s="19"/>
      <c r="E564" s="2" t="s">
        <v>11</v>
      </c>
      <c r="F564" s="19"/>
    </row>
    <row r="565" ht="15.75" customHeight="1">
      <c r="A565" s="1">
        <v>5.432376E7</v>
      </c>
      <c r="B565" s="2" t="s">
        <v>1400</v>
      </c>
      <c r="C565" s="19" t="s">
        <v>4402</v>
      </c>
      <c r="D565" s="19" t="s">
        <v>4403</v>
      </c>
      <c r="E565" s="2" t="s">
        <v>11</v>
      </c>
      <c r="F565" s="19"/>
    </row>
    <row r="566" ht="15.75" customHeight="1">
      <c r="A566" s="1">
        <v>5.4346725E7</v>
      </c>
      <c r="B566" s="2" t="s">
        <v>351</v>
      </c>
      <c r="C566" s="19" t="s">
        <v>4404</v>
      </c>
      <c r="D566" s="19"/>
      <c r="E566" s="2" t="s">
        <v>11</v>
      </c>
      <c r="F566" s="19"/>
    </row>
    <row r="567" ht="15.75" customHeight="1">
      <c r="A567" s="1">
        <v>5.4350879E7</v>
      </c>
      <c r="B567" s="2" t="s">
        <v>2539</v>
      </c>
      <c r="C567" s="19" t="s">
        <v>3704</v>
      </c>
      <c r="D567" s="19"/>
      <c r="E567" s="2" t="s">
        <v>59</v>
      </c>
      <c r="F567" s="19"/>
    </row>
    <row r="568" ht="15.75" customHeight="1">
      <c r="A568" s="1">
        <v>5.435232E7</v>
      </c>
      <c r="B568" s="2" t="s">
        <v>1888</v>
      </c>
      <c r="C568" s="19" t="s">
        <v>4405</v>
      </c>
      <c r="D568" s="19" t="s">
        <v>4406</v>
      </c>
      <c r="E568" s="2" t="s">
        <v>11</v>
      </c>
      <c r="F568" s="19"/>
    </row>
    <row r="569" ht="15.75" customHeight="1">
      <c r="A569" s="1">
        <v>5.436395E7</v>
      </c>
      <c r="B569" s="2" t="s">
        <v>1741</v>
      </c>
      <c r="C569" s="19" t="s">
        <v>4407</v>
      </c>
      <c r="D569" s="19"/>
      <c r="E569" s="9" t="s">
        <v>11</v>
      </c>
      <c r="F569" s="19"/>
    </row>
    <row r="570" ht="15.75" customHeight="1">
      <c r="A570" s="1">
        <v>5.4365658E7</v>
      </c>
      <c r="B570" s="2" t="s">
        <v>2390</v>
      </c>
      <c r="C570" s="19" t="s">
        <v>4408</v>
      </c>
      <c r="D570" s="19"/>
      <c r="E570" s="2" t="s">
        <v>11</v>
      </c>
      <c r="F570" s="19"/>
    </row>
    <row r="571" ht="15.75" customHeight="1">
      <c r="A571" s="1">
        <v>5.4372408E7</v>
      </c>
      <c r="B571" s="2" t="s">
        <v>684</v>
      </c>
      <c r="C571" s="19" t="s">
        <v>4409</v>
      </c>
      <c r="D571" s="19"/>
      <c r="E571" s="2" t="s">
        <v>11</v>
      </c>
      <c r="F571" s="19"/>
    </row>
    <row r="572" ht="15.75" customHeight="1">
      <c r="A572" s="1">
        <v>5.437379E7</v>
      </c>
      <c r="B572" s="2" t="s">
        <v>2075</v>
      </c>
      <c r="C572" s="19" t="s">
        <v>4410</v>
      </c>
      <c r="D572" s="19" t="s">
        <v>4411</v>
      </c>
      <c r="E572" s="9" t="s">
        <v>11</v>
      </c>
      <c r="F572" s="19"/>
    </row>
    <row r="573" ht="15.75" customHeight="1">
      <c r="A573" s="1">
        <v>5.4392707E7</v>
      </c>
      <c r="B573" s="2" t="s">
        <v>2656</v>
      </c>
      <c r="C573" s="19" t="s">
        <v>4412</v>
      </c>
      <c r="D573" s="19"/>
      <c r="E573" s="2" t="s">
        <v>11</v>
      </c>
      <c r="F573" s="19"/>
    </row>
    <row r="574" ht="15.75" customHeight="1">
      <c r="A574" s="1">
        <v>5.4396214E7</v>
      </c>
      <c r="B574" s="2" t="s">
        <v>970</v>
      </c>
      <c r="C574" s="19" t="s">
        <v>4413</v>
      </c>
      <c r="D574" s="19" t="s">
        <v>4414</v>
      </c>
      <c r="E574" s="9" t="s">
        <v>11</v>
      </c>
      <c r="F574" s="19"/>
    </row>
    <row r="575" ht="15.75" customHeight="1">
      <c r="A575" s="1">
        <v>5.4398761E7</v>
      </c>
      <c r="B575" s="2" t="s">
        <v>2176</v>
      </c>
      <c r="C575" s="19" t="s">
        <v>4415</v>
      </c>
      <c r="D575" s="19"/>
      <c r="E575" s="2" t="s">
        <v>11</v>
      </c>
      <c r="F575" s="19"/>
    </row>
    <row r="576" ht="15.75" customHeight="1">
      <c r="A576" s="1">
        <v>5.440349E7</v>
      </c>
      <c r="B576" s="2" t="s">
        <v>690</v>
      </c>
      <c r="C576" s="19" t="s">
        <v>4416</v>
      </c>
      <c r="D576" s="19"/>
      <c r="E576" s="2" t="s">
        <v>11</v>
      </c>
      <c r="F576" s="19"/>
    </row>
    <row r="577" ht="15.75" customHeight="1">
      <c r="A577" s="1">
        <v>5.4406837E7</v>
      </c>
      <c r="B577" s="2" t="s">
        <v>1934</v>
      </c>
      <c r="C577" s="19" t="s">
        <v>4417</v>
      </c>
      <c r="D577" s="19"/>
      <c r="E577" s="2" t="s">
        <v>11</v>
      </c>
      <c r="F577" s="19"/>
    </row>
    <row r="578" ht="15.75" customHeight="1">
      <c r="A578" s="1">
        <v>5.4446152E7</v>
      </c>
      <c r="B578" s="2" t="s">
        <v>1616</v>
      </c>
      <c r="C578" s="19" t="s">
        <v>4418</v>
      </c>
      <c r="D578" s="19" t="s">
        <v>4419</v>
      </c>
      <c r="E578" s="2" t="s">
        <v>11</v>
      </c>
      <c r="F578" s="19"/>
    </row>
    <row r="579" ht="15.75" customHeight="1">
      <c r="A579" s="1">
        <v>5.4446465E7</v>
      </c>
      <c r="B579" s="2" t="s">
        <v>2024</v>
      </c>
      <c r="C579" s="19" t="s">
        <v>4420</v>
      </c>
      <c r="D579" s="19"/>
      <c r="E579" s="2" t="s">
        <v>11</v>
      </c>
      <c r="F579" s="19"/>
    </row>
    <row r="580" ht="15.75" customHeight="1">
      <c r="A580" s="1">
        <v>5.4462153E7</v>
      </c>
      <c r="B580" s="2" t="s">
        <v>2857</v>
      </c>
      <c r="C580" s="19" t="s">
        <v>4421</v>
      </c>
      <c r="D580" s="19"/>
      <c r="E580" s="2" t="s">
        <v>11</v>
      </c>
      <c r="F580" s="19"/>
    </row>
    <row r="581" ht="15.75" customHeight="1">
      <c r="A581" s="1">
        <v>5.4468229E7</v>
      </c>
      <c r="B581" s="2" t="s">
        <v>1310</v>
      </c>
      <c r="C581" s="19" t="s">
        <v>4422</v>
      </c>
      <c r="D581" s="19"/>
      <c r="E581" s="2" t="s">
        <v>11</v>
      </c>
      <c r="F581" s="19"/>
    </row>
    <row r="582" ht="15.75" customHeight="1">
      <c r="A582" s="1">
        <v>5.4472908E7</v>
      </c>
      <c r="B582" s="2" t="s">
        <v>2007</v>
      </c>
      <c r="C582" s="19" t="s">
        <v>4423</v>
      </c>
      <c r="D582" s="19"/>
      <c r="E582" s="2" t="s">
        <v>11</v>
      </c>
      <c r="F582" s="19"/>
    </row>
    <row r="583" ht="15.75" customHeight="1">
      <c r="A583" s="1">
        <v>5.4473192E7</v>
      </c>
      <c r="B583" s="2" t="s">
        <v>2091</v>
      </c>
      <c r="C583" s="19" t="s">
        <v>4424</v>
      </c>
      <c r="D583" s="19" t="s">
        <v>4425</v>
      </c>
      <c r="E583" s="2" t="s">
        <v>11</v>
      </c>
      <c r="F583" s="19"/>
    </row>
    <row r="584" ht="15.75" customHeight="1">
      <c r="A584" s="1">
        <v>5.4474013E7</v>
      </c>
      <c r="B584" s="2" t="s">
        <v>1405</v>
      </c>
      <c r="C584" s="19" t="s">
        <v>3705</v>
      </c>
      <c r="D584" s="19"/>
      <c r="E584" s="2" t="s">
        <v>59</v>
      </c>
      <c r="F584" s="19"/>
    </row>
    <row r="585" ht="15.75" customHeight="1">
      <c r="A585" s="1">
        <v>5.4475094E7</v>
      </c>
      <c r="B585" s="2" t="s">
        <v>1816</v>
      </c>
      <c r="C585" s="19" t="s">
        <v>4426</v>
      </c>
      <c r="D585" s="19"/>
      <c r="E585" s="2" t="s">
        <v>11</v>
      </c>
      <c r="F585" s="19"/>
    </row>
    <row r="586" ht="15.75" customHeight="1">
      <c r="A586" s="1">
        <v>5.4477736E7</v>
      </c>
      <c r="B586" s="2" t="s">
        <v>746</v>
      </c>
      <c r="C586" s="19" t="s">
        <v>4427</v>
      </c>
      <c r="D586" s="19" t="s">
        <v>4428</v>
      </c>
      <c r="E586" s="2" t="s">
        <v>11</v>
      </c>
      <c r="F586" s="19"/>
    </row>
    <row r="587" ht="15.75" customHeight="1">
      <c r="A587" s="1">
        <v>5.4478438E7</v>
      </c>
      <c r="B587" s="2" t="s">
        <v>1738</v>
      </c>
      <c r="C587" s="19" t="s">
        <v>4429</v>
      </c>
      <c r="D587" s="19"/>
      <c r="E587" s="2" t="s">
        <v>11</v>
      </c>
      <c r="F587" s="19"/>
    </row>
    <row r="588" ht="15.75" customHeight="1">
      <c r="A588" s="1">
        <v>5.4484732E7</v>
      </c>
      <c r="B588" s="2" t="s">
        <v>701</v>
      </c>
      <c r="C588" s="19" t="s">
        <v>4430</v>
      </c>
      <c r="D588" s="19"/>
      <c r="E588" s="2" t="s">
        <v>11</v>
      </c>
      <c r="F588" s="19"/>
    </row>
    <row r="589" ht="15.75" customHeight="1">
      <c r="A589" s="1">
        <v>5.4515593E7</v>
      </c>
      <c r="B589" s="2" t="s">
        <v>1390</v>
      </c>
      <c r="C589" s="19" t="s">
        <v>4431</v>
      </c>
      <c r="D589" s="19" t="s">
        <v>4432</v>
      </c>
      <c r="E589" s="2" t="s">
        <v>11</v>
      </c>
      <c r="F589" s="19"/>
    </row>
    <row r="590" ht="15.75" customHeight="1">
      <c r="A590" s="1">
        <v>5.4520497E7</v>
      </c>
      <c r="B590" s="2" t="s">
        <v>736</v>
      </c>
      <c r="C590" s="19" t="s">
        <v>4433</v>
      </c>
      <c r="D590" s="19"/>
      <c r="E590" s="9" t="s">
        <v>11</v>
      </c>
      <c r="F590" s="19"/>
    </row>
    <row r="591" ht="15.75" customHeight="1">
      <c r="A591" s="1">
        <v>5.4521407E7</v>
      </c>
      <c r="B591" s="2" t="s">
        <v>2738</v>
      </c>
      <c r="C591" s="19" t="s">
        <v>4434</v>
      </c>
      <c r="D591" s="19" t="s">
        <v>4435</v>
      </c>
      <c r="E591" s="2" t="s">
        <v>11</v>
      </c>
      <c r="F591" s="19"/>
    </row>
    <row r="592" ht="15.75" customHeight="1">
      <c r="A592" s="1">
        <v>5.45228E7</v>
      </c>
      <c r="B592" s="2" t="s">
        <v>965</v>
      </c>
      <c r="C592" s="19" t="s">
        <v>4436</v>
      </c>
      <c r="D592" s="19" t="s">
        <v>4437</v>
      </c>
      <c r="E592" s="2" t="s">
        <v>11</v>
      </c>
      <c r="F592" s="19"/>
    </row>
    <row r="593" ht="15.75" customHeight="1">
      <c r="A593" s="1">
        <v>5.4526634E7</v>
      </c>
      <c r="B593" s="2" t="s">
        <v>1617</v>
      </c>
      <c r="C593" s="19" t="s">
        <v>4438</v>
      </c>
      <c r="D593" s="19"/>
      <c r="E593" s="2" t="s">
        <v>11</v>
      </c>
      <c r="F593" s="19"/>
    </row>
    <row r="594" ht="15.75" customHeight="1">
      <c r="A594" s="1">
        <v>5.4531836E7</v>
      </c>
      <c r="B594" s="2" t="s">
        <v>2713</v>
      </c>
      <c r="C594" s="19" t="s">
        <v>4439</v>
      </c>
      <c r="D594" s="19"/>
      <c r="E594" s="2" t="s">
        <v>11</v>
      </c>
      <c r="F594" s="19"/>
    </row>
    <row r="595" ht="15.75" customHeight="1">
      <c r="A595" s="1">
        <v>5.4532079E7</v>
      </c>
      <c r="B595" s="2" t="s">
        <v>1092</v>
      </c>
      <c r="C595" s="19" t="s">
        <v>4440</v>
      </c>
      <c r="D595" s="19"/>
      <c r="E595" s="2" t="s">
        <v>11</v>
      </c>
      <c r="F595" s="19"/>
    </row>
    <row r="596" ht="15.75" customHeight="1">
      <c r="A596" s="1">
        <v>5.4548422E7</v>
      </c>
      <c r="B596" s="2" t="s">
        <v>1351</v>
      </c>
      <c r="C596" s="19" t="s">
        <v>4441</v>
      </c>
      <c r="D596" s="19"/>
      <c r="E596" s="2" t="s">
        <v>11</v>
      </c>
      <c r="F596" s="19"/>
    </row>
    <row r="597" ht="15.75" customHeight="1">
      <c r="A597" s="1">
        <v>5.454849E7</v>
      </c>
      <c r="B597" s="2" t="s">
        <v>1817</v>
      </c>
      <c r="C597" s="19" t="s">
        <v>4442</v>
      </c>
      <c r="D597" s="19" t="s">
        <v>4443</v>
      </c>
      <c r="E597" s="2" t="s">
        <v>11</v>
      </c>
      <c r="F597" s="19"/>
    </row>
    <row r="598" ht="15.75" customHeight="1">
      <c r="A598" s="1">
        <v>5.4554531E7</v>
      </c>
      <c r="B598" s="2" t="s">
        <v>1807</v>
      </c>
      <c r="C598" s="19" t="s">
        <v>3706</v>
      </c>
      <c r="D598" s="19"/>
      <c r="E598" s="2" t="s">
        <v>59</v>
      </c>
      <c r="F598" s="19"/>
    </row>
    <row r="599" ht="15.75" customHeight="1">
      <c r="A599" s="1">
        <v>5.4563348E7</v>
      </c>
      <c r="B599" s="2" t="s">
        <v>854</v>
      </c>
      <c r="C599" s="19" t="s">
        <v>4444</v>
      </c>
      <c r="D599" s="19"/>
      <c r="E599" s="2" t="s">
        <v>11</v>
      </c>
      <c r="F599" s="19"/>
    </row>
    <row r="600" ht="15.75" customHeight="1">
      <c r="A600" s="1">
        <v>5.4574451E7</v>
      </c>
      <c r="B600" s="2" t="s">
        <v>1750</v>
      </c>
      <c r="C600" s="19" t="s">
        <v>4445</v>
      </c>
      <c r="D600" s="19" t="s">
        <v>4446</v>
      </c>
      <c r="E600" s="2" t="s">
        <v>11</v>
      </c>
      <c r="F600" s="19"/>
    </row>
    <row r="601" ht="15.75" customHeight="1">
      <c r="A601" s="1">
        <v>5.4574872E7</v>
      </c>
      <c r="B601" s="2" t="s">
        <v>2202</v>
      </c>
      <c r="C601" s="19" t="s">
        <v>4447</v>
      </c>
      <c r="D601" s="19"/>
      <c r="E601" s="9" t="s">
        <v>11</v>
      </c>
      <c r="F601" s="19"/>
    </row>
    <row r="602" ht="15.75" customHeight="1">
      <c r="A602" s="1">
        <v>5.4575273E7</v>
      </c>
      <c r="B602" s="2" t="s">
        <v>2002</v>
      </c>
      <c r="C602" s="19" t="s">
        <v>4448</v>
      </c>
      <c r="D602" s="19"/>
      <c r="E602" s="2" t="s">
        <v>11</v>
      </c>
      <c r="F602" s="19"/>
    </row>
    <row r="603" ht="15.75" customHeight="1">
      <c r="A603" s="1">
        <v>5.4577431E7</v>
      </c>
      <c r="B603" s="2" t="s">
        <v>1749</v>
      </c>
      <c r="C603" s="19" t="s">
        <v>3707</v>
      </c>
      <c r="D603" s="19"/>
      <c r="E603" s="2" t="s">
        <v>59</v>
      </c>
      <c r="F603" s="19"/>
    </row>
    <row r="604" ht="15.75" customHeight="1">
      <c r="A604" s="1">
        <v>5.4577461E7</v>
      </c>
      <c r="B604" s="2" t="s">
        <v>2401</v>
      </c>
      <c r="C604" s="19" t="s">
        <v>4449</v>
      </c>
      <c r="D604" s="19"/>
      <c r="E604" s="2" t="s">
        <v>11</v>
      </c>
      <c r="F604" s="19"/>
    </row>
    <row r="605" ht="15.75" customHeight="1">
      <c r="A605" s="1">
        <v>5.4603982E7</v>
      </c>
      <c r="B605" s="2" t="s">
        <v>1413</v>
      </c>
      <c r="C605" s="19" t="s">
        <v>4450</v>
      </c>
      <c r="D605" s="19"/>
      <c r="E605" s="2" t="s">
        <v>11</v>
      </c>
      <c r="F605" s="19"/>
    </row>
    <row r="606" ht="15.75" customHeight="1">
      <c r="A606" s="1">
        <v>5.4604041E7</v>
      </c>
      <c r="B606" s="2" t="s">
        <v>769</v>
      </c>
      <c r="C606" s="19" t="s">
        <v>4451</v>
      </c>
      <c r="D606" s="19"/>
      <c r="E606" s="2" t="s">
        <v>11</v>
      </c>
      <c r="F606" s="19"/>
    </row>
    <row r="607" ht="15.75" customHeight="1">
      <c r="A607" s="1">
        <v>5.4618164E7</v>
      </c>
      <c r="B607" s="2" t="s">
        <v>2402</v>
      </c>
      <c r="C607" s="19" t="s">
        <v>4452</v>
      </c>
      <c r="D607" s="19"/>
      <c r="E607" s="9" t="s">
        <v>11</v>
      </c>
      <c r="F607" s="19"/>
    </row>
    <row r="608" ht="15.75" customHeight="1">
      <c r="A608" s="1">
        <v>5.4622703E7</v>
      </c>
      <c r="B608" s="2" t="s">
        <v>3186</v>
      </c>
      <c r="C608" s="19" t="s">
        <v>4453</v>
      </c>
      <c r="D608" s="19"/>
      <c r="E608" s="2" t="s">
        <v>11</v>
      </c>
      <c r="F608" s="19"/>
    </row>
    <row r="609" ht="15.75" customHeight="1">
      <c r="A609" s="1">
        <v>5.4639927E7</v>
      </c>
      <c r="B609" s="2" t="s">
        <v>801</v>
      </c>
      <c r="C609" s="19" t="s">
        <v>4454</v>
      </c>
      <c r="D609" s="19"/>
      <c r="E609" s="2" t="s">
        <v>11</v>
      </c>
      <c r="F609" s="19"/>
    </row>
    <row r="610" ht="15.75" customHeight="1">
      <c r="A610" s="1">
        <v>5.4646038E7</v>
      </c>
      <c r="B610" s="2" t="s">
        <v>3294</v>
      </c>
      <c r="C610" s="19" t="s">
        <v>4455</v>
      </c>
      <c r="D610" s="19"/>
      <c r="E610" s="2" t="s">
        <v>11</v>
      </c>
      <c r="F610" s="19"/>
    </row>
    <row r="611" ht="15.75" customHeight="1">
      <c r="A611" s="1">
        <v>5.4662808E7</v>
      </c>
      <c r="B611" s="2" t="s">
        <v>2452</v>
      </c>
      <c r="C611" s="19" t="s">
        <v>4456</v>
      </c>
      <c r="D611" s="19"/>
      <c r="E611" s="2" t="s">
        <v>11</v>
      </c>
      <c r="F611" s="19"/>
    </row>
    <row r="612" ht="15.75" customHeight="1">
      <c r="A612" s="1">
        <v>5.4666018E7</v>
      </c>
      <c r="B612" s="2" t="s">
        <v>2701</v>
      </c>
      <c r="C612" s="19" t="s">
        <v>4457</v>
      </c>
      <c r="D612" s="19" t="s">
        <v>4458</v>
      </c>
      <c r="E612" s="2" t="s">
        <v>11</v>
      </c>
      <c r="F612" s="19"/>
    </row>
    <row r="613" ht="15.75" customHeight="1">
      <c r="A613" s="1">
        <v>5.4666876E7</v>
      </c>
      <c r="B613" s="2" t="s">
        <v>971</v>
      </c>
      <c r="C613" s="19" t="s">
        <v>4459</v>
      </c>
      <c r="D613" s="19" t="s">
        <v>4460</v>
      </c>
      <c r="E613" s="2" t="s">
        <v>11</v>
      </c>
      <c r="F613" s="19"/>
    </row>
    <row r="614" ht="15.75" customHeight="1">
      <c r="A614" s="1">
        <v>5.4678756E7</v>
      </c>
      <c r="B614" s="2" t="s">
        <v>2944</v>
      </c>
      <c r="C614" s="19" t="s">
        <v>4461</v>
      </c>
      <c r="D614" s="19" t="s">
        <v>4462</v>
      </c>
      <c r="E614" s="2" t="s">
        <v>11</v>
      </c>
      <c r="F614" s="19"/>
    </row>
    <row r="615" ht="15.75" customHeight="1">
      <c r="A615" s="1">
        <v>5.4688078E7</v>
      </c>
      <c r="B615" s="2" t="s">
        <v>1983</v>
      </c>
      <c r="C615" s="19" t="s">
        <v>4463</v>
      </c>
      <c r="D615" s="19" t="s">
        <v>4464</v>
      </c>
      <c r="E615" s="2" t="s">
        <v>11</v>
      </c>
      <c r="F615" s="19"/>
    </row>
    <row r="616" ht="15.75" customHeight="1">
      <c r="A616" s="1">
        <v>5.4695712E7</v>
      </c>
      <c r="B616" s="2" t="s">
        <v>2332</v>
      </c>
      <c r="C616" s="19" t="s">
        <v>4465</v>
      </c>
      <c r="D616" s="19" t="s">
        <v>4466</v>
      </c>
      <c r="E616" s="2" t="s">
        <v>11</v>
      </c>
      <c r="F616" s="19"/>
    </row>
    <row r="617" ht="15.75" customHeight="1">
      <c r="A617" s="1">
        <v>5.4700894E7</v>
      </c>
      <c r="B617" s="2" t="s">
        <v>1245</v>
      </c>
      <c r="C617" s="19" t="s">
        <v>4467</v>
      </c>
      <c r="D617" s="19"/>
      <c r="E617" s="2" t="s">
        <v>11</v>
      </c>
      <c r="F617" s="19"/>
    </row>
    <row r="618" ht="15.75" customHeight="1">
      <c r="A618" s="1">
        <v>5.4714252E7</v>
      </c>
      <c r="B618" s="2" t="s">
        <v>582</v>
      </c>
      <c r="C618" s="19" t="s">
        <v>4468</v>
      </c>
      <c r="D618" s="19" t="s">
        <v>4469</v>
      </c>
      <c r="E618" s="2" t="s">
        <v>11</v>
      </c>
      <c r="F618" s="19"/>
    </row>
    <row r="619" ht="15.75" customHeight="1">
      <c r="A619" s="1">
        <v>5.4734086E7</v>
      </c>
      <c r="B619" s="2" t="s">
        <v>2266</v>
      </c>
      <c r="C619" s="19" t="s">
        <v>4470</v>
      </c>
      <c r="D619" s="19"/>
      <c r="E619" s="2" t="s">
        <v>11</v>
      </c>
      <c r="F619" s="19"/>
    </row>
    <row r="620" ht="15.75" customHeight="1">
      <c r="A620" s="1">
        <v>5.4741436E7</v>
      </c>
      <c r="B620" s="2" t="s">
        <v>1574</v>
      </c>
      <c r="C620" s="19" t="s">
        <v>4471</v>
      </c>
      <c r="D620" s="19"/>
      <c r="E620" s="2" t="s">
        <v>11</v>
      </c>
      <c r="F620" s="19"/>
    </row>
    <row r="621" ht="15.75" customHeight="1">
      <c r="A621" s="1">
        <v>5.4747323E7</v>
      </c>
      <c r="B621" s="2" t="s">
        <v>1589</v>
      </c>
      <c r="C621" s="19" t="s">
        <v>4472</v>
      </c>
      <c r="D621" s="19"/>
      <c r="E621" s="9" t="s">
        <v>11</v>
      </c>
      <c r="F621" s="19"/>
    </row>
    <row r="622" ht="15.75" customHeight="1">
      <c r="A622" s="1">
        <v>5.4751381E7</v>
      </c>
      <c r="B622" s="2" t="s">
        <v>339</v>
      </c>
      <c r="C622" s="19" t="s">
        <v>4473</v>
      </c>
      <c r="D622" s="19" t="s">
        <v>4474</v>
      </c>
      <c r="E622" s="2" t="s">
        <v>11</v>
      </c>
      <c r="F622" s="19"/>
    </row>
    <row r="623" ht="15.75" customHeight="1">
      <c r="A623" s="1">
        <v>5.4754818E7</v>
      </c>
      <c r="B623" s="2" t="s">
        <v>1455</v>
      </c>
      <c r="C623" s="19" t="s">
        <v>4475</v>
      </c>
      <c r="D623" s="19"/>
      <c r="E623" s="2" t="s">
        <v>11</v>
      </c>
      <c r="F623" s="19"/>
    </row>
    <row r="624" ht="15.75" customHeight="1">
      <c r="A624" s="1">
        <v>5.4757002E7</v>
      </c>
      <c r="B624" s="2" t="s">
        <v>2894</v>
      </c>
      <c r="C624" s="19" t="s">
        <v>4476</v>
      </c>
      <c r="D624" s="19" t="s">
        <v>4477</v>
      </c>
      <c r="E624" s="2" t="s">
        <v>11</v>
      </c>
      <c r="F624" s="19"/>
    </row>
    <row r="625" ht="15.75" customHeight="1">
      <c r="A625" s="1">
        <v>5.4760591E7</v>
      </c>
      <c r="B625" s="2" t="s">
        <v>1798</v>
      </c>
      <c r="C625" s="19" t="s">
        <v>4478</v>
      </c>
      <c r="D625" s="19"/>
      <c r="E625" s="2" t="s">
        <v>11</v>
      </c>
      <c r="F625" s="19"/>
    </row>
    <row r="626" ht="15.75" customHeight="1">
      <c r="A626" s="1">
        <v>5.4773028E7</v>
      </c>
      <c r="B626" s="2" t="s">
        <v>3138</v>
      </c>
      <c r="C626" s="19" t="s">
        <v>4479</v>
      </c>
      <c r="D626" s="19"/>
      <c r="E626" s="2" t="s">
        <v>11</v>
      </c>
      <c r="F626" s="19"/>
    </row>
    <row r="627" ht="15.75" customHeight="1">
      <c r="A627" s="1">
        <v>5.4790585E7</v>
      </c>
      <c r="B627" s="2" t="s">
        <v>2465</v>
      </c>
      <c r="C627" s="19" t="s">
        <v>4480</v>
      </c>
      <c r="D627" s="19"/>
      <c r="E627" s="2" t="s">
        <v>11</v>
      </c>
      <c r="F627" s="19"/>
    </row>
    <row r="628" ht="15.75" customHeight="1">
      <c r="A628" s="1">
        <v>5.4800171E7</v>
      </c>
      <c r="B628" s="2" t="s">
        <v>2840</v>
      </c>
      <c r="C628" s="19" t="s">
        <v>4481</v>
      </c>
      <c r="D628" s="19" t="s">
        <v>4482</v>
      </c>
      <c r="E628" s="2" t="s">
        <v>11</v>
      </c>
      <c r="F628" s="19"/>
    </row>
    <row r="629" ht="15.75" customHeight="1">
      <c r="A629" s="1">
        <v>5.4822913E7</v>
      </c>
      <c r="B629" s="2" t="s">
        <v>1145</v>
      </c>
      <c r="C629" s="19" t="s">
        <v>4483</v>
      </c>
      <c r="D629" s="19" t="s">
        <v>4484</v>
      </c>
      <c r="E629" s="2" t="s">
        <v>11</v>
      </c>
      <c r="F629" s="19"/>
    </row>
    <row r="630" ht="15.75" customHeight="1">
      <c r="A630" s="1">
        <v>5.4828156E7</v>
      </c>
      <c r="B630" s="2" t="s">
        <v>3187</v>
      </c>
      <c r="C630" s="19" t="s">
        <v>4485</v>
      </c>
      <c r="D630" s="19"/>
      <c r="E630" s="2" t="s">
        <v>11</v>
      </c>
      <c r="F630" s="19"/>
    </row>
    <row r="631" ht="15.75" customHeight="1">
      <c r="A631" s="1">
        <v>5.4829314E7</v>
      </c>
      <c r="B631" s="2" t="s">
        <v>1704</v>
      </c>
      <c r="C631" s="19" t="s">
        <v>4486</v>
      </c>
      <c r="D631" s="19" t="s">
        <v>4487</v>
      </c>
      <c r="E631" s="9" t="s">
        <v>11</v>
      </c>
      <c r="F631" s="19"/>
    </row>
    <row r="632" ht="15.75" customHeight="1">
      <c r="A632" s="1">
        <v>5.4841101E7</v>
      </c>
      <c r="B632" s="2" t="s">
        <v>2980</v>
      </c>
      <c r="C632" s="19" t="s">
        <v>3660</v>
      </c>
      <c r="D632" s="19"/>
      <c r="E632" s="2" t="s">
        <v>20</v>
      </c>
      <c r="F632" s="19"/>
    </row>
    <row r="633" ht="15.75" customHeight="1">
      <c r="A633" s="1">
        <v>5.4848296E7</v>
      </c>
      <c r="B633" s="2" t="s">
        <v>1514</v>
      </c>
      <c r="C633" s="19" t="s">
        <v>4488</v>
      </c>
      <c r="D633" s="19"/>
      <c r="E633" s="2" t="s">
        <v>11</v>
      </c>
      <c r="F633" s="19"/>
    </row>
    <row r="634" ht="15.75" customHeight="1">
      <c r="A634" s="1">
        <v>5.4857737E7</v>
      </c>
      <c r="B634" s="2" t="s">
        <v>2375</v>
      </c>
      <c r="C634" s="19" t="s">
        <v>4489</v>
      </c>
      <c r="D634" s="19"/>
      <c r="E634" s="2" t="s">
        <v>11</v>
      </c>
      <c r="F634" s="19"/>
    </row>
    <row r="635" ht="15.75" customHeight="1">
      <c r="A635" s="1">
        <v>5.4868399E7</v>
      </c>
      <c r="B635" s="2" t="s">
        <v>284</v>
      </c>
      <c r="C635" s="19" t="s">
        <v>4490</v>
      </c>
      <c r="D635" s="19" t="s">
        <v>4491</v>
      </c>
      <c r="E635" s="2" t="s">
        <v>11</v>
      </c>
      <c r="F635" s="19"/>
    </row>
    <row r="636" ht="15.75" customHeight="1">
      <c r="A636" s="1">
        <v>5.4881057E7</v>
      </c>
      <c r="B636" s="2" t="s">
        <v>2453</v>
      </c>
      <c r="C636" s="19" t="s">
        <v>4492</v>
      </c>
      <c r="D636" s="19"/>
      <c r="E636" s="2" t="s">
        <v>11</v>
      </c>
      <c r="F636" s="19"/>
    </row>
    <row r="637" ht="15.75" customHeight="1">
      <c r="A637" s="1">
        <v>5.4884332E7</v>
      </c>
      <c r="B637" s="2" t="s">
        <v>1493</v>
      </c>
      <c r="C637" s="19" t="s">
        <v>4493</v>
      </c>
      <c r="D637" s="19"/>
      <c r="E637" s="2" t="s">
        <v>11</v>
      </c>
      <c r="F637" s="19"/>
    </row>
    <row r="638" ht="15.75" customHeight="1">
      <c r="A638" s="1">
        <v>5.4894563E7</v>
      </c>
      <c r="B638" s="2" t="s">
        <v>2267</v>
      </c>
      <c r="C638" s="19" t="s">
        <v>4494</v>
      </c>
      <c r="D638" s="19"/>
      <c r="E638" s="2" t="s">
        <v>11</v>
      </c>
      <c r="F638" s="19"/>
    </row>
    <row r="639" ht="15.75" customHeight="1">
      <c r="A639" s="1">
        <v>5.4900592E7</v>
      </c>
      <c r="B639" s="2" t="s">
        <v>2777</v>
      </c>
      <c r="C639" s="19" t="s">
        <v>4495</v>
      </c>
      <c r="D639" s="19"/>
      <c r="E639" s="2" t="s">
        <v>11</v>
      </c>
      <c r="F639" s="19"/>
    </row>
    <row r="640" ht="15.75" customHeight="1">
      <c r="A640" s="1">
        <v>5.4901001E7</v>
      </c>
      <c r="B640" s="2" t="s">
        <v>2689</v>
      </c>
      <c r="C640" s="19" t="s">
        <v>4849</v>
      </c>
      <c r="D640" s="19"/>
      <c r="E640" s="2" t="s">
        <v>537</v>
      </c>
      <c r="F640" s="19"/>
    </row>
    <row r="641" ht="15.75" customHeight="1">
      <c r="A641" s="1">
        <v>5.4902191E7</v>
      </c>
      <c r="B641" s="2" t="s">
        <v>1080</v>
      </c>
      <c r="C641" s="19" t="s">
        <v>4496</v>
      </c>
      <c r="D641" s="19"/>
      <c r="E641" s="2" t="s">
        <v>11</v>
      </c>
      <c r="F641" s="19"/>
    </row>
    <row r="642" ht="15.75" customHeight="1">
      <c r="A642" s="1">
        <v>5.4902614E7</v>
      </c>
      <c r="B642" s="2" t="s">
        <v>2686</v>
      </c>
      <c r="C642" s="19" t="s">
        <v>4497</v>
      </c>
      <c r="D642" s="19" t="s">
        <v>4498</v>
      </c>
      <c r="E642" s="2" t="s">
        <v>11</v>
      </c>
      <c r="F642" s="19"/>
    </row>
    <row r="643" ht="15.75" customHeight="1">
      <c r="A643" s="1">
        <v>5.4906258E7</v>
      </c>
      <c r="B643" s="2" t="s">
        <v>275</v>
      </c>
      <c r="C643" s="19" t="s">
        <v>4499</v>
      </c>
      <c r="D643" s="19" t="s">
        <v>4500</v>
      </c>
      <c r="E643" s="2" t="s">
        <v>11</v>
      </c>
      <c r="F643" s="19"/>
    </row>
    <row r="644" ht="15.75" customHeight="1">
      <c r="A644" s="1">
        <v>5.4906295E7</v>
      </c>
      <c r="B644" s="2" t="s">
        <v>209</v>
      </c>
      <c r="C644" s="19" t="s">
        <v>4793</v>
      </c>
      <c r="D644" s="19" t="s">
        <v>4794</v>
      </c>
      <c r="E644" s="2" t="s">
        <v>86</v>
      </c>
      <c r="F644" s="19"/>
    </row>
    <row r="645" ht="15.75" customHeight="1">
      <c r="A645" s="1">
        <v>5.4910488E7</v>
      </c>
      <c r="B645" s="2" t="s">
        <v>1903</v>
      </c>
      <c r="C645" s="19" t="s">
        <v>4501</v>
      </c>
      <c r="D645" s="19"/>
      <c r="E645" s="2" t="s">
        <v>11</v>
      </c>
      <c r="F645" s="19"/>
    </row>
    <row r="646" ht="15.75" customHeight="1">
      <c r="A646" s="1">
        <v>5.4920348E7</v>
      </c>
      <c r="B646" s="2" t="s">
        <v>1710</v>
      </c>
      <c r="C646" s="19" t="s">
        <v>4502</v>
      </c>
      <c r="D646" s="19" t="s">
        <v>4503</v>
      </c>
      <c r="E646" s="2" t="s">
        <v>11</v>
      </c>
      <c r="F646" s="19"/>
    </row>
    <row r="647" ht="15.75" customHeight="1">
      <c r="A647" s="1">
        <v>5.4925179E7</v>
      </c>
      <c r="B647" s="2" t="s">
        <v>62</v>
      </c>
      <c r="C647" s="19" t="s">
        <v>4504</v>
      </c>
      <c r="D647" s="19"/>
      <c r="E647" s="2" t="s">
        <v>11</v>
      </c>
      <c r="F647" s="19"/>
    </row>
    <row r="648" ht="15.75" customHeight="1">
      <c r="A648" s="1">
        <v>5.4935102E7</v>
      </c>
      <c r="B648" s="2" t="s">
        <v>1609</v>
      </c>
      <c r="C648" s="19" t="s">
        <v>4505</v>
      </c>
      <c r="D648" s="19" t="s">
        <v>4506</v>
      </c>
      <c r="E648" s="2" t="s">
        <v>11</v>
      </c>
      <c r="F648" s="19"/>
    </row>
    <row r="649" ht="15.75" customHeight="1">
      <c r="A649" s="1">
        <v>5.4936924E7</v>
      </c>
      <c r="B649" s="2" t="s">
        <v>2567</v>
      </c>
      <c r="C649" s="19" t="s">
        <v>4507</v>
      </c>
      <c r="D649" s="19"/>
      <c r="E649" s="2" t="s">
        <v>11</v>
      </c>
      <c r="F649" s="19"/>
    </row>
    <row r="650" ht="15.75" customHeight="1">
      <c r="A650" s="1">
        <v>5.4937175E7</v>
      </c>
      <c r="B650" s="2" t="s">
        <v>1012</v>
      </c>
      <c r="C650" s="19" t="s">
        <v>4508</v>
      </c>
      <c r="D650" s="19" t="s">
        <v>4509</v>
      </c>
      <c r="E650" s="9" t="s">
        <v>11</v>
      </c>
      <c r="F650" s="19"/>
    </row>
    <row r="651" ht="15.75" customHeight="1">
      <c r="A651" s="1">
        <v>5.4945975E7</v>
      </c>
      <c r="B651" s="2" t="s">
        <v>1977</v>
      </c>
      <c r="C651" s="19" t="s">
        <v>4510</v>
      </c>
      <c r="D651" s="19"/>
      <c r="E651" s="9" t="s">
        <v>11</v>
      </c>
      <c r="F651" s="19"/>
    </row>
    <row r="652" ht="15.75" customHeight="1">
      <c r="A652" s="1">
        <v>5.4951696E7</v>
      </c>
      <c r="B652" s="2" t="s">
        <v>2818</v>
      </c>
      <c r="C652" s="19" t="s">
        <v>4511</v>
      </c>
      <c r="D652" s="19" t="s">
        <v>4512</v>
      </c>
      <c r="E652" s="2" t="s">
        <v>11</v>
      </c>
      <c r="F652" s="19"/>
    </row>
    <row r="653" ht="15.75" customHeight="1">
      <c r="A653" s="1">
        <v>5.496011E7</v>
      </c>
      <c r="B653" s="2" t="s">
        <v>2913</v>
      </c>
      <c r="C653" s="19" t="s">
        <v>4513</v>
      </c>
      <c r="D653" s="19"/>
      <c r="E653" s="2" t="s">
        <v>11</v>
      </c>
      <c r="F653" s="19"/>
    </row>
    <row r="654" ht="15.75" customHeight="1">
      <c r="A654" s="1">
        <v>5.4967399E7</v>
      </c>
      <c r="B654" s="2" t="s">
        <v>1174</v>
      </c>
      <c r="C654" s="19" t="s">
        <v>4514</v>
      </c>
      <c r="D654" s="19"/>
      <c r="E654" s="2" t="s">
        <v>11</v>
      </c>
      <c r="F654" s="19"/>
    </row>
    <row r="655" ht="15.75" customHeight="1">
      <c r="A655" s="1">
        <v>5.4980076E7</v>
      </c>
      <c r="B655" s="2" t="s">
        <v>2982</v>
      </c>
      <c r="C655" s="19" t="s">
        <v>4515</v>
      </c>
      <c r="D655" s="19"/>
      <c r="E655" s="2" t="s">
        <v>11</v>
      </c>
      <c r="F655" s="19"/>
    </row>
    <row r="656" ht="15.75" customHeight="1">
      <c r="A656" s="1">
        <v>5.4987992E7</v>
      </c>
      <c r="B656" s="2" t="s">
        <v>1559</v>
      </c>
      <c r="C656" s="19" t="s">
        <v>4516</v>
      </c>
      <c r="D656" s="19" t="s">
        <v>4517</v>
      </c>
      <c r="E656" s="2" t="s">
        <v>11</v>
      </c>
      <c r="F656" s="19"/>
    </row>
    <row r="657" ht="15.75" customHeight="1">
      <c r="A657" s="1">
        <v>5.4991854E7</v>
      </c>
      <c r="B657" s="2" t="s">
        <v>958</v>
      </c>
      <c r="C657" s="19" t="s">
        <v>4518</v>
      </c>
      <c r="D657" s="19"/>
      <c r="E657" s="2" t="s">
        <v>11</v>
      </c>
      <c r="F657" s="19"/>
    </row>
    <row r="658" ht="15.75" customHeight="1">
      <c r="A658" s="1">
        <v>5.4995158E7</v>
      </c>
      <c r="B658" s="2" t="s">
        <v>1528</v>
      </c>
      <c r="C658" s="19" t="s">
        <v>4519</v>
      </c>
      <c r="D658" s="19"/>
      <c r="E658" s="2" t="s">
        <v>11</v>
      </c>
      <c r="F658" s="19"/>
    </row>
    <row r="659" ht="15.75" customHeight="1">
      <c r="A659" s="1">
        <v>5.5000264E7</v>
      </c>
      <c r="B659" s="2" t="s">
        <v>489</v>
      </c>
      <c r="C659" s="19" t="s">
        <v>4520</v>
      </c>
      <c r="D659" s="19"/>
      <c r="E659" s="2" t="s">
        <v>11</v>
      </c>
      <c r="F659" s="19"/>
    </row>
    <row r="660" ht="15.75" customHeight="1">
      <c r="A660" s="1">
        <v>5.5005441E7</v>
      </c>
      <c r="B660" s="2" t="s">
        <v>2228</v>
      </c>
      <c r="C660" s="19" t="s">
        <v>3708</v>
      </c>
      <c r="D660" s="19" t="s">
        <v>3709</v>
      </c>
      <c r="E660" s="2" t="s">
        <v>59</v>
      </c>
      <c r="F660" s="19"/>
    </row>
    <row r="661" ht="15.75" customHeight="1">
      <c r="A661" s="1">
        <v>5.5006077E7</v>
      </c>
      <c r="B661" s="2" t="s">
        <v>2177</v>
      </c>
      <c r="C661" s="19" t="s">
        <v>4521</v>
      </c>
      <c r="D661" s="19"/>
      <c r="E661" s="9" t="s">
        <v>11</v>
      </c>
      <c r="F661" s="19"/>
    </row>
    <row r="662" ht="15.75" customHeight="1">
      <c r="A662" s="1">
        <v>5.5009565E7</v>
      </c>
      <c r="B662" s="2" t="s">
        <v>198</v>
      </c>
      <c r="C662" s="19" t="s">
        <v>4522</v>
      </c>
      <c r="D662" s="19"/>
      <c r="E662" s="2" t="s">
        <v>11</v>
      </c>
      <c r="F662" s="19"/>
    </row>
    <row r="663" ht="15.75" customHeight="1">
      <c r="A663" s="1">
        <v>5.5010103E7</v>
      </c>
      <c r="B663" s="2" t="s">
        <v>2615</v>
      </c>
      <c r="C663" s="19" t="s">
        <v>4523</v>
      </c>
      <c r="D663" s="19"/>
      <c r="E663" s="9" t="s">
        <v>11</v>
      </c>
      <c r="F663" s="19"/>
    </row>
    <row r="664" ht="15.75" customHeight="1">
      <c r="A664" s="1">
        <v>5.5010153E7</v>
      </c>
      <c r="B664" s="2" t="s">
        <v>2687</v>
      </c>
      <c r="C664" s="19" t="s">
        <v>4524</v>
      </c>
      <c r="D664" s="19"/>
      <c r="E664" s="2" t="s">
        <v>11</v>
      </c>
      <c r="F664" s="19"/>
    </row>
    <row r="665" ht="15.75" customHeight="1">
      <c r="A665" s="1">
        <v>5.5024778E7</v>
      </c>
      <c r="B665" s="2" t="s">
        <v>1940</v>
      </c>
      <c r="C665" s="19" t="s">
        <v>4525</v>
      </c>
      <c r="D665" s="19"/>
      <c r="E665" s="2" t="s">
        <v>11</v>
      </c>
      <c r="F665" s="19"/>
    </row>
    <row r="666" ht="15.75" customHeight="1">
      <c r="A666" s="1">
        <v>5.5026722E7</v>
      </c>
      <c r="B666" s="2" t="s">
        <v>1780</v>
      </c>
      <c r="C666" s="19" t="s">
        <v>4526</v>
      </c>
      <c r="D666" s="19" t="s">
        <v>4527</v>
      </c>
      <c r="E666" s="2" t="s">
        <v>11</v>
      </c>
      <c r="F666" s="19"/>
    </row>
    <row r="667" ht="15.75" customHeight="1">
      <c r="A667" s="1">
        <v>5.5043215E7</v>
      </c>
      <c r="B667" s="2" t="s">
        <v>1870</v>
      </c>
      <c r="C667" s="19" t="s">
        <v>4850</v>
      </c>
      <c r="D667" s="19" t="s">
        <v>4851</v>
      </c>
      <c r="E667" s="2" t="s">
        <v>537</v>
      </c>
      <c r="F667" s="19"/>
    </row>
    <row r="668" ht="15.75" customHeight="1">
      <c r="A668" s="1">
        <v>5.5048122E7</v>
      </c>
      <c r="B668" s="2" t="s">
        <v>1836</v>
      </c>
      <c r="C668" s="19" t="s">
        <v>4528</v>
      </c>
      <c r="D668" s="19"/>
      <c r="E668" s="2" t="s">
        <v>11</v>
      </c>
      <c r="F668" s="19"/>
    </row>
    <row r="669" ht="15.75" customHeight="1">
      <c r="A669" s="1">
        <v>5.5050411E7</v>
      </c>
      <c r="B669" s="2" t="s">
        <v>2841</v>
      </c>
      <c r="C669" s="19" t="s">
        <v>4529</v>
      </c>
      <c r="D669" s="19"/>
      <c r="E669" s="9" t="s">
        <v>11</v>
      </c>
      <c r="F669" s="19"/>
    </row>
    <row r="670" ht="15.75" customHeight="1">
      <c r="A670" s="1">
        <v>5.5064804E7</v>
      </c>
      <c r="B670" s="2" t="s">
        <v>1978</v>
      </c>
      <c r="C670" s="19" t="s">
        <v>4530</v>
      </c>
      <c r="D670" s="19"/>
      <c r="E670" s="2" t="s">
        <v>11</v>
      </c>
      <c r="F670" s="19"/>
    </row>
    <row r="671" ht="15.75" customHeight="1">
      <c r="A671" s="1">
        <v>5.5068186E7</v>
      </c>
      <c r="B671" s="2" t="s">
        <v>3121</v>
      </c>
      <c r="C671" s="19" t="s">
        <v>4828</v>
      </c>
      <c r="D671" s="19"/>
      <c r="E671" s="2" t="s">
        <v>72</v>
      </c>
      <c r="F671" s="19"/>
    </row>
    <row r="672" ht="15.75" customHeight="1">
      <c r="A672" s="1">
        <v>5.5072078E7</v>
      </c>
      <c r="B672" s="2" t="s">
        <v>1734</v>
      </c>
      <c r="C672" s="19" t="s">
        <v>4852</v>
      </c>
      <c r="D672" s="19"/>
      <c r="E672" s="2" t="s">
        <v>537</v>
      </c>
      <c r="F672" s="19"/>
    </row>
    <row r="673" ht="15.75" customHeight="1">
      <c r="A673" s="1">
        <v>5.5075917E7</v>
      </c>
      <c r="B673" s="2" t="s">
        <v>3354</v>
      </c>
      <c r="C673" s="19" t="s">
        <v>4531</v>
      </c>
      <c r="D673" s="19"/>
      <c r="E673" s="9" t="s">
        <v>11</v>
      </c>
      <c r="F673" s="19"/>
    </row>
    <row r="674" ht="15.75" customHeight="1">
      <c r="A674" s="1">
        <v>5.5090674E7</v>
      </c>
      <c r="B674" s="2" t="s">
        <v>3114</v>
      </c>
      <c r="C674" s="19" t="s">
        <v>4532</v>
      </c>
      <c r="D674" s="19"/>
      <c r="E674" s="9" t="s">
        <v>11</v>
      </c>
      <c r="F674" s="19"/>
    </row>
    <row r="675" ht="15.75" customHeight="1">
      <c r="A675" s="1">
        <v>5.5101284E7</v>
      </c>
      <c r="B675" s="2" t="s">
        <v>1395</v>
      </c>
      <c r="C675" s="19" t="s">
        <v>4533</v>
      </c>
      <c r="D675" s="19" t="s">
        <v>4534</v>
      </c>
      <c r="E675" s="2" t="s">
        <v>11</v>
      </c>
      <c r="F675" s="19"/>
    </row>
    <row r="676" ht="15.75" customHeight="1">
      <c r="A676" s="1">
        <v>5.510444E7</v>
      </c>
      <c r="B676" s="2" t="s">
        <v>2377</v>
      </c>
      <c r="C676" s="19" t="s">
        <v>4535</v>
      </c>
      <c r="D676" s="19"/>
      <c r="E676" s="9" t="s">
        <v>11</v>
      </c>
      <c r="F676" s="19"/>
    </row>
    <row r="677" ht="15.75" customHeight="1">
      <c r="A677" s="1">
        <v>5.5116523E7</v>
      </c>
      <c r="B677" s="2" t="s">
        <v>2946</v>
      </c>
      <c r="C677" s="19" t="s">
        <v>4853</v>
      </c>
      <c r="D677" s="19"/>
      <c r="E677" s="2" t="s">
        <v>537</v>
      </c>
      <c r="F677" s="19"/>
    </row>
    <row r="678" ht="15.75" customHeight="1">
      <c r="A678" s="1">
        <v>5.5118699E7</v>
      </c>
      <c r="B678" s="2" t="s">
        <v>1097</v>
      </c>
      <c r="C678" s="19" t="s">
        <v>4536</v>
      </c>
      <c r="D678" s="19" t="s">
        <v>4537</v>
      </c>
      <c r="E678" s="9" t="s">
        <v>11</v>
      </c>
      <c r="F678" s="19"/>
    </row>
    <row r="679" ht="15.75" customHeight="1">
      <c r="A679" s="1">
        <v>5.5122901E7</v>
      </c>
      <c r="B679" s="2" t="s">
        <v>1099</v>
      </c>
      <c r="C679" s="19" t="s">
        <v>4538</v>
      </c>
      <c r="D679" s="19" t="s">
        <v>4539</v>
      </c>
      <c r="E679" s="2" t="s">
        <v>11</v>
      </c>
      <c r="F679" s="19"/>
    </row>
    <row r="680" ht="15.75" customHeight="1">
      <c r="A680" s="1">
        <v>5.512617E7</v>
      </c>
      <c r="B680" s="2" t="s">
        <v>1954</v>
      </c>
      <c r="C680" s="19" t="s">
        <v>4540</v>
      </c>
      <c r="D680" s="19" t="s">
        <v>4541</v>
      </c>
      <c r="E680" s="9" t="s">
        <v>11</v>
      </c>
      <c r="F680" s="19"/>
    </row>
    <row r="681" ht="15.75" customHeight="1">
      <c r="A681" s="1">
        <v>5.5136468E7</v>
      </c>
      <c r="B681" s="2" t="s">
        <v>1565</v>
      </c>
      <c r="C681" s="19" t="s">
        <v>4542</v>
      </c>
      <c r="D681" s="19"/>
      <c r="E681" s="9" t="s">
        <v>11</v>
      </c>
      <c r="F681" s="19"/>
    </row>
    <row r="682" ht="15.75" customHeight="1">
      <c r="A682" s="1">
        <v>5.5137884E7</v>
      </c>
      <c r="B682" s="2" t="s">
        <v>2378</v>
      </c>
      <c r="C682" s="19" t="s">
        <v>4543</v>
      </c>
      <c r="D682" s="19"/>
      <c r="E682" s="2" t="s">
        <v>11</v>
      </c>
      <c r="F682" s="19"/>
    </row>
    <row r="683" ht="15.75" customHeight="1">
      <c r="A683" s="1">
        <v>5.5143718E7</v>
      </c>
      <c r="B683" s="2" t="s">
        <v>2430</v>
      </c>
      <c r="C683" s="19" t="s">
        <v>4544</v>
      </c>
      <c r="D683" s="19"/>
      <c r="E683" s="2" t="s">
        <v>11</v>
      </c>
      <c r="F683" s="19"/>
    </row>
    <row r="684" ht="15.75" customHeight="1">
      <c r="A684" s="1">
        <v>5.5161617E7</v>
      </c>
      <c r="B684" s="2" t="s">
        <v>2403</v>
      </c>
      <c r="C684" s="19" t="s">
        <v>4545</v>
      </c>
      <c r="D684" s="19"/>
      <c r="E684" s="2" t="s">
        <v>11</v>
      </c>
      <c r="F684" s="19"/>
    </row>
    <row r="685" ht="15.75" customHeight="1">
      <c r="A685" s="1">
        <v>5.5164994E7</v>
      </c>
      <c r="B685" s="2" t="s">
        <v>2360</v>
      </c>
      <c r="C685" s="19" t="s">
        <v>4546</v>
      </c>
      <c r="D685" s="19"/>
      <c r="E685" s="2" t="s">
        <v>11</v>
      </c>
      <c r="F685" s="19"/>
    </row>
    <row r="686" ht="15.75" customHeight="1">
      <c r="A686" s="1">
        <v>5.5168898E7</v>
      </c>
      <c r="B686" s="2" t="s">
        <v>234</v>
      </c>
      <c r="C686" s="19" t="s">
        <v>4547</v>
      </c>
      <c r="D686" s="19" t="s">
        <v>4548</v>
      </c>
      <c r="E686" s="2" t="s">
        <v>11</v>
      </c>
      <c r="F686" s="19"/>
    </row>
    <row r="687" ht="15.75" customHeight="1">
      <c r="A687" s="1">
        <v>5.5176954E7</v>
      </c>
      <c r="B687" s="2" t="s">
        <v>2319</v>
      </c>
      <c r="C687" s="19" t="s">
        <v>4549</v>
      </c>
      <c r="D687" s="19"/>
      <c r="E687" s="2" t="s">
        <v>11</v>
      </c>
      <c r="F687" s="19"/>
    </row>
    <row r="688" ht="15.75" customHeight="1">
      <c r="A688" s="1">
        <v>5.5178584E7</v>
      </c>
      <c r="B688" s="2" t="s">
        <v>2683</v>
      </c>
      <c r="C688" s="19" t="s">
        <v>4550</v>
      </c>
      <c r="D688" s="19"/>
      <c r="E688" s="2" t="s">
        <v>11</v>
      </c>
      <c r="F688" s="19"/>
    </row>
    <row r="689" ht="15.75" customHeight="1">
      <c r="A689" s="1">
        <v>5.5179755E7</v>
      </c>
      <c r="B689" s="2" t="s">
        <v>2379</v>
      </c>
      <c r="C689" s="19" t="s">
        <v>4551</v>
      </c>
      <c r="D689" s="19"/>
      <c r="E689" s="9" t="s">
        <v>11</v>
      </c>
      <c r="F689" s="19"/>
    </row>
    <row r="690" ht="15.75" customHeight="1">
      <c r="A690" s="1">
        <v>5.5193693E7</v>
      </c>
      <c r="B690" s="2" t="s">
        <v>2673</v>
      </c>
      <c r="C690" s="19" t="s">
        <v>4552</v>
      </c>
      <c r="D690" s="19"/>
      <c r="E690" s="2" t="s">
        <v>11</v>
      </c>
      <c r="F690" s="19"/>
    </row>
    <row r="691" ht="15.75" customHeight="1">
      <c r="A691" s="1">
        <v>5.5196502E7</v>
      </c>
      <c r="B691" s="2" t="s">
        <v>2778</v>
      </c>
      <c r="C691" s="19" t="s">
        <v>4553</v>
      </c>
      <c r="D691" s="19"/>
      <c r="E691" s="9" t="s">
        <v>11</v>
      </c>
      <c r="F691" s="19"/>
    </row>
    <row r="692" ht="15.75" customHeight="1">
      <c r="A692" s="1">
        <v>5.5207558E7</v>
      </c>
      <c r="B692" s="2" t="s">
        <v>2186</v>
      </c>
      <c r="C692" s="19" t="s">
        <v>3710</v>
      </c>
      <c r="D692" s="19"/>
      <c r="E692" s="2" t="s">
        <v>59</v>
      </c>
      <c r="F692" s="19"/>
    </row>
    <row r="693" ht="15.75" customHeight="1">
      <c r="A693" s="1">
        <v>5.5212167E7</v>
      </c>
      <c r="B693" s="2" t="s">
        <v>1802</v>
      </c>
      <c r="C693" s="19" t="s">
        <v>4554</v>
      </c>
      <c r="D693" s="19" t="s">
        <v>4555</v>
      </c>
      <c r="E693" s="2" t="s">
        <v>11</v>
      </c>
      <c r="F693" s="19"/>
    </row>
    <row r="694" ht="15.75" customHeight="1">
      <c r="A694" s="1">
        <v>5.5217961E7</v>
      </c>
      <c r="B694" s="2" t="s">
        <v>1345</v>
      </c>
      <c r="C694" s="19" t="s">
        <v>4556</v>
      </c>
      <c r="D694" s="19"/>
      <c r="E694" s="2" t="s">
        <v>11</v>
      </c>
      <c r="F694" s="19"/>
    </row>
    <row r="695" ht="15.75" customHeight="1">
      <c r="A695" s="1">
        <v>5.5219295E7</v>
      </c>
      <c r="B695" s="2" t="s">
        <v>3115</v>
      </c>
      <c r="C695" s="19" t="s">
        <v>4557</v>
      </c>
      <c r="D695" s="19"/>
      <c r="E695" s="2" t="s">
        <v>11</v>
      </c>
      <c r="F695" s="19"/>
    </row>
    <row r="696" ht="15.75" customHeight="1">
      <c r="A696" s="1">
        <v>5.5220499E7</v>
      </c>
      <c r="B696" s="2" t="s">
        <v>1119</v>
      </c>
      <c r="C696" s="19" t="s">
        <v>3711</v>
      </c>
      <c r="D696" s="19"/>
      <c r="E696" s="2" t="s">
        <v>59</v>
      </c>
      <c r="F696" s="19"/>
    </row>
    <row r="697" ht="15.75" customHeight="1">
      <c r="A697" s="1">
        <v>5.5220739E7</v>
      </c>
      <c r="B697" s="2" t="s">
        <v>2657</v>
      </c>
      <c r="C697" s="19" t="s">
        <v>4558</v>
      </c>
      <c r="D697" s="19"/>
      <c r="E697" s="9" t="s">
        <v>11</v>
      </c>
      <c r="F697" s="19"/>
    </row>
    <row r="698" ht="15.75" customHeight="1">
      <c r="A698" s="1">
        <v>5.5238384E7</v>
      </c>
      <c r="B698" s="2" t="s">
        <v>2099</v>
      </c>
      <c r="C698" s="19" t="s">
        <v>3712</v>
      </c>
      <c r="D698" s="19" t="s">
        <v>3713</v>
      </c>
      <c r="E698" s="2" t="s">
        <v>59</v>
      </c>
      <c r="F698" s="19"/>
    </row>
    <row r="699" ht="15.75" customHeight="1">
      <c r="A699" s="1">
        <v>5.5240089E7</v>
      </c>
      <c r="B699" s="2" t="s">
        <v>2490</v>
      </c>
      <c r="C699" s="19" t="s">
        <v>4559</v>
      </c>
      <c r="D699" s="19"/>
      <c r="E699" s="2" t="s">
        <v>11</v>
      </c>
      <c r="F699" s="19"/>
    </row>
    <row r="700" ht="15.75" customHeight="1">
      <c r="A700" s="1">
        <v>5.5240373E7</v>
      </c>
      <c r="B700" s="2" t="s">
        <v>2842</v>
      </c>
      <c r="C700" s="19" t="s">
        <v>4560</v>
      </c>
      <c r="D700" s="19"/>
      <c r="E700" s="9" t="s">
        <v>11</v>
      </c>
      <c r="F700" s="19"/>
    </row>
    <row r="701" ht="15.75" customHeight="1">
      <c r="A701" s="1">
        <v>5.5242183E7</v>
      </c>
      <c r="B701" s="2" t="s">
        <v>807</v>
      </c>
      <c r="C701" s="19" t="s">
        <v>4561</v>
      </c>
      <c r="D701" s="19"/>
      <c r="E701" s="2" t="s">
        <v>11</v>
      </c>
      <c r="F701" s="19"/>
    </row>
    <row r="702" ht="15.75" customHeight="1">
      <c r="A702" s="1">
        <v>5.5269741E7</v>
      </c>
      <c r="B702" s="2" t="s">
        <v>1081</v>
      </c>
      <c r="C702" s="19" t="s">
        <v>4562</v>
      </c>
      <c r="D702" s="19"/>
      <c r="E702" s="2" t="s">
        <v>11</v>
      </c>
      <c r="F702" s="19"/>
    </row>
    <row r="703" ht="15.75" customHeight="1">
      <c r="A703" s="1">
        <v>5.5275485E7</v>
      </c>
      <c r="B703" s="2" t="s">
        <v>3243</v>
      </c>
      <c r="C703" s="19" t="s">
        <v>4563</v>
      </c>
      <c r="D703" s="19"/>
      <c r="E703" s="9" t="s">
        <v>11</v>
      </c>
      <c r="F703" s="19"/>
    </row>
    <row r="704" ht="15.75" customHeight="1">
      <c r="A704" s="1">
        <v>5.5283256E7</v>
      </c>
      <c r="B704" s="2" t="s">
        <v>805</v>
      </c>
      <c r="C704" s="19" t="s">
        <v>4564</v>
      </c>
      <c r="D704" s="19"/>
      <c r="E704" s="9" t="s">
        <v>11</v>
      </c>
      <c r="F704" s="19"/>
    </row>
    <row r="705" ht="15.75" customHeight="1">
      <c r="A705" s="1">
        <v>5.5283966E7</v>
      </c>
      <c r="B705" s="2" t="s">
        <v>2012</v>
      </c>
      <c r="C705" s="19" t="s">
        <v>4565</v>
      </c>
      <c r="D705" s="19"/>
      <c r="E705" s="9" t="s">
        <v>11</v>
      </c>
      <c r="F705" s="19"/>
    </row>
    <row r="706" ht="15.75" customHeight="1">
      <c r="A706" s="1">
        <v>5.528604E7</v>
      </c>
      <c r="B706" s="2" t="s">
        <v>2045</v>
      </c>
      <c r="C706" s="19" t="s">
        <v>4566</v>
      </c>
      <c r="D706" s="19" t="s">
        <v>4567</v>
      </c>
      <c r="E706" s="9" t="s">
        <v>11</v>
      </c>
      <c r="F706" s="19"/>
    </row>
    <row r="707" ht="15.75" customHeight="1">
      <c r="A707" s="1">
        <v>5.5297256E7</v>
      </c>
      <c r="B707" s="2" t="s">
        <v>2025</v>
      </c>
      <c r="C707" s="19" t="s">
        <v>4568</v>
      </c>
      <c r="D707" s="19" t="s">
        <v>4569</v>
      </c>
      <c r="E707" s="2" t="s">
        <v>11</v>
      </c>
      <c r="F707" s="19"/>
    </row>
    <row r="708" ht="15.75" customHeight="1">
      <c r="A708" s="1">
        <v>5.5299725E7</v>
      </c>
      <c r="B708" s="2" t="s">
        <v>924</v>
      </c>
      <c r="C708" s="19" t="s">
        <v>4570</v>
      </c>
      <c r="D708" s="19" t="s">
        <v>4571</v>
      </c>
      <c r="E708" s="2" t="s">
        <v>11</v>
      </c>
      <c r="F708" s="19"/>
    </row>
    <row r="709" ht="15.75" customHeight="1">
      <c r="A709" s="1">
        <v>5.5300016E7</v>
      </c>
      <c r="B709" s="2" t="s">
        <v>3060</v>
      </c>
      <c r="C709" s="19" t="s">
        <v>4572</v>
      </c>
      <c r="D709" s="19"/>
      <c r="E709" s="2" t="s">
        <v>11</v>
      </c>
      <c r="F709" s="19"/>
    </row>
    <row r="710" ht="15.75" customHeight="1">
      <c r="A710" s="1">
        <v>5.5304547E7</v>
      </c>
      <c r="B710" s="2" t="s">
        <v>1454</v>
      </c>
      <c r="C710" s="19" t="s">
        <v>3714</v>
      </c>
      <c r="D710" s="19" t="s">
        <v>3715</v>
      </c>
      <c r="E710" s="2" t="s">
        <v>59</v>
      </c>
      <c r="F710" s="19"/>
    </row>
    <row r="711" ht="15.75" customHeight="1">
      <c r="A711" s="1">
        <v>5.5308559E7</v>
      </c>
      <c r="B711" s="2" t="s">
        <v>2799</v>
      </c>
      <c r="C711" s="19" t="s">
        <v>4573</v>
      </c>
      <c r="D711" s="19"/>
      <c r="E711" s="2" t="s">
        <v>11</v>
      </c>
      <c r="F711" s="19"/>
    </row>
    <row r="712" ht="15.75" customHeight="1">
      <c r="A712" s="1">
        <v>5.5312355E7</v>
      </c>
      <c r="B712" s="2" t="s">
        <v>1866</v>
      </c>
      <c r="C712" s="19" t="s">
        <v>4574</v>
      </c>
      <c r="D712" s="19" t="s">
        <v>4575</v>
      </c>
      <c r="E712" s="9" t="s">
        <v>11</v>
      </c>
      <c r="F712" s="19"/>
    </row>
    <row r="713" ht="15.75" customHeight="1">
      <c r="A713" s="1">
        <v>5.5350422E7</v>
      </c>
      <c r="B713" s="2" t="s">
        <v>814</v>
      </c>
      <c r="C713" s="19" t="s">
        <v>4576</v>
      </c>
      <c r="D713" s="19"/>
      <c r="E713" s="2" t="s">
        <v>11</v>
      </c>
      <c r="F713" s="19"/>
    </row>
    <row r="714" ht="15.75" customHeight="1">
      <c r="A714" s="1">
        <v>5.5366951E7</v>
      </c>
      <c r="B714" s="2" t="s">
        <v>115</v>
      </c>
      <c r="C714" s="19" t="s">
        <v>4577</v>
      </c>
      <c r="D714" s="19"/>
      <c r="E714" s="2" t="s">
        <v>11</v>
      </c>
      <c r="F714" s="19"/>
    </row>
    <row r="715" ht="15.75" customHeight="1">
      <c r="A715" s="1">
        <v>5.5367038E7</v>
      </c>
      <c r="B715" s="2" t="s">
        <v>3165</v>
      </c>
      <c r="C715" s="19" t="s">
        <v>3716</v>
      </c>
      <c r="D715" s="19"/>
      <c r="E715" s="2" t="s">
        <v>59</v>
      </c>
      <c r="F715" s="19"/>
    </row>
    <row r="716" ht="15.75" customHeight="1">
      <c r="A716" s="1">
        <v>5.5384701E7</v>
      </c>
      <c r="B716" s="2" t="s">
        <v>689</v>
      </c>
      <c r="C716" s="19" t="s">
        <v>4578</v>
      </c>
      <c r="D716" s="19" t="s">
        <v>4579</v>
      </c>
      <c r="E716" s="2" t="s">
        <v>11</v>
      </c>
      <c r="F716" s="19"/>
    </row>
    <row r="717" ht="15.75" customHeight="1">
      <c r="A717" s="1">
        <v>5.5393388E7</v>
      </c>
      <c r="B717" s="2" t="s">
        <v>3268</v>
      </c>
      <c r="C717" s="19" t="s">
        <v>4854</v>
      </c>
      <c r="D717" s="19"/>
      <c r="E717" s="2" t="s">
        <v>537</v>
      </c>
      <c r="F717" s="19"/>
    </row>
    <row r="718" ht="15.75" customHeight="1">
      <c r="A718" s="1">
        <v>5.540512E7</v>
      </c>
      <c r="B718" s="2" t="s">
        <v>2244</v>
      </c>
      <c r="C718" s="19" t="s">
        <v>4580</v>
      </c>
      <c r="D718" s="19"/>
      <c r="E718" s="2" t="s">
        <v>11</v>
      </c>
      <c r="F718" s="19"/>
    </row>
    <row r="719" ht="15.75" customHeight="1">
      <c r="A719" s="1">
        <v>5.5408264E7</v>
      </c>
      <c r="B719" s="2" t="s">
        <v>2391</v>
      </c>
      <c r="C719" s="19" t="s">
        <v>4581</v>
      </c>
      <c r="D719" s="19" t="s">
        <v>4582</v>
      </c>
      <c r="E719" s="9" t="s">
        <v>11</v>
      </c>
      <c r="F719" s="19"/>
    </row>
    <row r="720" ht="15.75" customHeight="1">
      <c r="A720" s="1">
        <v>5.5418261E7</v>
      </c>
      <c r="B720" s="2" t="s">
        <v>3537</v>
      </c>
      <c r="C720" s="19" t="s">
        <v>4583</v>
      </c>
      <c r="D720" s="19"/>
      <c r="E720" s="2" t="s">
        <v>11</v>
      </c>
      <c r="F720" s="19"/>
    </row>
    <row r="721" ht="15.75" customHeight="1">
      <c r="A721" s="1">
        <v>5.5419294E7</v>
      </c>
      <c r="B721" s="2" t="s">
        <v>1824</v>
      </c>
      <c r="C721" s="19" t="s">
        <v>4584</v>
      </c>
      <c r="D721" s="19" t="s">
        <v>4585</v>
      </c>
      <c r="E721" s="2" t="s">
        <v>11</v>
      </c>
      <c r="F721" s="19"/>
    </row>
    <row r="722" ht="15.75" customHeight="1">
      <c r="A722" s="1">
        <v>5.5426906E7</v>
      </c>
      <c r="B722" s="2" t="s">
        <v>2568</v>
      </c>
      <c r="C722" s="19" t="s">
        <v>4586</v>
      </c>
      <c r="D722" s="19"/>
      <c r="E722" s="2" t="s">
        <v>11</v>
      </c>
      <c r="F722" s="19"/>
    </row>
    <row r="723" ht="15.75" customHeight="1">
      <c r="A723" s="1">
        <v>5.543556E7</v>
      </c>
      <c r="B723" s="2" t="s">
        <v>2413</v>
      </c>
      <c r="C723" s="19" t="s">
        <v>4587</v>
      </c>
      <c r="D723" s="19"/>
      <c r="E723" s="2" t="s">
        <v>11</v>
      </c>
      <c r="F723" s="19"/>
    </row>
    <row r="724" ht="15.75" customHeight="1">
      <c r="A724" s="1">
        <v>5.5450821E7</v>
      </c>
      <c r="B724" s="2" t="s">
        <v>2034</v>
      </c>
      <c r="C724" s="19" t="s">
        <v>4588</v>
      </c>
      <c r="D724" s="19" t="s">
        <v>4589</v>
      </c>
      <c r="E724" s="9" t="s">
        <v>11</v>
      </c>
      <c r="F724" s="19"/>
    </row>
    <row r="725" ht="15.75" customHeight="1">
      <c r="A725" s="1">
        <v>5.5471101E7</v>
      </c>
      <c r="B725" s="2" t="s">
        <v>2101</v>
      </c>
      <c r="C725" s="19" t="s">
        <v>4590</v>
      </c>
      <c r="D725" s="19"/>
      <c r="E725" s="2" t="s">
        <v>11</v>
      </c>
      <c r="F725" s="19"/>
    </row>
    <row r="726" ht="15.75" customHeight="1">
      <c r="A726" s="1">
        <v>5.5471918E7</v>
      </c>
      <c r="B726" s="2" t="s">
        <v>2507</v>
      </c>
      <c r="C726" s="19" t="s">
        <v>4591</v>
      </c>
      <c r="D726" s="19"/>
      <c r="E726" s="2" t="s">
        <v>11</v>
      </c>
      <c r="F726" s="19"/>
    </row>
    <row r="727" ht="15.75" customHeight="1">
      <c r="A727" s="1">
        <v>5.5476156E7</v>
      </c>
      <c r="B727" s="2" t="s">
        <v>1788</v>
      </c>
      <c r="C727" s="19" t="s">
        <v>4592</v>
      </c>
      <c r="D727" s="19"/>
      <c r="E727" s="2" t="s">
        <v>11</v>
      </c>
      <c r="F727" s="19"/>
    </row>
    <row r="728" ht="15.75" customHeight="1">
      <c r="A728" s="1">
        <v>5.5484404E7</v>
      </c>
      <c r="B728" s="2" t="s">
        <v>2668</v>
      </c>
      <c r="C728" s="19" t="s">
        <v>4593</v>
      </c>
      <c r="D728" s="19"/>
      <c r="E728" s="2" t="s">
        <v>11</v>
      </c>
      <c r="F728" s="19"/>
    </row>
    <row r="729" ht="15.75" customHeight="1">
      <c r="A729" s="1">
        <v>5.5488988E7</v>
      </c>
      <c r="B729" s="2" t="s">
        <v>2348</v>
      </c>
      <c r="C729" s="19" t="s">
        <v>4594</v>
      </c>
      <c r="D729" s="19" t="s">
        <v>4595</v>
      </c>
      <c r="E729" s="2" t="s">
        <v>11</v>
      </c>
      <c r="F729" s="19"/>
    </row>
    <row r="730" ht="15.75" customHeight="1">
      <c r="A730" s="1">
        <v>5.5489868E7</v>
      </c>
      <c r="B730" s="2" t="s">
        <v>2167</v>
      </c>
      <c r="C730" s="19" t="s">
        <v>4596</v>
      </c>
      <c r="D730" s="19" t="s">
        <v>4597</v>
      </c>
      <c r="E730" s="9" t="s">
        <v>11</v>
      </c>
      <c r="F730" s="19"/>
    </row>
    <row r="731" ht="15.75" customHeight="1">
      <c r="A731" s="1">
        <v>5.5505857E7</v>
      </c>
      <c r="B731" s="2" t="s">
        <v>1633</v>
      </c>
      <c r="C731" s="19" t="s">
        <v>4598</v>
      </c>
      <c r="D731" s="19"/>
      <c r="E731" s="9" t="s">
        <v>11</v>
      </c>
      <c r="F731" s="19"/>
    </row>
    <row r="732" ht="15.75" customHeight="1">
      <c r="A732" s="1">
        <v>5.5511505E7</v>
      </c>
      <c r="B732" s="2" t="s">
        <v>2983</v>
      </c>
      <c r="C732" s="19" t="s">
        <v>4599</v>
      </c>
      <c r="D732" s="19"/>
      <c r="E732" s="2" t="s">
        <v>11</v>
      </c>
      <c r="F732" s="19"/>
    </row>
    <row r="733" ht="15.75" customHeight="1">
      <c r="A733" s="1">
        <v>5.5511963E7</v>
      </c>
      <c r="B733" s="2" t="s">
        <v>1127</v>
      </c>
      <c r="C733" s="19" t="s">
        <v>4600</v>
      </c>
      <c r="D733" s="19"/>
      <c r="E733" s="2" t="s">
        <v>11</v>
      </c>
      <c r="F733" s="19"/>
    </row>
    <row r="734" ht="15.75" customHeight="1">
      <c r="A734" s="1">
        <v>5.551482E7</v>
      </c>
      <c r="B734" s="2" t="s">
        <v>1641</v>
      </c>
      <c r="C734" s="19" t="s">
        <v>4601</v>
      </c>
      <c r="D734" s="19"/>
      <c r="E734" s="2" t="s">
        <v>11</v>
      </c>
      <c r="F734" s="19"/>
    </row>
    <row r="735" ht="15.75" customHeight="1">
      <c r="A735" s="1">
        <v>5.5520394E7</v>
      </c>
      <c r="B735" s="2" t="s">
        <v>2436</v>
      </c>
      <c r="C735" s="19" t="s">
        <v>4602</v>
      </c>
      <c r="D735" s="19" t="s">
        <v>4603</v>
      </c>
      <c r="E735" s="2" t="s">
        <v>11</v>
      </c>
      <c r="F735" s="19"/>
    </row>
    <row r="736" ht="15.75" customHeight="1">
      <c r="A736" s="1">
        <v>5.5525227E7</v>
      </c>
      <c r="B736" s="2" t="s">
        <v>1140</v>
      </c>
      <c r="C736" s="19" t="s">
        <v>4604</v>
      </c>
      <c r="D736" s="19"/>
      <c r="E736" s="2" t="s">
        <v>11</v>
      </c>
      <c r="F736" s="19"/>
    </row>
    <row r="737" ht="15.75" customHeight="1">
      <c r="A737" s="1">
        <v>5.553772E7</v>
      </c>
      <c r="B737" s="2" t="s">
        <v>428</v>
      </c>
      <c r="C737" s="19" t="s">
        <v>4605</v>
      </c>
      <c r="D737" s="19"/>
      <c r="E737" s="2" t="s">
        <v>11</v>
      </c>
      <c r="F737" s="19"/>
    </row>
    <row r="738" ht="15.75" customHeight="1">
      <c r="A738" s="1">
        <v>5.5542723E7</v>
      </c>
      <c r="B738" s="2" t="s">
        <v>661</v>
      </c>
      <c r="C738" s="19" t="s">
        <v>4606</v>
      </c>
      <c r="D738" s="19"/>
      <c r="E738" s="2" t="s">
        <v>11</v>
      </c>
      <c r="F738" s="19"/>
    </row>
    <row r="739" ht="15.75" customHeight="1">
      <c r="A739" s="1">
        <v>5.5549922E7</v>
      </c>
      <c r="B739" s="2" t="s">
        <v>2858</v>
      </c>
      <c r="C739" s="19" t="s">
        <v>4607</v>
      </c>
      <c r="D739" s="19"/>
      <c r="E739" s="2" t="s">
        <v>11</v>
      </c>
      <c r="F739" s="19"/>
    </row>
    <row r="740" ht="15.75" customHeight="1">
      <c r="A740" s="1">
        <v>5.5559831E7</v>
      </c>
      <c r="B740" s="2" t="s">
        <v>2174</v>
      </c>
      <c r="C740" s="19" t="s">
        <v>4608</v>
      </c>
      <c r="D740" s="19"/>
      <c r="E740" s="2" t="s">
        <v>11</v>
      </c>
      <c r="F740" s="19"/>
    </row>
    <row r="741" ht="15.75" customHeight="1">
      <c r="A741" s="1">
        <v>5.5571946E7</v>
      </c>
      <c r="B741" s="2" t="s">
        <v>2758</v>
      </c>
      <c r="C741" s="19" t="s">
        <v>4609</v>
      </c>
      <c r="D741" s="19"/>
      <c r="E741" s="2" t="s">
        <v>11</v>
      </c>
      <c r="F741" s="19"/>
    </row>
    <row r="742" ht="15.75" customHeight="1">
      <c r="A742" s="1">
        <v>5.557459E7</v>
      </c>
      <c r="B742" s="2" t="s">
        <v>1818</v>
      </c>
      <c r="C742" s="19" t="s">
        <v>4610</v>
      </c>
      <c r="D742" s="19"/>
      <c r="E742" s="2" t="s">
        <v>11</v>
      </c>
      <c r="F742" s="19"/>
    </row>
    <row r="743" ht="15.75" customHeight="1">
      <c r="A743" s="1">
        <v>5.5594848E7</v>
      </c>
      <c r="B743" s="2" t="s">
        <v>1154</v>
      </c>
      <c r="C743" s="19" t="s">
        <v>4611</v>
      </c>
      <c r="D743" s="19" t="s">
        <v>4612</v>
      </c>
      <c r="E743" s="2" t="s">
        <v>11</v>
      </c>
      <c r="F743" s="19"/>
    </row>
    <row r="744" ht="15.75" customHeight="1">
      <c r="A744" s="1">
        <v>5.5749828E7</v>
      </c>
      <c r="B744" s="2" t="s">
        <v>1767</v>
      </c>
      <c r="C744" s="19" t="s">
        <v>4613</v>
      </c>
      <c r="D744" s="19"/>
      <c r="E744" s="2" t="s">
        <v>11</v>
      </c>
      <c r="F744" s="19"/>
    </row>
    <row r="745" ht="15.75" customHeight="1">
      <c r="A745" s="1">
        <v>5.5935097E7</v>
      </c>
      <c r="B745" s="2" t="s">
        <v>2927</v>
      </c>
      <c r="C745" s="19" t="s">
        <v>4614</v>
      </c>
      <c r="D745" s="19"/>
      <c r="E745" s="2" t="s">
        <v>11</v>
      </c>
      <c r="F745" s="19"/>
    </row>
    <row r="746" ht="15.75" customHeight="1">
      <c r="A746" s="1">
        <v>5.6134883E7</v>
      </c>
      <c r="B746" s="2" t="s">
        <v>2289</v>
      </c>
      <c r="C746" s="19" t="s">
        <v>4615</v>
      </c>
      <c r="D746" s="19"/>
      <c r="E746" s="9" t="s">
        <v>11</v>
      </c>
      <c r="F746" s="19"/>
    </row>
    <row r="747" ht="15.75" customHeight="1">
      <c r="A747" s="1">
        <v>5.6717423E7</v>
      </c>
      <c r="B747" s="2" t="s">
        <v>270</v>
      </c>
      <c r="C747" s="19" t="s">
        <v>4616</v>
      </c>
      <c r="D747" s="19"/>
      <c r="E747" s="2" t="s">
        <v>11</v>
      </c>
      <c r="F747" s="19"/>
    </row>
    <row r="748" ht="15.75" customHeight="1">
      <c r="A748" s="1">
        <v>5.6796657E7</v>
      </c>
      <c r="B748" s="2" t="s">
        <v>48</v>
      </c>
      <c r="C748" s="19" t="s">
        <v>4617</v>
      </c>
      <c r="D748" s="19" t="s">
        <v>4618</v>
      </c>
      <c r="E748" s="2" t="s">
        <v>11</v>
      </c>
      <c r="F748" s="19"/>
    </row>
    <row r="749" ht="15.75" customHeight="1">
      <c r="A749" s="1">
        <v>5.7225559E7</v>
      </c>
      <c r="B749" s="2" t="s">
        <v>3092</v>
      </c>
      <c r="C749" s="19" t="s">
        <v>4619</v>
      </c>
      <c r="D749" s="19" t="s">
        <v>4620</v>
      </c>
      <c r="E749" s="2" t="s">
        <v>11</v>
      </c>
      <c r="F749" s="19"/>
    </row>
    <row r="750" ht="15.75" customHeight="1">
      <c r="A750" s="1">
        <v>5.765761E7</v>
      </c>
      <c r="B750" s="2" t="s">
        <v>3188</v>
      </c>
      <c r="C750" s="19" t="s">
        <v>4621</v>
      </c>
      <c r="D750" s="19" t="s">
        <v>4622</v>
      </c>
      <c r="E750" s="2" t="s">
        <v>11</v>
      </c>
      <c r="F750" s="19"/>
    </row>
    <row r="751" ht="15.75" customHeight="1">
      <c r="A751" s="1">
        <v>5.8429974E7</v>
      </c>
      <c r="B751" s="2" t="s">
        <v>3546</v>
      </c>
      <c r="C751" s="19" t="s">
        <v>4855</v>
      </c>
      <c r="D751" s="19"/>
      <c r="E751" s="2" t="s">
        <v>537</v>
      </c>
      <c r="F751" s="19"/>
    </row>
    <row r="752" ht="15.75" customHeight="1">
      <c r="A752" s="1">
        <v>5.9524629E7</v>
      </c>
      <c r="B752" s="2" t="s">
        <v>1396</v>
      </c>
      <c r="C752" s="19" t="s">
        <v>4623</v>
      </c>
      <c r="D752" s="19"/>
      <c r="E752" s="2" t="s">
        <v>11</v>
      </c>
      <c r="F752" s="19"/>
    </row>
    <row r="753" ht="15.75" customHeight="1">
      <c r="A753" s="1">
        <v>5.952784E7</v>
      </c>
      <c r="B753" s="2" t="s">
        <v>2928</v>
      </c>
      <c r="C753" s="19" t="s">
        <v>4624</v>
      </c>
      <c r="D753" s="19"/>
      <c r="E753" s="2" t="s">
        <v>11</v>
      </c>
      <c r="F753" s="19"/>
    </row>
    <row r="754" ht="15.75" customHeight="1">
      <c r="A754" s="1">
        <v>6.1011463E7</v>
      </c>
      <c r="B754" s="2" t="s">
        <v>3621</v>
      </c>
      <c r="C754" s="19" t="s">
        <v>4625</v>
      </c>
      <c r="D754" s="19"/>
      <c r="E754" s="2" t="s">
        <v>11</v>
      </c>
      <c r="F754" s="19"/>
    </row>
    <row r="755" ht="15.75" customHeight="1">
      <c r="A755" s="1">
        <v>6.1112343E7</v>
      </c>
      <c r="B755" s="2" t="s">
        <v>3572</v>
      </c>
      <c r="C755" s="19" t="s">
        <v>4626</v>
      </c>
      <c r="D755" s="19"/>
      <c r="E755" s="2" t="s">
        <v>11</v>
      </c>
      <c r="F755" s="19"/>
    </row>
    <row r="756" ht="15.75" customHeight="1">
      <c r="A756" s="1">
        <v>6.11209E7</v>
      </c>
      <c r="B756" s="2" t="s">
        <v>3120</v>
      </c>
      <c r="C756" s="19" t="s">
        <v>4627</v>
      </c>
      <c r="D756" s="19"/>
      <c r="E756" s="2" t="s">
        <v>11</v>
      </c>
      <c r="F756" s="19"/>
    </row>
    <row r="757" ht="15.75" customHeight="1">
      <c r="A757" s="1">
        <v>6.1123415E7</v>
      </c>
      <c r="B757" s="2" t="s">
        <v>2729</v>
      </c>
      <c r="C757" s="19" t="s">
        <v>4628</v>
      </c>
      <c r="D757" s="19" t="s">
        <v>4629</v>
      </c>
      <c r="E757" s="9" t="s">
        <v>11</v>
      </c>
      <c r="F757" s="19"/>
    </row>
    <row r="758" ht="15.75" customHeight="1">
      <c r="A758" s="1">
        <v>6.1127025E7</v>
      </c>
      <c r="B758" s="2" t="s">
        <v>2730</v>
      </c>
      <c r="C758" s="19" t="s">
        <v>4630</v>
      </c>
      <c r="D758" s="19"/>
      <c r="E758" s="2" t="s">
        <v>11</v>
      </c>
      <c r="F758" s="19"/>
    </row>
    <row r="759" ht="15.75" customHeight="1">
      <c r="A759" s="1">
        <v>6.113114E7</v>
      </c>
      <c r="B759" s="2" t="s">
        <v>3005</v>
      </c>
      <c r="C759" s="19" t="s">
        <v>4631</v>
      </c>
      <c r="D759" s="19"/>
      <c r="E759" s="2" t="s">
        <v>11</v>
      </c>
      <c r="F759" s="19"/>
    </row>
    <row r="760" ht="15.75" customHeight="1">
      <c r="A760" s="1">
        <v>6.1143493E7</v>
      </c>
      <c r="B760" s="2" t="s">
        <v>2962</v>
      </c>
      <c r="C760" s="19" t="s">
        <v>4632</v>
      </c>
      <c r="D760" s="19" t="s">
        <v>4633</v>
      </c>
      <c r="E760" s="2" t="s">
        <v>11</v>
      </c>
      <c r="F760" s="19"/>
    </row>
    <row r="761" ht="15.75" customHeight="1">
      <c r="A761" s="1">
        <v>6.1153574E7</v>
      </c>
      <c r="B761" s="2" t="s">
        <v>3405</v>
      </c>
      <c r="C761" s="19" t="s">
        <v>4634</v>
      </c>
      <c r="D761" s="19"/>
      <c r="E761" s="2" t="s">
        <v>11</v>
      </c>
      <c r="F761" s="19"/>
    </row>
    <row r="762" ht="15.75" customHeight="1">
      <c r="A762" s="1">
        <v>6.1164244E7</v>
      </c>
      <c r="B762" s="2" t="s">
        <v>3383</v>
      </c>
      <c r="C762" s="19" t="s">
        <v>4635</v>
      </c>
      <c r="D762" s="19"/>
      <c r="E762" s="2" t="s">
        <v>11</v>
      </c>
      <c r="F762" s="19"/>
    </row>
    <row r="763" ht="15.75" customHeight="1">
      <c r="A763" s="1">
        <v>6.11691E7</v>
      </c>
      <c r="B763" s="2" t="s">
        <v>3472</v>
      </c>
      <c r="C763" s="19" t="s">
        <v>4636</v>
      </c>
      <c r="D763" s="19"/>
      <c r="E763" s="2" t="s">
        <v>11</v>
      </c>
      <c r="F763" s="19"/>
    </row>
    <row r="764" ht="15.75" customHeight="1">
      <c r="A764" s="1">
        <v>6.1186117E7</v>
      </c>
      <c r="B764" s="2" t="s">
        <v>3622</v>
      </c>
      <c r="C764" s="19" t="s">
        <v>4637</v>
      </c>
      <c r="D764" s="19"/>
      <c r="E764" s="2" t="s">
        <v>11</v>
      </c>
      <c r="F764" s="19"/>
    </row>
    <row r="765" ht="15.75" customHeight="1">
      <c r="A765" s="1">
        <v>6.1188935E7</v>
      </c>
      <c r="B765" s="2" t="s">
        <v>3511</v>
      </c>
      <c r="C765" s="19" t="s">
        <v>4638</v>
      </c>
      <c r="D765" s="19"/>
      <c r="E765" s="2" t="s">
        <v>11</v>
      </c>
      <c r="F765" s="19"/>
    </row>
    <row r="766" ht="15.75" customHeight="1">
      <c r="A766" s="1">
        <v>6.1191042E7</v>
      </c>
      <c r="B766" s="2" t="s">
        <v>3272</v>
      </c>
      <c r="C766" s="19" t="s">
        <v>4639</v>
      </c>
      <c r="D766" s="19"/>
      <c r="E766" s="2" t="s">
        <v>11</v>
      </c>
      <c r="F766" s="19"/>
    </row>
    <row r="767" ht="15.75" customHeight="1">
      <c r="A767" s="1">
        <v>6.1204978E7</v>
      </c>
      <c r="B767" s="2" t="s">
        <v>3341</v>
      </c>
      <c r="C767" s="19" t="s">
        <v>4640</v>
      </c>
      <c r="D767" s="19"/>
      <c r="E767" s="2" t="s">
        <v>11</v>
      </c>
      <c r="F767" s="19"/>
    </row>
    <row r="768" ht="15.75" customHeight="1">
      <c r="A768" s="1">
        <v>6.1206586E7</v>
      </c>
      <c r="B768" s="2" t="s">
        <v>3093</v>
      </c>
      <c r="C768" s="19" t="s">
        <v>4641</v>
      </c>
      <c r="D768" s="19"/>
      <c r="E768" s="9" t="s">
        <v>11</v>
      </c>
      <c r="F768" s="19"/>
    </row>
    <row r="769" ht="15.75" customHeight="1">
      <c r="A769" s="1">
        <v>6.1207759E7</v>
      </c>
      <c r="B769" s="2" t="s">
        <v>3057</v>
      </c>
      <c r="C769" s="19" t="s">
        <v>4795</v>
      </c>
      <c r="D769" s="19"/>
      <c r="E769" s="2" t="s">
        <v>86</v>
      </c>
      <c r="F769" s="19"/>
    </row>
    <row r="770" ht="15.75" customHeight="1">
      <c r="A770" s="1">
        <v>6.1207974E7</v>
      </c>
      <c r="B770" s="2" t="s">
        <v>3512</v>
      </c>
      <c r="C770" s="19" t="s">
        <v>4642</v>
      </c>
      <c r="D770" s="19"/>
      <c r="E770" s="2" t="s">
        <v>11</v>
      </c>
      <c r="F770" s="19"/>
    </row>
    <row r="771" ht="15.75" customHeight="1">
      <c r="A771" s="1">
        <v>6.1208367E7</v>
      </c>
      <c r="B771" s="2" t="s">
        <v>2333</v>
      </c>
      <c r="C771" s="19" t="s">
        <v>4643</v>
      </c>
      <c r="D771" s="19"/>
      <c r="E771" s="2" t="s">
        <v>11</v>
      </c>
      <c r="F771" s="19"/>
    </row>
    <row r="772" ht="15.75" customHeight="1">
      <c r="A772" s="1">
        <v>6.1210424E7</v>
      </c>
      <c r="B772" s="2" t="s">
        <v>3625</v>
      </c>
      <c r="C772" s="19" t="s">
        <v>4796</v>
      </c>
      <c r="D772" s="19"/>
      <c r="E772" s="2" t="s">
        <v>86</v>
      </c>
      <c r="F772" s="19"/>
    </row>
    <row r="773" ht="15.75" customHeight="1">
      <c r="A773" s="1">
        <v>6.121711E7</v>
      </c>
      <c r="B773" s="2" t="s">
        <v>2688</v>
      </c>
      <c r="C773" s="19" t="s">
        <v>4644</v>
      </c>
      <c r="D773" s="19"/>
      <c r="E773" s="2" t="s">
        <v>11</v>
      </c>
      <c r="F773" s="19"/>
    </row>
    <row r="774" ht="15.75" customHeight="1">
      <c r="A774" s="1">
        <v>6.1221088E7</v>
      </c>
      <c r="B774" s="2" t="s">
        <v>3406</v>
      </c>
      <c r="C774" s="19" t="s">
        <v>4645</v>
      </c>
      <c r="D774" s="19" t="s">
        <v>4646</v>
      </c>
      <c r="E774" s="2" t="s">
        <v>11</v>
      </c>
      <c r="F774" s="19"/>
    </row>
    <row r="775" ht="15.75" customHeight="1">
      <c r="A775" s="1">
        <v>6.122209E7</v>
      </c>
      <c r="B775" s="2" t="s">
        <v>3452</v>
      </c>
      <c r="C775" s="19" t="s">
        <v>3717</v>
      </c>
      <c r="D775" s="19"/>
      <c r="E775" s="2" t="s">
        <v>59</v>
      </c>
      <c r="F775" s="19"/>
    </row>
    <row r="776" ht="15.75" customHeight="1">
      <c r="A776" s="1">
        <v>6.1226697E7</v>
      </c>
      <c r="B776" s="2" t="s">
        <v>2943</v>
      </c>
      <c r="C776" s="19" t="s">
        <v>4829</v>
      </c>
      <c r="D776" s="19" t="s">
        <v>4830</v>
      </c>
      <c r="E776" s="2" t="s">
        <v>72</v>
      </c>
      <c r="F776" s="19"/>
    </row>
    <row r="777" ht="15.75" customHeight="1">
      <c r="A777" s="1">
        <v>6.1238595E7</v>
      </c>
      <c r="B777" s="2" t="s">
        <v>3355</v>
      </c>
      <c r="C777" s="19" t="s">
        <v>4647</v>
      </c>
      <c r="D777" s="19"/>
      <c r="E777" s="2" t="s">
        <v>11</v>
      </c>
      <c r="F777" s="19"/>
    </row>
    <row r="778" ht="15.75" customHeight="1">
      <c r="A778" s="1">
        <v>6.1242253E7</v>
      </c>
      <c r="B778" s="2" t="s">
        <v>3557</v>
      </c>
      <c r="C778" s="19" t="s">
        <v>4648</v>
      </c>
      <c r="D778" s="19"/>
      <c r="E778" s="2" t="s">
        <v>11</v>
      </c>
      <c r="F778" s="19"/>
    </row>
    <row r="779" ht="15.75" customHeight="1">
      <c r="A779" s="1">
        <v>6.1252925E7</v>
      </c>
      <c r="B779" s="2" t="s">
        <v>3573</v>
      </c>
      <c r="C779" s="19" t="s">
        <v>4649</v>
      </c>
      <c r="D779" s="19" t="s">
        <v>4650</v>
      </c>
      <c r="E779" s="9" t="s">
        <v>11</v>
      </c>
      <c r="F779" s="19"/>
    </row>
    <row r="780" ht="15.75" customHeight="1">
      <c r="A780" s="1">
        <v>6.1268147E7</v>
      </c>
      <c r="B780" s="2" t="s">
        <v>3209</v>
      </c>
      <c r="C780" s="19" t="s">
        <v>4651</v>
      </c>
      <c r="D780" s="19"/>
      <c r="E780" s="2" t="s">
        <v>11</v>
      </c>
      <c r="F780" s="19"/>
    </row>
    <row r="781" ht="15.75" customHeight="1">
      <c r="A781" s="1">
        <v>6.1282234E7</v>
      </c>
      <c r="B781" s="2" t="s">
        <v>3558</v>
      </c>
      <c r="C781" s="19" t="s">
        <v>4652</v>
      </c>
      <c r="D781" s="19"/>
      <c r="E781" s="2" t="s">
        <v>11</v>
      </c>
      <c r="F781" s="19"/>
    </row>
    <row r="782" ht="15.75" customHeight="1">
      <c r="A782" s="1">
        <v>6.1282976E7</v>
      </c>
      <c r="B782" s="2" t="s">
        <v>3295</v>
      </c>
      <c r="C782" s="19" t="s">
        <v>4653</v>
      </c>
      <c r="D782" s="19" t="s">
        <v>4654</v>
      </c>
      <c r="E782" s="2" t="s">
        <v>11</v>
      </c>
      <c r="F782" s="19"/>
    </row>
    <row r="783" ht="15.75" customHeight="1">
      <c r="A783" s="1">
        <v>6.1284724E7</v>
      </c>
      <c r="B783" s="2" t="s">
        <v>3601</v>
      </c>
      <c r="C783" s="19" t="s">
        <v>4655</v>
      </c>
      <c r="D783" s="19"/>
      <c r="E783" s="2" t="s">
        <v>11</v>
      </c>
      <c r="F783" s="19"/>
    </row>
    <row r="784" ht="15.75" customHeight="1">
      <c r="A784" s="1">
        <v>6.1287217E7</v>
      </c>
      <c r="B784" s="2" t="s">
        <v>3384</v>
      </c>
      <c r="C784" s="19" t="s">
        <v>4656</v>
      </c>
      <c r="D784" s="19"/>
      <c r="E784" s="2" t="s">
        <v>11</v>
      </c>
      <c r="F784" s="19"/>
    </row>
    <row r="785" ht="15.75" customHeight="1">
      <c r="A785" s="1">
        <v>6.130982E7</v>
      </c>
      <c r="B785" s="2" t="s">
        <v>3189</v>
      </c>
      <c r="C785" s="19" t="s">
        <v>4657</v>
      </c>
      <c r="D785" s="19"/>
      <c r="E785" s="2" t="s">
        <v>11</v>
      </c>
      <c r="F785" s="19"/>
    </row>
    <row r="786" ht="15.75" customHeight="1">
      <c r="A786" s="1">
        <v>6.1325505E7</v>
      </c>
      <c r="B786" s="2" t="s">
        <v>3641</v>
      </c>
      <c r="C786" s="19" t="s">
        <v>4856</v>
      </c>
      <c r="D786" s="19"/>
      <c r="E786" s="2" t="s">
        <v>537</v>
      </c>
      <c r="F786" s="19"/>
    </row>
    <row r="787" ht="15.75" customHeight="1">
      <c r="A787" s="1">
        <v>6.1327724E7</v>
      </c>
      <c r="B787" s="2" t="s">
        <v>3559</v>
      </c>
      <c r="C787" s="19" t="s">
        <v>4658</v>
      </c>
      <c r="D787" s="19"/>
      <c r="E787" s="2" t="s">
        <v>11</v>
      </c>
      <c r="F787" s="19"/>
    </row>
    <row r="788" ht="15.75" customHeight="1">
      <c r="A788" s="1">
        <v>6.1329104E7</v>
      </c>
      <c r="B788" s="2" t="s">
        <v>3513</v>
      </c>
      <c r="C788" s="19" t="s">
        <v>4659</v>
      </c>
      <c r="D788" s="19"/>
      <c r="E788" s="2" t="s">
        <v>11</v>
      </c>
      <c r="F788" s="19"/>
    </row>
    <row r="789" ht="15.75" customHeight="1">
      <c r="A789" s="1">
        <v>6.1330666E7</v>
      </c>
      <c r="B789" s="2" t="s">
        <v>3426</v>
      </c>
      <c r="C789" s="19" t="s">
        <v>4660</v>
      </c>
      <c r="D789" s="19"/>
      <c r="E789" s="2" t="s">
        <v>11</v>
      </c>
      <c r="F789" s="19"/>
    </row>
    <row r="790" ht="15.75" customHeight="1">
      <c r="A790" s="1">
        <v>6.1331112E7</v>
      </c>
      <c r="B790" s="2" t="s">
        <v>2759</v>
      </c>
      <c r="C790" s="19" t="s">
        <v>4661</v>
      </c>
      <c r="D790" s="19" t="s">
        <v>4662</v>
      </c>
      <c r="E790" s="2" t="s">
        <v>11</v>
      </c>
      <c r="F790" s="19"/>
    </row>
    <row r="791" ht="15.75" customHeight="1">
      <c r="A791" s="1">
        <v>6.1332655E7</v>
      </c>
      <c r="B791" s="2" t="s">
        <v>2929</v>
      </c>
      <c r="C791" s="19" t="s">
        <v>4663</v>
      </c>
      <c r="D791" s="19"/>
      <c r="E791" s="2" t="s">
        <v>11</v>
      </c>
      <c r="F791" s="19"/>
    </row>
    <row r="792" ht="15.75" customHeight="1">
      <c r="A792" s="1">
        <v>6.1341097E7</v>
      </c>
      <c r="B792" s="2" t="s">
        <v>3427</v>
      </c>
      <c r="C792" s="19" t="s">
        <v>4664</v>
      </c>
      <c r="D792" s="19"/>
      <c r="E792" s="9" t="s">
        <v>11</v>
      </c>
      <c r="F792" s="19"/>
    </row>
    <row r="793" ht="15.75" customHeight="1">
      <c r="A793" s="1">
        <v>6.1343277E7</v>
      </c>
      <c r="B793" s="2" t="s">
        <v>3574</v>
      </c>
      <c r="C793" s="19" t="s">
        <v>4665</v>
      </c>
      <c r="D793" s="19"/>
      <c r="E793" s="2" t="s">
        <v>11</v>
      </c>
      <c r="F793" s="19"/>
    </row>
    <row r="794" ht="15.75" customHeight="1">
      <c r="A794" s="1">
        <v>6.1345897E7</v>
      </c>
      <c r="B794" s="2" t="s">
        <v>3453</v>
      </c>
      <c r="C794" s="19" t="s">
        <v>4666</v>
      </c>
      <c r="D794" s="19"/>
      <c r="E794" s="9" t="s">
        <v>11</v>
      </c>
      <c r="F794" s="19"/>
    </row>
    <row r="795" ht="15.75" customHeight="1">
      <c r="A795" s="1">
        <v>6.1350573E7</v>
      </c>
      <c r="B795" s="2" t="s">
        <v>3210</v>
      </c>
      <c r="C795" s="19" t="s">
        <v>4667</v>
      </c>
      <c r="D795" s="19"/>
      <c r="E795" s="2" t="s">
        <v>11</v>
      </c>
      <c r="F795" s="19"/>
    </row>
    <row r="796" ht="15.75" customHeight="1">
      <c r="A796" s="1">
        <v>6.1350864E7</v>
      </c>
      <c r="B796" s="2" t="s">
        <v>3636</v>
      </c>
      <c r="C796" s="19" t="s">
        <v>4668</v>
      </c>
      <c r="D796" s="19"/>
      <c r="E796" s="2" t="s">
        <v>11</v>
      </c>
      <c r="F796" s="19"/>
    </row>
    <row r="797" ht="15.75" customHeight="1">
      <c r="A797" s="1">
        <v>6.1362602E7</v>
      </c>
      <c r="B797" s="2" t="s">
        <v>3139</v>
      </c>
      <c r="C797" s="19" t="s">
        <v>4669</v>
      </c>
      <c r="D797" s="19" t="s">
        <v>4670</v>
      </c>
      <c r="E797" s="2" t="s">
        <v>11</v>
      </c>
      <c r="F797" s="19"/>
    </row>
    <row r="798" ht="15.75" customHeight="1">
      <c r="A798" s="1">
        <v>6.1363424E7</v>
      </c>
      <c r="B798" s="2" t="s">
        <v>3514</v>
      </c>
      <c r="C798" s="19" t="s">
        <v>4671</v>
      </c>
      <c r="D798" s="19"/>
      <c r="E798" s="2" t="s">
        <v>11</v>
      </c>
      <c r="F798" s="19"/>
    </row>
    <row r="799" ht="15.75" customHeight="1">
      <c r="A799" s="1">
        <v>6.1377118E7</v>
      </c>
      <c r="B799" s="2" t="s">
        <v>3296</v>
      </c>
      <c r="C799" s="19" t="s">
        <v>4672</v>
      </c>
      <c r="D799" s="19"/>
      <c r="E799" s="2" t="s">
        <v>11</v>
      </c>
      <c r="F799" s="19"/>
    </row>
    <row r="800" ht="15.75" customHeight="1">
      <c r="A800" s="1">
        <v>6.1378839E7</v>
      </c>
      <c r="B800" s="2" t="s">
        <v>3368</v>
      </c>
      <c r="C800" s="19" t="s">
        <v>4673</v>
      </c>
      <c r="D800" s="19"/>
      <c r="E800" s="2" t="s">
        <v>11</v>
      </c>
      <c r="F800" s="19"/>
    </row>
    <row r="801" ht="15.75" customHeight="1">
      <c r="A801" s="1">
        <v>6.1379667E7</v>
      </c>
      <c r="B801" s="2" t="s">
        <v>3207</v>
      </c>
      <c r="C801" s="19" t="s">
        <v>3718</v>
      </c>
      <c r="D801" s="19"/>
      <c r="E801" s="2" t="s">
        <v>59</v>
      </c>
      <c r="F801" s="19"/>
    </row>
    <row r="802" ht="15.75" customHeight="1">
      <c r="A802" s="1">
        <v>6.14027E7</v>
      </c>
      <c r="B802" s="2" t="s">
        <v>3382</v>
      </c>
      <c r="C802" s="19" t="s">
        <v>3661</v>
      </c>
      <c r="D802" s="19"/>
      <c r="E802" s="2" t="s">
        <v>20</v>
      </c>
      <c r="F802" s="19"/>
    </row>
    <row r="803" ht="15.75" customHeight="1">
      <c r="A803" s="1">
        <v>6.1405883E7</v>
      </c>
      <c r="B803" s="2" t="s">
        <v>3297</v>
      </c>
      <c r="C803" s="19" t="s">
        <v>4674</v>
      </c>
      <c r="D803" s="19" t="s">
        <v>4675</v>
      </c>
      <c r="E803" s="2" t="s">
        <v>11</v>
      </c>
      <c r="F803" s="19"/>
    </row>
    <row r="804" ht="15.75" customHeight="1">
      <c r="A804" s="1">
        <v>6.1422412E7</v>
      </c>
      <c r="B804" s="2" t="s">
        <v>1861</v>
      </c>
      <c r="C804" s="19" t="s">
        <v>4676</v>
      </c>
      <c r="D804" s="19" t="s">
        <v>4677</v>
      </c>
      <c r="E804" s="9" t="s">
        <v>11</v>
      </c>
      <c r="F804" s="19"/>
    </row>
    <row r="805" ht="15.75" customHeight="1">
      <c r="A805" s="1">
        <v>6.144324E7</v>
      </c>
      <c r="B805" s="2" t="s">
        <v>2984</v>
      </c>
      <c r="C805" s="19" t="s">
        <v>4678</v>
      </c>
      <c r="D805" s="19" t="s">
        <v>4679</v>
      </c>
      <c r="E805" s="2" t="s">
        <v>11</v>
      </c>
      <c r="F805" s="19"/>
    </row>
    <row r="806" ht="15.75" customHeight="1">
      <c r="A806" s="1">
        <v>6.1452616E7</v>
      </c>
      <c r="B806" s="2" t="s">
        <v>3385</v>
      </c>
      <c r="C806" s="19" t="s">
        <v>4680</v>
      </c>
      <c r="D806" s="19"/>
      <c r="E806" s="2" t="s">
        <v>11</v>
      </c>
      <c r="F806" s="19"/>
    </row>
    <row r="807" ht="15.75" customHeight="1">
      <c r="A807" s="1">
        <v>6.1452894E7</v>
      </c>
      <c r="B807" s="2" t="s">
        <v>2361</v>
      </c>
      <c r="C807" s="19" t="s">
        <v>4681</v>
      </c>
      <c r="D807" s="19"/>
      <c r="E807" s="2" t="s">
        <v>11</v>
      </c>
      <c r="F807" s="19"/>
    </row>
    <row r="808" ht="15.75" customHeight="1">
      <c r="A808" s="1">
        <v>6.1454256E7</v>
      </c>
      <c r="B808" s="2" t="s">
        <v>3211</v>
      </c>
      <c r="C808" s="19" t="s">
        <v>4682</v>
      </c>
      <c r="D808" s="19"/>
      <c r="E808" s="9" t="s">
        <v>11</v>
      </c>
      <c r="F808" s="19"/>
    </row>
    <row r="809" ht="15.75" customHeight="1">
      <c r="A809" s="1">
        <v>6.1459809E7</v>
      </c>
      <c r="B809" s="2" t="s">
        <v>2559</v>
      </c>
      <c r="C809" s="19" t="s">
        <v>4683</v>
      </c>
      <c r="D809" s="19"/>
      <c r="E809" s="9" t="s">
        <v>11</v>
      </c>
      <c r="F809" s="19"/>
    </row>
    <row r="810" ht="15.75" customHeight="1">
      <c r="A810" s="1">
        <v>6.1462588E7</v>
      </c>
      <c r="B810" s="2" t="s">
        <v>2876</v>
      </c>
      <c r="C810" s="19" t="s">
        <v>4684</v>
      </c>
      <c r="D810" s="19" t="s">
        <v>4685</v>
      </c>
      <c r="E810" s="2" t="s">
        <v>11</v>
      </c>
      <c r="F810" s="19"/>
    </row>
    <row r="811" ht="15.75" customHeight="1">
      <c r="A811" s="1">
        <v>6.1469908E7</v>
      </c>
      <c r="B811" s="2" t="s">
        <v>3478</v>
      </c>
      <c r="C811" s="19" t="s">
        <v>4797</v>
      </c>
      <c r="D811" s="19"/>
      <c r="E811" s="2" t="s">
        <v>86</v>
      </c>
      <c r="F811" s="19"/>
    </row>
    <row r="812" ht="15.75" customHeight="1">
      <c r="A812" s="1">
        <v>6.1641793E7</v>
      </c>
      <c r="B812" s="2" t="s">
        <v>3356</v>
      </c>
      <c r="C812" s="19" t="s">
        <v>4686</v>
      </c>
      <c r="D812" s="19"/>
      <c r="E812" s="2" t="s">
        <v>11</v>
      </c>
      <c r="F812" s="19"/>
    </row>
    <row r="813" ht="15.75" customHeight="1">
      <c r="A813" s="1">
        <v>6.1642239E7</v>
      </c>
      <c r="B813" s="2" t="s">
        <v>3473</v>
      </c>
      <c r="C813" s="19" t="s">
        <v>4687</v>
      </c>
      <c r="D813" s="19"/>
      <c r="E813" s="9" t="s">
        <v>11</v>
      </c>
      <c r="F813" s="19"/>
    </row>
    <row r="814" ht="15.75" customHeight="1">
      <c r="A814" s="1">
        <v>6.164256E7</v>
      </c>
      <c r="B814" s="2" t="s">
        <v>2877</v>
      </c>
      <c r="C814" s="19" t="s">
        <v>4688</v>
      </c>
      <c r="D814" s="19"/>
      <c r="E814" s="2" t="s">
        <v>11</v>
      </c>
      <c r="F814" s="19"/>
    </row>
    <row r="815" ht="15.75" customHeight="1">
      <c r="A815" s="1">
        <v>6.1647756E7</v>
      </c>
      <c r="B815" s="2" t="s">
        <v>3342</v>
      </c>
      <c r="C815" s="19" t="s">
        <v>4689</v>
      </c>
      <c r="D815" s="19" t="s">
        <v>4690</v>
      </c>
      <c r="E815" s="2" t="s">
        <v>11</v>
      </c>
      <c r="F815" s="19"/>
    </row>
    <row r="816" ht="15.75" customHeight="1">
      <c r="A816" s="1">
        <v>6.1655523E7</v>
      </c>
      <c r="B816" s="2" t="s">
        <v>3168</v>
      </c>
      <c r="C816" s="19" t="s">
        <v>4691</v>
      </c>
      <c r="D816" s="19"/>
      <c r="E816" s="2" t="s">
        <v>11</v>
      </c>
      <c r="F816" s="19"/>
    </row>
    <row r="817" ht="15.75" customHeight="1">
      <c r="A817" s="1">
        <v>6.1659007E7</v>
      </c>
      <c r="B817" s="2" t="s">
        <v>3633</v>
      </c>
      <c r="C817" s="19" t="s">
        <v>4692</v>
      </c>
      <c r="D817" s="19"/>
      <c r="E817" s="2" t="s">
        <v>11</v>
      </c>
      <c r="F817" s="19"/>
    </row>
    <row r="818" ht="15.75" customHeight="1">
      <c r="A818" s="1">
        <v>6.1660647E7</v>
      </c>
      <c r="B818" s="2" t="s">
        <v>3493</v>
      </c>
      <c r="C818" s="19" t="s">
        <v>4693</v>
      </c>
      <c r="D818" s="19"/>
      <c r="E818" s="2" t="s">
        <v>11</v>
      </c>
      <c r="F818" s="19"/>
    </row>
    <row r="819" ht="15.75" customHeight="1">
      <c r="A819" s="1">
        <v>6.1664951E7</v>
      </c>
      <c r="B819" s="2" t="s">
        <v>3612</v>
      </c>
      <c r="C819" s="19" t="s">
        <v>4694</v>
      </c>
      <c r="D819" s="19"/>
      <c r="E819" s="2" t="s">
        <v>11</v>
      </c>
      <c r="F819" s="19"/>
    </row>
    <row r="820" ht="15.75" customHeight="1">
      <c r="A820" s="1">
        <v>6.1668245E7</v>
      </c>
      <c r="B820" s="2" t="s">
        <v>3538</v>
      </c>
      <c r="C820" s="19" t="s">
        <v>4695</v>
      </c>
      <c r="D820" s="19"/>
      <c r="E820" s="2" t="s">
        <v>11</v>
      </c>
      <c r="F820" s="19"/>
    </row>
    <row r="821" ht="15.75" customHeight="1">
      <c r="A821" s="1">
        <v>6.1670491E7</v>
      </c>
      <c r="B821" s="2" t="s">
        <v>3244</v>
      </c>
      <c r="C821" s="19" t="s">
        <v>4696</v>
      </c>
      <c r="D821" s="19"/>
      <c r="E821" s="2" t="s">
        <v>11</v>
      </c>
      <c r="F821" s="19"/>
    </row>
    <row r="822" ht="15.75" customHeight="1">
      <c r="A822" s="1">
        <v>6.1671196E7</v>
      </c>
      <c r="B822" s="2" t="s">
        <v>3539</v>
      </c>
      <c r="C822" s="19" t="s">
        <v>4697</v>
      </c>
      <c r="D822" s="19"/>
      <c r="E822" s="2" t="s">
        <v>11</v>
      </c>
      <c r="F822" s="19"/>
    </row>
    <row r="823" ht="15.75" customHeight="1">
      <c r="A823" s="1">
        <v>6.1672841E7</v>
      </c>
      <c r="B823" s="2" t="s">
        <v>3540</v>
      </c>
      <c r="C823" s="19" t="s">
        <v>4698</v>
      </c>
      <c r="D823" s="19"/>
      <c r="E823" s="2" t="s">
        <v>11</v>
      </c>
      <c r="F823" s="19"/>
    </row>
    <row r="824" ht="15.75" customHeight="1">
      <c r="A824" s="1">
        <v>6.1674307E7</v>
      </c>
      <c r="B824" s="2" t="s">
        <v>3386</v>
      </c>
      <c r="C824" s="19" t="s">
        <v>4699</v>
      </c>
      <c r="D824" s="19"/>
      <c r="E824" s="2" t="s">
        <v>11</v>
      </c>
      <c r="F824" s="19"/>
    </row>
    <row r="825" ht="15.75" customHeight="1">
      <c r="A825" s="1">
        <v>6.1674856E7</v>
      </c>
      <c r="B825" s="2" t="s">
        <v>3613</v>
      </c>
      <c r="C825" s="19" t="s">
        <v>4700</v>
      </c>
      <c r="D825" s="19"/>
      <c r="E825" s="2" t="s">
        <v>11</v>
      </c>
      <c r="F825" s="19"/>
    </row>
    <row r="826" ht="15.75" customHeight="1">
      <c r="A826" s="1">
        <v>6.1676798E7</v>
      </c>
      <c r="B826" s="2" t="s">
        <v>3602</v>
      </c>
      <c r="C826" s="19" t="s">
        <v>4701</v>
      </c>
      <c r="D826" s="19"/>
      <c r="E826" s="9" t="s">
        <v>11</v>
      </c>
      <c r="F826" s="19"/>
    </row>
    <row r="827" ht="15.75" customHeight="1">
      <c r="A827" s="1">
        <v>6.1676962E7</v>
      </c>
      <c r="B827" s="2" t="s">
        <v>3494</v>
      </c>
      <c r="C827" s="19" t="s">
        <v>4702</v>
      </c>
      <c r="D827" s="19"/>
      <c r="E827" s="2" t="s">
        <v>11</v>
      </c>
      <c r="F827" s="19"/>
    </row>
    <row r="828" ht="15.75" customHeight="1">
      <c r="A828" s="1">
        <v>6.1677805E7</v>
      </c>
      <c r="B828" s="2" t="s">
        <v>3495</v>
      </c>
      <c r="C828" s="19" t="s">
        <v>4703</v>
      </c>
      <c r="D828" s="19"/>
      <c r="E828" s="2" t="s">
        <v>11</v>
      </c>
      <c r="F828" s="19"/>
    </row>
    <row r="829" ht="15.75" customHeight="1">
      <c r="A829" s="1">
        <v>6.1683219E7</v>
      </c>
      <c r="B829" s="2" t="s">
        <v>3541</v>
      </c>
      <c r="C829" s="19" t="s">
        <v>4704</v>
      </c>
      <c r="D829" s="19"/>
      <c r="E829" s="2" t="s">
        <v>11</v>
      </c>
      <c r="F829" s="19"/>
    </row>
    <row r="830" ht="15.75" customHeight="1">
      <c r="A830" s="1">
        <v>6.1685518E7</v>
      </c>
      <c r="B830" s="2" t="s">
        <v>2930</v>
      </c>
      <c r="C830" s="19" t="s">
        <v>4705</v>
      </c>
      <c r="D830" s="19" t="s">
        <v>4706</v>
      </c>
      <c r="E830" s="2" t="s">
        <v>11</v>
      </c>
      <c r="F830" s="19"/>
    </row>
    <row r="831" ht="15.75" customHeight="1">
      <c r="A831" s="1">
        <v>6.1685582E7</v>
      </c>
      <c r="B831" s="2" t="s">
        <v>3542</v>
      </c>
      <c r="C831" s="19" t="s">
        <v>4707</v>
      </c>
      <c r="D831" s="19"/>
      <c r="E831" s="2" t="s">
        <v>11</v>
      </c>
      <c r="F831" s="19"/>
    </row>
    <row r="832" ht="15.75" customHeight="1">
      <c r="A832" s="1">
        <v>6.1687572E7</v>
      </c>
      <c r="B832" s="2" t="s">
        <v>3428</v>
      </c>
      <c r="C832" s="19" t="s">
        <v>4708</v>
      </c>
      <c r="D832" s="19"/>
      <c r="E832" s="2" t="s">
        <v>11</v>
      </c>
      <c r="F832" s="19"/>
    </row>
    <row r="833" ht="15.75" customHeight="1">
      <c r="A833" s="1">
        <v>6.1689176E7</v>
      </c>
      <c r="B833" s="2" t="s">
        <v>3429</v>
      </c>
      <c r="C833" s="19" t="s">
        <v>4709</v>
      </c>
      <c r="D833" s="19"/>
      <c r="E833" s="9" t="s">
        <v>11</v>
      </c>
      <c r="F833" s="19"/>
    </row>
    <row r="834" ht="15.75" customHeight="1">
      <c r="A834" s="1">
        <v>6.1706612E7</v>
      </c>
      <c r="B834" s="2" t="s">
        <v>3291</v>
      </c>
      <c r="C834" s="19" t="s">
        <v>4710</v>
      </c>
      <c r="D834" s="19"/>
      <c r="E834" s="2" t="s">
        <v>11</v>
      </c>
      <c r="F834" s="19"/>
    </row>
    <row r="835" ht="15.75" customHeight="1">
      <c r="A835" s="1">
        <v>6.1713625E7</v>
      </c>
      <c r="B835" s="2" t="s">
        <v>2358</v>
      </c>
      <c r="C835" s="19" t="s">
        <v>4711</v>
      </c>
      <c r="D835" s="19"/>
      <c r="E835" s="2" t="s">
        <v>11</v>
      </c>
      <c r="F835" s="19"/>
    </row>
    <row r="836" ht="15.75" customHeight="1">
      <c r="A836" s="1">
        <v>6.1729009E7</v>
      </c>
      <c r="B836" s="2" t="s">
        <v>3560</v>
      </c>
      <c r="C836" s="19" t="s">
        <v>4712</v>
      </c>
      <c r="D836" s="19"/>
      <c r="E836" s="2" t="s">
        <v>11</v>
      </c>
      <c r="F836" s="19"/>
    </row>
    <row r="837" ht="15.75" customHeight="1">
      <c r="A837" s="1">
        <v>6.1729358E7</v>
      </c>
      <c r="B837" s="2" t="s">
        <v>3140</v>
      </c>
      <c r="C837" s="19" t="s">
        <v>4713</v>
      </c>
      <c r="D837" s="19" t="s">
        <v>4714</v>
      </c>
      <c r="E837" s="2" t="s">
        <v>11</v>
      </c>
      <c r="F837" s="19"/>
    </row>
    <row r="838" ht="15.75" customHeight="1">
      <c r="A838" s="1">
        <v>6.1731925E7</v>
      </c>
      <c r="B838" s="2" t="s">
        <v>3454</v>
      </c>
      <c r="C838" s="19" t="s">
        <v>4715</v>
      </c>
      <c r="D838" s="19"/>
      <c r="E838" s="2" t="s">
        <v>11</v>
      </c>
      <c r="F838" s="19"/>
    </row>
    <row r="839" ht="15.75" customHeight="1">
      <c r="A839" s="1">
        <v>6.1734639E7</v>
      </c>
      <c r="B839" s="2" t="s">
        <v>3637</v>
      </c>
      <c r="C839" s="19" t="s">
        <v>4716</v>
      </c>
      <c r="D839" s="19"/>
      <c r="E839" s="2" t="s">
        <v>11</v>
      </c>
      <c r="F839" s="19"/>
    </row>
    <row r="840" ht="15.75" customHeight="1">
      <c r="A840" s="1">
        <v>6.173468E7</v>
      </c>
      <c r="B840" s="2" t="s">
        <v>3316</v>
      </c>
      <c r="C840" s="19" t="s">
        <v>4717</v>
      </c>
      <c r="D840" s="19"/>
      <c r="E840" s="2" t="s">
        <v>11</v>
      </c>
      <c r="F840" s="19"/>
    </row>
    <row r="841" ht="15.75" customHeight="1">
      <c r="A841" s="1">
        <v>6.1735365E7</v>
      </c>
      <c r="B841" s="2" t="s">
        <v>3543</v>
      </c>
      <c r="C841" s="19" t="s">
        <v>4718</v>
      </c>
      <c r="D841" s="19"/>
      <c r="E841" s="2" t="s">
        <v>11</v>
      </c>
      <c r="F841" s="19"/>
    </row>
    <row r="842" ht="15.75" customHeight="1">
      <c r="A842" s="1">
        <v>6.174291E7</v>
      </c>
      <c r="B842" s="2" t="s">
        <v>3061</v>
      </c>
      <c r="C842" s="19" t="s">
        <v>4719</v>
      </c>
      <c r="D842" s="19"/>
      <c r="E842" s="2" t="s">
        <v>11</v>
      </c>
      <c r="F842" s="19"/>
    </row>
    <row r="843" ht="15.75" customHeight="1">
      <c r="A843" s="1">
        <v>6.1749474E7</v>
      </c>
      <c r="B843" s="2" t="s">
        <v>3575</v>
      </c>
      <c r="C843" s="19" t="s">
        <v>4720</v>
      </c>
      <c r="D843" s="19"/>
      <c r="E843" s="2" t="s">
        <v>11</v>
      </c>
      <c r="F843" s="19"/>
    </row>
    <row r="844" ht="15.75" customHeight="1">
      <c r="A844" s="1">
        <v>6.1759228E7</v>
      </c>
      <c r="B844" s="2" t="s">
        <v>3245</v>
      </c>
      <c r="C844" s="19" t="s">
        <v>4721</v>
      </c>
      <c r="D844" s="19"/>
      <c r="E844" s="2" t="s">
        <v>11</v>
      </c>
      <c r="F844" s="19"/>
    </row>
    <row r="845" ht="15.75" customHeight="1">
      <c r="A845" s="1">
        <v>6.1766048E7</v>
      </c>
      <c r="B845" s="2" t="s">
        <v>3387</v>
      </c>
      <c r="C845" s="19" t="s">
        <v>4722</v>
      </c>
      <c r="D845" s="19"/>
      <c r="E845" s="9" t="s">
        <v>11</v>
      </c>
      <c r="F845" s="19"/>
    </row>
    <row r="846" ht="15.75" customHeight="1">
      <c r="A846" s="1">
        <v>6.1769866E7</v>
      </c>
      <c r="B846" s="2" t="s">
        <v>3094</v>
      </c>
      <c r="C846" s="19" t="s">
        <v>4723</v>
      </c>
      <c r="D846" s="19" t="s">
        <v>4724</v>
      </c>
      <c r="E846" s="2" t="s">
        <v>11</v>
      </c>
      <c r="F846" s="19"/>
    </row>
    <row r="847" ht="15.75" customHeight="1">
      <c r="A847" s="1">
        <v>6.1775267E7</v>
      </c>
      <c r="B847" s="2" t="s">
        <v>3603</v>
      </c>
      <c r="C847" s="19" t="s">
        <v>4725</v>
      </c>
      <c r="D847" s="19"/>
      <c r="E847" s="2" t="s">
        <v>11</v>
      </c>
      <c r="F847" s="19"/>
    </row>
    <row r="848" ht="15.75" customHeight="1">
      <c r="A848" s="1">
        <v>6.1776817E7</v>
      </c>
      <c r="B848" s="2" t="s">
        <v>3455</v>
      </c>
      <c r="C848" s="19" t="s">
        <v>4726</v>
      </c>
      <c r="D848" s="19"/>
      <c r="E848" s="2" t="s">
        <v>11</v>
      </c>
      <c r="F848" s="19"/>
    </row>
    <row r="849" ht="15.75" customHeight="1">
      <c r="A849" s="1">
        <v>6.1778472E7</v>
      </c>
      <c r="B849" s="2" t="s">
        <v>2945</v>
      </c>
      <c r="C849" s="19" t="s">
        <v>4727</v>
      </c>
      <c r="D849" s="19" t="s">
        <v>4728</v>
      </c>
      <c r="E849" s="2" t="s">
        <v>11</v>
      </c>
      <c r="F849" s="19"/>
    </row>
    <row r="850" ht="15.75" customHeight="1">
      <c r="A850" s="1">
        <v>6.1780469E7</v>
      </c>
      <c r="B850" s="2" t="s">
        <v>3474</v>
      </c>
      <c r="C850" s="19" t="s">
        <v>4729</v>
      </c>
      <c r="D850" s="19" t="s">
        <v>4730</v>
      </c>
      <c r="E850" s="2" t="s">
        <v>11</v>
      </c>
      <c r="F850" s="19"/>
    </row>
    <row r="851" ht="15.75" customHeight="1">
      <c r="A851" s="1">
        <v>6.1782652E7</v>
      </c>
      <c r="B851" s="2" t="s">
        <v>3095</v>
      </c>
      <c r="C851" s="19" t="s">
        <v>4731</v>
      </c>
      <c r="D851" s="19" t="s">
        <v>4732</v>
      </c>
      <c r="E851" s="2" t="s">
        <v>11</v>
      </c>
      <c r="F851" s="19"/>
    </row>
    <row r="852" ht="15.75" customHeight="1">
      <c r="A852" s="1">
        <v>6.1782655E7</v>
      </c>
      <c r="B852" s="2" t="s">
        <v>3317</v>
      </c>
      <c r="C852" s="19" t="s">
        <v>4733</v>
      </c>
      <c r="D852" s="19" t="s">
        <v>4734</v>
      </c>
      <c r="E852" s="2" t="s">
        <v>11</v>
      </c>
      <c r="F852" s="19"/>
    </row>
    <row r="853" ht="15.75" customHeight="1">
      <c r="A853" s="1">
        <v>6.1790198E7</v>
      </c>
      <c r="B853" s="2" t="s">
        <v>3430</v>
      </c>
      <c r="C853" s="19" t="s">
        <v>4735</v>
      </c>
      <c r="D853" s="19"/>
      <c r="E853" s="2" t="s">
        <v>11</v>
      </c>
      <c r="F853" s="19"/>
    </row>
    <row r="854" ht="15.75" customHeight="1">
      <c r="A854" s="1">
        <v>6.1798937E7</v>
      </c>
      <c r="B854" s="2" t="s">
        <v>3576</v>
      </c>
      <c r="C854" s="19" t="s">
        <v>4857</v>
      </c>
      <c r="D854" s="19"/>
      <c r="E854" s="2" t="s">
        <v>537</v>
      </c>
      <c r="F854" s="19"/>
    </row>
    <row r="855" ht="15.75" customHeight="1">
      <c r="A855" s="1">
        <v>6.1817845E7</v>
      </c>
      <c r="B855" s="2" t="s">
        <v>3496</v>
      </c>
      <c r="C855" s="19" t="s">
        <v>4736</v>
      </c>
      <c r="D855" s="19"/>
      <c r="E855" s="9" t="s">
        <v>11</v>
      </c>
      <c r="F855" s="19"/>
    </row>
    <row r="856" ht="15.75" customHeight="1">
      <c r="A856" s="1">
        <v>6.181822E7</v>
      </c>
      <c r="B856" s="2" t="s">
        <v>3456</v>
      </c>
      <c r="C856" s="19" t="s">
        <v>4737</v>
      </c>
      <c r="D856" s="19"/>
      <c r="E856" s="9" t="s">
        <v>11</v>
      </c>
      <c r="F856" s="19"/>
    </row>
    <row r="857" ht="15.75" customHeight="1">
      <c r="A857" s="1">
        <v>6.1818685E7</v>
      </c>
      <c r="B857" s="2" t="s">
        <v>2800</v>
      </c>
      <c r="C857" s="19" t="s">
        <v>4738</v>
      </c>
      <c r="D857" s="19"/>
      <c r="E857" s="2" t="s">
        <v>11</v>
      </c>
      <c r="F857" s="19"/>
    </row>
    <row r="858" ht="15.75" customHeight="1">
      <c r="A858" s="1">
        <v>6.1820944E7</v>
      </c>
      <c r="B858" s="2" t="s">
        <v>3497</v>
      </c>
      <c r="C858" s="19" t="s">
        <v>4739</v>
      </c>
      <c r="D858" s="19"/>
      <c r="E858" s="9" t="s">
        <v>11</v>
      </c>
      <c r="F858" s="19"/>
    </row>
    <row r="859" ht="15.75" customHeight="1">
      <c r="A859" s="1">
        <v>6.1824996E7</v>
      </c>
      <c r="B859" s="2" t="s">
        <v>3337</v>
      </c>
      <c r="C859" s="19" t="s">
        <v>4740</v>
      </c>
      <c r="D859" s="19"/>
      <c r="E859" s="2" t="s">
        <v>11</v>
      </c>
      <c r="F859" s="19"/>
    </row>
    <row r="860" ht="15.75" customHeight="1">
      <c r="A860" s="1">
        <v>6.1827269E7</v>
      </c>
      <c r="B860" s="2" t="s">
        <v>3623</v>
      </c>
      <c r="C860" s="19" t="s">
        <v>4741</v>
      </c>
      <c r="D860" s="19"/>
      <c r="E860" s="9" t="s">
        <v>11</v>
      </c>
      <c r="F860" s="19"/>
    </row>
    <row r="861" ht="15.75" customHeight="1">
      <c r="A861" s="1">
        <v>6.1834955E7</v>
      </c>
      <c r="B861" s="2" t="s">
        <v>3614</v>
      </c>
      <c r="C861" s="19" t="s">
        <v>4742</v>
      </c>
      <c r="D861" s="19"/>
      <c r="E861" s="9" t="s">
        <v>11</v>
      </c>
      <c r="F861" s="19"/>
    </row>
    <row r="862" ht="15.75" customHeight="1">
      <c r="A862" s="1">
        <v>6.1838119E7</v>
      </c>
      <c r="B862" s="2" t="s">
        <v>2981</v>
      </c>
      <c r="C862" s="19" t="s">
        <v>3719</v>
      </c>
      <c r="D862" s="19" t="s">
        <v>3720</v>
      </c>
      <c r="E862" s="2" t="s">
        <v>59</v>
      </c>
      <c r="F862" s="19"/>
    </row>
    <row r="863" ht="15.75" customHeight="1">
      <c r="A863" s="1">
        <v>6.1840842E7</v>
      </c>
      <c r="B863" s="2" t="s">
        <v>2985</v>
      </c>
      <c r="C863" s="19" t="s">
        <v>4743</v>
      </c>
      <c r="D863" s="19" t="s">
        <v>4744</v>
      </c>
      <c r="E863" s="2" t="s">
        <v>11</v>
      </c>
      <c r="F863" s="19"/>
    </row>
    <row r="864" ht="15.75" customHeight="1">
      <c r="A864" s="1">
        <v>6.1842832E7</v>
      </c>
      <c r="B864" s="2" t="s">
        <v>3343</v>
      </c>
      <c r="C864" s="19" t="s">
        <v>4745</v>
      </c>
      <c r="D864" s="19" t="s">
        <v>4746</v>
      </c>
      <c r="E864" s="2" t="s">
        <v>11</v>
      </c>
      <c r="F864" s="19"/>
    </row>
    <row r="865" ht="15.75" customHeight="1">
      <c r="A865" s="1">
        <v>6.1845738E7</v>
      </c>
      <c r="B865" s="2" t="s">
        <v>3269</v>
      </c>
      <c r="C865" s="19" t="s">
        <v>3662</v>
      </c>
      <c r="D865" s="19"/>
      <c r="E865" s="2" t="s">
        <v>20</v>
      </c>
      <c r="F865" s="19"/>
    </row>
    <row r="866" ht="15.75" customHeight="1">
      <c r="A866" s="1">
        <v>6.1854113E7</v>
      </c>
      <c r="B866" s="2" t="s">
        <v>3475</v>
      </c>
      <c r="C866" s="19" t="s">
        <v>4747</v>
      </c>
      <c r="D866" s="19"/>
      <c r="E866" s="9" t="s">
        <v>11</v>
      </c>
      <c r="F866" s="19"/>
    </row>
    <row r="867" ht="15.75" customHeight="1">
      <c r="A867" s="1">
        <v>6.1865302E7</v>
      </c>
      <c r="B867" s="2" t="s">
        <v>3141</v>
      </c>
      <c r="C867" s="19" t="s">
        <v>4748</v>
      </c>
      <c r="D867" s="19" t="s">
        <v>4749</v>
      </c>
      <c r="E867" s="2" t="s">
        <v>11</v>
      </c>
      <c r="F867" s="19"/>
    </row>
    <row r="868" ht="15.75" customHeight="1">
      <c r="A868" s="1">
        <v>6.1867669E7</v>
      </c>
      <c r="B868" s="2" t="s">
        <v>3588</v>
      </c>
      <c r="C868" s="19" t="s">
        <v>4750</v>
      </c>
      <c r="D868" s="19"/>
      <c r="E868" s="9" t="s">
        <v>11</v>
      </c>
      <c r="F868" s="19"/>
    </row>
    <row r="869" ht="15.75" customHeight="1">
      <c r="A869" s="1">
        <v>6.1869531E7</v>
      </c>
      <c r="B869" s="2" t="s">
        <v>3515</v>
      </c>
      <c r="C869" s="19" t="s">
        <v>4798</v>
      </c>
      <c r="D869" s="19"/>
      <c r="E869" s="2" t="s">
        <v>86</v>
      </c>
      <c r="F869" s="19"/>
    </row>
    <row r="870" ht="15.75" customHeight="1">
      <c r="A870" s="1">
        <v>6.1902973E7</v>
      </c>
      <c r="B870" s="2" t="s">
        <v>3212</v>
      </c>
      <c r="C870" s="19" t="s">
        <v>4751</v>
      </c>
      <c r="D870" s="19" t="s">
        <v>4752</v>
      </c>
      <c r="E870" s="2" t="s">
        <v>11</v>
      </c>
      <c r="F870" s="19"/>
    </row>
    <row r="871" ht="15.75" customHeight="1">
      <c r="A871" s="1">
        <v>6.19048E7</v>
      </c>
      <c r="B871" s="2" t="s">
        <v>3407</v>
      </c>
      <c r="C871" s="19" t="s">
        <v>4753</v>
      </c>
      <c r="D871" s="19"/>
      <c r="E871" s="2" t="s">
        <v>11</v>
      </c>
      <c r="F871" s="19"/>
    </row>
    <row r="872" ht="15.75" customHeight="1">
      <c r="A872" s="1">
        <v>6.1909353E7</v>
      </c>
      <c r="B872" s="2" t="s">
        <v>3476</v>
      </c>
      <c r="C872" s="19" t="s">
        <v>4754</v>
      </c>
      <c r="D872" s="19" t="s">
        <v>4755</v>
      </c>
      <c r="E872" s="2" t="s">
        <v>11</v>
      </c>
      <c r="F872" s="19"/>
    </row>
    <row r="873" ht="15.75" customHeight="1">
      <c r="A873" s="1">
        <v>6.1915796E7</v>
      </c>
      <c r="B873" s="2" t="s">
        <v>3544</v>
      </c>
      <c r="C873" s="19" t="s">
        <v>4756</v>
      </c>
      <c r="D873" s="19"/>
      <c r="E873" s="2" t="s">
        <v>11</v>
      </c>
      <c r="F873" s="19"/>
    </row>
    <row r="874" ht="15.75" customHeight="1">
      <c r="A874" s="1">
        <v>6.1919301E7</v>
      </c>
      <c r="B874" s="2" t="s">
        <v>3007</v>
      </c>
      <c r="C874" s="19" t="s">
        <v>4757</v>
      </c>
      <c r="D874" s="19"/>
      <c r="E874" s="9" t="s">
        <v>11</v>
      </c>
      <c r="F874" s="19"/>
    </row>
    <row r="875" ht="15.75" customHeight="1">
      <c r="A875" s="1">
        <v>6.1920382E7</v>
      </c>
      <c r="B875" s="2" t="s">
        <v>3564</v>
      </c>
      <c r="C875" s="19" t="s">
        <v>4799</v>
      </c>
      <c r="D875" s="19"/>
      <c r="E875" s="2" t="s">
        <v>86</v>
      </c>
      <c r="F875" s="19"/>
    </row>
    <row r="876" ht="15.75" customHeight="1">
      <c r="A876" s="1">
        <v>6.1928879E7</v>
      </c>
      <c r="B876" s="2" t="s">
        <v>3624</v>
      </c>
      <c r="C876" s="19" t="s">
        <v>4758</v>
      </c>
      <c r="D876" s="19"/>
      <c r="E876" s="2" t="s">
        <v>11</v>
      </c>
      <c r="F876" s="19"/>
    </row>
    <row r="877" ht="15.75" customHeight="1">
      <c r="A877" s="1">
        <v>6.1932638E7</v>
      </c>
      <c r="B877" s="2" t="s">
        <v>3615</v>
      </c>
      <c r="C877" s="19" t="s">
        <v>4759</v>
      </c>
      <c r="D877" s="19"/>
      <c r="E877" s="2" t="s">
        <v>11</v>
      </c>
      <c r="F877" s="19"/>
    </row>
    <row r="878" ht="15.75" customHeight="1">
      <c r="A878" s="1">
        <v>6.1936613E7</v>
      </c>
      <c r="B878" s="2" t="s">
        <v>3246</v>
      </c>
      <c r="C878" s="19" t="s">
        <v>4760</v>
      </c>
      <c r="D878" s="19" t="s">
        <v>4761</v>
      </c>
      <c r="E878" s="9" t="s">
        <v>11</v>
      </c>
      <c r="F878" s="19"/>
    </row>
    <row r="879" ht="15.75" customHeight="1">
      <c r="A879" s="1">
        <v>6.1938413E7</v>
      </c>
      <c r="B879" s="2" t="s">
        <v>3408</v>
      </c>
      <c r="C879" s="19" t="s">
        <v>4762</v>
      </c>
      <c r="D879" s="19" t="s">
        <v>4763</v>
      </c>
      <c r="E879" s="2" t="s">
        <v>11</v>
      </c>
      <c r="F879" s="19"/>
    </row>
    <row r="880" ht="15.75" customHeight="1">
      <c r="A880" s="1">
        <v>6.1939435E7</v>
      </c>
      <c r="B880" s="2" t="s">
        <v>3190</v>
      </c>
      <c r="C880" s="19" t="s">
        <v>4764</v>
      </c>
      <c r="D880" s="19"/>
      <c r="E880" s="2" t="s">
        <v>11</v>
      </c>
      <c r="F880" s="19"/>
    </row>
    <row r="881" ht="15.75" customHeight="1">
      <c r="A881" s="1">
        <v>6.1947363E7</v>
      </c>
      <c r="B881" s="2" t="s">
        <v>3590</v>
      </c>
      <c r="C881" s="19" t="s">
        <v>4858</v>
      </c>
      <c r="D881" s="19"/>
      <c r="E881" s="2" t="s">
        <v>537</v>
      </c>
      <c r="F881" s="19"/>
    </row>
    <row r="882" ht="15.75" customHeight="1">
      <c r="A882" s="1">
        <v>6.1961302E7</v>
      </c>
      <c r="B882" s="2" t="s">
        <v>3142</v>
      </c>
      <c r="C882" s="19" t="s">
        <v>4765</v>
      </c>
      <c r="D882" s="19" t="s">
        <v>4766</v>
      </c>
      <c r="E882" s="2" t="s">
        <v>11</v>
      </c>
      <c r="F882" s="19"/>
    </row>
    <row r="883" ht="15.75" customHeight="1">
      <c r="A883" s="1">
        <v>6.1964967E7</v>
      </c>
      <c r="B883" s="2" t="s">
        <v>3431</v>
      </c>
      <c r="C883" s="19" t="s">
        <v>4767</v>
      </c>
      <c r="D883" s="19"/>
      <c r="E883" s="2" t="s">
        <v>11</v>
      </c>
      <c r="F883" s="19"/>
    </row>
    <row r="884" ht="15.75" customHeight="1">
      <c r="A884" s="1">
        <v>6.1977505E7</v>
      </c>
      <c r="B884" s="2" t="s">
        <v>3477</v>
      </c>
      <c r="C884" s="19" t="s">
        <v>4768</v>
      </c>
      <c r="D884" s="19"/>
      <c r="E884" s="2" t="s">
        <v>11</v>
      </c>
      <c r="F884" s="19"/>
    </row>
    <row r="885" ht="15.75" customHeight="1">
      <c r="A885" s="1">
        <v>6.1979138E7</v>
      </c>
      <c r="B885" s="2" t="s">
        <v>3626</v>
      </c>
      <c r="C885" s="19" t="s">
        <v>4800</v>
      </c>
      <c r="D885" s="19"/>
      <c r="E885" s="2" t="s">
        <v>86</v>
      </c>
      <c r="F885" s="19"/>
    </row>
    <row r="886" ht="15.75" customHeight="1">
      <c r="A886" s="1">
        <v>6.1983642E7</v>
      </c>
      <c r="B886" s="2" t="s">
        <v>3457</v>
      </c>
      <c r="C886" s="19" t="s">
        <v>4769</v>
      </c>
      <c r="D886" s="19"/>
      <c r="E886" s="2" t="s">
        <v>11</v>
      </c>
      <c r="F886" s="19"/>
    </row>
    <row r="887" ht="15.75" customHeight="1">
      <c r="A887" s="1">
        <v>6.1999799E7</v>
      </c>
      <c r="B887" s="2" t="s">
        <v>3458</v>
      </c>
      <c r="C887" s="19" t="s">
        <v>4770</v>
      </c>
      <c r="D887" s="19"/>
      <c r="E887" s="2" t="s">
        <v>11</v>
      </c>
      <c r="F887" s="19"/>
    </row>
    <row r="888" ht="15.75" customHeight="1">
      <c r="A888" s="1">
        <v>6.2002491E7</v>
      </c>
      <c r="B888" s="2" t="s">
        <v>3403</v>
      </c>
      <c r="C888" s="19" t="s">
        <v>3721</v>
      </c>
      <c r="D888" s="19"/>
      <c r="E888" s="2" t="s">
        <v>59</v>
      </c>
      <c r="F888" s="19"/>
    </row>
    <row r="889" ht="15.75" customHeight="1">
      <c r="A889" s="1">
        <v>6.2006237E7</v>
      </c>
      <c r="B889" s="2" t="s">
        <v>3459</v>
      </c>
      <c r="C889" s="19" t="s">
        <v>4771</v>
      </c>
      <c r="D889" s="19"/>
      <c r="E889" s="2" t="s">
        <v>11</v>
      </c>
      <c r="F889" s="19"/>
    </row>
    <row r="890" ht="15.75" customHeight="1">
      <c r="A890" s="1">
        <v>6.2014768E7</v>
      </c>
      <c r="B890" s="2" t="s">
        <v>3627</v>
      </c>
      <c r="C890" s="19" t="s">
        <v>4859</v>
      </c>
      <c r="D890" s="19"/>
      <c r="E890" s="2" t="s">
        <v>537</v>
      </c>
      <c r="F890" s="19"/>
    </row>
    <row r="891" ht="15.75" customHeight="1">
      <c r="A891" s="1">
        <v>6.2018029E7</v>
      </c>
      <c r="B891" s="2" t="s">
        <v>3638</v>
      </c>
      <c r="C891" s="19" t="s">
        <v>4772</v>
      </c>
      <c r="D891" s="19"/>
      <c r="E891" s="2" t="s">
        <v>11</v>
      </c>
      <c r="F891" s="19"/>
    </row>
    <row r="892" ht="15.75" customHeight="1">
      <c r="A892" s="1">
        <v>6.2020069E7</v>
      </c>
      <c r="B892" s="2" t="s">
        <v>3561</v>
      </c>
      <c r="C892" s="19" t="s">
        <v>4773</v>
      </c>
      <c r="D892" s="19"/>
      <c r="E892" s="2" t="s">
        <v>11</v>
      </c>
      <c r="F892" s="19"/>
    </row>
    <row r="893" ht="15.75" customHeight="1">
      <c r="A893" s="1">
        <v>6.2020899E7</v>
      </c>
      <c r="B893" s="2" t="s">
        <v>3562</v>
      </c>
      <c r="C893" s="19" t="s">
        <v>4774</v>
      </c>
      <c r="D893" s="19"/>
      <c r="E893" s="2" t="s">
        <v>11</v>
      </c>
      <c r="F893" s="19"/>
    </row>
    <row r="894" ht="15.75" customHeight="1">
      <c r="A894" s="1">
        <v>6.2022772E7</v>
      </c>
      <c r="B894" s="2" t="s">
        <v>3545</v>
      </c>
      <c r="C894" s="19" t="s">
        <v>4775</v>
      </c>
      <c r="D894" s="19"/>
      <c r="E894" s="9" t="s">
        <v>11</v>
      </c>
      <c r="F894" s="19"/>
    </row>
    <row r="895" ht="15.75" customHeight="1">
      <c r="A895" s="1">
        <v>6.2031387E7</v>
      </c>
      <c r="B895" s="2" t="s">
        <v>3388</v>
      </c>
      <c r="C895" s="19" t="s">
        <v>4776</v>
      </c>
      <c r="D895" s="19"/>
      <c r="E895" s="2" t="s">
        <v>11</v>
      </c>
      <c r="F895" s="19"/>
    </row>
    <row r="896" ht="15.75" customHeight="1">
      <c r="A896" s="1">
        <v>6.2036134E7</v>
      </c>
      <c r="B896" s="2" t="s">
        <v>3604</v>
      </c>
      <c r="C896" s="19" t="s">
        <v>4777</v>
      </c>
      <c r="D896" s="19"/>
      <c r="E896" s="2" t="s">
        <v>11</v>
      </c>
      <c r="F896" s="19"/>
    </row>
    <row r="897" ht="15.75" customHeight="1">
      <c r="A897" s="1">
        <v>6.2037429E7</v>
      </c>
      <c r="B897" s="2" t="s">
        <v>3273</v>
      </c>
      <c r="C897" s="19" t="s">
        <v>4778</v>
      </c>
      <c r="D897" s="19"/>
      <c r="E897" s="2" t="s">
        <v>11</v>
      </c>
      <c r="F897" s="19"/>
    </row>
    <row r="898" ht="15.75" customHeight="1">
      <c r="A898" s="1">
        <v>6.2049277E7</v>
      </c>
      <c r="B898" s="2" t="s">
        <v>3605</v>
      </c>
      <c r="C898" s="19" t="s">
        <v>4779</v>
      </c>
      <c r="D898" s="19"/>
      <c r="E898" s="2" t="s">
        <v>11</v>
      </c>
      <c r="F898" s="19"/>
    </row>
    <row r="899" ht="15.75" customHeight="1">
      <c r="A899" s="1">
        <v>6.2049728E7</v>
      </c>
      <c r="B899" s="2" t="s">
        <v>3498</v>
      </c>
      <c r="C899" s="19" t="s">
        <v>4780</v>
      </c>
      <c r="D899" s="19"/>
      <c r="E899" s="9" t="s">
        <v>11</v>
      </c>
      <c r="F899" s="19"/>
    </row>
    <row r="900" ht="15.75" customHeight="1">
      <c r="A900" s="1">
        <v>6.2065508E7</v>
      </c>
      <c r="B900" s="2" t="s">
        <v>3589</v>
      </c>
      <c r="C900" s="19" t="s">
        <v>4781</v>
      </c>
      <c r="D900" s="19"/>
      <c r="E900" s="2" t="s">
        <v>11</v>
      </c>
      <c r="F900" s="19"/>
    </row>
    <row r="901" ht="15.75" customHeight="1">
      <c r="A901" s="1">
        <v>6.2066602E7</v>
      </c>
      <c r="B901" s="2" t="s">
        <v>3563</v>
      </c>
      <c r="C901" s="19" t="s">
        <v>4782</v>
      </c>
      <c r="D901" s="19" t="s">
        <v>4783</v>
      </c>
      <c r="E901" s="2" t="s">
        <v>11</v>
      </c>
      <c r="F901" s="19"/>
    </row>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E1:E901">
      <formula1>"1__requirement,2__design,3__development,4__testing,5__deployment,6__maintenance"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s>
  <sheetData>
    <row r="1" ht="15.0" customHeight="1">
      <c r="A1" s="1" t="s">
        <v>0</v>
      </c>
      <c r="B1" s="2" t="s">
        <v>1</v>
      </c>
      <c r="C1" s="19" t="s">
        <v>3642</v>
      </c>
      <c r="D1" s="19" t="s">
        <v>3643</v>
      </c>
      <c r="E1" s="2" t="s">
        <v>4</v>
      </c>
      <c r="F1" s="19"/>
    </row>
    <row r="2" ht="15.75" customHeight="1">
      <c r="A2" s="1">
        <v>544097.0</v>
      </c>
      <c r="B2" s="2" t="s">
        <v>131</v>
      </c>
      <c r="C2" s="19" t="s">
        <v>4860</v>
      </c>
      <c r="D2" s="19" t="s">
        <v>4861</v>
      </c>
      <c r="E2" s="2"/>
      <c r="F2" s="19"/>
    </row>
    <row r="3" ht="15.75" customHeight="1">
      <c r="A3" s="1">
        <v>2566385.0</v>
      </c>
      <c r="B3" s="2" t="s">
        <v>355</v>
      </c>
      <c r="C3" s="19" t="s">
        <v>4862</v>
      </c>
      <c r="D3" s="19" t="s">
        <v>4863</v>
      </c>
      <c r="E3" s="2"/>
      <c r="F3" s="19"/>
    </row>
    <row r="4" ht="15.75" customHeight="1">
      <c r="A4" s="1">
        <v>2615337.0</v>
      </c>
      <c r="B4" s="2" t="s">
        <v>393</v>
      </c>
      <c r="C4" s="19" t="s">
        <v>4864</v>
      </c>
      <c r="D4" s="19"/>
      <c r="E4" s="2"/>
      <c r="F4" s="19"/>
    </row>
    <row r="5" ht="15.75" customHeight="1">
      <c r="A5" s="1">
        <v>3578981.0</v>
      </c>
      <c r="B5" s="2" t="s">
        <v>114</v>
      </c>
      <c r="C5" s="19" t="s">
        <v>4865</v>
      </c>
      <c r="D5" s="19" t="s">
        <v>4866</v>
      </c>
      <c r="E5" s="2"/>
      <c r="F5" s="19"/>
    </row>
    <row r="6" ht="15.75" customHeight="1">
      <c r="A6" s="1">
        <v>6580311.0</v>
      </c>
      <c r="B6" s="2" t="s">
        <v>404</v>
      </c>
      <c r="C6" s="19" t="s">
        <v>4867</v>
      </c>
      <c r="D6" s="19" t="s">
        <v>4868</v>
      </c>
      <c r="E6" s="2"/>
      <c r="F6" s="19"/>
    </row>
    <row r="7" ht="15.75" customHeight="1">
      <c r="A7" s="1">
        <v>6645196.0</v>
      </c>
      <c r="B7" s="2" t="s">
        <v>1107</v>
      </c>
      <c r="C7" s="19" t="s">
        <v>4869</v>
      </c>
      <c r="D7" s="19" t="s">
        <v>4870</v>
      </c>
      <c r="E7" s="2"/>
      <c r="F7" s="19"/>
    </row>
    <row r="8" ht="15.75" customHeight="1">
      <c r="A8" s="1">
        <v>8522884.0</v>
      </c>
      <c r="B8" s="2" t="s">
        <v>134</v>
      </c>
      <c r="C8" s="19" t="s">
        <v>4871</v>
      </c>
      <c r="D8" s="19"/>
      <c r="E8" s="2"/>
      <c r="F8" s="19"/>
    </row>
    <row r="9" ht="15.75" customHeight="1">
      <c r="A9" s="1">
        <v>8640940.0</v>
      </c>
      <c r="B9" s="2" t="s">
        <v>64</v>
      </c>
      <c r="C9" s="19" t="s">
        <v>4872</v>
      </c>
      <c r="D9" s="19"/>
      <c r="E9" s="2"/>
      <c r="F9" s="19"/>
    </row>
    <row r="10" ht="15.75" customHeight="1">
      <c r="A10" s="1">
        <v>9257823.0</v>
      </c>
      <c r="B10" s="2" t="s">
        <v>1387</v>
      </c>
      <c r="C10" s="19" t="s">
        <v>4873</v>
      </c>
      <c r="D10" s="19"/>
      <c r="E10" s="2"/>
      <c r="F10" s="19"/>
    </row>
    <row r="11" ht="15.75" customHeight="1">
      <c r="A11" s="1">
        <v>9372228.0</v>
      </c>
      <c r="B11" s="2" t="s">
        <v>839</v>
      </c>
      <c r="C11" s="19" t="s">
        <v>4874</v>
      </c>
      <c r="D11" s="19"/>
      <c r="E11" s="2"/>
      <c r="F11" s="19"/>
    </row>
    <row r="12" ht="15.75" customHeight="1">
      <c r="A12" s="1">
        <v>9481841.0</v>
      </c>
      <c r="B12" s="2" t="s">
        <v>627</v>
      </c>
      <c r="C12" s="19" t="s">
        <v>4875</v>
      </c>
      <c r="D12" s="19"/>
      <c r="E12" s="2"/>
      <c r="F12" s="19"/>
    </row>
    <row r="13" ht="15.75" customHeight="1">
      <c r="A13" s="1">
        <v>9588748.0</v>
      </c>
      <c r="B13" s="2" t="s">
        <v>1273</v>
      </c>
      <c r="C13" s="19" t="s">
        <v>4876</v>
      </c>
      <c r="D13" s="19" t="s">
        <v>4877</v>
      </c>
      <c r="E13" s="2"/>
      <c r="F13" s="19"/>
    </row>
    <row r="14" ht="15.75" customHeight="1">
      <c r="A14" s="1">
        <v>9766725.0</v>
      </c>
      <c r="B14" s="2" t="s">
        <v>247</v>
      </c>
      <c r="C14" s="19" t="s">
        <v>4878</v>
      </c>
      <c r="D14" s="19"/>
      <c r="E14" s="2"/>
      <c r="F14" s="19"/>
    </row>
    <row r="15" ht="15.75" customHeight="1">
      <c r="A15" s="1">
        <v>9802779.0</v>
      </c>
      <c r="B15" s="2" t="s">
        <v>613</v>
      </c>
      <c r="C15" s="19" t="s">
        <v>4879</v>
      </c>
      <c r="D15" s="19" t="s">
        <v>4880</v>
      </c>
      <c r="E15" s="2"/>
      <c r="F15" s="19"/>
    </row>
    <row r="16" ht="15.75" customHeight="1">
      <c r="A16" s="1">
        <v>9980294.0</v>
      </c>
      <c r="B16" s="2" t="s">
        <v>803</v>
      </c>
      <c r="C16" s="19" t="s">
        <v>4881</v>
      </c>
      <c r="D16" s="19" t="s">
        <v>4882</v>
      </c>
      <c r="E16" s="2"/>
      <c r="F16" s="19"/>
    </row>
    <row r="17" ht="15.75" customHeight="1">
      <c r="A17" s="1">
        <v>1.0042002E7</v>
      </c>
      <c r="B17" s="2" t="s">
        <v>747</v>
      </c>
      <c r="C17" s="19" t="s">
        <v>4883</v>
      </c>
      <c r="D17" s="19"/>
      <c r="E17" s="2"/>
      <c r="F17" s="19"/>
    </row>
    <row r="18" ht="15.75" customHeight="1">
      <c r="A18" s="1">
        <v>1.0152372E7</v>
      </c>
      <c r="B18" s="2" t="s">
        <v>1510</v>
      </c>
      <c r="C18" s="19" t="s">
        <v>4884</v>
      </c>
      <c r="D18" s="19"/>
      <c r="E18" s="2"/>
      <c r="F18" s="19"/>
    </row>
    <row r="19" ht="15.75" customHeight="1">
      <c r="A19" s="1">
        <v>1.0215293E7</v>
      </c>
      <c r="B19" s="2" t="s">
        <v>178</v>
      </c>
      <c r="C19" s="19" t="s">
        <v>4885</v>
      </c>
      <c r="D19" s="19"/>
      <c r="E19" s="2"/>
      <c r="F19" s="19"/>
    </row>
    <row r="20" ht="15.75" customHeight="1">
      <c r="A20" s="1">
        <v>1.0247749E7</v>
      </c>
      <c r="B20" s="2" t="s">
        <v>180</v>
      </c>
      <c r="C20" s="19" t="s">
        <v>4886</v>
      </c>
      <c r="D20" s="19" t="s">
        <v>4887</v>
      </c>
      <c r="E20" s="2"/>
      <c r="F20" s="19"/>
    </row>
    <row r="21" ht="15.75" customHeight="1">
      <c r="A21" s="1">
        <v>1.0476572E7</v>
      </c>
      <c r="B21" s="2" t="s">
        <v>202</v>
      </c>
      <c r="C21" s="19" t="s">
        <v>4888</v>
      </c>
      <c r="D21" s="19" t="s">
        <v>4889</v>
      </c>
      <c r="E21" s="2"/>
      <c r="F21" s="19"/>
    </row>
    <row r="22" ht="15.75" customHeight="1">
      <c r="A22" s="1">
        <v>1.0586848E7</v>
      </c>
      <c r="B22" s="2" t="s">
        <v>644</v>
      </c>
      <c r="C22" s="19" t="s">
        <v>4890</v>
      </c>
      <c r="D22" s="19"/>
      <c r="E22" s="2"/>
      <c r="F22" s="19"/>
    </row>
    <row r="23" ht="15.75" customHeight="1">
      <c r="A23" s="1">
        <v>1.0673123E7</v>
      </c>
      <c r="B23" s="2" t="s">
        <v>961</v>
      </c>
      <c r="C23" s="19" t="s">
        <v>4891</v>
      </c>
      <c r="D23" s="19" t="s">
        <v>4892</v>
      </c>
      <c r="E23" s="2"/>
      <c r="F23" s="19"/>
    </row>
    <row r="24" ht="15.75" customHeight="1">
      <c r="A24" s="1">
        <v>1.0690115E7</v>
      </c>
      <c r="B24" s="2" t="s">
        <v>445</v>
      </c>
      <c r="C24" s="19" t="s">
        <v>4893</v>
      </c>
      <c r="D24" s="19" t="s">
        <v>4894</v>
      </c>
      <c r="E24" s="2"/>
      <c r="F24" s="19"/>
    </row>
    <row r="25" ht="15.75" customHeight="1">
      <c r="A25" s="1">
        <v>1.0761717E7</v>
      </c>
      <c r="B25" s="2" t="s">
        <v>2510</v>
      </c>
      <c r="C25" s="19" t="s">
        <v>4895</v>
      </c>
      <c r="D25" s="19"/>
      <c r="E25" s="2"/>
      <c r="F25" s="19"/>
    </row>
    <row r="26" ht="15.75" customHeight="1">
      <c r="A26" s="1">
        <v>1.0774183E7</v>
      </c>
      <c r="B26" s="2" t="s">
        <v>1705</v>
      </c>
      <c r="C26" s="19" t="s">
        <v>4896</v>
      </c>
      <c r="D26" s="19" t="s">
        <v>4897</v>
      </c>
      <c r="E26" s="2"/>
      <c r="F26" s="19"/>
    </row>
    <row r="27" ht="15.75" customHeight="1">
      <c r="A27" s="1">
        <v>1.0784169E7</v>
      </c>
      <c r="B27" s="2" t="s">
        <v>325</v>
      </c>
      <c r="C27" s="19" t="s">
        <v>4898</v>
      </c>
      <c r="D27" s="19" t="s">
        <v>4899</v>
      </c>
      <c r="E27" s="2"/>
      <c r="F27" s="19"/>
    </row>
    <row r="28" ht="15.75" customHeight="1">
      <c r="A28" s="1">
        <v>1.0898993E7</v>
      </c>
      <c r="B28" s="2" t="s">
        <v>374</v>
      </c>
      <c r="C28" s="19" t="s">
        <v>4900</v>
      </c>
      <c r="D28" s="19"/>
      <c r="E28" s="2"/>
      <c r="F28" s="19"/>
    </row>
    <row r="29" ht="15.75" customHeight="1">
      <c r="A29" s="1">
        <v>1.0919857E7</v>
      </c>
      <c r="B29" s="2" t="s">
        <v>324</v>
      </c>
      <c r="C29" s="19" t="s">
        <v>4901</v>
      </c>
      <c r="D29" s="19" t="s">
        <v>4902</v>
      </c>
      <c r="E29" s="2"/>
      <c r="F29" s="19"/>
    </row>
    <row r="30" ht="15.75" customHeight="1">
      <c r="A30" s="1">
        <v>1.0930561E7</v>
      </c>
      <c r="B30" s="2" t="s">
        <v>470</v>
      </c>
      <c r="C30" s="19" t="s">
        <v>4903</v>
      </c>
      <c r="D30" s="19"/>
      <c r="E30" s="2"/>
      <c r="F30" s="19"/>
    </row>
    <row r="31" ht="15.75" customHeight="1">
      <c r="A31" s="1">
        <v>1.1064969E7</v>
      </c>
      <c r="B31" s="2" t="s">
        <v>1739</v>
      </c>
      <c r="C31" s="19" t="s">
        <v>4904</v>
      </c>
      <c r="D31" s="19" t="s">
        <v>4905</v>
      </c>
      <c r="E31" s="2"/>
      <c r="F31" s="19"/>
    </row>
    <row r="32" ht="15.75" customHeight="1">
      <c r="A32" s="1">
        <v>1.1171081E7</v>
      </c>
      <c r="B32" s="2" t="s">
        <v>1391</v>
      </c>
      <c r="C32" s="19" t="s">
        <v>4906</v>
      </c>
      <c r="D32" s="19"/>
      <c r="E32" s="2"/>
      <c r="F32" s="19"/>
    </row>
    <row r="33" ht="15.75" customHeight="1">
      <c r="A33" s="1">
        <v>1.1306027E7</v>
      </c>
      <c r="B33" s="2" t="s">
        <v>1261</v>
      </c>
      <c r="C33" s="19" t="s">
        <v>4907</v>
      </c>
      <c r="D33" s="19" t="s">
        <v>4908</v>
      </c>
      <c r="E33" s="2"/>
      <c r="F33" s="19"/>
    </row>
    <row r="34" ht="15.75" customHeight="1">
      <c r="A34" s="1">
        <v>1.1316689E7</v>
      </c>
      <c r="B34" s="2" t="s">
        <v>1384</v>
      </c>
      <c r="C34" s="19" t="s">
        <v>4909</v>
      </c>
      <c r="D34" s="19"/>
      <c r="E34" s="2"/>
      <c r="F34" s="19"/>
    </row>
    <row r="35" ht="15.75" customHeight="1">
      <c r="A35" s="1">
        <v>1.1352675E7</v>
      </c>
      <c r="B35" s="2" t="s">
        <v>251</v>
      </c>
      <c r="C35" s="19" t="s">
        <v>4910</v>
      </c>
      <c r="D35" s="19"/>
      <c r="E35" s="2"/>
      <c r="F35" s="19"/>
    </row>
    <row r="36" ht="15.75" customHeight="1">
      <c r="A36" s="1">
        <v>1.1446885E7</v>
      </c>
      <c r="B36" s="2" t="s">
        <v>1131</v>
      </c>
      <c r="C36" s="19" t="s">
        <v>4911</v>
      </c>
      <c r="D36" s="19"/>
      <c r="E36" s="2"/>
      <c r="F36" s="19"/>
    </row>
    <row r="37" ht="15.75" customHeight="1">
      <c r="A37" s="1">
        <v>1.1698968E7</v>
      </c>
      <c r="B37" s="2" t="s">
        <v>331</v>
      </c>
      <c r="C37" s="19" t="s">
        <v>4912</v>
      </c>
      <c r="D37" s="19" t="s">
        <v>4913</v>
      </c>
      <c r="E37" s="2"/>
      <c r="F37" s="19"/>
    </row>
    <row r="38" ht="15.75" customHeight="1">
      <c r="A38" s="1">
        <v>1.1718933E7</v>
      </c>
      <c r="B38" s="2" t="s">
        <v>2068</v>
      </c>
      <c r="C38" s="19" t="s">
        <v>4914</v>
      </c>
      <c r="D38" s="19"/>
      <c r="E38" s="2"/>
      <c r="F38" s="19"/>
    </row>
    <row r="39" ht="15.75" customHeight="1">
      <c r="A39" s="1">
        <v>1.2020334E7</v>
      </c>
      <c r="B39" s="2" t="s">
        <v>1102</v>
      </c>
      <c r="C39" s="19" t="s">
        <v>4915</v>
      </c>
      <c r="D39" s="19" t="s">
        <v>4916</v>
      </c>
      <c r="E39" s="2"/>
      <c r="F39" s="19"/>
    </row>
    <row r="40" ht="15.75" customHeight="1">
      <c r="A40" s="1">
        <v>1.2028626E7</v>
      </c>
      <c r="B40" s="2" t="s">
        <v>983</v>
      </c>
      <c r="C40" s="19" t="s">
        <v>4917</v>
      </c>
      <c r="D40" s="19" t="s">
        <v>4918</v>
      </c>
      <c r="E40" s="2"/>
      <c r="F40" s="19"/>
    </row>
    <row r="41" ht="15.75" customHeight="1">
      <c r="A41" s="1">
        <v>1.2031216E7</v>
      </c>
      <c r="B41" s="2" t="s">
        <v>808</v>
      </c>
      <c r="C41" s="19" t="s">
        <v>4919</v>
      </c>
      <c r="D41" s="19"/>
      <c r="E41" s="2"/>
      <c r="F41" s="19"/>
    </row>
    <row r="42" ht="15.75" customHeight="1">
      <c r="A42" s="1">
        <v>1.2087385E7</v>
      </c>
      <c r="B42" s="2" t="s">
        <v>745</v>
      </c>
      <c r="C42" s="19" t="s">
        <v>4920</v>
      </c>
      <c r="D42" s="19" t="s">
        <v>4921</v>
      </c>
      <c r="E42" s="2"/>
      <c r="F42" s="19"/>
    </row>
    <row r="43" ht="15.75" customHeight="1">
      <c r="A43" s="1">
        <v>1.227074E7</v>
      </c>
      <c r="B43" s="2" t="s">
        <v>1610</v>
      </c>
      <c r="C43" s="19" t="s">
        <v>4922</v>
      </c>
      <c r="D43" s="19" t="s">
        <v>4923</v>
      </c>
      <c r="E43" s="2"/>
      <c r="F43" s="19"/>
    </row>
    <row r="44" ht="15.75" customHeight="1">
      <c r="A44" s="1">
        <v>1.2318829E7</v>
      </c>
      <c r="B44" s="2" t="s">
        <v>601</v>
      </c>
      <c r="C44" s="19" t="s">
        <v>4924</v>
      </c>
      <c r="D44" s="19" t="s">
        <v>4925</v>
      </c>
      <c r="E44" s="2"/>
      <c r="F44" s="19"/>
    </row>
    <row r="45" ht="15.75" customHeight="1">
      <c r="A45" s="1">
        <v>1.2382382E7</v>
      </c>
      <c r="B45" s="2" t="s">
        <v>758</v>
      </c>
      <c r="C45" s="19" t="s">
        <v>4926</v>
      </c>
      <c r="D45" s="19" t="s">
        <v>4927</v>
      </c>
      <c r="E45" s="2"/>
      <c r="F45" s="19"/>
    </row>
    <row r="46" ht="15.75" customHeight="1">
      <c r="A46" s="1">
        <v>1.2504547E7</v>
      </c>
      <c r="B46" s="2" t="s">
        <v>402</v>
      </c>
      <c r="C46" s="19" t="s">
        <v>4928</v>
      </c>
      <c r="D46" s="19" t="s">
        <v>4929</v>
      </c>
      <c r="E46" s="2"/>
      <c r="F46" s="19"/>
    </row>
    <row r="47" ht="15.75" customHeight="1">
      <c r="A47" s="1">
        <v>1.27291E7</v>
      </c>
      <c r="B47" s="2" t="s">
        <v>221</v>
      </c>
      <c r="C47" s="19" t="s">
        <v>4930</v>
      </c>
      <c r="D47" s="19" t="s">
        <v>4931</v>
      </c>
      <c r="E47" s="2"/>
      <c r="F47" s="19"/>
    </row>
    <row r="48" ht="15.75" customHeight="1">
      <c r="A48" s="1">
        <v>1.2892318E7</v>
      </c>
      <c r="B48" s="2" t="s">
        <v>923</v>
      </c>
      <c r="C48" s="19" t="s">
        <v>4932</v>
      </c>
      <c r="D48" s="19" t="s">
        <v>4933</v>
      </c>
      <c r="E48" s="2"/>
      <c r="F48" s="19"/>
    </row>
    <row r="49" ht="15.75" customHeight="1">
      <c r="A49" s="1">
        <v>1.3056153E7</v>
      </c>
      <c r="B49" s="2" t="s">
        <v>966</v>
      </c>
      <c r="C49" s="19" t="s">
        <v>4934</v>
      </c>
      <c r="D49" s="19" t="s">
        <v>4935</v>
      </c>
      <c r="E49" s="2"/>
      <c r="F49" s="19"/>
    </row>
    <row r="50" ht="15.75" customHeight="1">
      <c r="A50" s="1">
        <v>1.3063536E7</v>
      </c>
      <c r="B50" s="2" t="s">
        <v>1664</v>
      </c>
      <c r="C50" s="19" t="s">
        <v>4936</v>
      </c>
      <c r="D50" s="19" t="s">
        <v>4937</v>
      </c>
      <c r="E50" s="2"/>
      <c r="F50" s="19"/>
    </row>
    <row r="51" ht="15.75" customHeight="1">
      <c r="A51" s="1">
        <v>1.3085151E7</v>
      </c>
      <c r="B51" s="2" t="s">
        <v>235</v>
      </c>
      <c r="C51" s="19" t="s">
        <v>4938</v>
      </c>
      <c r="D51" s="19" t="s">
        <v>4939</v>
      </c>
      <c r="E51" s="2"/>
      <c r="F51" s="19"/>
    </row>
    <row r="52" ht="15.75" customHeight="1">
      <c r="A52" s="1">
        <v>1.3267422E7</v>
      </c>
      <c r="B52" s="2" t="s">
        <v>323</v>
      </c>
      <c r="C52" s="19" t="s">
        <v>4940</v>
      </c>
      <c r="D52" s="19"/>
      <c r="E52" s="2"/>
      <c r="F52" s="19"/>
    </row>
    <row r="53" ht="15.75" customHeight="1">
      <c r="A53" s="1">
        <v>1.3393253E7</v>
      </c>
      <c r="B53" s="2" t="s">
        <v>1169</v>
      </c>
      <c r="C53" s="19" t="s">
        <v>4941</v>
      </c>
      <c r="D53" s="19"/>
      <c r="E53" s="2"/>
      <c r="F53" s="19"/>
    </row>
    <row r="54" ht="15.75" customHeight="1">
      <c r="A54" s="1">
        <v>1.3480693E7</v>
      </c>
      <c r="B54" s="2" t="s">
        <v>1949</v>
      </c>
      <c r="C54" s="19" t="s">
        <v>4942</v>
      </c>
      <c r="D54" s="19"/>
      <c r="E54" s="2"/>
      <c r="F54" s="19"/>
    </row>
    <row r="55" ht="15.75" customHeight="1">
      <c r="A55" s="1">
        <v>1.3561945E7</v>
      </c>
      <c r="B55" s="2" t="s">
        <v>570</v>
      </c>
      <c r="C55" s="19" t="s">
        <v>4943</v>
      </c>
      <c r="D55" s="19" t="s">
        <v>4944</v>
      </c>
      <c r="E55" s="2"/>
      <c r="F55" s="19"/>
    </row>
    <row r="56" ht="15.75" customHeight="1">
      <c r="A56" s="1">
        <v>1.376787E7</v>
      </c>
      <c r="B56" s="2" t="s">
        <v>108</v>
      </c>
      <c r="C56" s="19" t="s">
        <v>4945</v>
      </c>
      <c r="D56" s="19" t="s">
        <v>4946</v>
      </c>
      <c r="E56" s="2"/>
      <c r="F56" s="19"/>
    </row>
    <row r="57" ht="15.75" customHeight="1">
      <c r="A57" s="1">
        <v>1.3825378E7</v>
      </c>
      <c r="B57" s="2" t="s">
        <v>307</v>
      </c>
      <c r="C57" s="19" t="s">
        <v>4947</v>
      </c>
      <c r="D57" s="19" t="s">
        <v>4948</v>
      </c>
      <c r="E57" s="2"/>
      <c r="F57" s="19"/>
    </row>
    <row r="58" ht="15.75" customHeight="1">
      <c r="A58" s="1">
        <v>1.3834716E7</v>
      </c>
      <c r="B58" s="2" t="s">
        <v>81</v>
      </c>
      <c r="C58" s="19" t="s">
        <v>4949</v>
      </c>
      <c r="D58" s="19" t="s">
        <v>4950</v>
      </c>
      <c r="E58" s="2"/>
      <c r="F58" s="19"/>
    </row>
    <row r="59" ht="15.75" customHeight="1">
      <c r="A59" s="1">
        <v>1.3929746E7</v>
      </c>
      <c r="B59" s="2" t="s">
        <v>161</v>
      </c>
      <c r="C59" s="19" t="s">
        <v>4951</v>
      </c>
      <c r="D59" s="19"/>
      <c r="E59" s="2"/>
      <c r="F59" s="19"/>
    </row>
    <row r="60" ht="15.75" customHeight="1">
      <c r="A60" s="1">
        <v>1.4001746E7</v>
      </c>
      <c r="B60" s="2" t="s">
        <v>669</v>
      </c>
      <c r="C60" s="19" t="s">
        <v>4952</v>
      </c>
      <c r="D60" s="19" t="s">
        <v>4953</v>
      </c>
      <c r="E60" s="2"/>
      <c r="F60" s="19"/>
    </row>
    <row r="61" ht="15.75" customHeight="1">
      <c r="A61" s="1">
        <v>1.4281766E7</v>
      </c>
      <c r="B61" s="2" t="s">
        <v>2404</v>
      </c>
      <c r="C61" s="19" t="s">
        <v>4954</v>
      </c>
      <c r="D61" s="19"/>
      <c r="E61" s="2"/>
      <c r="F61" s="19"/>
    </row>
    <row r="62" ht="15.75" customHeight="1">
      <c r="A62" s="1">
        <v>1.4475459E7</v>
      </c>
      <c r="B62" s="2" t="s">
        <v>1318</v>
      </c>
      <c r="C62" s="19" t="s">
        <v>4955</v>
      </c>
      <c r="D62" s="19" t="s">
        <v>4956</v>
      </c>
      <c r="E62" s="2"/>
      <c r="F62" s="19"/>
    </row>
    <row r="63" ht="15.75" customHeight="1">
      <c r="A63" s="1">
        <v>1.4487518E7</v>
      </c>
      <c r="B63" s="2" t="s">
        <v>1373</v>
      </c>
      <c r="C63" s="19" t="s">
        <v>4957</v>
      </c>
      <c r="D63" s="19" t="s">
        <v>4958</v>
      </c>
      <c r="E63" s="2"/>
      <c r="F63" s="19"/>
    </row>
    <row r="64" ht="15.75" customHeight="1">
      <c r="A64" s="1">
        <v>1.4530767E7</v>
      </c>
      <c r="B64" s="2" t="s">
        <v>851</v>
      </c>
      <c r="C64" s="19" t="s">
        <v>4959</v>
      </c>
      <c r="D64" s="19"/>
      <c r="E64" s="2"/>
      <c r="F64" s="19"/>
    </row>
    <row r="65" ht="15.75" customHeight="1">
      <c r="A65" s="1">
        <v>1.4534834E7</v>
      </c>
      <c r="B65" s="2" t="s">
        <v>901</v>
      </c>
      <c r="C65" s="19" t="s">
        <v>4960</v>
      </c>
      <c r="D65" s="19" t="s">
        <v>4961</v>
      </c>
      <c r="E65" s="2"/>
      <c r="F65" s="19"/>
    </row>
    <row r="66" ht="15.75" customHeight="1">
      <c r="A66" s="1">
        <v>1.4598065E7</v>
      </c>
      <c r="B66" s="2" t="s">
        <v>240</v>
      </c>
      <c r="C66" s="19" t="s">
        <v>4962</v>
      </c>
      <c r="D66" s="19" t="s">
        <v>4963</v>
      </c>
      <c r="E66" s="2"/>
      <c r="F66" s="19"/>
    </row>
    <row r="67" ht="15.75" customHeight="1">
      <c r="A67" s="1">
        <v>1.4634758E7</v>
      </c>
      <c r="B67" s="2" t="s">
        <v>2211</v>
      </c>
      <c r="C67" s="19" t="s">
        <v>4964</v>
      </c>
      <c r="D67" s="19"/>
      <c r="E67" s="2"/>
      <c r="F67" s="19"/>
    </row>
    <row r="68" ht="15.75" customHeight="1">
      <c r="A68" s="1">
        <v>1.4907056E7</v>
      </c>
      <c r="B68" s="2" t="s">
        <v>456</v>
      </c>
      <c r="C68" s="19" t="s">
        <v>4965</v>
      </c>
      <c r="D68" s="19"/>
      <c r="E68" s="2"/>
      <c r="F68" s="19"/>
    </row>
    <row r="69" ht="15.75" customHeight="1">
      <c r="A69" s="1">
        <v>1.5006547E7</v>
      </c>
      <c r="B69" s="2" t="s">
        <v>824</v>
      </c>
      <c r="C69" s="19" t="s">
        <v>4966</v>
      </c>
      <c r="D69" s="19" t="s">
        <v>4967</v>
      </c>
      <c r="E69" s="2"/>
      <c r="F69" s="19"/>
    </row>
    <row r="70" ht="15.75" customHeight="1">
      <c r="A70" s="1">
        <v>1.5045253E7</v>
      </c>
      <c r="B70" s="2" t="s">
        <v>1470</v>
      </c>
      <c r="C70" s="19" t="s">
        <v>4968</v>
      </c>
      <c r="D70" s="19"/>
      <c r="E70" s="2"/>
      <c r="F70" s="19"/>
    </row>
    <row r="71" ht="15.75" customHeight="1">
      <c r="A71" s="1">
        <v>1.5106856E7</v>
      </c>
      <c r="B71" s="2" t="s">
        <v>1698</v>
      </c>
      <c r="C71" s="19" t="s">
        <v>4969</v>
      </c>
      <c r="D71" s="19" t="s">
        <v>4970</v>
      </c>
      <c r="E71" s="2"/>
      <c r="F71" s="19"/>
    </row>
    <row r="72" ht="15.75" customHeight="1">
      <c r="A72" s="1">
        <v>1.5224492E7</v>
      </c>
      <c r="B72" s="2" t="s">
        <v>1277</v>
      </c>
      <c r="C72" s="19" t="s">
        <v>4971</v>
      </c>
      <c r="D72" s="19" t="s">
        <v>4972</v>
      </c>
      <c r="E72" s="2"/>
      <c r="F72" s="19"/>
    </row>
    <row r="73" ht="15.75" customHeight="1">
      <c r="A73" s="1">
        <v>1.5239231E7</v>
      </c>
      <c r="B73" s="2" t="s">
        <v>1687</v>
      </c>
      <c r="C73" s="19" t="s">
        <v>4973</v>
      </c>
      <c r="D73" s="19" t="s">
        <v>4974</v>
      </c>
      <c r="E73" s="2"/>
      <c r="F73" s="19"/>
    </row>
    <row r="74" ht="15.75" customHeight="1">
      <c r="A74" s="1">
        <v>1.5580847E7</v>
      </c>
      <c r="B74" s="2" t="s">
        <v>1755</v>
      </c>
      <c r="C74" s="19" t="s">
        <v>4975</v>
      </c>
      <c r="D74" s="19" t="s">
        <v>4976</v>
      </c>
      <c r="E74" s="2"/>
      <c r="F74" s="19"/>
    </row>
    <row r="75" ht="15.75" customHeight="1">
      <c r="A75" s="1">
        <v>1.5763574E7</v>
      </c>
      <c r="B75" s="2" t="s">
        <v>223</v>
      </c>
      <c r="C75" s="19" t="s">
        <v>4977</v>
      </c>
      <c r="D75" s="19"/>
      <c r="E75" s="2"/>
      <c r="F75" s="19"/>
    </row>
    <row r="76" ht="15.75" customHeight="1">
      <c r="A76" s="1">
        <v>1.5919715E7</v>
      </c>
      <c r="B76" s="2" t="s">
        <v>165</v>
      </c>
      <c r="C76" s="19" t="s">
        <v>4978</v>
      </c>
      <c r="D76" s="19" t="s">
        <v>4979</v>
      </c>
      <c r="E76" s="2"/>
      <c r="F76" s="19"/>
    </row>
    <row r="77" ht="15.75" customHeight="1">
      <c r="A77" s="1">
        <v>1.6001298E7</v>
      </c>
      <c r="B77" s="2" t="s">
        <v>45</v>
      </c>
      <c r="C77" s="19" t="s">
        <v>4980</v>
      </c>
      <c r="D77" s="19" t="s">
        <v>4981</v>
      </c>
      <c r="E77" s="2"/>
      <c r="F77" s="19"/>
    </row>
    <row r="78" ht="15.75" customHeight="1">
      <c r="A78" s="1">
        <v>1.6045596E7</v>
      </c>
      <c r="B78" s="2" t="s">
        <v>344</v>
      </c>
      <c r="C78" s="19" t="s">
        <v>4982</v>
      </c>
      <c r="D78" s="19" t="s">
        <v>4983</v>
      </c>
      <c r="E78" s="2"/>
      <c r="F78" s="19"/>
    </row>
    <row r="79" ht="15.75" customHeight="1">
      <c r="A79" s="1">
        <v>1.6087271E7</v>
      </c>
      <c r="B79" s="2" t="s">
        <v>837</v>
      </c>
      <c r="C79" s="19" t="s">
        <v>4984</v>
      </c>
      <c r="D79" s="19"/>
      <c r="E79" s="2"/>
      <c r="F79" s="19"/>
    </row>
    <row r="80" ht="15.75" customHeight="1">
      <c r="A80" s="1">
        <v>1.6152727E7</v>
      </c>
      <c r="B80" s="2" t="s">
        <v>294</v>
      </c>
      <c r="C80" s="19" t="s">
        <v>4985</v>
      </c>
      <c r="D80" s="19"/>
      <c r="E80" s="2"/>
      <c r="F80" s="19"/>
    </row>
    <row r="81" ht="15.75" customHeight="1">
      <c r="A81" s="1">
        <v>1.6163032E7</v>
      </c>
      <c r="B81" s="2" t="s">
        <v>640</v>
      </c>
      <c r="C81" s="19" t="s">
        <v>4986</v>
      </c>
      <c r="D81" s="19" t="s">
        <v>4987</v>
      </c>
      <c r="E81" s="2"/>
      <c r="F81" s="19"/>
    </row>
    <row r="82" ht="15.75" customHeight="1">
      <c r="A82" s="1">
        <v>1.6306006E7</v>
      </c>
      <c r="B82" s="2" t="s">
        <v>1192</v>
      </c>
      <c r="C82" s="19" t="s">
        <v>4988</v>
      </c>
      <c r="D82" s="19"/>
      <c r="E82" s="2"/>
      <c r="F82" s="19"/>
    </row>
    <row r="83" ht="15.75" customHeight="1">
      <c r="A83" s="1">
        <v>1.6437979E7</v>
      </c>
      <c r="B83" s="2" t="s">
        <v>540</v>
      </c>
      <c r="C83" s="19" t="s">
        <v>4989</v>
      </c>
      <c r="D83" s="19"/>
      <c r="E83" s="2"/>
      <c r="F83" s="19"/>
    </row>
    <row r="84" ht="15.75" customHeight="1">
      <c r="A84" s="1">
        <v>1.6563253E7</v>
      </c>
      <c r="B84" s="2" t="s">
        <v>992</v>
      </c>
      <c r="C84" s="19" t="s">
        <v>4990</v>
      </c>
      <c r="D84" s="19" t="s">
        <v>4991</v>
      </c>
      <c r="E84" s="2"/>
      <c r="F84" s="19"/>
    </row>
    <row r="85" ht="15.75" customHeight="1">
      <c r="A85" s="1">
        <v>1.6567269E7</v>
      </c>
      <c r="B85" s="2" t="s">
        <v>359</v>
      </c>
      <c r="C85" s="19" t="s">
        <v>4992</v>
      </c>
      <c r="D85" s="19"/>
      <c r="E85" s="2"/>
      <c r="F85" s="19"/>
    </row>
    <row r="86" ht="15.75" customHeight="1">
      <c r="A86" s="1">
        <v>1.6819801E7</v>
      </c>
      <c r="B86" s="2" t="s">
        <v>51</v>
      </c>
      <c r="C86" s="19" t="s">
        <v>4993</v>
      </c>
      <c r="D86" s="19" t="s">
        <v>4994</v>
      </c>
      <c r="E86" s="2"/>
      <c r="F86" s="19"/>
    </row>
    <row r="87" ht="15.75" customHeight="1">
      <c r="A87" s="1">
        <v>1.6911661E7</v>
      </c>
      <c r="B87" s="2" t="s">
        <v>222</v>
      </c>
      <c r="C87" s="19" t="s">
        <v>4995</v>
      </c>
      <c r="D87" s="19" t="s">
        <v>4996</v>
      </c>
      <c r="E87" s="2"/>
      <c r="F87" s="19"/>
    </row>
    <row r="88" ht="15.75" customHeight="1">
      <c r="A88" s="1">
        <v>1.6937042E7</v>
      </c>
      <c r="B88" s="2" t="s">
        <v>559</v>
      </c>
      <c r="C88" s="19" t="s">
        <v>4997</v>
      </c>
      <c r="D88" s="19" t="s">
        <v>4998</v>
      </c>
      <c r="E88" s="2"/>
      <c r="F88" s="19"/>
    </row>
    <row r="89" ht="15.75" customHeight="1">
      <c r="A89" s="1">
        <v>1.6942433E7</v>
      </c>
      <c r="B89" s="2" t="s">
        <v>602</v>
      </c>
      <c r="C89" s="19" t="s">
        <v>4999</v>
      </c>
      <c r="D89" s="19" t="s">
        <v>5000</v>
      </c>
      <c r="E89" s="2"/>
      <c r="F89" s="19"/>
    </row>
    <row r="90" ht="15.75" customHeight="1">
      <c r="A90" s="1">
        <v>1.6999224E7</v>
      </c>
      <c r="B90" s="2" t="s">
        <v>1019</v>
      </c>
      <c r="C90" s="19" t="s">
        <v>5001</v>
      </c>
      <c r="D90" s="19"/>
      <c r="E90" s="2"/>
      <c r="F90" s="19"/>
    </row>
    <row r="91" ht="15.75" customHeight="1">
      <c r="A91" s="1">
        <v>1.7220341E7</v>
      </c>
      <c r="B91" s="2" t="s">
        <v>695</v>
      </c>
      <c r="C91" s="19" t="s">
        <v>5002</v>
      </c>
      <c r="D91" s="19"/>
      <c r="E91" s="2"/>
      <c r="F91" s="19"/>
    </row>
    <row r="92" ht="15.75" customHeight="1">
      <c r="A92" s="1">
        <v>1.7273496E7</v>
      </c>
      <c r="B92" s="2" t="s">
        <v>215</v>
      </c>
      <c r="C92" s="19" t="s">
        <v>5003</v>
      </c>
      <c r="D92" s="19"/>
      <c r="E92" s="2"/>
      <c r="F92" s="19"/>
    </row>
    <row r="93" ht="15.75" customHeight="1">
      <c r="A93" s="1">
        <v>1.731369E7</v>
      </c>
      <c r="B93" s="2" t="s">
        <v>1305</v>
      </c>
      <c r="C93" s="19" t="s">
        <v>5004</v>
      </c>
      <c r="D93" s="19"/>
      <c r="E93" s="2"/>
      <c r="F93" s="19"/>
    </row>
    <row r="94" ht="15.75" customHeight="1">
      <c r="A94" s="1">
        <v>1.7389702E7</v>
      </c>
      <c r="B94" s="2" t="s">
        <v>508</v>
      </c>
      <c r="C94" s="19" t="s">
        <v>5005</v>
      </c>
      <c r="D94" s="19"/>
      <c r="E94" s="2"/>
      <c r="F94" s="19"/>
    </row>
    <row r="95" ht="15.75" customHeight="1">
      <c r="A95" s="1">
        <v>1.7575941E7</v>
      </c>
      <c r="B95" s="2" t="s">
        <v>611</v>
      </c>
      <c r="C95" s="19" t="s">
        <v>5006</v>
      </c>
      <c r="D95" s="19" t="s">
        <v>5007</v>
      </c>
      <c r="E95" s="2"/>
      <c r="F95" s="19"/>
    </row>
    <row r="96" ht="15.75" customHeight="1">
      <c r="A96" s="1">
        <v>1.7758355E7</v>
      </c>
      <c r="B96" s="2" t="s">
        <v>121</v>
      </c>
      <c r="C96" s="19" t="s">
        <v>5008</v>
      </c>
      <c r="D96" s="19"/>
      <c r="E96" s="2"/>
      <c r="F96" s="19"/>
    </row>
    <row r="97" ht="15.75" customHeight="1">
      <c r="A97" s="1">
        <v>1.780181E7</v>
      </c>
      <c r="B97" s="2" t="s">
        <v>2280</v>
      </c>
      <c r="C97" s="19" t="s">
        <v>5009</v>
      </c>
      <c r="D97" s="19"/>
      <c r="E97" s="2"/>
      <c r="F97" s="19"/>
    </row>
    <row r="98" ht="15.75" customHeight="1">
      <c r="A98" s="1">
        <v>1.7926933E7</v>
      </c>
      <c r="B98" s="2" t="s">
        <v>1264</v>
      </c>
      <c r="C98" s="19" t="s">
        <v>5010</v>
      </c>
      <c r="D98" s="19"/>
      <c r="E98" s="2"/>
      <c r="F98" s="19"/>
    </row>
    <row r="99" ht="15.75" customHeight="1">
      <c r="A99" s="1">
        <v>1.7934697E7</v>
      </c>
      <c r="B99" s="2" t="s">
        <v>312</v>
      </c>
      <c r="C99" s="19" t="s">
        <v>5011</v>
      </c>
      <c r="D99" s="19" t="s">
        <v>5012</v>
      </c>
      <c r="E99" s="2"/>
      <c r="F99" s="19"/>
    </row>
    <row r="100" ht="15.75" customHeight="1">
      <c r="A100" s="1">
        <v>1.7958629E7</v>
      </c>
      <c r="B100" s="2" t="s">
        <v>1230</v>
      </c>
      <c r="C100" s="19" t="s">
        <v>5013</v>
      </c>
      <c r="D100" s="19" t="s">
        <v>5014</v>
      </c>
      <c r="E100" s="2"/>
      <c r="F100" s="19"/>
    </row>
    <row r="101" ht="15.75" customHeight="1">
      <c r="A101" s="1">
        <v>1.7969305E7</v>
      </c>
      <c r="B101" s="2" t="s">
        <v>1213</v>
      </c>
      <c r="C101" s="19" t="s">
        <v>5015</v>
      </c>
      <c r="D101" s="19"/>
      <c r="E101" s="2"/>
      <c r="F101" s="19"/>
    </row>
    <row r="102" ht="15.75" customHeight="1">
      <c r="A102" s="1">
        <v>1.8041364E7</v>
      </c>
      <c r="B102" s="2" t="s">
        <v>1009</v>
      </c>
      <c r="C102" s="19" t="s">
        <v>5016</v>
      </c>
      <c r="D102" s="19"/>
      <c r="E102" s="2"/>
      <c r="F102" s="19"/>
    </row>
    <row r="103" ht="15.75" customHeight="1">
      <c r="A103" s="1">
        <v>1.8096689E7</v>
      </c>
      <c r="B103" s="2" t="s">
        <v>334</v>
      </c>
      <c r="C103" s="19" t="s">
        <v>5017</v>
      </c>
      <c r="D103" s="19"/>
      <c r="E103" s="2"/>
      <c r="F103" s="19"/>
    </row>
    <row r="104" ht="15.75" customHeight="1">
      <c r="A104" s="1">
        <v>1.81028E7</v>
      </c>
      <c r="B104" s="2" t="s">
        <v>1331</v>
      </c>
      <c r="C104" s="19" t="s">
        <v>5018</v>
      </c>
      <c r="D104" s="19" t="s">
        <v>5019</v>
      </c>
      <c r="E104" s="2"/>
      <c r="F104" s="19"/>
    </row>
    <row r="105" ht="15.75" customHeight="1">
      <c r="A105" s="1">
        <v>1.823479E7</v>
      </c>
      <c r="B105" s="2" t="s">
        <v>384</v>
      </c>
      <c r="C105" s="19" t="s">
        <v>5020</v>
      </c>
      <c r="D105" s="19" t="s">
        <v>5021</v>
      </c>
      <c r="E105" s="2"/>
      <c r="F105" s="19"/>
    </row>
    <row r="106" ht="15.75" customHeight="1">
      <c r="A106" s="1">
        <v>1.8270581E7</v>
      </c>
      <c r="B106" s="2" t="s">
        <v>1252</v>
      </c>
      <c r="C106" s="19" t="s">
        <v>5022</v>
      </c>
      <c r="D106" s="19" t="s">
        <v>5023</v>
      </c>
      <c r="E106" s="2"/>
      <c r="F106" s="19"/>
    </row>
    <row r="107" ht="15.75" customHeight="1">
      <c r="A107" s="8">
        <v>1.8335697E7</v>
      </c>
      <c r="B107" s="6" t="s">
        <v>36</v>
      </c>
      <c r="C107" s="19" t="s">
        <v>5024</v>
      </c>
      <c r="D107" s="19" t="s">
        <v>5025</v>
      </c>
      <c r="E107" s="6"/>
      <c r="F107" s="19"/>
      <c r="G107" s="8"/>
    </row>
    <row r="108" ht="15.75" customHeight="1">
      <c r="A108" s="1">
        <v>1.8368258E7</v>
      </c>
      <c r="B108" s="2" t="s">
        <v>120</v>
      </c>
      <c r="C108" s="19" t="s">
        <v>5026</v>
      </c>
      <c r="D108" s="19" t="s">
        <v>5027</v>
      </c>
      <c r="E108" s="2"/>
      <c r="F108" s="19"/>
    </row>
    <row r="109" ht="15.75" customHeight="1">
      <c r="A109" s="1">
        <v>1.8557198E7</v>
      </c>
      <c r="B109" s="2" t="s">
        <v>1010</v>
      </c>
      <c r="C109" s="19" t="s">
        <v>5028</v>
      </c>
      <c r="D109" s="19" t="s">
        <v>5029</v>
      </c>
      <c r="E109" s="2"/>
      <c r="F109" s="19"/>
    </row>
    <row r="110" ht="15.75" customHeight="1">
      <c r="A110" s="1">
        <v>1.8580277E7</v>
      </c>
      <c r="B110" s="2" t="s">
        <v>1862</v>
      </c>
      <c r="C110" s="19" t="s">
        <v>5030</v>
      </c>
      <c r="D110" s="19"/>
      <c r="E110" s="2"/>
      <c r="F110" s="19"/>
    </row>
    <row r="111" ht="15.75" customHeight="1">
      <c r="A111" s="1">
        <v>1.8617586E7</v>
      </c>
      <c r="B111" s="2" t="s">
        <v>1529</v>
      </c>
      <c r="C111" s="19" t="s">
        <v>5031</v>
      </c>
      <c r="D111" s="19" t="s">
        <v>5032</v>
      </c>
      <c r="E111" s="2"/>
      <c r="F111" s="19"/>
    </row>
    <row r="112" ht="15.75" customHeight="1">
      <c r="A112" s="1">
        <v>1.8624062E7</v>
      </c>
      <c r="B112" s="2" t="s">
        <v>855</v>
      </c>
      <c r="C112" s="19" t="s">
        <v>5033</v>
      </c>
      <c r="D112" s="19"/>
      <c r="E112" s="2"/>
      <c r="F112" s="19"/>
    </row>
    <row r="113" ht="15.75" customHeight="1">
      <c r="A113" s="1">
        <v>1.8730532E7</v>
      </c>
      <c r="B113" s="2" t="s">
        <v>628</v>
      </c>
      <c r="C113" s="19" t="s">
        <v>5034</v>
      </c>
      <c r="D113" s="19" t="s">
        <v>5035</v>
      </c>
      <c r="E113" s="2"/>
      <c r="F113" s="19"/>
    </row>
    <row r="114" ht="15.75" customHeight="1">
      <c r="A114" s="1">
        <v>1.8933749E7</v>
      </c>
      <c r="B114" s="2" t="s">
        <v>335</v>
      </c>
      <c r="C114" s="19" t="s">
        <v>5036</v>
      </c>
      <c r="D114" s="19"/>
      <c r="E114" s="2"/>
      <c r="F114" s="19"/>
    </row>
    <row r="115" ht="15.75" customHeight="1">
      <c r="A115" s="1">
        <v>1.9102367E7</v>
      </c>
      <c r="B115" s="2" t="s">
        <v>1653</v>
      </c>
      <c r="C115" s="19" t="s">
        <v>5037</v>
      </c>
      <c r="D115" s="19"/>
      <c r="E115" s="2"/>
      <c r="F115" s="19"/>
    </row>
    <row r="116" ht="15.75" customHeight="1">
      <c r="A116" s="1">
        <v>1.9109573E7</v>
      </c>
      <c r="B116" s="2" t="s">
        <v>2125</v>
      </c>
      <c r="C116" s="19" t="s">
        <v>5038</v>
      </c>
      <c r="D116" s="19"/>
      <c r="E116" s="2"/>
      <c r="F116" s="19"/>
    </row>
    <row r="117" ht="15.75" customHeight="1">
      <c r="A117" s="1">
        <v>1.9112286E7</v>
      </c>
      <c r="B117" s="2" t="s">
        <v>1067</v>
      </c>
      <c r="C117" s="19" t="s">
        <v>5039</v>
      </c>
      <c r="D117" s="19"/>
      <c r="E117" s="2"/>
      <c r="F117" s="19"/>
    </row>
    <row r="118" ht="15.75" customHeight="1">
      <c r="A118" s="1">
        <v>1.9223588E7</v>
      </c>
      <c r="B118" s="2" t="s">
        <v>615</v>
      </c>
      <c r="C118" s="19" t="s">
        <v>5040</v>
      </c>
      <c r="D118" s="19"/>
      <c r="E118" s="2"/>
      <c r="F118" s="19"/>
    </row>
    <row r="119" ht="15.75" customHeight="1">
      <c r="A119" s="1">
        <v>1.9289621E7</v>
      </c>
      <c r="B119" s="2" t="s">
        <v>499</v>
      </c>
      <c r="C119" s="19" t="s">
        <v>5041</v>
      </c>
      <c r="D119" s="19"/>
      <c r="E119" s="2"/>
      <c r="F119" s="19"/>
    </row>
    <row r="120" ht="15.75" customHeight="1">
      <c r="A120" s="1">
        <v>1.9290354E7</v>
      </c>
      <c r="B120" s="2" t="s">
        <v>1362</v>
      </c>
      <c r="C120" s="19" t="s">
        <v>5042</v>
      </c>
      <c r="D120" s="19"/>
      <c r="E120" s="2"/>
      <c r="F120" s="19"/>
    </row>
    <row r="121" ht="15.75" customHeight="1">
      <c r="A121" s="1">
        <v>1.9432016E7</v>
      </c>
      <c r="B121" s="2" t="s">
        <v>599</v>
      </c>
      <c r="C121" s="19" t="s">
        <v>5043</v>
      </c>
      <c r="D121" s="19"/>
      <c r="E121" s="2"/>
      <c r="F121" s="19"/>
    </row>
    <row r="122" ht="15.75" customHeight="1">
      <c r="A122" s="1">
        <v>1.9438872E7</v>
      </c>
      <c r="B122" s="2" t="s">
        <v>1194</v>
      </c>
      <c r="C122" s="19" t="s">
        <v>5044</v>
      </c>
      <c r="D122" s="19"/>
      <c r="E122" s="2"/>
      <c r="F122" s="19"/>
    </row>
    <row r="123" ht="15.75" customHeight="1">
      <c r="A123" s="1">
        <v>1.9478478E7</v>
      </c>
      <c r="B123" s="2" t="s">
        <v>1893</v>
      </c>
      <c r="C123" s="19" t="s">
        <v>5045</v>
      </c>
      <c r="D123" s="19"/>
      <c r="E123" s="2"/>
      <c r="F123" s="19"/>
    </row>
    <row r="124" ht="15.75" customHeight="1">
      <c r="A124" s="1">
        <v>1.9495048E7</v>
      </c>
      <c r="B124" s="2" t="s">
        <v>123</v>
      </c>
      <c r="C124" s="19" t="s">
        <v>5046</v>
      </c>
      <c r="D124" s="19"/>
      <c r="E124" s="2"/>
      <c r="F124" s="19"/>
    </row>
    <row r="125" ht="15.75" customHeight="1">
      <c r="A125" s="1">
        <v>1.9654786E7</v>
      </c>
      <c r="B125" s="2" t="s">
        <v>2151</v>
      </c>
      <c r="C125" s="19" t="s">
        <v>5047</v>
      </c>
      <c r="D125" s="19"/>
      <c r="E125" s="2"/>
      <c r="F125" s="19"/>
    </row>
    <row r="126" ht="15.75" customHeight="1">
      <c r="A126" s="1">
        <v>1.979632E7</v>
      </c>
      <c r="B126" s="2" t="s">
        <v>459</v>
      </c>
      <c r="C126" s="19" t="s">
        <v>5048</v>
      </c>
      <c r="D126" s="19" t="s">
        <v>5049</v>
      </c>
      <c r="E126" s="2"/>
      <c r="F126" s="19"/>
    </row>
    <row r="127" ht="15.75" customHeight="1">
      <c r="A127" s="1">
        <v>1.9802076E7</v>
      </c>
      <c r="B127" s="2" t="s">
        <v>825</v>
      </c>
      <c r="C127" s="19" t="s">
        <v>5050</v>
      </c>
      <c r="D127" s="19" t="s">
        <v>5051</v>
      </c>
      <c r="E127" s="2"/>
      <c r="F127" s="19"/>
    </row>
    <row r="128" ht="15.75" customHeight="1">
      <c r="A128" s="1">
        <v>2.0089789E7</v>
      </c>
      <c r="B128" s="2" t="s">
        <v>356</v>
      </c>
      <c r="C128" s="19" t="s">
        <v>5052</v>
      </c>
      <c r="D128" s="19"/>
      <c r="E128" s="2"/>
      <c r="F128" s="19"/>
    </row>
    <row r="129" ht="15.75" customHeight="1">
      <c r="A129" s="1">
        <v>2.0176524E7</v>
      </c>
      <c r="B129" s="2" t="s">
        <v>945</v>
      </c>
      <c r="C129" s="19" t="s">
        <v>5053</v>
      </c>
      <c r="D129" s="19"/>
      <c r="E129" s="2"/>
      <c r="F129" s="19"/>
    </row>
    <row r="130" ht="15.75" customHeight="1">
      <c r="A130" s="1">
        <v>2.0183529E7</v>
      </c>
      <c r="B130" s="2" t="s">
        <v>350</v>
      </c>
      <c r="C130" s="19" t="s">
        <v>5054</v>
      </c>
      <c r="D130" s="19"/>
      <c r="E130" s="2"/>
      <c r="F130" s="19"/>
    </row>
    <row r="131" ht="15.75" customHeight="1">
      <c r="A131" s="1">
        <v>2.0287085E7</v>
      </c>
      <c r="B131" s="2" t="s">
        <v>243</v>
      </c>
      <c r="C131" s="19" t="s">
        <v>5055</v>
      </c>
      <c r="D131" s="19" t="s">
        <v>5056</v>
      </c>
      <c r="E131" s="2"/>
      <c r="F131" s="19"/>
    </row>
    <row r="132" ht="15.75" customHeight="1">
      <c r="A132" s="1">
        <v>2.0486048E7</v>
      </c>
      <c r="B132" s="2" t="s">
        <v>451</v>
      </c>
      <c r="C132" s="19" t="s">
        <v>5057</v>
      </c>
      <c r="D132" s="19"/>
      <c r="E132" s="2"/>
      <c r="F132" s="19"/>
    </row>
    <row r="133" ht="15.75" customHeight="1">
      <c r="A133" s="1">
        <v>2.0628669E7</v>
      </c>
      <c r="B133" s="2" t="s">
        <v>199</v>
      </c>
      <c r="C133" s="19" t="s">
        <v>5058</v>
      </c>
      <c r="D133" s="19"/>
      <c r="E133" s="2"/>
      <c r="F133" s="19"/>
    </row>
    <row r="134" ht="15.75" customHeight="1">
      <c r="A134" s="1">
        <v>2.069311E7</v>
      </c>
      <c r="B134" s="2" t="s">
        <v>306</v>
      </c>
      <c r="C134" s="19" t="s">
        <v>5059</v>
      </c>
      <c r="D134" s="19" t="s">
        <v>5060</v>
      </c>
      <c r="E134" s="2"/>
      <c r="F134" s="19"/>
    </row>
    <row r="135" ht="15.75" customHeight="1">
      <c r="A135" s="1">
        <v>2.0738551E7</v>
      </c>
      <c r="B135" s="2" t="s">
        <v>372</v>
      </c>
      <c r="C135" s="19" t="s">
        <v>5061</v>
      </c>
      <c r="D135" s="19" t="s">
        <v>5062</v>
      </c>
      <c r="E135" s="2"/>
      <c r="F135" s="19"/>
    </row>
    <row r="136" ht="15.75" customHeight="1">
      <c r="A136" s="1">
        <v>2.0755712E7</v>
      </c>
      <c r="B136" s="2" t="s">
        <v>620</v>
      </c>
      <c r="C136" s="19" t="s">
        <v>5063</v>
      </c>
      <c r="D136" s="19"/>
      <c r="E136" s="2"/>
      <c r="F136" s="19"/>
    </row>
    <row r="137" ht="15.75" customHeight="1">
      <c r="A137" s="1">
        <v>2.07701E7</v>
      </c>
      <c r="B137" s="2" t="s">
        <v>738</v>
      </c>
      <c r="C137" s="19" t="s">
        <v>5064</v>
      </c>
      <c r="D137" s="19" t="s">
        <v>5065</v>
      </c>
      <c r="E137" s="2"/>
      <c r="F137" s="19"/>
    </row>
    <row r="138" ht="15.75" customHeight="1">
      <c r="A138" s="1">
        <v>2.0846544E7</v>
      </c>
      <c r="B138" s="2" t="s">
        <v>579</v>
      </c>
      <c r="C138" s="19" t="s">
        <v>5066</v>
      </c>
      <c r="D138" s="19"/>
      <c r="E138" s="2"/>
      <c r="F138" s="19"/>
    </row>
    <row r="139" ht="15.75" customHeight="1">
      <c r="A139" s="1">
        <v>2.1042729E7</v>
      </c>
      <c r="B139" s="2" t="s">
        <v>1658</v>
      </c>
      <c r="C139" s="19" t="s">
        <v>5067</v>
      </c>
      <c r="D139" s="19" t="s">
        <v>5068</v>
      </c>
      <c r="E139" s="2"/>
      <c r="F139" s="19"/>
    </row>
    <row r="140" ht="15.75" customHeight="1">
      <c r="A140" s="1">
        <v>2.1050053E7</v>
      </c>
      <c r="B140" s="2" t="s">
        <v>1799</v>
      </c>
      <c r="C140" s="19" t="s">
        <v>5069</v>
      </c>
      <c r="D140" s="19"/>
      <c r="E140" s="2"/>
      <c r="F140" s="19"/>
    </row>
    <row r="141" ht="15.75" customHeight="1">
      <c r="A141" s="1">
        <v>2.1122367E7</v>
      </c>
      <c r="B141" s="2" t="s">
        <v>1073</v>
      </c>
      <c r="C141" s="19" t="s">
        <v>5070</v>
      </c>
      <c r="D141" s="19" t="s">
        <v>5071</v>
      </c>
      <c r="E141" s="2"/>
      <c r="F141" s="19"/>
    </row>
    <row r="142" ht="15.75" customHeight="1">
      <c r="A142" s="1">
        <v>2.1177958E7</v>
      </c>
      <c r="B142" s="2" t="s">
        <v>1434</v>
      </c>
      <c r="C142" s="19" t="s">
        <v>5072</v>
      </c>
      <c r="D142" s="19" t="s">
        <v>5073</v>
      </c>
      <c r="E142" s="2"/>
      <c r="F142" s="19"/>
    </row>
    <row r="143" ht="15.75" customHeight="1">
      <c r="A143" s="1">
        <v>2.117856E7</v>
      </c>
      <c r="B143" s="2" t="s">
        <v>113</v>
      </c>
      <c r="C143" s="19" t="s">
        <v>5074</v>
      </c>
      <c r="D143" s="19" t="s">
        <v>5075</v>
      </c>
      <c r="E143" s="2"/>
      <c r="F143" s="19"/>
    </row>
    <row r="144" ht="15.75" customHeight="1">
      <c r="A144" s="1">
        <v>2.1314917E7</v>
      </c>
      <c r="B144" s="2" t="s">
        <v>643</v>
      </c>
      <c r="C144" s="19" t="s">
        <v>5076</v>
      </c>
      <c r="D144" s="19" t="s">
        <v>5077</v>
      </c>
      <c r="E144" s="2"/>
      <c r="F144" s="19"/>
    </row>
    <row r="145" ht="15.75" customHeight="1">
      <c r="A145" s="1">
        <v>2.1333391E7</v>
      </c>
      <c r="B145" s="2" t="s">
        <v>486</v>
      </c>
      <c r="C145" s="19" t="s">
        <v>5078</v>
      </c>
      <c r="D145" s="19"/>
      <c r="E145" s="2"/>
      <c r="F145" s="19"/>
    </row>
    <row r="146" ht="15.75" customHeight="1">
      <c r="A146" s="1">
        <v>2.1404255E7</v>
      </c>
      <c r="B146" s="2" t="s">
        <v>1196</v>
      </c>
      <c r="C146" s="19" t="s">
        <v>5079</v>
      </c>
      <c r="D146" s="19"/>
      <c r="E146" s="2"/>
      <c r="F146" s="19"/>
    </row>
    <row r="147" ht="15.75" customHeight="1">
      <c r="A147" s="1">
        <v>2.1422363E7</v>
      </c>
      <c r="B147" s="2" t="s">
        <v>2380</v>
      </c>
      <c r="C147" s="19" t="s">
        <v>5080</v>
      </c>
      <c r="D147" s="19" t="s">
        <v>5081</v>
      </c>
      <c r="E147" s="2"/>
      <c r="F147" s="19"/>
    </row>
    <row r="148" ht="15.75" customHeight="1">
      <c r="A148" s="1">
        <v>2.1437901E7</v>
      </c>
      <c r="B148" s="2" t="s">
        <v>1603</v>
      </c>
      <c r="C148" s="19" t="s">
        <v>5082</v>
      </c>
      <c r="D148" s="19" t="s">
        <v>5083</v>
      </c>
      <c r="E148" s="2"/>
      <c r="F148" s="19"/>
    </row>
    <row r="149" ht="15.75" customHeight="1">
      <c r="A149" s="1">
        <v>2.1473504E7</v>
      </c>
      <c r="B149" s="2" t="s">
        <v>216</v>
      </c>
      <c r="C149" s="19" t="s">
        <v>5084</v>
      </c>
      <c r="D149" s="19" t="s">
        <v>5085</v>
      </c>
      <c r="E149" s="2"/>
      <c r="F149" s="19"/>
    </row>
    <row r="150" ht="15.75" customHeight="1">
      <c r="A150" s="1">
        <v>2.1492201E7</v>
      </c>
      <c r="B150" s="2" t="s">
        <v>342</v>
      </c>
      <c r="C150" s="19" t="s">
        <v>5086</v>
      </c>
      <c r="D150" s="19" t="s">
        <v>5087</v>
      </c>
      <c r="E150" s="2"/>
      <c r="F150" s="19"/>
    </row>
    <row r="151" ht="15.75" customHeight="1">
      <c r="A151" s="1">
        <v>2.1871067E7</v>
      </c>
      <c r="B151" s="2" t="s">
        <v>2258</v>
      </c>
      <c r="C151" s="19" t="s">
        <v>5088</v>
      </c>
      <c r="D151" s="19" t="s">
        <v>5089</v>
      </c>
      <c r="E151" s="2"/>
      <c r="F151" s="19"/>
    </row>
    <row r="152" ht="15.75" customHeight="1">
      <c r="A152" s="1">
        <v>2.189649E7</v>
      </c>
      <c r="B152" s="2" t="s">
        <v>1385</v>
      </c>
      <c r="C152" s="19" t="s">
        <v>5090</v>
      </c>
      <c r="D152" s="19"/>
      <c r="E152" s="2"/>
      <c r="F152" s="19"/>
    </row>
    <row r="153" ht="15.75" customHeight="1">
      <c r="A153" s="1">
        <v>2.1907126E7</v>
      </c>
      <c r="B153" s="2" t="s">
        <v>651</v>
      </c>
      <c r="C153" s="19" t="s">
        <v>5091</v>
      </c>
      <c r="D153" s="19" t="s">
        <v>5092</v>
      </c>
      <c r="E153" s="2"/>
      <c r="F153" s="19"/>
    </row>
    <row r="154" ht="15.75" customHeight="1">
      <c r="A154" s="1">
        <v>2.2008343E7</v>
      </c>
      <c r="B154" s="2" t="s">
        <v>238</v>
      </c>
      <c r="C154" s="19" t="s">
        <v>5093</v>
      </c>
      <c r="D154" s="19" t="s">
        <v>5094</v>
      </c>
      <c r="E154" s="2"/>
      <c r="F154" s="19"/>
    </row>
    <row r="155" ht="15.75" customHeight="1">
      <c r="A155" s="1">
        <v>2.2064716E7</v>
      </c>
      <c r="B155" s="2" t="s">
        <v>780</v>
      </c>
      <c r="C155" s="19" t="s">
        <v>5095</v>
      </c>
      <c r="D155" s="19"/>
      <c r="E155" s="2"/>
      <c r="F155" s="19"/>
    </row>
    <row r="156" ht="15.75" customHeight="1">
      <c r="A156" s="1">
        <v>2.2145868E7</v>
      </c>
      <c r="B156" s="2" t="s">
        <v>430</v>
      </c>
      <c r="C156" s="19" t="s">
        <v>5096</v>
      </c>
      <c r="D156" s="19"/>
      <c r="E156" s="2"/>
      <c r="F156" s="19"/>
    </row>
    <row r="157" ht="15.75" customHeight="1">
      <c r="A157" s="1">
        <v>2.2156204E7</v>
      </c>
      <c r="B157" s="2" t="s">
        <v>208</v>
      </c>
      <c r="C157" s="19" t="s">
        <v>5097</v>
      </c>
      <c r="D157" s="19"/>
      <c r="E157" s="2"/>
      <c r="F157" s="19"/>
    </row>
    <row r="158" ht="15.75" customHeight="1">
      <c r="A158" s="1">
        <v>2.2163118E7</v>
      </c>
      <c r="B158" s="2" t="s">
        <v>1889</v>
      </c>
      <c r="C158" s="19" t="s">
        <v>5098</v>
      </c>
      <c r="D158" s="19"/>
      <c r="E158" s="2"/>
      <c r="F158" s="19"/>
    </row>
    <row r="159" ht="15.75" customHeight="1">
      <c r="A159" s="1">
        <v>2.2187852E7</v>
      </c>
      <c r="B159" s="2" t="s">
        <v>1202</v>
      </c>
      <c r="C159" s="19" t="s">
        <v>5099</v>
      </c>
      <c r="D159" s="19"/>
      <c r="E159" s="2"/>
      <c r="F159" s="19"/>
    </row>
    <row r="160" ht="15.75" customHeight="1">
      <c r="A160" s="1">
        <v>2.2244681E7</v>
      </c>
      <c r="B160" s="2" t="s">
        <v>584</v>
      </c>
      <c r="C160" s="19" t="s">
        <v>5100</v>
      </c>
      <c r="D160" s="19"/>
      <c r="E160" s="2"/>
      <c r="F160" s="19"/>
    </row>
    <row r="161" ht="15.75" customHeight="1">
      <c r="A161" s="1">
        <v>2.2319457E7</v>
      </c>
      <c r="B161" s="2" t="s">
        <v>1984</v>
      </c>
      <c r="C161" s="19" t="s">
        <v>5101</v>
      </c>
      <c r="D161" s="19" t="s">
        <v>5102</v>
      </c>
      <c r="E161" s="2"/>
      <c r="F161" s="19"/>
    </row>
    <row r="162" ht="15.75" customHeight="1">
      <c r="A162" s="1">
        <v>2.2351264E7</v>
      </c>
      <c r="B162" s="2" t="s">
        <v>450</v>
      </c>
      <c r="C162" s="19" t="s">
        <v>5103</v>
      </c>
      <c r="D162" s="19"/>
      <c r="E162" s="2"/>
      <c r="F162" s="19"/>
    </row>
    <row r="163" ht="15.75" customHeight="1">
      <c r="A163" s="1">
        <v>2.2377933E7</v>
      </c>
      <c r="B163" s="2" t="s">
        <v>239</v>
      </c>
      <c r="C163" s="19" t="s">
        <v>5104</v>
      </c>
      <c r="D163" s="19" t="s">
        <v>5105</v>
      </c>
      <c r="E163" s="2"/>
      <c r="F163" s="19"/>
    </row>
    <row r="164" ht="15.75" customHeight="1">
      <c r="A164" s="1">
        <v>2.2449283E7</v>
      </c>
      <c r="B164" s="2" t="s">
        <v>1904</v>
      </c>
      <c r="C164" s="19" t="s">
        <v>5106</v>
      </c>
      <c r="D164" s="19"/>
      <c r="E164" s="2"/>
      <c r="F164" s="19"/>
    </row>
    <row r="165" ht="15.75" customHeight="1">
      <c r="A165" s="1">
        <v>2.2563944E7</v>
      </c>
      <c r="B165" s="2" t="s">
        <v>363</v>
      </c>
      <c r="C165" s="19" t="s">
        <v>5107</v>
      </c>
      <c r="D165" s="19" t="s">
        <v>5108</v>
      </c>
      <c r="E165" s="2"/>
      <c r="F165" s="19"/>
    </row>
    <row r="166" ht="15.75" customHeight="1">
      <c r="A166" s="1">
        <v>2.2611025E7</v>
      </c>
      <c r="B166" s="2" t="s">
        <v>167</v>
      </c>
      <c r="C166" s="19" t="s">
        <v>5109</v>
      </c>
      <c r="D166" s="19"/>
      <c r="E166" s="2"/>
      <c r="F166" s="19"/>
    </row>
    <row r="167" ht="15.75" customHeight="1">
      <c r="A167" s="1">
        <v>2.2707093E7</v>
      </c>
      <c r="B167" s="2" t="s">
        <v>1023</v>
      </c>
      <c r="C167" s="19" t="s">
        <v>5110</v>
      </c>
      <c r="D167" s="19"/>
      <c r="E167" s="2"/>
      <c r="F167" s="19"/>
    </row>
    <row r="168" ht="15.75" customHeight="1">
      <c r="A168" s="1">
        <v>2.2861584E7</v>
      </c>
      <c r="B168" s="2" t="s">
        <v>1299</v>
      </c>
      <c r="C168" s="19" t="s">
        <v>5111</v>
      </c>
      <c r="D168" s="19"/>
      <c r="E168" s="2"/>
      <c r="F168" s="19"/>
    </row>
    <row r="169" ht="15.75" customHeight="1">
      <c r="A169" s="1">
        <v>2.2887879E7</v>
      </c>
      <c r="B169" s="2" t="s">
        <v>298</v>
      </c>
      <c r="C169" s="19" t="s">
        <v>5112</v>
      </c>
      <c r="D169" s="19" t="s">
        <v>5113</v>
      </c>
      <c r="E169" s="2"/>
      <c r="F169" s="19"/>
    </row>
    <row r="170" ht="15.75" customHeight="1">
      <c r="A170" s="1">
        <v>2.2986371E7</v>
      </c>
      <c r="B170" s="2" t="s">
        <v>930</v>
      </c>
      <c r="C170" s="19" t="s">
        <v>5114</v>
      </c>
      <c r="D170" s="19"/>
      <c r="E170" s="2"/>
      <c r="F170" s="19"/>
    </row>
    <row r="171" ht="15.75" customHeight="1">
      <c r="A171" s="1">
        <v>2.3073453E7</v>
      </c>
      <c r="B171" s="2" t="s">
        <v>170</v>
      </c>
      <c r="C171" s="19" t="s">
        <v>5115</v>
      </c>
      <c r="D171" s="19"/>
      <c r="E171" s="2"/>
      <c r="F171" s="19"/>
    </row>
    <row r="172" ht="15.75" customHeight="1">
      <c r="A172" s="1">
        <v>2.3135039E7</v>
      </c>
      <c r="B172" s="2" t="s">
        <v>255</v>
      </c>
      <c r="C172" s="19" t="s">
        <v>5116</v>
      </c>
      <c r="D172" s="19"/>
      <c r="E172" s="2"/>
      <c r="F172" s="19"/>
    </row>
    <row r="173" ht="15.75" customHeight="1">
      <c r="A173" s="1">
        <v>2.3145564E7</v>
      </c>
      <c r="B173" s="2" t="s">
        <v>947</v>
      </c>
      <c r="C173" s="19" t="s">
        <v>5117</v>
      </c>
      <c r="D173" s="19"/>
      <c r="E173" s="2"/>
      <c r="F173" s="19"/>
    </row>
    <row r="174" ht="15.75" customHeight="1">
      <c r="A174" s="8">
        <v>2.3234021E7</v>
      </c>
      <c r="B174" s="6" t="s">
        <v>22</v>
      </c>
      <c r="C174" s="19" t="s">
        <v>5118</v>
      </c>
      <c r="D174" s="19" t="s">
        <v>5119</v>
      </c>
      <c r="E174" s="6"/>
      <c r="F174" s="19"/>
      <c r="G174" s="8"/>
    </row>
    <row r="175" ht="15.75" customHeight="1">
      <c r="A175" s="1">
        <v>2.3261369E7</v>
      </c>
      <c r="B175" s="2" t="s">
        <v>614</v>
      </c>
      <c r="C175" s="19" t="s">
        <v>5120</v>
      </c>
      <c r="D175" s="19" t="s">
        <v>5121</v>
      </c>
      <c r="E175" s="2"/>
      <c r="F175" s="19"/>
    </row>
    <row r="176" ht="15.75" customHeight="1">
      <c r="A176" s="1">
        <v>2.3265831E7</v>
      </c>
      <c r="B176" s="2" t="s">
        <v>922</v>
      </c>
      <c r="C176" s="19" t="s">
        <v>5122</v>
      </c>
      <c r="D176" s="19" t="s">
        <v>5123</v>
      </c>
      <c r="E176" s="2"/>
      <c r="F176" s="19"/>
    </row>
    <row r="177" ht="15.75" customHeight="1">
      <c r="A177" s="1">
        <v>2.3539254E7</v>
      </c>
      <c r="B177" s="2" t="s">
        <v>1950</v>
      </c>
      <c r="C177" s="19" t="s">
        <v>5124</v>
      </c>
      <c r="D177" s="19"/>
      <c r="E177" s="2"/>
      <c r="F177" s="19"/>
    </row>
    <row r="178" ht="15.75" customHeight="1">
      <c r="A178" s="1">
        <v>2.3554357E7</v>
      </c>
      <c r="B178" s="2" t="s">
        <v>717</v>
      </c>
      <c r="C178" s="19" t="s">
        <v>5125</v>
      </c>
      <c r="D178" s="19" t="s">
        <v>5126</v>
      </c>
      <c r="E178" s="2"/>
      <c r="F178" s="19"/>
    </row>
    <row r="179" ht="15.75" customHeight="1">
      <c r="A179" s="1">
        <v>2.3665466E7</v>
      </c>
      <c r="B179" s="2" t="s">
        <v>128</v>
      </c>
      <c r="C179" s="19" t="s">
        <v>5127</v>
      </c>
      <c r="D179" s="19"/>
      <c r="E179" s="2"/>
      <c r="F179" s="19"/>
    </row>
    <row r="180" ht="15.75" customHeight="1">
      <c r="A180" s="1">
        <v>2.3695745E7</v>
      </c>
      <c r="B180" s="2" t="s">
        <v>1190</v>
      </c>
      <c r="C180" s="19" t="s">
        <v>5128</v>
      </c>
      <c r="D180" s="19" t="s">
        <v>5129</v>
      </c>
      <c r="E180" s="2"/>
      <c r="F180" s="19"/>
    </row>
    <row r="181" ht="15.75" customHeight="1">
      <c r="A181" s="1">
        <v>2.3786385E7</v>
      </c>
      <c r="B181" s="2" t="s">
        <v>632</v>
      </c>
      <c r="C181" s="19" t="s">
        <v>5130</v>
      </c>
      <c r="D181" s="19"/>
      <c r="E181" s="2"/>
      <c r="F181" s="19"/>
    </row>
    <row r="182" ht="15.75" customHeight="1">
      <c r="A182" s="1">
        <v>2.3813639E7</v>
      </c>
      <c r="B182" s="2" t="s">
        <v>145</v>
      </c>
      <c r="C182" s="19" t="s">
        <v>5131</v>
      </c>
      <c r="D182" s="19"/>
      <c r="E182" s="2"/>
      <c r="F182" s="19"/>
    </row>
    <row r="183" ht="15.75" customHeight="1">
      <c r="A183" s="1">
        <v>2.4064506E7</v>
      </c>
      <c r="B183" s="2" t="s">
        <v>765</v>
      </c>
      <c r="C183" s="19" t="s">
        <v>5132</v>
      </c>
      <c r="D183" s="19"/>
      <c r="E183" s="2"/>
      <c r="F183" s="19"/>
    </row>
    <row r="184" ht="15.75" customHeight="1">
      <c r="A184" s="1">
        <v>2.4135734E7</v>
      </c>
      <c r="B184" s="2" t="s">
        <v>816</v>
      </c>
      <c r="C184" s="19" t="s">
        <v>5133</v>
      </c>
      <c r="D184" s="19"/>
      <c r="E184" s="2"/>
      <c r="F184" s="19"/>
    </row>
    <row r="185" ht="15.75" customHeight="1">
      <c r="A185" s="1">
        <v>2.4365142E7</v>
      </c>
      <c r="B185" s="2" t="s">
        <v>1346</v>
      </c>
      <c r="C185" s="19" t="s">
        <v>5134</v>
      </c>
      <c r="D185" s="19"/>
      <c r="E185" s="2"/>
      <c r="F185" s="19"/>
    </row>
    <row r="186" ht="15.75" customHeight="1">
      <c r="A186" s="1">
        <v>2.4559072E7</v>
      </c>
      <c r="B186" s="2" t="s">
        <v>856</v>
      </c>
      <c r="C186" s="19" t="s">
        <v>5135</v>
      </c>
      <c r="D186" s="19" t="s">
        <v>5136</v>
      </c>
      <c r="E186" s="2"/>
      <c r="F186" s="19"/>
    </row>
    <row r="187" ht="15.75" customHeight="1">
      <c r="A187" s="1">
        <v>2.4617605E7</v>
      </c>
      <c r="B187" s="2" t="s">
        <v>1319</v>
      </c>
      <c r="C187" s="19" t="s">
        <v>5137</v>
      </c>
      <c r="D187" s="19"/>
      <c r="E187" s="2"/>
      <c r="F187" s="19"/>
    </row>
    <row r="188" ht="15.75" customHeight="1">
      <c r="A188" s="1">
        <v>2.476454E7</v>
      </c>
      <c r="B188" s="2" t="s">
        <v>1077</v>
      </c>
      <c r="C188" s="19" t="s">
        <v>5138</v>
      </c>
      <c r="D188" s="19" t="s">
        <v>5139</v>
      </c>
      <c r="E188" s="2"/>
      <c r="F188" s="19"/>
    </row>
    <row r="189" ht="15.75" customHeight="1">
      <c r="A189" s="1">
        <v>2.482118E7</v>
      </c>
      <c r="B189" s="2" t="s">
        <v>872</v>
      </c>
      <c r="C189" s="19" t="s">
        <v>5140</v>
      </c>
      <c r="D189" s="19"/>
      <c r="E189" s="2"/>
      <c r="F189" s="19"/>
    </row>
    <row r="190" ht="15.75" customHeight="1">
      <c r="A190" s="1">
        <v>2.507776E7</v>
      </c>
      <c r="B190" s="2" t="s">
        <v>1706</v>
      </c>
      <c r="C190" s="19" t="s">
        <v>5141</v>
      </c>
      <c r="D190" s="19" t="s">
        <v>5142</v>
      </c>
      <c r="E190" s="2"/>
      <c r="F190" s="19"/>
    </row>
    <row r="191" ht="15.75" customHeight="1">
      <c r="A191" s="1">
        <v>2.526206E7</v>
      </c>
      <c r="B191" s="2" t="s">
        <v>3062</v>
      </c>
      <c r="C191" s="19" t="s">
        <v>5143</v>
      </c>
      <c r="D191" s="19"/>
      <c r="E191" s="2"/>
      <c r="F191" s="19"/>
    </row>
    <row r="192" ht="15.75" customHeight="1">
      <c r="A192" s="1">
        <v>2.5279217E7</v>
      </c>
      <c r="B192" s="2" t="s">
        <v>3063</v>
      </c>
      <c r="C192" s="19" t="s">
        <v>5144</v>
      </c>
      <c r="D192" s="19"/>
      <c r="E192" s="2"/>
      <c r="F192" s="19"/>
    </row>
    <row r="193" ht="15.75" customHeight="1">
      <c r="A193" s="1">
        <v>2.5436947E7</v>
      </c>
      <c r="B193" s="2" t="s">
        <v>258</v>
      </c>
      <c r="C193" s="19" t="s">
        <v>5145</v>
      </c>
      <c r="D193" s="19"/>
      <c r="E193" s="2"/>
      <c r="F193" s="19"/>
    </row>
    <row r="194" ht="15.75" customHeight="1">
      <c r="A194" s="1">
        <v>2.5451031E7</v>
      </c>
      <c r="B194" s="2" t="s">
        <v>1751</v>
      </c>
      <c r="C194" s="19" t="s">
        <v>5146</v>
      </c>
      <c r="D194" s="19"/>
      <c r="E194" s="2"/>
      <c r="F194" s="19"/>
    </row>
    <row r="195" ht="15.75" customHeight="1">
      <c r="A195" s="1">
        <v>2.5499141E7</v>
      </c>
      <c r="B195" s="2" t="s">
        <v>1232</v>
      </c>
      <c r="C195" s="19" t="s">
        <v>5147</v>
      </c>
      <c r="D195" s="19"/>
      <c r="E195" s="2"/>
      <c r="F195" s="19"/>
    </row>
    <row r="196" ht="15.75" customHeight="1">
      <c r="A196" s="1">
        <v>2.5560603E7</v>
      </c>
      <c r="B196" s="2" t="s">
        <v>1201</v>
      </c>
      <c r="C196" s="19" t="s">
        <v>5148</v>
      </c>
      <c r="D196" s="19"/>
      <c r="E196" s="2"/>
      <c r="F196" s="19"/>
    </row>
    <row r="197" ht="15.75" customHeight="1">
      <c r="A197" s="1">
        <v>2.5615751E7</v>
      </c>
      <c r="B197" s="2" t="s">
        <v>986</v>
      </c>
      <c r="C197" s="19" t="s">
        <v>5149</v>
      </c>
      <c r="D197" s="19"/>
      <c r="E197" s="2"/>
      <c r="F197" s="19"/>
    </row>
    <row r="198" ht="15.75" customHeight="1">
      <c r="A198" s="1">
        <v>2.5617442E7</v>
      </c>
      <c r="B198" s="2" t="s">
        <v>443</v>
      </c>
      <c r="C198" s="19" t="s">
        <v>5150</v>
      </c>
      <c r="D198" s="19"/>
      <c r="E198" s="2"/>
      <c r="F198" s="19"/>
    </row>
    <row r="199" ht="15.75" customHeight="1">
      <c r="A199" s="1">
        <v>2.5731858E7</v>
      </c>
      <c r="B199" s="2" t="s">
        <v>514</v>
      </c>
      <c r="C199" s="19" t="s">
        <v>5151</v>
      </c>
      <c r="D199" s="19" t="s">
        <v>5152</v>
      </c>
      <c r="E199" s="2"/>
      <c r="F199" s="19"/>
    </row>
    <row r="200" ht="15.75" customHeight="1">
      <c r="A200" s="1">
        <v>2.5801442E7</v>
      </c>
      <c r="B200" s="2" t="s">
        <v>252</v>
      </c>
      <c r="C200" s="19" t="s">
        <v>5153</v>
      </c>
      <c r="D200" s="19"/>
      <c r="E200" s="2"/>
      <c r="F200" s="19"/>
    </row>
    <row r="201" ht="15.75" customHeight="1">
      <c r="A201" s="1">
        <v>2.5926998E7</v>
      </c>
      <c r="B201" s="2" t="s">
        <v>2270</v>
      </c>
      <c r="C201" s="19" t="s">
        <v>5154</v>
      </c>
      <c r="D201" s="19" t="s">
        <v>5155</v>
      </c>
      <c r="E201" s="2"/>
      <c r="F201" s="19"/>
    </row>
    <row r="202" ht="15.75" customHeight="1">
      <c r="A202" s="1">
        <v>2.5935255E7</v>
      </c>
      <c r="B202" s="2" t="s">
        <v>719</v>
      </c>
      <c r="C202" s="19" t="s">
        <v>5156</v>
      </c>
      <c r="D202" s="19" t="s">
        <v>5157</v>
      </c>
      <c r="E202" s="2"/>
      <c r="F202" s="19"/>
    </row>
    <row r="203" ht="15.75" customHeight="1">
      <c r="A203" s="1">
        <v>2.595098E7</v>
      </c>
      <c r="B203" s="2" t="s">
        <v>1753</v>
      </c>
      <c r="C203" s="19" t="s">
        <v>5158</v>
      </c>
      <c r="D203" s="19"/>
      <c r="E203" s="2"/>
      <c r="F203" s="19"/>
    </row>
    <row r="204" ht="15.75" customHeight="1">
      <c r="A204" s="1">
        <v>2.5971699E7</v>
      </c>
      <c r="B204" s="2" t="s">
        <v>341</v>
      </c>
      <c r="C204" s="19" t="s">
        <v>5159</v>
      </c>
      <c r="D204" s="19"/>
      <c r="E204" s="2"/>
      <c r="F204" s="19"/>
    </row>
    <row r="205" ht="15.75" customHeight="1">
      <c r="A205" s="1">
        <v>2.6043809E7</v>
      </c>
      <c r="B205" s="2" t="s">
        <v>396</v>
      </c>
      <c r="C205" s="19" t="s">
        <v>5160</v>
      </c>
      <c r="D205" s="19"/>
      <c r="E205" s="2"/>
      <c r="F205" s="19"/>
    </row>
    <row r="206" ht="15.75" customHeight="1">
      <c r="A206" s="1">
        <v>2.6226598E7</v>
      </c>
      <c r="B206" s="2" t="s">
        <v>1965</v>
      </c>
      <c r="C206" s="19" t="s">
        <v>5161</v>
      </c>
      <c r="D206" s="19" t="s">
        <v>5162</v>
      </c>
      <c r="E206" s="2"/>
      <c r="F206" s="19"/>
    </row>
    <row r="207" ht="15.75" customHeight="1">
      <c r="A207" s="1">
        <v>2.6235358E7</v>
      </c>
      <c r="B207" s="2" t="s">
        <v>2035</v>
      </c>
      <c r="C207" s="19" t="s">
        <v>5163</v>
      </c>
      <c r="D207" s="19" t="s">
        <v>5164</v>
      </c>
      <c r="E207" s="2"/>
      <c r="F207" s="19"/>
    </row>
    <row r="208" ht="15.75" customHeight="1">
      <c r="A208" s="1">
        <v>2.6475674E7</v>
      </c>
      <c r="B208" s="2" t="s">
        <v>1415</v>
      </c>
      <c r="C208" s="19" t="s">
        <v>5165</v>
      </c>
      <c r="D208" s="19"/>
      <c r="E208" s="2"/>
      <c r="F208" s="19"/>
    </row>
    <row r="209" ht="15.75" customHeight="1">
      <c r="A209" s="1">
        <v>2.6585466E7</v>
      </c>
      <c r="B209" s="2" t="s">
        <v>739</v>
      </c>
      <c r="C209" s="19" t="s">
        <v>5166</v>
      </c>
      <c r="D209" s="19"/>
      <c r="E209" s="2"/>
      <c r="F209" s="19"/>
    </row>
    <row r="210" ht="15.75" customHeight="1">
      <c r="A210" s="1">
        <v>2.6590629E7</v>
      </c>
      <c r="B210" s="2" t="s">
        <v>541</v>
      </c>
      <c r="C210" s="19" t="s">
        <v>5167</v>
      </c>
      <c r="D210" s="19"/>
      <c r="E210" s="2"/>
      <c r="F210" s="19"/>
    </row>
    <row r="211" ht="15.75" customHeight="1">
      <c r="A211" s="1">
        <v>2.6634391E7</v>
      </c>
      <c r="B211" s="2" t="s">
        <v>1459</v>
      </c>
      <c r="C211" s="19" t="s">
        <v>5168</v>
      </c>
      <c r="D211" s="19"/>
      <c r="E211" s="2"/>
      <c r="F211" s="19"/>
    </row>
    <row r="212" ht="15.75" customHeight="1">
      <c r="A212" s="1">
        <v>2.6642065E7</v>
      </c>
      <c r="B212" s="2" t="s">
        <v>691</v>
      </c>
      <c r="C212" s="19" t="s">
        <v>5169</v>
      </c>
      <c r="D212" s="19"/>
      <c r="E212" s="2"/>
      <c r="F212" s="19"/>
    </row>
    <row r="213" ht="15.75" customHeight="1">
      <c r="A213" s="1">
        <v>2.671248E7</v>
      </c>
      <c r="B213" s="2" t="s">
        <v>1368</v>
      </c>
      <c r="C213" s="19" t="s">
        <v>5170</v>
      </c>
      <c r="D213" s="19"/>
      <c r="E213" s="2"/>
      <c r="F213" s="19"/>
    </row>
    <row r="214" ht="15.75" customHeight="1">
      <c r="A214" s="1">
        <v>2.6779046E7</v>
      </c>
      <c r="B214" s="2" t="s">
        <v>1627</v>
      </c>
      <c r="C214" s="19" t="s">
        <v>5171</v>
      </c>
      <c r="D214" s="19"/>
      <c r="E214" s="2"/>
      <c r="F214" s="19"/>
    </row>
    <row r="215" ht="15.75" customHeight="1">
      <c r="A215" s="1">
        <v>2.6848897E7</v>
      </c>
      <c r="B215" s="2" t="s">
        <v>176</v>
      </c>
      <c r="C215" s="19" t="s">
        <v>5172</v>
      </c>
      <c r="D215" s="19"/>
      <c r="E215" s="2"/>
      <c r="F215" s="19"/>
    </row>
    <row r="216" ht="15.75" customHeight="1">
      <c r="A216" s="1">
        <v>2.7153271E7</v>
      </c>
      <c r="B216" s="2" t="s">
        <v>1911</v>
      </c>
      <c r="C216" s="19" t="s">
        <v>5173</v>
      </c>
      <c r="D216" s="19"/>
      <c r="E216" s="2"/>
      <c r="F216" s="19"/>
    </row>
    <row r="217" ht="15.75" customHeight="1">
      <c r="A217" s="1">
        <v>2.7223147E7</v>
      </c>
      <c r="B217" s="2" t="s">
        <v>327</v>
      </c>
      <c r="C217" s="19" t="s">
        <v>5174</v>
      </c>
      <c r="D217" s="19"/>
      <c r="E217" s="2"/>
      <c r="F217" s="19"/>
    </row>
    <row r="218" ht="15.75" customHeight="1">
      <c r="A218" s="1">
        <v>2.7306044E7</v>
      </c>
      <c r="B218" s="2" t="s">
        <v>2069</v>
      </c>
      <c r="C218" s="19" t="s">
        <v>5175</v>
      </c>
      <c r="D218" s="19"/>
      <c r="E218" s="2"/>
      <c r="F218" s="19"/>
    </row>
    <row r="219" ht="15.75" customHeight="1">
      <c r="A219" s="1">
        <v>2.7364108E7</v>
      </c>
      <c r="B219" s="2" t="s">
        <v>2013</v>
      </c>
      <c r="C219" s="19" t="s">
        <v>5176</v>
      </c>
      <c r="D219" s="19"/>
      <c r="E219" s="2"/>
      <c r="F219" s="19"/>
    </row>
    <row r="220" ht="15.75" customHeight="1">
      <c r="A220" s="1">
        <v>2.7398134E7</v>
      </c>
      <c r="B220" s="2" t="s">
        <v>3460</v>
      </c>
      <c r="C220" s="19" t="s">
        <v>5177</v>
      </c>
      <c r="D220" s="19" t="s">
        <v>5178</v>
      </c>
      <c r="E220" s="2"/>
      <c r="F220" s="19"/>
    </row>
    <row r="221" ht="15.75" customHeight="1">
      <c r="A221" s="1">
        <v>2.7416913E7</v>
      </c>
      <c r="B221" s="2" t="s">
        <v>820</v>
      </c>
      <c r="C221" s="19" t="s">
        <v>5179</v>
      </c>
      <c r="D221" s="19"/>
      <c r="E221" s="2"/>
      <c r="F221" s="19"/>
    </row>
    <row r="222" ht="15.75" customHeight="1">
      <c r="A222" s="1">
        <v>2.7424312E7</v>
      </c>
      <c r="B222" s="2" t="s">
        <v>2493</v>
      </c>
      <c r="C222" s="19" t="s">
        <v>5180</v>
      </c>
      <c r="D222" s="19"/>
      <c r="E222" s="2"/>
      <c r="F222" s="19"/>
    </row>
    <row r="223" ht="15.75" customHeight="1">
      <c r="A223" s="1">
        <v>2.7426874E7</v>
      </c>
      <c r="B223" s="2" t="s">
        <v>1090</v>
      </c>
      <c r="C223" s="19" t="s">
        <v>5181</v>
      </c>
      <c r="D223" s="19"/>
      <c r="E223" s="2"/>
      <c r="F223" s="19"/>
    </row>
    <row r="224" ht="15.75" customHeight="1">
      <c r="A224" s="1">
        <v>2.7748865E7</v>
      </c>
      <c r="B224" s="2" t="s">
        <v>2093</v>
      </c>
      <c r="C224" s="19" t="s">
        <v>5182</v>
      </c>
      <c r="D224" s="19" t="s">
        <v>5183</v>
      </c>
      <c r="E224" s="2"/>
      <c r="F224" s="19"/>
    </row>
    <row r="225" ht="15.75" customHeight="1">
      <c r="A225" s="1">
        <v>2.7793944E7</v>
      </c>
      <c r="B225" s="2" t="s">
        <v>479</v>
      </c>
      <c r="C225" s="19" t="s">
        <v>5184</v>
      </c>
      <c r="D225" s="19"/>
      <c r="E225" s="2"/>
      <c r="F225" s="19"/>
    </row>
    <row r="226" ht="15.75" customHeight="1">
      <c r="A226" s="1">
        <v>2.7922716E7</v>
      </c>
      <c r="B226" s="2" t="s">
        <v>510</v>
      </c>
      <c r="C226" s="19" t="s">
        <v>5185</v>
      </c>
      <c r="D226" s="19" t="s">
        <v>5186</v>
      </c>
      <c r="E226" s="2"/>
      <c r="F226" s="19"/>
    </row>
    <row r="227" ht="15.75" customHeight="1">
      <c r="A227" s="1">
        <v>2.8019888E7</v>
      </c>
      <c r="B227" s="2" t="s">
        <v>633</v>
      </c>
      <c r="C227" s="19" t="s">
        <v>5187</v>
      </c>
      <c r="D227" s="19" t="s">
        <v>5188</v>
      </c>
      <c r="E227" s="2"/>
      <c r="F227" s="19"/>
    </row>
    <row r="228" ht="15.75" customHeight="1">
      <c r="A228" s="1">
        <v>2.8073629E7</v>
      </c>
      <c r="B228" s="2" t="s">
        <v>954</v>
      </c>
      <c r="C228" s="19" t="s">
        <v>5189</v>
      </c>
      <c r="D228" s="19" t="s">
        <v>5190</v>
      </c>
      <c r="E228" s="2"/>
      <c r="F228" s="19"/>
    </row>
    <row r="229" ht="15.75" customHeight="1">
      <c r="A229" s="1">
        <v>2.8083465E7</v>
      </c>
      <c r="B229" s="2" t="s">
        <v>639</v>
      </c>
      <c r="C229" s="19" t="s">
        <v>5191</v>
      </c>
      <c r="D229" s="19"/>
      <c r="E229" s="2"/>
      <c r="F229" s="19"/>
    </row>
    <row r="230" ht="15.75" customHeight="1">
      <c r="A230" s="1">
        <v>2.8083664E7</v>
      </c>
      <c r="B230" s="2" t="s">
        <v>1900</v>
      </c>
      <c r="C230" s="19" t="s">
        <v>5192</v>
      </c>
      <c r="D230" s="19"/>
      <c r="E230" s="2"/>
      <c r="F230" s="19"/>
    </row>
    <row r="231" ht="15.75" customHeight="1">
      <c r="A231" s="1">
        <v>2.8259325E7</v>
      </c>
      <c r="B231" s="2" t="s">
        <v>2714</v>
      </c>
      <c r="C231" s="19" t="s">
        <v>5193</v>
      </c>
      <c r="D231" s="19"/>
      <c r="E231" s="2"/>
      <c r="F231" s="19"/>
    </row>
    <row r="232" ht="15.75" customHeight="1">
      <c r="A232" s="1">
        <v>2.8393085E7</v>
      </c>
      <c r="B232" s="2" t="s">
        <v>1871</v>
      </c>
      <c r="C232" s="19" t="s">
        <v>5194</v>
      </c>
      <c r="D232" s="19" t="s">
        <v>5195</v>
      </c>
      <c r="E232" s="2"/>
      <c r="F232" s="19"/>
    </row>
    <row r="233" ht="15.75" customHeight="1">
      <c r="A233" s="1">
        <v>2.8474243E7</v>
      </c>
      <c r="B233" s="2" t="s">
        <v>1677</v>
      </c>
      <c r="C233" s="19" t="s">
        <v>5196</v>
      </c>
      <c r="D233" s="19"/>
      <c r="E233" s="2"/>
      <c r="F233" s="19"/>
    </row>
    <row r="234" ht="15.75" customHeight="1">
      <c r="A234" s="1">
        <v>2.8610006E7</v>
      </c>
      <c r="B234" s="2" t="s">
        <v>755</v>
      </c>
      <c r="C234" s="19" t="s">
        <v>5197</v>
      </c>
      <c r="D234" s="19" t="s">
        <v>5198</v>
      </c>
      <c r="E234" s="2"/>
      <c r="F234" s="19"/>
    </row>
    <row r="235" ht="15.75" customHeight="1">
      <c r="A235" s="1">
        <v>2.8769714E7</v>
      </c>
      <c r="B235" s="2" t="s">
        <v>654</v>
      </c>
      <c r="C235" s="19" t="s">
        <v>5199</v>
      </c>
      <c r="D235" s="19"/>
      <c r="E235" s="2"/>
      <c r="F235" s="19"/>
    </row>
    <row r="236" ht="15.75" customHeight="1">
      <c r="A236" s="1">
        <v>2.8865644E7</v>
      </c>
      <c r="B236" s="2" t="s">
        <v>2225</v>
      </c>
      <c r="C236" s="19" t="s">
        <v>5200</v>
      </c>
      <c r="D236" s="19"/>
      <c r="E236" s="2"/>
      <c r="F236" s="19"/>
    </row>
    <row r="237" ht="15.75" customHeight="1">
      <c r="A237" s="1">
        <v>2.8963021E7</v>
      </c>
      <c r="B237" s="2" t="s">
        <v>800</v>
      </c>
      <c r="C237" s="19" t="s">
        <v>5201</v>
      </c>
      <c r="D237" s="19" t="s">
        <v>5202</v>
      </c>
      <c r="E237" s="2"/>
      <c r="F237" s="19"/>
    </row>
    <row r="238" ht="15.75" customHeight="1">
      <c r="A238" s="1">
        <v>2.8991453E7</v>
      </c>
      <c r="B238" s="2" t="s">
        <v>2132</v>
      </c>
      <c r="C238" s="19" t="s">
        <v>5203</v>
      </c>
      <c r="D238" s="19" t="s">
        <v>5204</v>
      </c>
      <c r="E238" s="2"/>
      <c r="F238" s="19"/>
    </row>
    <row r="239" ht="15.75" customHeight="1">
      <c r="A239" s="1">
        <v>2.9035915E7</v>
      </c>
      <c r="B239" s="2" t="s">
        <v>1142</v>
      </c>
      <c r="C239" s="19" t="s">
        <v>5205</v>
      </c>
      <c r="D239" s="19" t="s">
        <v>5206</v>
      </c>
      <c r="E239" s="2"/>
      <c r="F239" s="19"/>
    </row>
    <row r="240" ht="15.75" customHeight="1">
      <c r="A240" s="1">
        <v>2.9060765E7</v>
      </c>
      <c r="B240" s="2" t="s">
        <v>1928</v>
      </c>
      <c r="C240" s="19" t="s">
        <v>5207</v>
      </c>
      <c r="D240" s="19"/>
      <c r="E240" s="2"/>
      <c r="F240" s="19"/>
    </row>
    <row r="241" ht="15.75" customHeight="1">
      <c r="A241" s="1">
        <v>2.9287436E7</v>
      </c>
      <c r="B241" s="2" t="s">
        <v>1905</v>
      </c>
      <c r="C241" s="19" t="s">
        <v>5208</v>
      </c>
      <c r="D241" s="19"/>
      <c r="E241" s="2"/>
      <c r="F241" s="19"/>
    </row>
    <row r="242" ht="15.75" customHeight="1">
      <c r="A242" s="1">
        <v>2.9308113E7</v>
      </c>
      <c r="B242" s="2" t="s">
        <v>1115</v>
      </c>
      <c r="C242" s="19" t="s">
        <v>5209</v>
      </c>
      <c r="D242" s="19" t="s">
        <v>5210</v>
      </c>
      <c r="E242" s="2"/>
      <c r="F242" s="19"/>
    </row>
    <row r="243" ht="15.75" customHeight="1">
      <c r="A243" s="1">
        <v>2.9395319E7</v>
      </c>
      <c r="B243" s="2" t="s">
        <v>737</v>
      </c>
      <c r="C243" s="19" t="s">
        <v>5211</v>
      </c>
      <c r="D243" s="19"/>
      <c r="E243" s="2"/>
      <c r="F243" s="19"/>
    </row>
    <row r="244" ht="15.75" customHeight="1">
      <c r="A244" s="1">
        <v>2.9458112E7</v>
      </c>
      <c r="B244" s="2" t="s">
        <v>1995</v>
      </c>
      <c r="C244" s="19" t="s">
        <v>5212</v>
      </c>
      <c r="D244" s="19" t="s">
        <v>5213</v>
      </c>
      <c r="E244" s="2"/>
      <c r="F244" s="19"/>
    </row>
    <row r="245" ht="15.75" customHeight="1">
      <c r="A245" s="1">
        <v>2.946675E7</v>
      </c>
      <c r="B245" s="2" t="s">
        <v>2441</v>
      </c>
      <c r="C245" s="19" t="s">
        <v>5214</v>
      </c>
      <c r="D245" s="19"/>
      <c r="E245" s="2"/>
      <c r="F245" s="19"/>
    </row>
    <row r="246" ht="15.75" customHeight="1">
      <c r="A246" s="1">
        <v>2.9606122E7</v>
      </c>
      <c r="B246" s="2" t="s">
        <v>1418</v>
      </c>
      <c r="C246" s="19" t="s">
        <v>5215</v>
      </c>
      <c r="D246" s="19" t="s">
        <v>5216</v>
      </c>
      <c r="E246" s="2"/>
      <c r="F246" s="19"/>
    </row>
    <row r="247" ht="15.75" customHeight="1">
      <c r="A247" s="1">
        <v>2.9623135E7</v>
      </c>
      <c r="B247" s="2" t="s">
        <v>150</v>
      </c>
      <c r="C247" s="19" t="s">
        <v>5217</v>
      </c>
      <c r="D247" s="19"/>
      <c r="E247" s="2"/>
      <c r="F247" s="19"/>
    </row>
    <row r="248" ht="15.75" customHeight="1">
      <c r="A248" s="1">
        <v>2.9658339E7</v>
      </c>
      <c r="B248" s="2" t="s">
        <v>179</v>
      </c>
      <c r="C248" s="19" t="s">
        <v>5218</v>
      </c>
      <c r="D248" s="19" t="s">
        <v>5219</v>
      </c>
      <c r="E248" s="2"/>
      <c r="F248" s="19"/>
    </row>
    <row r="249" ht="15.75" customHeight="1">
      <c r="A249" s="1">
        <v>2.980032E7</v>
      </c>
      <c r="B249" s="2" t="s">
        <v>432</v>
      </c>
      <c r="C249" s="19" t="s">
        <v>5220</v>
      </c>
      <c r="D249" s="19" t="s">
        <v>5221</v>
      </c>
      <c r="E249" s="2"/>
      <c r="F249" s="19"/>
    </row>
    <row r="250" ht="15.75" customHeight="1">
      <c r="A250" s="1">
        <v>2.9905159E7</v>
      </c>
      <c r="B250" s="2" t="s">
        <v>1161</v>
      </c>
      <c r="C250" s="19" t="s">
        <v>5222</v>
      </c>
      <c r="D250" s="19" t="s">
        <v>5223</v>
      </c>
      <c r="E250" s="2"/>
      <c r="F250" s="19"/>
    </row>
    <row r="251" ht="15.75" customHeight="1">
      <c r="A251" s="1">
        <v>3.0003533E7</v>
      </c>
      <c r="B251" s="2" t="s">
        <v>1177</v>
      </c>
      <c r="C251" s="19" t="s">
        <v>5224</v>
      </c>
      <c r="D251" s="19"/>
      <c r="E251" s="2"/>
      <c r="F251" s="19"/>
    </row>
    <row r="252" ht="15.75" customHeight="1">
      <c r="A252" s="1">
        <v>3.0025388E7</v>
      </c>
      <c r="B252" s="2" t="s">
        <v>1447</v>
      </c>
      <c r="C252" s="19" t="s">
        <v>5225</v>
      </c>
      <c r="D252" s="19"/>
      <c r="E252" s="2"/>
      <c r="F252" s="19"/>
    </row>
    <row r="253" ht="15.75" customHeight="1">
      <c r="A253" s="1">
        <v>3.0256468E7</v>
      </c>
      <c r="B253" s="2" t="s">
        <v>1979</v>
      </c>
      <c r="C253" s="19" t="s">
        <v>5226</v>
      </c>
      <c r="D253" s="19"/>
      <c r="E253" s="2"/>
      <c r="F253" s="19"/>
    </row>
    <row r="254" ht="15.75" customHeight="1">
      <c r="A254" s="1">
        <v>3.0295763E7</v>
      </c>
      <c r="B254" s="2" t="s">
        <v>61</v>
      </c>
      <c r="C254" s="19" t="s">
        <v>5227</v>
      </c>
      <c r="D254" s="19"/>
      <c r="E254" s="2"/>
      <c r="F254" s="19"/>
    </row>
    <row r="255" ht="15.75" customHeight="1">
      <c r="A255" s="1">
        <v>3.0404878E7</v>
      </c>
      <c r="B255" s="2" t="s">
        <v>422</v>
      </c>
      <c r="C255" s="19" t="s">
        <v>5228</v>
      </c>
      <c r="D255" s="19"/>
      <c r="E255" s="2"/>
      <c r="F255" s="19"/>
    </row>
    <row r="256" ht="15.75" customHeight="1">
      <c r="A256" s="1">
        <v>3.0460291E7</v>
      </c>
      <c r="B256" s="2" t="s">
        <v>1618</v>
      </c>
      <c r="C256" s="19" t="s">
        <v>5229</v>
      </c>
      <c r="D256" s="19"/>
      <c r="E256" s="2"/>
      <c r="F256" s="19"/>
    </row>
    <row r="257" ht="15.75" customHeight="1">
      <c r="A257" s="1">
        <v>3.0487441E7</v>
      </c>
      <c r="B257" s="2" t="s">
        <v>709</v>
      </c>
      <c r="C257" s="19" t="s">
        <v>5230</v>
      </c>
      <c r="D257" s="19" t="s">
        <v>5231</v>
      </c>
      <c r="E257" s="2"/>
      <c r="F257" s="19"/>
    </row>
    <row r="258" ht="15.75" customHeight="1">
      <c r="A258" s="1">
        <v>3.0531307E7</v>
      </c>
      <c r="B258" s="2" t="s">
        <v>1354</v>
      </c>
      <c r="C258" s="19" t="s">
        <v>5232</v>
      </c>
      <c r="D258" s="19"/>
      <c r="E258" s="2"/>
      <c r="F258" s="19"/>
    </row>
    <row r="259" ht="15.75" customHeight="1">
      <c r="A259" s="1">
        <v>3.0874436E7</v>
      </c>
      <c r="B259" s="2" t="s">
        <v>437</v>
      </c>
      <c r="C259" s="19" t="s">
        <v>5233</v>
      </c>
      <c r="D259" s="19"/>
      <c r="E259" s="2"/>
      <c r="F259" s="19"/>
    </row>
    <row r="260" ht="15.75" customHeight="1">
      <c r="A260" s="1">
        <v>3.0877737E7</v>
      </c>
      <c r="B260" s="2" t="s">
        <v>2481</v>
      </c>
      <c r="C260" s="19" t="s">
        <v>5234</v>
      </c>
      <c r="D260" s="19" t="s">
        <v>5235</v>
      </c>
      <c r="E260" s="2"/>
      <c r="F260" s="19"/>
    </row>
    <row r="261" ht="15.75" customHeight="1">
      <c r="A261" s="1">
        <v>3.1091321E7</v>
      </c>
      <c r="B261" s="2" t="s">
        <v>790</v>
      </c>
      <c r="C261" s="19" t="s">
        <v>5236</v>
      </c>
      <c r="D261" s="19"/>
      <c r="E261" s="2"/>
      <c r="F261" s="19"/>
    </row>
    <row r="262" ht="15.75" customHeight="1">
      <c r="A262" s="1">
        <v>3.1101619E7</v>
      </c>
      <c r="B262" s="2" t="s">
        <v>1985</v>
      </c>
      <c r="C262" s="19" t="s">
        <v>5237</v>
      </c>
      <c r="D262" s="19" t="s">
        <v>5238</v>
      </c>
      <c r="E262" s="2"/>
      <c r="F262" s="19"/>
    </row>
    <row r="263" ht="15.75" customHeight="1">
      <c r="A263" s="1">
        <v>3.1116437E7</v>
      </c>
      <c r="B263" s="2" t="s">
        <v>920</v>
      </c>
      <c r="C263" s="19" t="s">
        <v>5239</v>
      </c>
      <c r="D263" s="19" t="s">
        <v>5240</v>
      </c>
      <c r="E263" s="2"/>
      <c r="F263" s="19"/>
    </row>
    <row r="264" ht="15.75" customHeight="1">
      <c r="A264" s="1">
        <v>3.113962E7</v>
      </c>
      <c r="B264" s="2" t="s">
        <v>1123</v>
      </c>
      <c r="C264" s="19" t="s">
        <v>5241</v>
      </c>
      <c r="D264" s="19"/>
      <c r="E264" s="2"/>
      <c r="F264" s="19"/>
    </row>
    <row r="265" ht="15.75" customHeight="1">
      <c r="A265" s="1">
        <v>3.1145919E7</v>
      </c>
      <c r="B265" s="2" t="s">
        <v>2212</v>
      </c>
      <c r="C265" s="19" t="s">
        <v>5242</v>
      </c>
      <c r="D265" s="19" t="s">
        <v>5243</v>
      </c>
      <c r="E265" s="2"/>
      <c r="F265" s="19"/>
    </row>
    <row r="266" ht="15.75" customHeight="1">
      <c r="A266" s="1">
        <v>3.1190469E7</v>
      </c>
      <c r="B266" s="2" t="s">
        <v>1701</v>
      </c>
      <c r="C266" s="19" t="s">
        <v>5244</v>
      </c>
      <c r="D266" s="19"/>
      <c r="E266" s="2"/>
      <c r="F266" s="19"/>
    </row>
    <row r="267" ht="15.75" customHeight="1">
      <c r="A267" s="1">
        <v>3.1335575E7</v>
      </c>
      <c r="B267" s="2" t="s">
        <v>1674</v>
      </c>
      <c r="C267" s="19" t="s">
        <v>5245</v>
      </c>
      <c r="D267" s="19"/>
      <c r="E267" s="2"/>
      <c r="F267" s="19"/>
    </row>
    <row r="268" ht="15.75" customHeight="1">
      <c r="A268" s="1">
        <v>3.1386733E7</v>
      </c>
      <c r="B268" s="2" t="s">
        <v>1361</v>
      </c>
      <c r="C268" s="19" t="s">
        <v>5246</v>
      </c>
      <c r="D268" s="19" t="s">
        <v>5247</v>
      </c>
      <c r="E268" s="2"/>
      <c r="F268" s="19"/>
    </row>
    <row r="269" ht="15.75" customHeight="1">
      <c r="A269" s="1">
        <v>3.1413681E7</v>
      </c>
      <c r="B269" s="2" t="s">
        <v>1133</v>
      </c>
      <c r="C269" s="19" t="s">
        <v>5248</v>
      </c>
      <c r="D269" s="19" t="s">
        <v>5249</v>
      </c>
      <c r="E269" s="2"/>
      <c r="F269" s="19"/>
    </row>
    <row r="270" ht="15.75" customHeight="1">
      <c r="A270" s="1">
        <v>3.143464E7</v>
      </c>
      <c r="B270" s="2" t="s">
        <v>2482</v>
      </c>
      <c r="C270" s="19" t="s">
        <v>5250</v>
      </c>
      <c r="D270" s="19"/>
      <c r="E270" s="2"/>
      <c r="F270" s="19"/>
    </row>
    <row r="271" ht="15.75" customHeight="1">
      <c r="A271" s="1">
        <v>3.1481379E7</v>
      </c>
      <c r="B271" s="2" t="s">
        <v>1898</v>
      </c>
      <c r="C271" s="19" t="s">
        <v>5251</v>
      </c>
      <c r="D271" s="19"/>
      <c r="E271" s="2"/>
      <c r="F271" s="19"/>
    </row>
    <row r="272" ht="15.75" customHeight="1">
      <c r="A272" s="1">
        <v>3.148202E7</v>
      </c>
      <c r="B272" s="2" t="s">
        <v>734</v>
      </c>
      <c r="C272" s="19" t="s">
        <v>5252</v>
      </c>
      <c r="D272" s="19"/>
      <c r="E272" s="2"/>
      <c r="F272" s="19"/>
    </row>
    <row r="273" ht="15.75" customHeight="1">
      <c r="A273" s="1">
        <v>3.1501424E7</v>
      </c>
      <c r="B273" s="2" t="s">
        <v>467</v>
      </c>
      <c r="C273" s="19" t="s">
        <v>5253</v>
      </c>
      <c r="D273" s="19" t="s">
        <v>5254</v>
      </c>
      <c r="E273" s="2"/>
      <c r="F273" s="19"/>
    </row>
    <row r="274" ht="15.75" customHeight="1">
      <c r="A274" s="1">
        <v>3.1545374E7</v>
      </c>
      <c r="B274" s="2" t="s">
        <v>186</v>
      </c>
      <c r="C274" s="19" t="s">
        <v>5255</v>
      </c>
      <c r="D274" s="19"/>
      <c r="E274" s="2"/>
      <c r="F274" s="19"/>
    </row>
    <row r="275" ht="15.75" customHeight="1">
      <c r="A275" s="1">
        <v>3.1593793E7</v>
      </c>
      <c r="B275" s="2" t="s">
        <v>557</v>
      </c>
      <c r="C275" s="19" t="s">
        <v>5256</v>
      </c>
      <c r="D275" s="19"/>
      <c r="E275" s="2"/>
      <c r="F275" s="19"/>
    </row>
    <row r="276" ht="15.75" customHeight="1">
      <c r="A276" s="1">
        <v>3.1658122E7</v>
      </c>
      <c r="B276" s="2" t="s">
        <v>440</v>
      </c>
      <c r="C276" s="19" t="s">
        <v>5257</v>
      </c>
      <c r="D276" s="19"/>
      <c r="E276" s="2"/>
      <c r="F276" s="19"/>
    </row>
    <row r="277" ht="15.75" customHeight="1">
      <c r="A277" s="1">
        <v>3.172579E7</v>
      </c>
      <c r="B277" s="2" t="s">
        <v>184</v>
      </c>
      <c r="C277" s="19" t="s">
        <v>5258</v>
      </c>
      <c r="D277" s="19"/>
      <c r="E277" s="2"/>
      <c r="F277" s="19"/>
    </row>
    <row r="278" ht="15.75" customHeight="1">
      <c r="A278" s="1">
        <v>3.1794085E7</v>
      </c>
      <c r="B278" s="2" t="s">
        <v>2690</v>
      </c>
      <c r="C278" s="19" t="s">
        <v>5259</v>
      </c>
      <c r="D278" s="19" t="s">
        <v>5260</v>
      </c>
      <c r="E278" s="2"/>
      <c r="F278" s="19"/>
    </row>
    <row r="279" ht="15.75" customHeight="1">
      <c r="A279" s="1">
        <v>3.1838489E7</v>
      </c>
      <c r="B279" s="2" t="s">
        <v>767</v>
      </c>
      <c r="C279" s="19" t="s">
        <v>5261</v>
      </c>
      <c r="D279" s="19" t="s">
        <v>5262</v>
      </c>
      <c r="E279" s="2"/>
      <c r="F279" s="19"/>
    </row>
    <row r="280" ht="15.75" customHeight="1">
      <c r="A280" s="1">
        <v>3.183852E7</v>
      </c>
      <c r="B280" s="2" t="s">
        <v>169</v>
      </c>
      <c r="C280" s="19" t="s">
        <v>5263</v>
      </c>
      <c r="D280" s="19" t="s">
        <v>5264</v>
      </c>
      <c r="E280" s="2"/>
      <c r="F280" s="19"/>
    </row>
    <row r="281" ht="15.75" customHeight="1">
      <c r="A281" s="1">
        <v>3.1914821E7</v>
      </c>
      <c r="B281" s="2" t="s">
        <v>314</v>
      </c>
      <c r="C281" s="19" t="s">
        <v>5265</v>
      </c>
      <c r="D281" s="19"/>
      <c r="E281" s="2"/>
      <c r="F281" s="19"/>
    </row>
    <row r="282" ht="15.75" customHeight="1">
      <c r="A282" s="1">
        <v>3.1942969E7</v>
      </c>
      <c r="B282" s="2" t="s">
        <v>677</v>
      </c>
      <c r="C282" s="19" t="s">
        <v>5266</v>
      </c>
      <c r="D282" s="19"/>
      <c r="E282" s="2"/>
      <c r="F282" s="19"/>
    </row>
    <row r="283" ht="15.75" customHeight="1">
      <c r="A283" s="1">
        <v>3.1967389E7</v>
      </c>
      <c r="B283" s="2" t="s">
        <v>1001</v>
      </c>
      <c r="C283" s="19" t="s">
        <v>5267</v>
      </c>
      <c r="D283" s="19" t="s">
        <v>5268</v>
      </c>
      <c r="E283" s="2"/>
      <c r="F283" s="19"/>
    </row>
    <row r="284" ht="15.75" customHeight="1">
      <c r="A284" s="1">
        <v>3.1980317E7</v>
      </c>
      <c r="B284" s="2" t="s">
        <v>1833</v>
      </c>
      <c r="C284" s="19" t="s">
        <v>5269</v>
      </c>
      <c r="D284" s="19"/>
      <c r="E284" s="2"/>
      <c r="F284" s="19"/>
    </row>
    <row r="285" ht="15.75" customHeight="1">
      <c r="A285" s="1">
        <v>3.1990161E7</v>
      </c>
      <c r="B285" s="2" t="s">
        <v>1921</v>
      </c>
      <c r="C285" s="19" t="s">
        <v>5270</v>
      </c>
      <c r="D285" s="19" t="s">
        <v>5271</v>
      </c>
      <c r="E285" s="2"/>
      <c r="F285" s="19"/>
    </row>
    <row r="286" ht="15.75" customHeight="1">
      <c r="A286" s="1">
        <v>3.2040971E7</v>
      </c>
      <c r="B286" s="2" t="s">
        <v>560</v>
      </c>
      <c r="C286" s="19" t="s">
        <v>5272</v>
      </c>
      <c r="D286" s="19"/>
      <c r="E286" s="2"/>
      <c r="F286" s="19"/>
    </row>
    <row r="287" ht="15.75" customHeight="1">
      <c r="A287" s="1">
        <v>3.2044225E7</v>
      </c>
      <c r="B287" s="2" t="s">
        <v>1986</v>
      </c>
      <c r="C287" s="19" t="s">
        <v>5273</v>
      </c>
      <c r="D287" s="19"/>
      <c r="E287" s="2"/>
      <c r="F287" s="19"/>
    </row>
    <row r="288" ht="15.75" customHeight="1">
      <c r="A288" s="1">
        <v>3.2201636E7</v>
      </c>
      <c r="B288" s="2" t="s">
        <v>563</v>
      </c>
      <c r="C288" s="19" t="s">
        <v>5274</v>
      </c>
      <c r="D288" s="19" t="s">
        <v>5275</v>
      </c>
      <c r="E288" s="2"/>
      <c r="F288" s="19"/>
    </row>
    <row r="289" ht="15.75" customHeight="1">
      <c r="A289" s="1">
        <v>3.2225372E7</v>
      </c>
      <c r="B289" s="2" t="s">
        <v>1974</v>
      </c>
      <c r="C289" s="19" t="s">
        <v>5276</v>
      </c>
      <c r="D289" s="19"/>
      <c r="E289" s="2"/>
      <c r="F289" s="19"/>
    </row>
    <row r="290" ht="15.75" customHeight="1">
      <c r="A290" s="1">
        <v>3.2247953E7</v>
      </c>
      <c r="B290" s="2" t="s">
        <v>188</v>
      </c>
      <c r="C290" s="19" t="s">
        <v>5277</v>
      </c>
      <c r="D290" s="19"/>
      <c r="E290" s="2"/>
      <c r="F290" s="19"/>
    </row>
    <row r="291" ht="15.75" customHeight="1">
      <c r="A291" s="1">
        <v>3.2306914E7</v>
      </c>
      <c r="B291" s="2" t="s">
        <v>480</v>
      </c>
      <c r="C291" s="19" t="s">
        <v>5278</v>
      </c>
      <c r="D291" s="19" t="s">
        <v>5279</v>
      </c>
      <c r="E291" s="2"/>
      <c r="F291" s="19"/>
    </row>
    <row r="292" ht="15.75" customHeight="1">
      <c r="A292" s="1">
        <v>3.2380983E7</v>
      </c>
      <c r="B292" s="2" t="s">
        <v>149</v>
      </c>
      <c r="C292" s="19" t="s">
        <v>5280</v>
      </c>
      <c r="D292" s="19" t="s">
        <v>5281</v>
      </c>
      <c r="E292" s="2"/>
      <c r="F292" s="19"/>
    </row>
    <row r="293" ht="15.75" customHeight="1">
      <c r="A293" s="1">
        <v>3.2466898E7</v>
      </c>
      <c r="B293" s="2" t="s">
        <v>1339</v>
      </c>
      <c r="C293" s="19" t="s">
        <v>5282</v>
      </c>
      <c r="D293" s="19"/>
      <c r="E293" s="2"/>
      <c r="F293" s="19"/>
    </row>
    <row r="294" ht="15.75" customHeight="1">
      <c r="A294" s="1">
        <v>3.2512054E7</v>
      </c>
      <c r="B294" s="2" t="s">
        <v>827</v>
      </c>
      <c r="C294" s="19" t="s">
        <v>5283</v>
      </c>
      <c r="D294" s="19"/>
      <c r="E294" s="2"/>
      <c r="F294" s="19"/>
    </row>
    <row r="295" ht="15.75" customHeight="1">
      <c r="A295" s="1">
        <v>3.252359E7</v>
      </c>
      <c r="B295" s="2" t="s">
        <v>819</v>
      </c>
      <c r="C295" s="19" t="s">
        <v>5284</v>
      </c>
      <c r="D295" s="19"/>
      <c r="E295" s="2"/>
      <c r="F295" s="19"/>
    </row>
    <row r="296" ht="15.75" customHeight="1">
      <c r="A296" s="1">
        <v>3.2540747E7</v>
      </c>
      <c r="B296" s="2" t="s">
        <v>498</v>
      </c>
      <c r="C296" s="19" t="s">
        <v>5285</v>
      </c>
      <c r="D296" s="19"/>
      <c r="E296" s="2"/>
      <c r="F296" s="19"/>
    </row>
    <row r="297" ht="15.75" customHeight="1">
      <c r="A297" s="1">
        <v>3.257107E7</v>
      </c>
      <c r="B297" s="2" t="s">
        <v>1431</v>
      </c>
      <c r="C297" s="19" t="s">
        <v>5286</v>
      </c>
      <c r="D297" s="19" t="s">
        <v>5287</v>
      </c>
      <c r="E297" s="2"/>
      <c r="F297" s="19"/>
    </row>
    <row r="298" ht="15.75" customHeight="1">
      <c r="A298" s="1">
        <v>3.2662381E7</v>
      </c>
      <c r="B298" s="2" t="s">
        <v>419</v>
      </c>
      <c r="C298" s="19" t="s">
        <v>5288</v>
      </c>
      <c r="D298" s="19" t="s">
        <v>5289</v>
      </c>
      <c r="E298" s="2"/>
      <c r="F298" s="19"/>
    </row>
    <row r="299" ht="15.75" customHeight="1">
      <c r="A299" s="1">
        <v>3.2667656E7</v>
      </c>
      <c r="B299" s="2" t="s">
        <v>166</v>
      </c>
      <c r="C299" s="19" t="s">
        <v>5290</v>
      </c>
      <c r="D299" s="19"/>
      <c r="E299" s="2"/>
      <c r="F299" s="19"/>
    </row>
    <row r="300" ht="15.75" customHeight="1">
      <c r="A300" s="1">
        <v>3.2698744E7</v>
      </c>
      <c r="B300" s="2" t="s">
        <v>244</v>
      </c>
      <c r="C300" s="19" t="s">
        <v>5291</v>
      </c>
      <c r="D300" s="19" t="s">
        <v>5292</v>
      </c>
      <c r="E300" s="2"/>
      <c r="F300" s="19"/>
    </row>
    <row r="301" ht="15.75" customHeight="1">
      <c r="A301" s="1">
        <v>3.2706271E7</v>
      </c>
      <c r="B301" s="2" t="s">
        <v>415</v>
      </c>
      <c r="C301" s="19" t="s">
        <v>5293</v>
      </c>
      <c r="D301" s="19"/>
      <c r="E301" s="2"/>
      <c r="F301" s="19"/>
    </row>
    <row r="302" ht="15.75" customHeight="1">
      <c r="A302" s="1">
        <v>3.2723648E7</v>
      </c>
      <c r="B302" s="2" t="s">
        <v>629</v>
      </c>
      <c r="C302" s="19" t="s">
        <v>5294</v>
      </c>
      <c r="D302" s="19" t="s">
        <v>5295</v>
      </c>
      <c r="E302" s="2"/>
      <c r="F302" s="19"/>
    </row>
    <row r="303" ht="15.75" customHeight="1">
      <c r="A303" s="1">
        <v>3.272604E7</v>
      </c>
      <c r="B303" s="2" t="s">
        <v>2779</v>
      </c>
      <c r="C303" s="19" t="s">
        <v>5296</v>
      </c>
      <c r="D303" s="19" t="s">
        <v>5297</v>
      </c>
      <c r="E303" s="2"/>
      <c r="F303" s="19"/>
    </row>
    <row r="304" ht="15.75" customHeight="1">
      <c r="A304" s="1">
        <v>3.2738016E7</v>
      </c>
      <c r="B304" s="2" t="s">
        <v>1996</v>
      </c>
      <c r="C304" s="19" t="s">
        <v>5298</v>
      </c>
      <c r="D304" s="19"/>
      <c r="E304" s="2"/>
      <c r="F304" s="19"/>
    </row>
    <row r="305" ht="15.75" customHeight="1">
      <c r="A305" s="1">
        <v>3.2750425E7</v>
      </c>
      <c r="B305" s="2" t="s">
        <v>516</v>
      </c>
      <c r="C305" s="19" t="s">
        <v>5299</v>
      </c>
      <c r="D305" s="19" t="s">
        <v>5300</v>
      </c>
      <c r="E305" s="2"/>
      <c r="F305" s="19"/>
    </row>
    <row r="306" ht="15.75" customHeight="1">
      <c r="A306" s="1">
        <v>3.2772409E7</v>
      </c>
      <c r="B306" s="2" t="s">
        <v>897</v>
      </c>
      <c r="C306" s="19" t="s">
        <v>5301</v>
      </c>
      <c r="D306" s="19" t="s">
        <v>5302</v>
      </c>
      <c r="E306" s="2"/>
      <c r="F306" s="19"/>
    </row>
    <row r="307" ht="15.75" customHeight="1">
      <c r="A307" s="1">
        <v>3.2791968E7</v>
      </c>
      <c r="B307" s="2" t="s">
        <v>137</v>
      </c>
      <c r="C307" s="19" t="s">
        <v>5303</v>
      </c>
      <c r="D307" s="19" t="s">
        <v>5304</v>
      </c>
      <c r="E307" s="2"/>
      <c r="F307" s="19"/>
    </row>
    <row r="308" ht="15.75" customHeight="1">
      <c r="A308" s="1">
        <v>3.2833023E7</v>
      </c>
      <c r="B308" s="2" t="s">
        <v>1355</v>
      </c>
      <c r="C308" s="19" t="s">
        <v>5305</v>
      </c>
      <c r="D308" s="19" t="s">
        <v>5306</v>
      </c>
      <c r="E308" s="2"/>
      <c r="F308" s="19"/>
    </row>
    <row r="309" ht="15.75" customHeight="1">
      <c r="A309" s="1">
        <v>3.283708E7</v>
      </c>
      <c r="B309" s="2" t="s">
        <v>535</v>
      </c>
      <c r="C309" s="19" t="s">
        <v>5307</v>
      </c>
      <c r="D309" s="19"/>
      <c r="E309" s="2"/>
      <c r="F309" s="19"/>
    </row>
    <row r="310" ht="15.75" customHeight="1">
      <c r="A310" s="1">
        <v>3.2863735E7</v>
      </c>
      <c r="B310" s="2" t="s">
        <v>3169</v>
      </c>
      <c r="C310" s="19" t="s">
        <v>5308</v>
      </c>
      <c r="D310" s="19"/>
      <c r="E310" s="2"/>
      <c r="F310" s="19"/>
    </row>
    <row r="311" ht="15.75" customHeight="1">
      <c r="A311" s="1">
        <v>3.2971342E7</v>
      </c>
      <c r="B311" s="2" t="s">
        <v>2560</v>
      </c>
      <c r="C311" s="19" t="s">
        <v>5309</v>
      </c>
      <c r="D311" s="19" t="s">
        <v>5310</v>
      </c>
      <c r="E311" s="2"/>
      <c r="F311" s="19"/>
    </row>
    <row r="312" ht="15.75" customHeight="1">
      <c r="A312" s="1">
        <v>3.298705E7</v>
      </c>
      <c r="B312" s="2" t="s">
        <v>2117</v>
      </c>
      <c r="C312" s="19" t="s">
        <v>5311</v>
      </c>
      <c r="D312" s="19"/>
      <c r="E312" s="2"/>
      <c r="F312" s="19"/>
    </row>
    <row r="313" ht="15.75" customHeight="1">
      <c r="A313" s="1">
        <v>3.3016067E7</v>
      </c>
      <c r="B313" s="2" t="s">
        <v>1635</v>
      </c>
      <c r="C313" s="19" t="s">
        <v>5312</v>
      </c>
      <c r="D313" s="19"/>
      <c r="E313" s="2"/>
      <c r="F313" s="19"/>
    </row>
    <row r="314" ht="15.75" customHeight="1">
      <c r="A314" s="1">
        <v>3.3048763E7</v>
      </c>
      <c r="B314" s="2" t="s">
        <v>157</v>
      </c>
      <c r="C314" s="19" t="s">
        <v>5313</v>
      </c>
      <c r="D314" s="19"/>
      <c r="E314" s="2"/>
      <c r="F314" s="19"/>
    </row>
    <row r="315" ht="15.75" customHeight="1">
      <c r="A315" s="1">
        <v>3.3082983E7</v>
      </c>
      <c r="B315" s="2" t="s">
        <v>1611</v>
      </c>
      <c r="C315" s="19" t="s">
        <v>5314</v>
      </c>
      <c r="D315" s="19"/>
      <c r="E315" s="2"/>
      <c r="F315" s="19"/>
    </row>
    <row r="316" ht="15.75" customHeight="1">
      <c r="A316" s="1">
        <v>3.3086501E7</v>
      </c>
      <c r="B316" s="2" t="s">
        <v>592</v>
      </c>
      <c r="C316" s="19" t="s">
        <v>5315</v>
      </c>
      <c r="D316" s="19"/>
      <c r="E316" s="2"/>
      <c r="F316" s="19"/>
    </row>
    <row r="317" ht="15.75" customHeight="1">
      <c r="A317" s="1">
        <v>3.328282E7</v>
      </c>
      <c r="B317" s="2" t="s">
        <v>1234</v>
      </c>
      <c r="C317" s="19" t="s">
        <v>5316</v>
      </c>
      <c r="D317" s="19"/>
      <c r="E317" s="2"/>
      <c r="F317" s="19"/>
    </row>
    <row r="318" ht="15.75" customHeight="1">
      <c r="A318" s="1">
        <v>3.3401059E7</v>
      </c>
      <c r="B318" s="2" t="s">
        <v>265</v>
      </c>
      <c r="C318" s="19" t="s">
        <v>5317</v>
      </c>
      <c r="D318" s="19" t="s">
        <v>5318</v>
      </c>
      <c r="E318" s="2"/>
      <c r="F318" s="19"/>
    </row>
    <row r="319" ht="15.75" customHeight="1">
      <c r="A319" s="1">
        <v>3.3616877E7</v>
      </c>
      <c r="B319" s="2" t="s">
        <v>751</v>
      </c>
      <c r="C319" s="19" t="s">
        <v>5319</v>
      </c>
      <c r="D319" s="19"/>
      <c r="E319" s="2"/>
      <c r="F319" s="19"/>
    </row>
    <row r="320" ht="15.75" customHeight="1">
      <c r="A320" s="1">
        <v>3.3879085E7</v>
      </c>
      <c r="B320" s="2" t="s">
        <v>714</v>
      </c>
      <c r="C320" s="19" t="s">
        <v>5320</v>
      </c>
      <c r="D320" s="19" t="s">
        <v>5321</v>
      </c>
      <c r="E320" s="2"/>
      <c r="F320" s="19"/>
    </row>
    <row r="321" ht="15.75" customHeight="1">
      <c r="A321" s="1">
        <v>3.395213E7</v>
      </c>
      <c r="B321" s="2" t="s">
        <v>2062</v>
      </c>
      <c r="C321" s="19" t="s">
        <v>5322</v>
      </c>
      <c r="D321" s="19" t="s">
        <v>5323</v>
      </c>
      <c r="E321" s="2"/>
      <c r="F321" s="19"/>
    </row>
    <row r="322" ht="15.75" customHeight="1">
      <c r="A322" s="1">
        <v>3.4085695E7</v>
      </c>
      <c r="B322" s="2" t="s">
        <v>328</v>
      </c>
      <c r="C322" s="19" t="s">
        <v>5324</v>
      </c>
      <c r="D322" s="19" t="s">
        <v>5325</v>
      </c>
      <c r="E322" s="2"/>
      <c r="F322" s="19"/>
    </row>
    <row r="323" ht="15.75" customHeight="1">
      <c r="A323" s="1">
        <v>3.416451E7</v>
      </c>
      <c r="B323" s="2" t="s">
        <v>1409</v>
      </c>
      <c r="C323" s="19" t="s">
        <v>5326</v>
      </c>
      <c r="D323" s="19" t="s">
        <v>5327</v>
      </c>
      <c r="E323" s="2"/>
      <c r="F323" s="19"/>
    </row>
    <row r="324" ht="15.75" customHeight="1">
      <c r="A324" s="1">
        <v>3.4172317E7</v>
      </c>
      <c r="B324" s="2" t="s">
        <v>2511</v>
      </c>
      <c r="C324" s="19" t="s">
        <v>5328</v>
      </c>
      <c r="D324" s="19" t="s">
        <v>5329</v>
      </c>
      <c r="E324" s="2"/>
      <c r="F324" s="19"/>
    </row>
    <row r="325" ht="15.75" customHeight="1">
      <c r="A325" s="1">
        <v>3.4228425E7</v>
      </c>
      <c r="B325" s="2" t="s">
        <v>2060</v>
      </c>
      <c r="C325" s="19" t="s">
        <v>5330</v>
      </c>
      <c r="D325" s="19"/>
      <c r="E325" s="2"/>
      <c r="F325" s="19"/>
    </row>
    <row r="326" ht="15.75" customHeight="1">
      <c r="A326" s="1">
        <v>3.4305838E7</v>
      </c>
      <c r="B326" s="2" t="s">
        <v>1141</v>
      </c>
      <c r="C326" s="19" t="s">
        <v>5331</v>
      </c>
      <c r="D326" s="19"/>
      <c r="E326" s="2"/>
      <c r="F326" s="19"/>
    </row>
    <row r="327" ht="15.75" customHeight="1">
      <c r="A327" s="1">
        <v>3.4445962E7</v>
      </c>
      <c r="B327" s="2" t="s">
        <v>768</v>
      </c>
      <c r="C327" s="19" t="s">
        <v>5332</v>
      </c>
      <c r="D327" s="19"/>
      <c r="E327" s="2"/>
      <c r="F327" s="19"/>
    </row>
    <row r="328" ht="15.75" customHeight="1">
      <c r="A328" s="1">
        <v>3.4504198E7</v>
      </c>
      <c r="B328" s="2" t="s">
        <v>495</v>
      </c>
      <c r="C328" s="19" t="s">
        <v>5333</v>
      </c>
      <c r="D328" s="19"/>
      <c r="E328" s="2"/>
      <c r="F328" s="19"/>
    </row>
    <row r="329" ht="15.75" customHeight="1">
      <c r="A329" s="1">
        <v>3.4515865E7</v>
      </c>
      <c r="B329" s="2" t="s">
        <v>425</v>
      </c>
      <c r="C329" s="19" t="s">
        <v>5334</v>
      </c>
      <c r="D329" s="19" t="s">
        <v>5335</v>
      </c>
      <c r="E329" s="2"/>
      <c r="F329" s="19"/>
    </row>
    <row r="330" ht="15.75" customHeight="1">
      <c r="A330" s="1">
        <v>3.4518419E7</v>
      </c>
      <c r="B330" s="2" t="s">
        <v>1912</v>
      </c>
      <c r="C330" s="19" t="s">
        <v>5336</v>
      </c>
      <c r="D330" s="19" t="s">
        <v>5337</v>
      </c>
      <c r="E330" s="2"/>
      <c r="F330" s="19"/>
    </row>
    <row r="331" ht="15.75" customHeight="1">
      <c r="A331" s="1">
        <v>3.4545785E7</v>
      </c>
      <c r="B331" s="2" t="s">
        <v>989</v>
      </c>
      <c r="C331" s="19" t="s">
        <v>5338</v>
      </c>
      <c r="D331" s="19"/>
      <c r="E331" s="2"/>
      <c r="F331" s="19"/>
    </row>
    <row r="332" ht="15.75" customHeight="1">
      <c r="A332" s="1">
        <v>3.4596332E7</v>
      </c>
      <c r="B332" s="2" t="s">
        <v>195</v>
      </c>
      <c r="C332" s="19" t="s">
        <v>5339</v>
      </c>
      <c r="D332" s="19"/>
      <c r="E332" s="2"/>
      <c r="F332" s="19"/>
    </row>
    <row r="333" ht="15.75" customHeight="1">
      <c r="A333" s="1">
        <v>3.4631941E7</v>
      </c>
      <c r="B333" s="2" t="s">
        <v>1253</v>
      </c>
      <c r="C333" s="19" t="s">
        <v>5340</v>
      </c>
      <c r="D333" s="19"/>
      <c r="E333" s="2"/>
      <c r="F333" s="19"/>
    </row>
    <row r="334" ht="15.75" customHeight="1">
      <c r="A334" s="1">
        <v>3.4656482E7</v>
      </c>
      <c r="B334" s="2" t="s">
        <v>828</v>
      </c>
      <c r="C334" s="19" t="s">
        <v>5341</v>
      </c>
      <c r="D334" s="19" t="s">
        <v>5342</v>
      </c>
      <c r="E334" s="2"/>
      <c r="F334" s="19"/>
    </row>
    <row r="335" ht="15.75" customHeight="1">
      <c r="A335" s="1">
        <v>3.4679862E7</v>
      </c>
      <c r="B335" s="2" t="s">
        <v>1388</v>
      </c>
      <c r="C335" s="19" t="s">
        <v>5343</v>
      </c>
      <c r="D335" s="19" t="s">
        <v>5344</v>
      </c>
      <c r="E335" s="2"/>
      <c r="F335" s="19"/>
    </row>
    <row r="336" ht="15.75" customHeight="1">
      <c r="A336" s="1">
        <v>3.4757888E7</v>
      </c>
      <c r="B336" s="2" t="s">
        <v>2309</v>
      </c>
      <c r="C336" s="19" t="s">
        <v>5345</v>
      </c>
      <c r="D336" s="19" t="s">
        <v>5346</v>
      </c>
      <c r="E336" s="2"/>
      <c r="F336" s="19"/>
    </row>
    <row r="337" ht="15.75" customHeight="1">
      <c r="A337" s="1">
        <v>3.477612E7</v>
      </c>
      <c r="B337" s="2" t="s">
        <v>2049</v>
      </c>
      <c r="C337" s="19" t="s">
        <v>5347</v>
      </c>
      <c r="D337" s="19"/>
      <c r="E337" s="2"/>
      <c r="F337" s="19"/>
    </row>
    <row r="338" ht="15.75" customHeight="1">
      <c r="A338" s="1">
        <v>3.4814017E7</v>
      </c>
      <c r="B338" s="2" t="s">
        <v>1193</v>
      </c>
      <c r="C338" s="19" t="s">
        <v>5348</v>
      </c>
      <c r="D338" s="19"/>
      <c r="E338" s="2"/>
      <c r="F338" s="19"/>
    </row>
    <row r="339" ht="15.75" customHeight="1">
      <c r="A339" s="1">
        <v>3.4814468E7</v>
      </c>
      <c r="B339" s="2" t="s">
        <v>426</v>
      </c>
      <c r="C339" s="19" t="s">
        <v>5349</v>
      </c>
      <c r="D339" s="19" t="s">
        <v>5350</v>
      </c>
      <c r="E339" s="2"/>
      <c r="F339" s="19"/>
    </row>
    <row r="340" ht="15.75" customHeight="1">
      <c r="A340" s="1">
        <v>3.4819005E7</v>
      </c>
      <c r="B340" s="2" t="s">
        <v>1969</v>
      </c>
      <c r="C340" s="19" t="s">
        <v>5351</v>
      </c>
      <c r="D340" s="19"/>
      <c r="E340" s="2"/>
      <c r="F340" s="19"/>
    </row>
    <row r="341" ht="15.75" customHeight="1">
      <c r="A341" s="1">
        <v>3.4823823E7</v>
      </c>
      <c r="B341" s="2" t="s">
        <v>189</v>
      </c>
      <c r="C341" s="19" t="s">
        <v>5352</v>
      </c>
      <c r="D341" s="19" t="s">
        <v>5353</v>
      </c>
      <c r="E341" s="2"/>
      <c r="F341" s="19"/>
    </row>
    <row r="342" ht="15.75" customHeight="1">
      <c r="A342" s="1">
        <v>3.4860991E7</v>
      </c>
      <c r="B342" s="2" t="s">
        <v>1216</v>
      </c>
      <c r="C342" s="19" t="s">
        <v>5354</v>
      </c>
      <c r="D342" s="19" t="s">
        <v>5355</v>
      </c>
      <c r="E342" s="2"/>
      <c r="F342" s="19"/>
    </row>
    <row r="343" ht="15.75" customHeight="1">
      <c r="A343" s="1">
        <v>3.4880856E7</v>
      </c>
      <c r="B343" s="2" t="s">
        <v>2467</v>
      </c>
      <c r="C343" s="19" t="s">
        <v>5356</v>
      </c>
      <c r="D343" s="19"/>
      <c r="E343" s="2"/>
      <c r="F343" s="19"/>
    </row>
    <row r="344" ht="15.75" customHeight="1">
      <c r="A344" s="1">
        <v>3.4881746E7</v>
      </c>
      <c r="B344" s="2" t="s">
        <v>3357</v>
      </c>
      <c r="C344" s="19" t="s">
        <v>5357</v>
      </c>
      <c r="D344" s="19"/>
      <c r="E344" s="2"/>
      <c r="F344" s="19"/>
    </row>
    <row r="345" ht="15.75" customHeight="1">
      <c r="A345" s="1">
        <v>3.491616E7</v>
      </c>
      <c r="B345" s="2" t="s">
        <v>2310</v>
      </c>
      <c r="C345" s="19" t="s">
        <v>5358</v>
      </c>
      <c r="D345" s="19"/>
      <c r="E345" s="2"/>
      <c r="F345" s="19"/>
    </row>
    <row r="346" ht="15.75" customHeight="1">
      <c r="A346" s="1">
        <v>3.4920892E7</v>
      </c>
      <c r="B346" s="2" t="s">
        <v>3389</v>
      </c>
      <c r="C346" s="19" t="s">
        <v>5359</v>
      </c>
      <c r="D346" s="19" t="s">
        <v>5360</v>
      </c>
      <c r="E346" s="2"/>
      <c r="F346" s="19"/>
    </row>
    <row r="347" ht="15.75" customHeight="1">
      <c r="A347" s="1">
        <v>3.4971515E7</v>
      </c>
      <c r="B347" s="2" t="s">
        <v>2014</v>
      </c>
      <c r="C347" s="19" t="s">
        <v>5361</v>
      </c>
      <c r="D347" s="19" t="s">
        <v>5362</v>
      </c>
      <c r="E347" s="2"/>
      <c r="F347" s="19"/>
    </row>
    <row r="348" ht="15.75" customHeight="1">
      <c r="A348" s="1">
        <v>3.5041549E7</v>
      </c>
      <c r="B348" s="2" t="s">
        <v>1221</v>
      </c>
      <c r="C348" s="19" t="s">
        <v>5363</v>
      </c>
      <c r="D348" s="19" t="s">
        <v>5364</v>
      </c>
      <c r="E348" s="2"/>
      <c r="F348" s="19"/>
    </row>
    <row r="349" ht="15.75" customHeight="1">
      <c r="A349" s="1">
        <v>3.5066446E7</v>
      </c>
      <c r="B349" s="2" t="s">
        <v>2468</v>
      </c>
      <c r="C349" s="19" t="s">
        <v>5365</v>
      </c>
      <c r="D349" s="19"/>
      <c r="E349" s="2"/>
      <c r="F349" s="19"/>
    </row>
    <row r="350" ht="15.75" customHeight="1">
      <c r="A350" s="1">
        <v>3.5092415E7</v>
      </c>
      <c r="B350" s="2" t="s">
        <v>2601</v>
      </c>
      <c r="C350" s="19" t="s">
        <v>5366</v>
      </c>
      <c r="D350" s="19"/>
      <c r="E350" s="2"/>
      <c r="F350" s="19"/>
    </row>
    <row r="351" ht="15.75" customHeight="1">
      <c r="A351" s="1">
        <v>3.5117639E7</v>
      </c>
      <c r="B351" s="2" t="s">
        <v>885</v>
      </c>
      <c r="C351" s="19" t="s">
        <v>5367</v>
      </c>
      <c r="D351" s="19" t="s">
        <v>5368</v>
      </c>
      <c r="E351" s="2"/>
      <c r="F351" s="19"/>
    </row>
    <row r="352" ht="15.75" customHeight="1">
      <c r="A352" s="1">
        <v>3.5250844E7</v>
      </c>
      <c r="B352" s="2" t="s">
        <v>868</v>
      </c>
      <c r="C352" s="19" t="s">
        <v>5369</v>
      </c>
      <c r="D352" s="19"/>
      <c r="E352" s="2"/>
      <c r="F352" s="19"/>
    </row>
    <row r="353" ht="15.75" customHeight="1">
      <c r="A353" s="1">
        <v>3.5265813E7</v>
      </c>
      <c r="B353" s="2" t="s">
        <v>1692</v>
      </c>
      <c r="C353" s="19" t="s">
        <v>5370</v>
      </c>
      <c r="D353" s="19"/>
      <c r="E353" s="2"/>
      <c r="F353" s="19"/>
    </row>
    <row r="354" ht="15.75" customHeight="1">
      <c r="A354" s="1">
        <v>3.5302025E7</v>
      </c>
      <c r="B354" s="2" t="s">
        <v>524</v>
      </c>
      <c r="C354" s="19" t="s">
        <v>5371</v>
      </c>
      <c r="D354" s="19"/>
      <c r="E354" s="2"/>
      <c r="F354" s="19"/>
    </row>
    <row r="355" ht="15.75" customHeight="1">
      <c r="A355" s="1">
        <v>3.5343564E7</v>
      </c>
      <c r="B355" s="2" t="s">
        <v>2076</v>
      </c>
      <c r="C355" s="19" t="s">
        <v>5372</v>
      </c>
      <c r="D355" s="19" t="s">
        <v>5373</v>
      </c>
      <c r="E355" s="2"/>
      <c r="F355" s="19"/>
    </row>
    <row r="356" ht="15.75" customHeight="1">
      <c r="A356" s="1">
        <v>3.5414315E7</v>
      </c>
      <c r="B356" s="2" t="s">
        <v>2036</v>
      </c>
      <c r="C356" s="19" t="s">
        <v>5374</v>
      </c>
      <c r="D356" s="19"/>
      <c r="E356" s="2"/>
      <c r="F356" s="19"/>
    </row>
    <row r="357" ht="15.75" customHeight="1">
      <c r="A357" s="1">
        <v>3.5476777E7</v>
      </c>
      <c r="B357" s="2" t="s">
        <v>1246</v>
      </c>
      <c r="C357" s="19" t="s">
        <v>5375</v>
      </c>
      <c r="D357" s="19" t="s">
        <v>5376</v>
      </c>
      <c r="E357" s="2"/>
      <c r="F357" s="19"/>
    </row>
    <row r="358" ht="15.75" customHeight="1">
      <c r="A358" s="1">
        <v>3.5482963E7</v>
      </c>
      <c r="B358" s="2" t="s">
        <v>607</v>
      </c>
      <c r="C358" s="19" t="s">
        <v>5377</v>
      </c>
      <c r="D358" s="19" t="s">
        <v>5378</v>
      </c>
      <c r="E358" s="2"/>
      <c r="F358" s="19"/>
    </row>
    <row r="359" ht="15.75" customHeight="1">
      <c r="A359" s="1">
        <v>3.5569887E7</v>
      </c>
      <c r="B359" s="2" t="s">
        <v>1929</v>
      </c>
      <c r="C359" s="19" t="s">
        <v>5379</v>
      </c>
      <c r="D359" s="19" t="s">
        <v>5380</v>
      </c>
      <c r="E359" s="2"/>
      <c r="F359" s="19"/>
    </row>
    <row r="360" ht="15.75" customHeight="1">
      <c r="A360" s="1">
        <v>3.5578153E7</v>
      </c>
      <c r="B360" s="2" t="s">
        <v>1078</v>
      </c>
      <c r="C360" s="19" t="s">
        <v>5381</v>
      </c>
      <c r="D360" s="19" t="s">
        <v>5382</v>
      </c>
      <c r="E360" s="2"/>
      <c r="F360" s="19"/>
    </row>
    <row r="361" ht="15.75" customHeight="1">
      <c r="A361" s="1">
        <v>3.5618897E7</v>
      </c>
      <c r="B361" s="2" t="s">
        <v>1498</v>
      </c>
      <c r="C361" s="19" t="s">
        <v>5383</v>
      </c>
      <c r="D361" s="19"/>
      <c r="E361" s="2"/>
      <c r="F361" s="19"/>
    </row>
    <row r="362" ht="15.75" customHeight="1">
      <c r="A362" s="1">
        <v>3.5645102E7</v>
      </c>
      <c r="B362" s="2" t="s">
        <v>494</v>
      </c>
      <c r="C362" s="19" t="s">
        <v>5384</v>
      </c>
      <c r="D362" s="19"/>
      <c r="E362" s="2"/>
      <c r="F362" s="19"/>
    </row>
    <row r="363" ht="15.75" customHeight="1">
      <c r="A363" s="1">
        <v>3.5660296E7</v>
      </c>
      <c r="B363" s="2" t="s">
        <v>702</v>
      </c>
      <c r="C363" s="19" t="s">
        <v>5385</v>
      </c>
      <c r="D363" s="19" t="s">
        <v>5386</v>
      </c>
      <c r="E363" s="2"/>
      <c r="F363" s="19"/>
    </row>
    <row r="364" ht="15.75" customHeight="1">
      <c r="A364" s="1">
        <v>3.5677362E7</v>
      </c>
      <c r="B364" s="2" t="s">
        <v>817</v>
      </c>
      <c r="C364" s="19" t="s">
        <v>5387</v>
      </c>
      <c r="D364" s="19"/>
      <c r="E364" s="2"/>
      <c r="F364" s="19"/>
    </row>
    <row r="365" ht="15.75" customHeight="1">
      <c r="A365" s="1">
        <v>3.5742554E7</v>
      </c>
      <c r="B365" s="2" t="s">
        <v>304</v>
      </c>
      <c r="C365" s="19" t="s">
        <v>5388</v>
      </c>
      <c r="D365" s="19" t="s">
        <v>5389</v>
      </c>
      <c r="E365" s="2"/>
      <c r="F365" s="19"/>
    </row>
    <row r="366" ht="15.75" customHeight="1">
      <c r="A366" s="1">
        <v>3.5764295E7</v>
      </c>
      <c r="B366" s="2" t="s">
        <v>1392</v>
      </c>
      <c r="C366" s="19" t="s">
        <v>5390</v>
      </c>
      <c r="D366" s="19"/>
      <c r="E366" s="2"/>
      <c r="F366" s="19"/>
    </row>
    <row r="367" ht="15.75" customHeight="1">
      <c r="A367" s="1">
        <v>3.5776176E7</v>
      </c>
      <c r="B367" s="2" t="s">
        <v>873</v>
      </c>
      <c r="C367" s="19" t="s">
        <v>5391</v>
      </c>
      <c r="D367" s="19" t="s">
        <v>5392</v>
      </c>
      <c r="E367" s="2"/>
      <c r="F367" s="19"/>
    </row>
    <row r="368" ht="15.75" customHeight="1">
      <c r="A368" s="1">
        <v>3.5837025E7</v>
      </c>
      <c r="B368" s="2" t="s">
        <v>491</v>
      </c>
      <c r="C368" s="19" t="s">
        <v>5393</v>
      </c>
      <c r="D368" s="19" t="s">
        <v>5394</v>
      </c>
      <c r="E368" s="2"/>
      <c r="F368" s="19"/>
    </row>
    <row r="369" ht="15.75" customHeight="1">
      <c r="A369" s="1">
        <v>3.5859198E7</v>
      </c>
      <c r="B369" s="2" t="s">
        <v>956</v>
      </c>
      <c r="C369" s="19" t="s">
        <v>5395</v>
      </c>
      <c r="D369" s="19"/>
      <c r="E369" s="2"/>
      <c r="F369" s="19"/>
    </row>
    <row r="370" ht="15.75" customHeight="1">
      <c r="A370" s="1">
        <v>3.5865098E7</v>
      </c>
      <c r="B370" s="2" t="s">
        <v>1552</v>
      </c>
      <c r="C370" s="19" t="s">
        <v>5396</v>
      </c>
      <c r="D370" s="19"/>
      <c r="E370" s="2"/>
      <c r="F370" s="19"/>
    </row>
    <row r="371" ht="15.75" customHeight="1">
      <c r="A371" s="1">
        <v>3.5894935E7</v>
      </c>
      <c r="B371" s="2" t="s">
        <v>1020</v>
      </c>
      <c r="C371" s="19" t="s">
        <v>5397</v>
      </c>
      <c r="D371" s="19" t="s">
        <v>5398</v>
      </c>
      <c r="E371" s="2"/>
      <c r="F371" s="19"/>
    </row>
    <row r="372" ht="15.75" customHeight="1">
      <c r="A372" s="1">
        <v>3.5974311E7</v>
      </c>
      <c r="B372" s="2" t="s">
        <v>1170</v>
      </c>
      <c r="C372" s="19" t="s">
        <v>5399</v>
      </c>
      <c r="D372" s="19"/>
      <c r="E372" s="2"/>
      <c r="F372" s="19"/>
    </row>
    <row r="373" ht="15.75" customHeight="1">
      <c r="A373" s="1">
        <v>3.6028847E7</v>
      </c>
      <c r="B373" s="2" t="s">
        <v>1288</v>
      </c>
      <c r="C373" s="19" t="s">
        <v>5400</v>
      </c>
      <c r="D373" s="19"/>
      <c r="E373" s="2"/>
      <c r="F373" s="19"/>
    </row>
    <row r="374" ht="15.75" customHeight="1">
      <c r="A374" s="1">
        <v>3.6070513E7</v>
      </c>
      <c r="B374" s="2" t="s">
        <v>1471</v>
      </c>
      <c r="C374" s="19" t="s">
        <v>5401</v>
      </c>
      <c r="D374" s="19"/>
      <c r="E374" s="2"/>
      <c r="F374" s="19"/>
    </row>
    <row r="375" ht="15.75" customHeight="1">
      <c r="A375" s="1">
        <v>3.6089525E7</v>
      </c>
      <c r="B375" s="2" t="s">
        <v>562</v>
      </c>
      <c r="C375" s="19" t="s">
        <v>5402</v>
      </c>
      <c r="D375" s="19"/>
      <c r="E375" s="2"/>
      <c r="F375" s="19"/>
    </row>
    <row r="376" ht="15.75" customHeight="1">
      <c r="A376" s="1">
        <v>3.6229215E7</v>
      </c>
      <c r="B376" s="2" t="s">
        <v>1695</v>
      </c>
      <c r="C376" s="19" t="s">
        <v>5403</v>
      </c>
      <c r="D376" s="19" t="s">
        <v>5404</v>
      </c>
      <c r="E376" s="2"/>
      <c r="F376" s="19"/>
    </row>
    <row r="377" ht="15.75" customHeight="1">
      <c r="A377" s="1">
        <v>3.6257435E7</v>
      </c>
      <c r="B377" s="2" t="s">
        <v>2290</v>
      </c>
      <c r="C377" s="19" t="s">
        <v>5405</v>
      </c>
      <c r="D377" s="19" t="s">
        <v>5406</v>
      </c>
      <c r="E377" s="2"/>
      <c r="F377" s="19"/>
    </row>
    <row r="378" ht="15.75" customHeight="1">
      <c r="A378" s="1">
        <v>3.6287339E7</v>
      </c>
      <c r="B378" s="2" t="s">
        <v>1159</v>
      </c>
      <c r="C378" s="19" t="s">
        <v>5407</v>
      </c>
      <c r="D378" s="19"/>
      <c r="E378" s="2"/>
      <c r="F378" s="19"/>
    </row>
    <row r="379" ht="15.75" customHeight="1">
      <c r="A379" s="1">
        <v>3.6341976E7</v>
      </c>
      <c r="B379" s="2" t="s">
        <v>1197</v>
      </c>
      <c r="C379" s="19" t="s">
        <v>5408</v>
      </c>
      <c r="D379" s="19"/>
      <c r="E379" s="2"/>
      <c r="F379" s="19"/>
    </row>
    <row r="380" ht="15.75" customHeight="1">
      <c r="A380" s="1">
        <v>3.6402477E7</v>
      </c>
      <c r="B380" s="2" t="s">
        <v>764</v>
      </c>
      <c r="C380" s="19" t="s">
        <v>5409</v>
      </c>
      <c r="D380" s="19" t="s">
        <v>5410</v>
      </c>
      <c r="E380" s="2"/>
      <c r="F380" s="19"/>
    </row>
    <row r="381" ht="15.75" customHeight="1">
      <c r="A381" s="1">
        <v>3.652814E7</v>
      </c>
      <c r="B381" s="2" t="s">
        <v>248</v>
      </c>
      <c r="C381" s="19" t="s">
        <v>5411</v>
      </c>
      <c r="D381" s="19"/>
      <c r="E381" s="2"/>
      <c r="F381" s="19"/>
    </row>
    <row r="382" ht="15.75" customHeight="1">
      <c r="A382" s="1">
        <v>3.6565321E7</v>
      </c>
      <c r="B382" s="2" t="s">
        <v>2159</v>
      </c>
      <c r="C382" s="19" t="s">
        <v>5412</v>
      </c>
      <c r="D382" s="19"/>
      <c r="E382" s="2"/>
      <c r="F382" s="19"/>
    </row>
    <row r="383" ht="15.75" customHeight="1">
      <c r="A383" s="1">
        <v>3.6610727E7</v>
      </c>
      <c r="B383" s="2" t="s">
        <v>565</v>
      </c>
      <c r="C383" s="19" t="s">
        <v>5413</v>
      </c>
      <c r="D383" s="19"/>
      <c r="E383" s="2"/>
      <c r="F383" s="19"/>
    </row>
    <row r="384" ht="15.75" customHeight="1">
      <c r="A384" s="1">
        <v>3.6643655E7</v>
      </c>
      <c r="B384" s="2" t="s">
        <v>2126</v>
      </c>
      <c r="C384" s="19" t="s">
        <v>5414</v>
      </c>
      <c r="D384" s="19"/>
      <c r="E384" s="2"/>
      <c r="F384" s="19"/>
    </row>
    <row r="385" ht="15.75" customHeight="1">
      <c r="A385" s="1">
        <v>3.6693712E7</v>
      </c>
      <c r="B385" s="2" t="s">
        <v>994</v>
      </c>
      <c r="C385" s="19" t="s">
        <v>5415</v>
      </c>
      <c r="D385" s="19" t="s">
        <v>5416</v>
      </c>
      <c r="E385" s="2"/>
      <c r="F385" s="19"/>
    </row>
    <row r="386" ht="15.75" customHeight="1">
      <c r="A386" s="1">
        <v>3.6751056E7</v>
      </c>
      <c r="B386" s="2" t="s">
        <v>993</v>
      </c>
      <c r="C386" s="19" t="s">
        <v>5417</v>
      </c>
      <c r="D386" s="19"/>
      <c r="E386" s="2"/>
      <c r="F386" s="19"/>
    </row>
    <row r="387" ht="15.75" customHeight="1">
      <c r="A387" s="1">
        <v>3.6760509E7</v>
      </c>
      <c r="B387" s="2" t="s">
        <v>3008</v>
      </c>
      <c r="C387" s="19" t="s">
        <v>5418</v>
      </c>
      <c r="D387" s="19"/>
      <c r="E387" s="2"/>
      <c r="F387" s="19"/>
    </row>
    <row r="388" ht="15.75" customHeight="1">
      <c r="A388" s="1">
        <v>3.6766698E7</v>
      </c>
      <c r="B388" s="2" t="s">
        <v>1356</v>
      </c>
      <c r="C388" s="19" t="s">
        <v>5419</v>
      </c>
      <c r="D388" s="19"/>
      <c r="E388" s="2"/>
      <c r="F388" s="19"/>
    </row>
    <row r="389" ht="15.75" customHeight="1">
      <c r="A389" s="1">
        <v>3.6813793E7</v>
      </c>
      <c r="B389" s="2" t="s">
        <v>1254</v>
      </c>
      <c r="C389" s="19" t="s">
        <v>5420</v>
      </c>
      <c r="D389" s="19" t="s">
        <v>5421</v>
      </c>
      <c r="E389" s="2"/>
      <c r="F389" s="19"/>
    </row>
    <row r="390" ht="15.75" customHeight="1">
      <c r="A390" s="1">
        <v>3.693683E7</v>
      </c>
      <c r="B390" s="2" t="s">
        <v>1327</v>
      </c>
      <c r="C390" s="19" t="s">
        <v>5422</v>
      </c>
      <c r="D390" s="19"/>
      <c r="E390" s="2"/>
      <c r="F390" s="19"/>
    </row>
    <row r="391" ht="15.75" customHeight="1">
      <c r="A391" s="1">
        <v>3.6986164E7</v>
      </c>
      <c r="B391" s="2" t="s">
        <v>2483</v>
      </c>
      <c r="C391" s="19" t="s">
        <v>5423</v>
      </c>
      <c r="D391" s="19"/>
      <c r="E391" s="2"/>
      <c r="F391" s="19"/>
    </row>
    <row r="392" ht="15.75" customHeight="1">
      <c r="A392" s="1">
        <v>3.7001598E7</v>
      </c>
      <c r="B392" s="2" t="s">
        <v>1341</v>
      </c>
      <c r="C392" s="19" t="s">
        <v>5424</v>
      </c>
      <c r="D392" s="19"/>
      <c r="E392" s="2"/>
      <c r="F392" s="19"/>
    </row>
    <row r="393" ht="15.75" customHeight="1">
      <c r="A393" s="1">
        <v>3.7020959E7</v>
      </c>
      <c r="B393" s="2" t="s">
        <v>861</v>
      </c>
      <c r="C393" s="19" t="s">
        <v>5425</v>
      </c>
      <c r="D393" s="19" t="s">
        <v>5426</v>
      </c>
      <c r="E393" s="2"/>
      <c r="F393" s="19"/>
    </row>
    <row r="394" ht="15.75" customHeight="1">
      <c r="A394" s="1">
        <v>3.7124035E7</v>
      </c>
      <c r="B394" s="2" t="s">
        <v>1506</v>
      </c>
      <c r="C394" s="19" t="s">
        <v>5427</v>
      </c>
      <c r="D394" s="19"/>
      <c r="E394" s="2"/>
      <c r="F394" s="19"/>
    </row>
    <row r="395" ht="15.75" customHeight="1">
      <c r="A395" s="1">
        <v>3.7125043E7</v>
      </c>
      <c r="B395" s="2" t="s">
        <v>520</v>
      </c>
      <c r="C395" s="19" t="s">
        <v>5428</v>
      </c>
      <c r="D395" s="19" t="s">
        <v>5429</v>
      </c>
      <c r="E395" s="2"/>
      <c r="F395" s="19"/>
    </row>
    <row r="396" ht="15.75" customHeight="1">
      <c r="A396" s="1">
        <v>3.7159918E7</v>
      </c>
      <c r="B396" s="2" t="s">
        <v>1520</v>
      </c>
      <c r="C396" s="19" t="s">
        <v>5430</v>
      </c>
      <c r="D396" s="19"/>
      <c r="E396" s="2"/>
      <c r="F396" s="19"/>
    </row>
    <row r="397" ht="15.75" customHeight="1">
      <c r="A397" s="1">
        <v>3.7169827E7</v>
      </c>
      <c r="B397" s="2" t="s">
        <v>1683</v>
      </c>
      <c r="C397" s="19" t="s">
        <v>5431</v>
      </c>
      <c r="D397" s="19" t="s">
        <v>5432</v>
      </c>
      <c r="E397" s="2"/>
      <c r="F397" s="19"/>
    </row>
    <row r="398" ht="15.75" customHeight="1">
      <c r="A398" s="1">
        <v>3.7306094E7</v>
      </c>
      <c r="B398" s="2" t="s">
        <v>1376</v>
      </c>
      <c r="C398" s="19" t="s">
        <v>5433</v>
      </c>
      <c r="D398" s="19" t="s">
        <v>5434</v>
      </c>
      <c r="E398" s="2"/>
      <c r="F398" s="19"/>
    </row>
    <row r="399" ht="15.75" customHeight="1">
      <c r="A399" s="1">
        <v>3.7475065E7</v>
      </c>
      <c r="B399" s="2" t="s">
        <v>609</v>
      </c>
      <c r="C399" s="19" t="s">
        <v>5435</v>
      </c>
      <c r="D399" s="19"/>
      <c r="E399" s="2"/>
      <c r="F399" s="19"/>
    </row>
    <row r="400" ht="15.75" customHeight="1">
      <c r="A400" s="1">
        <v>3.7484503E7</v>
      </c>
      <c r="B400" s="2" t="s">
        <v>490</v>
      </c>
      <c r="C400" s="19" t="s">
        <v>5436</v>
      </c>
      <c r="D400" s="19"/>
      <c r="E400" s="2"/>
      <c r="F400" s="19"/>
    </row>
    <row r="401" ht="15.75" customHeight="1">
      <c r="A401" s="1">
        <v>3.7489706E7</v>
      </c>
      <c r="B401" s="2" t="s">
        <v>1486</v>
      </c>
      <c r="C401" s="19" t="s">
        <v>5437</v>
      </c>
      <c r="D401" s="19"/>
      <c r="E401" s="2"/>
      <c r="F401" s="19"/>
    </row>
    <row r="402" ht="15.75" customHeight="1">
      <c r="A402" s="1">
        <v>3.7521245E7</v>
      </c>
      <c r="B402" s="2" t="s">
        <v>305</v>
      </c>
      <c r="C402" s="19" t="s">
        <v>5438</v>
      </c>
      <c r="D402" s="19"/>
      <c r="E402" s="2"/>
      <c r="F402" s="19"/>
    </row>
    <row r="403" ht="15.75" customHeight="1">
      <c r="A403" s="1">
        <v>3.7604407E7</v>
      </c>
      <c r="B403" s="2" t="s">
        <v>534</v>
      </c>
      <c r="C403" s="19" t="s">
        <v>5439</v>
      </c>
      <c r="D403" s="19" t="s">
        <v>5440</v>
      </c>
      <c r="E403" s="2"/>
      <c r="F403" s="19"/>
    </row>
    <row r="404" ht="15.75" customHeight="1">
      <c r="A404" s="1">
        <v>3.7692232E7</v>
      </c>
      <c r="B404" s="2" t="s">
        <v>2084</v>
      </c>
      <c r="C404" s="19" t="s">
        <v>5441</v>
      </c>
      <c r="D404" s="19"/>
      <c r="E404" s="2"/>
      <c r="F404" s="19"/>
    </row>
    <row r="405" ht="15.75" customHeight="1">
      <c r="A405" s="1">
        <v>3.7707699E7</v>
      </c>
      <c r="B405" s="2" t="s">
        <v>1671</v>
      </c>
      <c r="C405" s="19" t="s">
        <v>5442</v>
      </c>
      <c r="D405" s="19" t="s">
        <v>5443</v>
      </c>
      <c r="E405" s="2"/>
      <c r="F405" s="19"/>
    </row>
    <row r="406" ht="15.75" customHeight="1">
      <c r="A406" s="1">
        <v>3.7723718E7</v>
      </c>
      <c r="B406" s="2" t="s">
        <v>832</v>
      </c>
      <c r="C406" s="19" t="s">
        <v>5444</v>
      </c>
      <c r="D406" s="19"/>
      <c r="E406" s="2"/>
      <c r="F406" s="19"/>
    </row>
    <row r="407" ht="15.75" customHeight="1">
      <c r="A407" s="1">
        <v>3.7837215E7</v>
      </c>
      <c r="B407" s="2" t="s">
        <v>130</v>
      </c>
      <c r="C407" s="19" t="s">
        <v>5445</v>
      </c>
      <c r="D407" s="19"/>
      <c r="E407" s="2"/>
      <c r="F407" s="19"/>
    </row>
    <row r="408" ht="15.75" customHeight="1">
      <c r="A408" s="1">
        <v>3.7915834E7</v>
      </c>
      <c r="B408" s="2" t="s">
        <v>1029</v>
      </c>
      <c r="C408" s="19" t="s">
        <v>5446</v>
      </c>
      <c r="D408" s="19" t="s">
        <v>5447</v>
      </c>
      <c r="E408" s="2"/>
      <c r="F408" s="19"/>
    </row>
    <row r="409" ht="15.75" customHeight="1">
      <c r="A409" s="1">
        <v>3.7916645E7</v>
      </c>
      <c r="B409" s="2" t="s">
        <v>1199</v>
      </c>
      <c r="C409" s="19" t="s">
        <v>5448</v>
      </c>
      <c r="D409" s="19"/>
      <c r="E409" s="2"/>
      <c r="F409" s="19"/>
    </row>
    <row r="410" ht="15.75" customHeight="1">
      <c r="A410" s="1">
        <v>3.7945129E7</v>
      </c>
      <c r="B410" s="2" t="s">
        <v>190</v>
      </c>
      <c r="C410" s="19" t="s">
        <v>5449</v>
      </c>
      <c r="D410" s="19"/>
      <c r="E410" s="2"/>
      <c r="F410" s="19"/>
    </row>
    <row r="411" ht="15.75" customHeight="1">
      <c r="A411" s="1">
        <v>3.7973949E7</v>
      </c>
      <c r="B411" s="2" t="s">
        <v>753</v>
      </c>
      <c r="C411" s="19" t="s">
        <v>5450</v>
      </c>
      <c r="D411" s="19"/>
      <c r="E411" s="2"/>
      <c r="F411" s="19"/>
    </row>
    <row r="412" ht="15.75" customHeight="1">
      <c r="A412" s="1">
        <v>3.8006238E7</v>
      </c>
      <c r="B412" s="2" t="s">
        <v>1371</v>
      </c>
      <c r="C412" s="19" t="s">
        <v>5451</v>
      </c>
      <c r="D412" s="19"/>
      <c r="E412" s="2"/>
      <c r="F412" s="19"/>
    </row>
    <row r="413" ht="15.75" customHeight="1">
      <c r="A413" s="1">
        <v>3.8014078E7</v>
      </c>
      <c r="B413" s="2" t="s">
        <v>674</v>
      </c>
      <c r="C413" s="19" t="s">
        <v>5452</v>
      </c>
      <c r="D413" s="19" t="s">
        <v>5453</v>
      </c>
      <c r="E413" s="2"/>
      <c r="F413" s="19"/>
    </row>
    <row r="414" ht="15.75" customHeight="1">
      <c r="A414" s="1">
        <v>3.8071825E7</v>
      </c>
      <c r="B414" s="2" t="s">
        <v>778</v>
      </c>
      <c r="C414" s="19" t="s">
        <v>5454</v>
      </c>
      <c r="D414" s="19"/>
      <c r="E414" s="2"/>
      <c r="F414" s="19"/>
    </row>
    <row r="415" ht="15.75" customHeight="1">
      <c r="A415" s="1">
        <v>3.8112943E7</v>
      </c>
      <c r="B415" s="2" t="s">
        <v>1660</v>
      </c>
      <c r="C415" s="19" t="s">
        <v>5455</v>
      </c>
      <c r="D415" s="19" t="s">
        <v>5456</v>
      </c>
      <c r="E415" s="2"/>
      <c r="F415" s="19"/>
    </row>
    <row r="416" ht="15.75" customHeight="1">
      <c r="A416" s="1">
        <v>3.8136654E7</v>
      </c>
      <c r="B416" s="2" t="s">
        <v>172</v>
      </c>
      <c r="C416" s="19" t="s">
        <v>5457</v>
      </c>
      <c r="D416" s="19"/>
      <c r="E416" s="2"/>
      <c r="F416" s="19"/>
    </row>
    <row r="417" ht="15.75" customHeight="1">
      <c r="A417" s="1">
        <v>3.8168927E7</v>
      </c>
      <c r="B417" s="2" t="s">
        <v>1139</v>
      </c>
      <c r="C417" s="19" t="s">
        <v>5458</v>
      </c>
      <c r="D417" s="19" t="s">
        <v>5459</v>
      </c>
      <c r="E417" s="2"/>
      <c r="F417" s="19"/>
    </row>
    <row r="418" ht="15.75" customHeight="1">
      <c r="A418" s="1">
        <v>3.8194847E7</v>
      </c>
      <c r="B418" s="2" t="s">
        <v>3036</v>
      </c>
      <c r="C418" s="19" t="s">
        <v>5460</v>
      </c>
      <c r="D418" s="19"/>
      <c r="E418" s="2"/>
      <c r="F418" s="19"/>
    </row>
    <row r="419" ht="15.75" customHeight="1">
      <c r="A419" s="1">
        <v>3.8233602E7</v>
      </c>
      <c r="B419" s="2" t="s">
        <v>779</v>
      </c>
      <c r="C419" s="19" t="s">
        <v>5461</v>
      </c>
      <c r="D419" s="19" t="s">
        <v>5462</v>
      </c>
      <c r="E419" s="2"/>
      <c r="F419" s="19"/>
    </row>
    <row r="420" ht="15.75" customHeight="1">
      <c r="A420" s="1">
        <v>3.8264023E7</v>
      </c>
      <c r="B420" s="2" t="s">
        <v>1286</v>
      </c>
      <c r="C420" s="19" t="s">
        <v>5463</v>
      </c>
      <c r="D420" s="19" t="s">
        <v>5464</v>
      </c>
      <c r="E420" s="2"/>
      <c r="F420" s="19"/>
    </row>
    <row r="421" ht="15.75" customHeight="1">
      <c r="A421" s="1">
        <v>3.8265464E7</v>
      </c>
      <c r="B421" s="2" t="s">
        <v>438</v>
      </c>
      <c r="C421" s="19" t="s">
        <v>5465</v>
      </c>
      <c r="D421" s="19"/>
      <c r="E421" s="2"/>
      <c r="F421" s="19"/>
    </row>
    <row r="422" ht="15.75" customHeight="1">
      <c r="A422" s="1">
        <v>3.8320665E7</v>
      </c>
      <c r="B422" s="2" t="s">
        <v>309</v>
      </c>
      <c r="C422" s="19" t="s">
        <v>5466</v>
      </c>
      <c r="D422" s="19"/>
      <c r="E422" s="2"/>
      <c r="F422" s="19"/>
    </row>
    <row r="423" ht="15.75" customHeight="1">
      <c r="A423" s="1">
        <v>3.8327633E7</v>
      </c>
      <c r="B423" s="2" t="s">
        <v>1024</v>
      </c>
      <c r="C423" s="19" t="s">
        <v>5467</v>
      </c>
      <c r="D423" s="19"/>
      <c r="E423" s="2"/>
      <c r="F423" s="19"/>
    </row>
    <row r="424" ht="15.75" customHeight="1">
      <c r="A424" s="1">
        <v>3.8342186E7</v>
      </c>
      <c r="B424" s="2" t="s">
        <v>1311</v>
      </c>
      <c r="C424" s="19" t="s">
        <v>5468</v>
      </c>
      <c r="D424" s="19" t="s">
        <v>5469</v>
      </c>
      <c r="E424" s="2"/>
      <c r="F424" s="19"/>
    </row>
    <row r="425" ht="15.75" customHeight="1">
      <c r="A425" s="1">
        <v>3.8376454E7</v>
      </c>
      <c r="B425" s="2" t="s">
        <v>1875</v>
      </c>
      <c r="C425" s="19" t="s">
        <v>5470</v>
      </c>
      <c r="D425" s="19" t="s">
        <v>5471</v>
      </c>
      <c r="E425" s="2"/>
      <c r="F425" s="19"/>
    </row>
    <row r="426" ht="15.75" customHeight="1">
      <c r="A426" s="1">
        <v>3.8434097E7</v>
      </c>
      <c r="B426" s="2" t="s">
        <v>1886</v>
      </c>
      <c r="C426" s="19" t="s">
        <v>5472</v>
      </c>
      <c r="D426" s="19" t="s">
        <v>5473</v>
      </c>
      <c r="E426" s="2"/>
      <c r="F426" s="19"/>
    </row>
    <row r="427" ht="15.75" customHeight="1">
      <c r="A427" s="1">
        <v>3.8446394E7</v>
      </c>
      <c r="B427" s="2" t="s">
        <v>1956</v>
      </c>
      <c r="C427" s="19" t="s">
        <v>5474</v>
      </c>
      <c r="D427" s="19"/>
      <c r="E427" s="2"/>
      <c r="F427" s="19"/>
    </row>
    <row r="428" ht="15.75" customHeight="1">
      <c r="A428" s="1">
        <v>3.8446585E7</v>
      </c>
      <c r="B428" s="2" t="s">
        <v>2602</v>
      </c>
      <c r="C428" s="19" t="s">
        <v>5475</v>
      </c>
      <c r="D428" s="19"/>
      <c r="E428" s="2"/>
      <c r="F428" s="19"/>
    </row>
    <row r="429" ht="15.75" customHeight="1">
      <c r="A429" s="1">
        <v>3.8532528E7</v>
      </c>
      <c r="B429" s="2" t="s">
        <v>1353</v>
      </c>
      <c r="C429" s="19" t="s">
        <v>5476</v>
      </c>
      <c r="D429" s="19"/>
      <c r="E429" s="2"/>
      <c r="F429" s="19"/>
    </row>
    <row r="430" ht="15.75" customHeight="1">
      <c r="A430" s="1">
        <v>3.8556074E7</v>
      </c>
      <c r="B430" s="2" t="s">
        <v>1263</v>
      </c>
      <c r="C430" s="19" t="s">
        <v>5477</v>
      </c>
      <c r="D430" s="19"/>
      <c r="E430" s="2"/>
      <c r="F430" s="19"/>
    </row>
    <row r="431" ht="15.75" customHeight="1">
      <c r="A431" s="1">
        <v>3.8568792E7</v>
      </c>
      <c r="B431" s="2" t="s">
        <v>1255</v>
      </c>
      <c r="C431" s="19" t="s">
        <v>5478</v>
      </c>
      <c r="D431" s="19"/>
      <c r="E431" s="2"/>
      <c r="F431" s="19"/>
    </row>
    <row r="432" ht="15.75" customHeight="1">
      <c r="A432" s="1">
        <v>3.8688679E7</v>
      </c>
      <c r="B432" s="2" t="s">
        <v>698</v>
      </c>
      <c r="C432" s="19" t="s">
        <v>5479</v>
      </c>
      <c r="D432" s="19"/>
      <c r="E432" s="2"/>
      <c r="F432" s="19"/>
    </row>
    <row r="433" ht="15.75" customHeight="1">
      <c r="A433" s="1">
        <v>3.8699998E7</v>
      </c>
      <c r="B433" s="2" t="s">
        <v>1215</v>
      </c>
      <c r="C433" s="19" t="s">
        <v>5480</v>
      </c>
      <c r="D433" s="19" t="s">
        <v>5481</v>
      </c>
      <c r="E433" s="2"/>
      <c r="F433" s="19"/>
    </row>
    <row r="434" ht="15.75" customHeight="1">
      <c r="A434" s="1">
        <v>3.8733792E7</v>
      </c>
      <c r="B434" s="2" t="s">
        <v>2311</v>
      </c>
      <c r="C434" s="19" t="s">
        <v>5482</v>
      </c>
      <c r="D434" s="19"/>
      <c r="E434" s="2"/>
      <c r="F434" s="19"/>
    </row>
    <row r="435" ht="15.75" customHeight="1">
      <c r="A435" s="1">
        <v>3.8736141E7</v>
      </c>
      <c r="B435" s="2" t="s">
        <v>795</v>
      </c>
      <c r="C435" s="19" t="s">
        <v>5483</v>
      </c>
      <c r="D435" s="19"/>
      <c r="E435" s="2"/>
      <c r="F435" s="19"/>
    </row>
    <row r="436" ht="15.75" customHeight="1">
      <c r="A436" s="1">
        <v>3.8759959E7</v>
      </c>
      <c r="B436" s="2" t="s">
        <v>160</v>
      </c>
      <c r="C436" s="19" t="s">
        <v>5484</v>
      </c>
      <c r="D436" s="19"/>
      <c r="E436" s="2"/>
      <c r="F436" s="19"/>
    </row>
    <row r="437" ht="15.75" customHeight="1">
      <c r="A437" s="1">
        <v>3.878147E7</v>
      </c>
      <c r="B437" s="2" t="s">
        <v>446</v>
      </c>
      <c r="C437" s="19" t="s">
        <v>5485</v>
      </c>
      <c r="D437" s="19" t="s">
        <v>5486</v>
      </c>
      <c r="E437" s="2"/>
      <c r="F437" s="19"/>
    </row>
    <row r="438" ht="15.75" customHeight="1">
      <c r="A438" s="1">
        <v>3.8842894E7</v>
      </c>
      <c r="B438" s="2" t="s">
        <v>1628</v>
      </c>
      <c r="C438" s="19" t="s">
        <v>5487</v>
      </c>
      <c r="D438" s="19"/>
      <c r="E438" s="2"/>
      <c r="F438" s="19"/>
    </row>
    <row r="439" ht="15.75" customHeight="1">
      <c r="A439" s="1">
        <v>3.8866325E7</v>
      </c>
      <c r="B439" s="2" t="s">
        <v>1120</v>
      </c>
      <c r="C439" s="19" t="s">
        <v>5488</v>
      </c>
      <c r="D439" s="19" t="s">
        <v>5489</v>
      </c>
      <c r="E439" s="2"/>
      <c r="F439" s="19"/>
    </row>
    <row r="440" ht="15.75" customHeight="1">
      <c r="A440" s="1">
        <v>3.8968308E7</v>
      </c>
      <c r="B440" s="2" t="s">
        <v>299</v>
      </c>
      <c r="C440" s="19" t="s">
        <v>5490</v>
      </c>
      <c r="D440" s="19"/>
      <c r="E440" s="2"/>
      <c r="F440" s="19"/>
    </row>
    <row r="441" ht="15.75" customHeight="1">
      <c r="A441" s="1">
        <v>3.9040345E7</v>
      </c>
      <c r="B441" s="2" t="s">
        <v>833</v>
      </c>
      <c r="C441" s="19" t="s">
        <v>5491</v>
      </c>
      <c r="D441" s="19"/>
      <c r="E441" s="2"/>
      <c r="F441" s="19"/>
    </row>
    <row r="442" ht="15.75" customHeight="1">
      <c r="A442" s="1">
        <v>3.9104959E7</v>
      </c>
      <c r="B442" s="2" t="s">
        <v>1522</v>
      </c>
      <c r="C442" s="19" t="s">
        <v>5492</v>
      </c>
      <c r="D442" s="19"/>
      <c r="E442" s="2"/>
      <c r="F442" s="19"/>
    </row>
    <row r="443" ht="15.75" customHeight="1">
      <c r="A443" s="1">
        <v>3.9108557E7</v>
      </c>
      <c r="B443" s="2" t="s">
        <v>2102</v>
      </c>
      <c r="C443" s="19" t="s">
        <v>5493</v>
      </c>
      <c r="D443" s="19" t="s">
        <v>5494</v>
      </c>
      <c r="E443" s="2"/>
      <c r="F443" s="19"/>
    </row>
    <row r="444" ht="15.75" customHeight="1">
      <c r="A444" s="1">
        <v>3.914199E7</v>
      </c>
      <c r="B444" s="2" t="s">
        <v>566</v>
      </c>
      <c r="C444" s="19" t="s">
        <v>5495</v>
      </c>
      <c r="D444" s="19"/>
      <c r="E444" s="2"/>
      <c r="F444" s="19"/>
    </row>
    <row r="445" ht="15.75" customHeight="1">
      <c r="A445" s="1">
        <v>3.9149917E7</v>
      </c>
      <c r="B445" s="2" t="s">
        <v>1837</v>
      </c>
      <c r="C445" s="19" t="s">
        <v>5496</v>
      </c>
      <c r="D445" s="19" t="s">
        <v>5497</v>
      </c>
      <c r="E445" s="2"/>
      <c r="F445" s="19"/>
    </row>
    <row r="446" ht="15.75" customHeight="1">
      <c r="A446" s="1">
        <v>3.932081E7</v>
      </c>
      <c r="B446" s="2" t="s">
        <v>2077</v>
      </c>
      <c r="C446" s="19" t="s">
        <v>5498</v>
      </c>
      <c r="D446" s="19"/>
      <c r="E446" s="2"/>
      <c r="F446" s="19"/>
    </row>
    <row r="447" ht="15.75" customHeight="1">
      <c r="A447" s="1">
        <v>3.938667E7</v>
      </c>
      <c r="B447" s="2" t="s">
        <v>416</v>
      </c>
      <c r="C447" s="19" t="s">
        <v>5499</v>
      </c>
      <c r="D447" s="19"/>
      <c r="E447" s="2"/>
      <c r="F447" s="19"/>
    </row>
    <row r="448" ht="15.75" customHeight="1">
      <c r="A448" s="1">
        <v>3.9471301E7</v>
      </c>
      <c r="B448" s="2" t="s">
        <v>1960</v>
      </c>
      <c r="C448" s="19" t="s">
        <v>5500</v>
      </c>
      <c r="D448" s="19" t="s">
        <v>5501</v>
      </c>
      <c r="E448" s="2"/>
      <c r="F448" s="19"/>
    </row>
    <row r="449" ht="15.75" customHeight="1">
      <c r="A449" s="1">
        <v>3.9537567E7</v>
      </c>
      <c r="B449" s="2" t="s">
        <v>699</v>
      </c>
      <c r="C449" s="19" t="s">
        <v>5502</v>
      </c>
      <c r="D449" s="19"/>
      <c r="E449" s="2"/>
      <c r="F449" s="19"/>
    </row>
    <row r="450" ht="15.75" customHeight="1">
      <c r="A450" s="1">
        <v>3.9566021E7</v>
      </c>
      <c r="B450" s="2" t="s">
        <v>728</v>
      </c>
      <c r="C450" s="19" t="s">
        <v>5503</v>
      </c>
      <c r="D450" s="19" t="s">
        <v>5504</v>
      </c>
      <c r="E450" s="2"/>
      <c r="F450" s="19"/>
    </row>
    <row r="451" ht="15.75" customHeight="1">
      <c r="A451" s="1">
        <v>3.9590785E7</v>
      </c>
      <c r="B451" s="2" t="s">
        <v>735</v>
      </c>
      <c r="C451" s="19" t="s">
        <v>5505</v>
      </c>
      <c r="D451" s="19"/>
      <c r="E451" s="2"/>
      <c r="F451" s="19"/>
    </row>
    <row r="452" ht="15.75" customHeight="1">
      <c r="A452" s="1">
        <v>3.9875139E7</v>
      </c>
      <c r="B452" s="2" t="s">
        <v>2234</v>
      </c>
      <c r="C452" s="19" t="s">
        <v>5506</v>
      </c>
      <c r="D452" s="19" t="s">
        <v>5507</v>
      </c>
      <c r="E452" s="2"/>
      <c r="F452" s="19"/>
    </row>
    <row r="453" ht="15.75" customHeight="1">
      <c r="A453" s="1">
        <v>3.9895345E7</v>
      </c>
      <c r="B453" s="2" t="s">
        <v>316</v>
      </c>
      <c r="C453" s="19" t="s">
        <v>5508</v>
      </c>
      <c r="D453" s="19"/>
      <c r="E453" s="2"/>
      <c r="F453" s="19"/>
    </row>
    <row r="454" ht="15.75" customHeight="1">
      <c r="A454" s="1">
        <v>3.9919128E7</v>
      </c>
      <c r="B454" s="2" t="s">
        <v>525</v>
      </c>
      <c r="C454" s="19" t="s">
        <v>5509</v>
      </c>
      <c r="D454" s="19" t="s">
        <v>5510</v>
      </c>
      <c r="E454" s="2"/>
      <c r="F454" s="19"/>
    </row>
    <row r="455" ht="15.75" customHeight="1">
      <c r="A455" s="1">
        <v>4.0064989E7</v>
      </c>
      <c r="B455" s="2" t="s">
        <v>1289</v>
      </c>
      <c r="C455" s="19" t="s">
        <v>5511</v>
      </c>
      <c r="D455" s="19" t="s">
        <v>5512</v>
      </c>
      <c r="E455" s="2"/>
      <c r="F455" s="19"/>
    </row>
    <row r="456" ht="15.75" customHeight="1">
      <c r="A456" s="1">
        <v>4.0233484E7</v>
      </c>
      <c r="B456" s="2" t="s">
        <v>370</v>
      </c>
      <c r="C456" s="19" t="s">
        <v>5513</v>
      </c>
      <c r="D456" s="19"/>
      <c r="E456" s="2"/>
      <c r="F456" s="19"/>
    </row>
    <row r="457" ht="15.75" customHeight="1">
      <c r="A457" s="1">
        <v>4.0277399E7</v>
      </c>
      <c r="B457" s="2" t="s">
        <v>2235</v>
      </c>
      <c r="C457" s="19" t="s">
        <v>5514</v>
      </c>
      <c r="D457" s="19"/>
      <c r="E457" s="2"/>
      <c r="F457" s="19"/>
    </row>
    <row r="458" ht="15.75" customHeight="1">
      <c r="A458" s="1">
        <v>4.0375194E7</v>
      </c>
      <c r="B458" s="2" t="s">
        <v>507</v>
      </c>
      <c r="C458" s="19" t="s">
        <v>5515</v>
      </c>
      <c r="D458" s="19"/>
      <c r="E458" s="2"/>
      <c r="F458" s="19"/>
    </row>
    <row r="459" ht="15.75" customHeight="1">
      <c r="A459" s="1">
        <v>4.0395921E7</v>
      </c>
      <c r="B459" s="2" t="s">
        <v>518</v>
      </c>
      <c r="C459" s="19" t="s">
        <v>5516</v>
      </c>
      <c r="D459" s="19"/>
      <c r="E459" s="2"/>
      <c r="F459" s="19"/>
    </row>
    <row r="460" ht="15.75" customHeight="1">
      <c r="A460" s="1">
        <v>4.0461083E7</v>
      </c>
      <c r="B460" s="2" t="s">
        <v>772</v>
      </c>
      <c r="C460" s="19" t="s">
        <v>5517</v>
      </c>
      <c r="D460" s="19"/>
      <c r="E460" s="2"/>
      <c r="F460" s="19"/>
    </row>
    <row r="461" ht="15.75" customHeight="1">
      <c r="A461" s="1">
        <v>4.0471357E7</v>
      </c>
      <c r="B461" s="2" t="s">
        <v>1098</v>
      </c>
      <c r="C461" s="19" t="s">
        <v>5518</v>
      </c>
      <c r="D461" s="19" t="s">
        <v>5519</v>
      </c>
      <c r="E461" s="2"/>
      <c r="F461" s="19"/>
    </row>
    <row r="462" ht="15.75" customHeight="1">
      <c r="A462" s="1">
        <v>4.048494E7</v>
      </c>
      <c r="B462" s="2" t="s">
        <v>843</v>
      </c>
      <c r="C462" s="19" t="s">
        <v>5520</v>
      </c>
      <c r="D462" s="19" t="s">
        <v>5521</v>
      </c>
      <c r="E462" s="2"/>
      <c r="F462" s="19"/>
    </row>
    <row r="463" ht="15.75" customHeight="1">
      <c r="A463" s="1">
        <v>4.0522198E7</v>
      </c>
      <c r="B463" s="2" t="s">
        <v>1220</v>
      </c>
      <c r="C463" s="19" t="s">
        <v>5522</v>
      </c>
      <c r="D463" s="19"/>
      <c r="E463" s="2"/>
      <c r="F463" s="19"/>
    </row>
    <row r="464" ht="15.75" customHeight="1">
      <c r="A464" s="1">
        <v>4.0525663E7</v>
      </c>
      <c r="B464" s="2" t="s">
        <v>2368</v>
      </c>
      <c r="C464" s="19" t="s">
        <v>5523</v>
      </c>
      <c r="D464" s="19" t="s">
        <v>5524</v>
      </c>
      <c r="E464" s="2"/>
      <c r="F464" s="19"/>
    </row>
    <row r="465" ht="15.75" customHeight="1">
      <c r="A465" s="1">
        <v>4.0555797E7</v>
      </c>
      <c r="B465" s="2" t="s">
        <v>2780</v>
      </c>
      <c r="C465" s="19" t="s">
        <v>5525</v>
      </c>
      <c r="D465" s="19"/>
      <c r="E465" s="2"/>
      <c r="F465" s="19"/>
    </row>
    <row r="466" ht="15.75" customHeight="1">
      <c r="A466" s="1">
        <v>4.0589959E7</v>
      </c>
      <c r="B466" s="2" t="s">
        <v>586</v>
      </c>
      <c r="C466" s="19" t="s">
        <v>5526</v>
      </c>
      <c r="D466" s="19"/>
      <c r="E466" s="2"/>
      <c r="F466" s="19"/>
    </row>
    <row r="467" ht="15.75" customHeight="1">
      <c r="A467" s="1">
        <v>4.0596332E7</v>
      </c>
      <c r="B467" s="2" t="s">
        <v>1026</v>
      </c>
      <c r="C467" s="19" t="s">
        <v>5527</v>
      </c>
      <c r="D467" s="19"/>
      <c r="E467" s="2"/>
      <c r="F467" s="19"/>
    </row>
    <row r="468" ht="15.75" customHeight="1">
      <c r="A468" s="1">
        <v>4.060562E7</v>
      </c>
      <c r="B468" s="2" t="s">
        <v>1678</v>
      </c>
      <c r="C468" s="19" t="s">
        <v>5528</v>
      </c>
      <c r="D468" s="19"/>
      <c r="E468" s="2"/>
      <c r="F468" s="19"/>
    </row>
    <row r="469" ht="15.75" customHeight="1">
      <c r="A469" s="1">
        <v>4.0642721E7</v>
      </c>
      <c r="B469" s="2" t="s">
        <v>678</v>
      </c>
      <c r="C469" s="19" t="s">
        <v>5529</v>
      </c>
      <c r="D469" s="19" t="s">
        <v>5530</v>
      </c>
      <c r="E469" s="2"/>
      <c r="F469" s="19"/>
    </row>
    <row r="470" ht="15.75" customHeight="1">
      <c r="A470" s="1">
        <v>4.077515E7</v>
      </c>
      <c r="B470" s="2" t="s">
        <v>2078</v>
      </c>
      <c r="C470" s="19" t="s">
        <v>5531</v>
      </c>
      <c r="D470" s="19"/>
      <c r="E470" s="2"/>
      <c r="F470" s="19"/>
    </row>
    <row r="471" ht="15.75" customHeight="1">
      <c r="A471" s="1">
        <v>4.077749E7</v>
      </c>
      <c r="B471" s="2" t="s">
        <v>653</v>
      </c>
      <c r="C471" s="19" t="s">
        <v>5532</v>
      </c>
      <c r="D471" s="19" t="s">
        <v>5533</v>
      </c>
      <c r="E471" s="2"/>
      <c r="F471" s="19"/>
    </row>
    <row r="472" ht="15.75" customHeight="1">
      <c r="A472" s="1">
        <v>4.0797686E7</v>
      </c>
      <c r="B472" s="2" t="s">
        <v>1313</v>
      </c>
      <c r="C472" s="19" t="s">
        <v>5534</v>
      </c>
      <c r="D472" s="19"/>
      <c r="E472" s="2"/>
      <c r="F472" s="19"/>
    </row>
    <row r="473" ht="15.75" customHeight="1">
      <c r="A473" s="1">
        <v>4.0844174E7</v>
      </c>
      <c r="B473" s="2" t="s">
        <v>1612</v>
      </c>
      <c r="C473" s="19" t="s">
        <v>5535</v>
      </c>
      <c r="D473" s="19"/>
      <c r="E473" s="2"/>
      <c r="F473" s="19"/>
    </row>
    <row r="474" ht="15.75" customHeight="1">
      <c r="A474" s="1">
        <v>4.0871998E7</v>
      </c>
      <c r="B474" s="2" t="s">
        <v>1651</v>
      </c>
      <c r="C474" s="19" t="s">
        <v>5536</v>
      </c>
      <c r="D474" s="19" t="s">
        <v>5537</v>
      </c>
      <c r="E474" s="2"/>
      <c r="F474" s="19"/>
    </row>
    <row r="475" ht="15.75" customHeight="1">
      <c r="A475" s="1">
        <v>4.0910294E7</v>
      </c>
      <c r="B475" s="2" t="s">
        <v>1014</v>
      </c>
      <c r="C475" s="19" t="s">
        <v>5538</v>
      </c>
      <c r="D475" s="19"/>
      <c r="E475" s="2"/>
      <c r="F475" s="19"/>
    </row>
    <row r="476" ht="15.75" customHeight="1">
      <c r="A476" s="1">
        <v>4.0934677E7</v>
      </c>
      <c r="B476" s="2" t="s">
        <v>3213</v>
      </c>
      <c r="C476" s="19" t="s">
        <v>5539</v>
      </c>
      <c r="D476" s="19" t="s">
        <v>5540</v>
      </c>
      <c r="E476" s="2"/>
      <c r="F476" s="19"/>
    </row>
    <row r="477" ht="15.75" customHeight="1">
      <c r="A477" s="1">
        <v>4.0935625E7</v>
      </c>
      <c r="B477" s="2" t="s">
        <v>1427</v>
      </c>
      <c r="C477" s="19" t="s">
        <v>5541</v>
      </c>
      <c r="D477" s="19" t="s">
        <v>5542</v>
      </c>
      <c r="E477" s="2"/>
      <c r="F477" s="19"/>
    </row>
    <row r="478" ht="15.75" customHeight="1">
      <c r="A478" s="1">
        <v>4.0942931E7</v>
      </c>
      <c r="B478" s="2" t="s">
        <v>452</v>
      </c>
      <c r="C478" s="19" t="s">
        <v>5543</v>
      </c>
      <c r="D478" s="19" t="s">
        <v>5544</v>
      </c>
      <c r="E478" s="2"/>
      <c r="F478" s="19"/>
    </row>
    <row r="479" ht="15.75" customHeight="1">
      <c r="A479" s="1">
        <v>4.1036556E7</v>
      </c>
      <c r="B479" s="2" t="s">
        <v>366</v>
      </c>
      <c r="C479" s="19" t="s">
        <v>5545</v>
      </c>
      <c r="D479" s="19"/>
      <c r="E479" s="2"/>
      <c r="F479" s="19"/>
    </row>
    <row r="480" ht="15.75" customHeight="1">
      <c r="A480" s="1">
        <v>4.104589E7</v>
      </c>
      <c r="B480" s="2" t="s">
        <v>1624</v>
      </c>
      <c r="C480" s="19" t="s">
        <v>5546</v>
      </c>
      <c r="D480" s="19"/>
      <c r="E480" s="2"/>
      <c r="F480" s="19"/>
    </row>
    <row r="481" ht="15.75" customHeight="1">
      <c r="A481" s="1">
        <v>4.1063794E7</v>
      </c>
      <c r="B481" s="2" t="s">
        <v>139</v>
      </c>
      <c r="C481" s="19" t="s">
        <v>5547</v>
      </c>
      <c r="D481" s="19"/>
      <c r="E481" s="2"/>
      <c r="F481" s="19"/>
    </row>
    <row r="482" ht="15.75" customHeight="1">
      <c r="A482" s="1">
        <v>4.1088232E7</v>
      </c>
      <c r="B482" s="2" t="s">
        <v>2203</v>
      </c>
      <c r="C482" s="19" t="s">
        <v>5548</v>
      </c>
      <c r="D482" s="19"/>
      <c r="E482" s="2"/>
      <c r="F482" s="19"/>
    </row>
    <row r="483" ht="15.75" customHeight="1">
      <c r="A483" s="1">
        <v>4.109773E7</v>
      </c>
      <c r="B483" s="2" t="s">
        <v>1761</v>
      </c>
      <c r="C483" s="19" t="s">
        <v>5549</v>
      </c>
      <c r="D483" s="19" t="s">
        <v>5550</v>
      </c>
      <c r="E483" s="2"/>
      <c r="F483" s="19"/>
    </row>
    <row r="484" ht="15.75" customHeight="1">
      <c r="A484" s="1">
        <v>4.1173895E7</v>
      </c>
      <c r="B484" s="2" t="s">
        <v>946</v>
      </c>
      <c r="C484" s="19" t="s">
        <v>5551</v>
      </c>
      <c r="D484" s="19" t="s">
        <v>5552</v>
      </c>
      <c r="E484" s="2"/>
      <c r="F484" s="19"/>
    </row>
    <row r="485" ht="15.75" customHeight="1">
      <c r="A485" s="1">
        <v>4.1174301E7</v>
      </c>
      <c r="B485" s="2" t="s">
        <v>655</v>
      </c>
      <c r="C485" s="19" t="s">
        <v>5553</v>
      </c>
      <c r="D485" s="19" t="s">
        <v>5554</v>
      </c>
      <c r="E485" s="2"/>
      <c r="F485" s="19"/>
    </row>
    <row r="486" ht="15.75" customHeight="1">
      <c r="A486" s="1">
        <v>4.1194285E7</v>
      </c>
      <c r="B486" s="2" t="s">
        <v>2405</v>
      </c>
      <c r="C486" s="19" t="s">
        <v>5555</v>
      </c>
      <c r="D486" s="19"/>
      <c r="E486" s="2"/>
      <c r="F486" s="19"/>
    </row>
    <row r="487" ht="15.75" customHeight="1">
      <c r="A487" s="1">
        <v>4.1201796E7</v>
      </c>
      <c r="B487" s="2" t="s">
        <v>587</v>
      </c>
      <c r="C487" s="19" t="s">
        <v>5556</v>
      </c>
      <c r="D487" s="19"/>
      <c r="E487" s="2"/>
      <c r="F487" s="19"/>
    </row>
    <row r="488" ht="15.75" customHeight="1">
      <c r="A488" s="1">
        <v>4.1233968E7</v>
      </c>
      <c r="B488" s="2" t="s">
        <v>1469</v>
      </c>
      <c r="C488" s="19" t="s">
        <v>5557</v>
      </c>
      <c r="D488" s="19" t="s">
        <v>5558</v>
      </c>
      <c r="E488" s="2"/>
      <c r="F488" s="19"/>
    </row>
    <row r="489" ht="15.75" customHeight="1">
      <c r="A489" s="1">
        <v>4.1272558E7</v>
      </c>
      <c r="B489" s="2" t="s">
        <v>1146</v>
      </c>
      <c r="C489" s="19" t="s">
        <v>5559</v>
      </c>
      <c r="D489" s="19"/>
      <c r="E489" s="2"/>
      <c r="F489" s="19"/>
    </row>
    <row r="490" ht="15.75" customHeight="1">
      <c r="A490" s="1">
        <v>4.1277345E7</v>
      </c>
      <c r="B490" s="2" t="s">
        <v>720</v>
      </c>
      <c r="C490" s="19" t="s">
        <v>5560</v>
      </c>
      <c r="D490" s="19"/>
      <c r="E490" s="2"/>
      <c r="F490" s="19"/>
    </row>
    <row r="491" ht="15.75" customHeight="1">
      <c r="A491" s="1">
        <v>4.1281189E7</v>
      </c>
      <c r="B491" s="2" t="s">
        <v>990</v>
      </c>
      <c r="C491" s="19" t="s">
        <v>5561</v>
      </c>
      <c r="D491" s="19"/>
      <c r="E491" s="2"/>
      <c r="F491" s="19"/>
    </row>
    <row r="492" ht="15.75" customHeight="1">
      <c r="A492" s="1">
        <v>4.129109E7</v>
      </c>
      <c r="B492" s="2" t="s">
        <v>333</v>
      </c>
      <c r="C492" s="19" t="s">
        <v>5562</v>
      </c>
      <c r="D492" s="19"/>
      <c r="E492" s="2"/>
      <c r="F492" s="19"/>
    </row>
    <row r="493" ht="15.75" customHeight="1">
      <c r="A493" s="1">
        <v>4.1345102E7</v>
      </c>
      <c r="B493" s="2" t="s">
        <v>1236</v>
      </c>
      <c r="C493" s="19" t="s">
        <v>5563</v>
      </c>
      <c r="D493" s="19"/>
      <c r="E493" s="2"/>
      <c r="F493" s="19"/>
    </row>
    <row r="494" ht="15.75" customHeight="1">
      <c r="A494" s="1">
        <v>4.1351244E7</v>
      </c>
      <c r="B494" s="2" t="s">
        <v>1452</v>
      </c>
      <c r="C494" s="19" t="s">
        <v>5564</v>
      </c>
      <c r="D494" s="19" t="s">
        <v>5565</v>
      </c>
      <c r="E494" s="2"/>
      <c r="F494" s="19"/>
    </row>
    <row r="495" ht="15.75" customHeight="1">
      <c r="A495" s="1">
        <v>4.1360274E7</v>
      </c>
      <c r="B495" s="2" t="s">
        <v>1846</v>
      </c>
      <c r="C495" s="19" t="s">
        <v>5566</v>
      </c>
      <c r="D495" s="19"/>
      <c r="E495" s="2"/>
      <c r="F495" s="19"/>
    </row>
    <row r="496" ht="15.75" customHeight="1">
      <c r="A496" s="1">
        <v>4.1420363E7</v>
      </c>
      <c r="B496" s="2" t="s">
        <v>942</v>
      </c>
      <c r="C496" s="19" t="s">
        <v>5567</v>
      </c>
      <c r="D496" s="19"/>
      <c r="E496" s="2"/>
      <c r="F496" s="19"/>
    </row>
    <row r="497" ht="15.75" customHeight="1">
      <c r="A497" s="1">
        <v>4.1639069E7</v>
      </c>
      <c r="B497" s="2" t="s">
        <v>455</v>
      </c>
      <c r="C497" s="19" t="s">
        <v>5568</v>
      </c>
      <c r="D497" s="19" t="s">
        <v>5569</v>
      </c>
      <c r="E497" s="2"/>
      <c r="F497" s="19"/>
    </row>
    <row r="498" ht="15.75" customHeight="1">
      <c r="A498" s="1">
        <v>4.1827855E7</v>
      </c>
      <c r="B498" s="2" t="s">
        <v>575</v>
      </c>
      <c r="C498" s="19" t="s">
        <v>5570</v>
      </c>
      <c r="D498" s="19"/>
      <c r="E498" s="2"/>
      <c r="F498" s="19"/>
    </row>
    <row r="499" ht="15.75" customHeight="1">
      <c r="A499" s="1">
        <v>4.2577224E7</v>
      </c>
      <c r="B499" s="2" t="s">
        <v>707</v>
      </c>
      <c r="C499" s="19" t="s">
        <v>5571</v>
      </c>
      <c r="D499" s="19"/>
      <c r="E499" s="2"/>
      <c r="F499" s="19"/>
    </row>
    <row r="500" ht="15.75" customHeight="1">
      <c r="A500" s="1">
        <v>4.3066045E7</v>
      </c>
      <c r="B500" s="2" t="s">
        <v>2986</v>
      </c>
      <c r="C500" s="19" t="s">
        <v>5572</v>
      </c>
      <c r="D500" s="19"/>
      <c r="E500" s="2"/>
      <c r="F500" s="19"/>
    </row>
    <row r="501" ht="15.75" customHeight="1">
      <c r="A501" s="1">
        <v>4.3157336E7</v>
      </c>
      <c r="B501" s="2" t="s">
        <v>740</v>
      </c>
      <c r="C501" s="19" t="s">
        <v>5573</v>
      </c>
      <c r="D501" s="19" t="s">
        <v>5574</v>
      </c>
      <c r="E501" s="2"/>
      <c r="F501" s="19"/>
    </row>
    <row r="502" ht="15.75" customHeight="1">
      <c r="A502" s="1">
        <v>4.3170471E7</v>
      </c>
      <c r="B502" s="2" t="s">
        <v>2152</v>
      </c>
      <c r="C502" s="19" t="s">
        <v>5575</v>
      </c>
      <c r="D502" s="19"/>
      <c r="E502" s="2"/>
      <c r="F502" s="19"/>
    </row>
    <row r="503" ht="15.75" customHeight="1">
      <c r="A503" s="1">
        <v>4.326117E7</v>
      </c>
      <c r="B503" s="2" t="s">
        <v>112</v>
      </c>
      <c r="C503" s="19" t="s">
        <v>5576</v>
      </c>
      <c r="D503" s="19" t="s">
        <v>5577</v>
      </c>
      <c r="E503" s="2"/>
      <c r="F503" s="19"/>
    </row>
    <row r="504" ht="15.75" customHeight="1">
      <c r="A504" s="1">
        <v>4.3317136E7</v>
      </c>
      <c r="B504" s="2" t="s">
        <v>550</v>
      </c>
      <c r="C504" s="19" t="s">
        <v>5578</v>
      </c>
      <c r="D504" s="19"/>
      <c r="E504" s="2"/>
      <c r="F504" s="19"/>
    </row>
    <row r="505" ht="15.75" customHeight="1">
      <c r="A505" s="1">
        <v>4.4193732E7</v>
      </c>
      <c r="B505" s="2" t="s">
        <v>1178</v>
      </c>
      <c r="C505" s="19" t="s">
        <v>5579</v>
      </c>
      <c r="D505" s="19"/>
      <c r="E505" s="2"/>
      <c r="F505" s="19"/>
    </row>
    <row r="506" ht="15.75" customHeight="1">
      <c r="A506" s="1">
        <v>4.4240704E7</v>
      </c>
      <c r="B506" s="2" t="s">
        <v>936</v>
      </c>
      <c r="C506" s="19" t="s">
        <v>5580</v>
      </c>
      <c r="D506" s="19"/>
      <c r="E506" s="2"/>
      <c r="F506" s="19"/>
    </row>
    <row r="507" ht="15.75" customHeight="1">
      <c r="A507" s="1">
        <v>4.4267227E7</v>
      </c>
      <c r="B507" s="2" t="s">
        <v>1785</v>
      </c>
      <c r="C507" s="19" t="s">
        <v>5581</v>
      </c>
      <c r="D507" s="19"/>
      <c r="E507" s="2"/>
      <c r="F507" s="19"/>
    </row>
    <row r="508" ht="15.75" customHeight="1">
      <c r="A508" s="1">
        <v>4.4267405E7</v>
      </c>
      <c r="B508" s="2" t="s">
        <v>829</v>
      </c>
      <c r="C508" s="19" t="s">
        <v>5582</v>
      </c>
      <c r="D508" s="19"/>
      <c r="E508" s="2"/>
      <c r="F508" s="19"/>
    </row>
    <row r="509" ht="15.75" customHeight="1">
      <c r="A509" s="1">
        <v>4.4272066E7</v>
      </c>
      <c r="B509" s="2" t="s">
        <v>821</v>
      </c>
      <c r="C509" s="19" t="s">
        <v>5583</v>
      </c>
      <c r="D509" s="19" t="s">
        <v>5584</v>
      </c>
      <c r="E509" s="2"/>
      <c r="F509" s="19"/>
    </row>
    <row r="510" ht="15.75" customHeight="1">
      <c r="A510" s="1">
        <v>4.428587E7</v>
      </c>
      <c r="B510" s="2" t="s">
        <v>1626</v>
      </c>
      <c r="C510" s="19" t="s">
        <v>5585</v>
      </c>
      <c r="D510" s="19" t="s">
        <v>5586</v>
      </c>
      <c r="E510" s="2"/>
      <c r="F510" s="19"/>
    </row>
    <row r="511" ht="15.75" customHeight="1">
      <c r="A511" s="1">
        <v>4.4293572E7</v>
      </c>
      <c r="B511" s="2" t="s">
        <v>1116</v>
      </c>
      <c r="C511" s="19" t="s">
        <v>5587</v>
      </c>
      <c r="D511" s="19"/>
      <c r="E511" s="2"/>
      <c r="F511" s="19"/>
    </row>
    <row r="512" ht="15.75" customHeight="1">
      <c r="A512" s="1">
        <v>4.4335833E7</v>
      </c>
      <c r="B512" s="2" t="s">
        <v>1961</v>
      </c>
      <c r="C512" s="19" t="s">
        <v>5588</v>
      </c>
      <c r="D512" s="19" t="s">
        <v>5589</v>
      </c>
      <c r="E512" s="2"/>
      <c r="F512" s="19"/>
    </row>
    <row r="513" ht="15.75" customHeight="1">
      <c r="A513" s="1">
        <v>4.4360062E7</v>
      </c>
      <c r="B513" s="2" t="s">
        <v>577</v>
      </c>
      <c r="C513" s="19" t="s">
        <v>5590</v>
      </c>
      <c r="D513" s="19"/>
      <c r="E513" s="2"/>
      <c r="F513" s="19"/>
    </row>
    <row r="514" ht="15.75" customHeight="1">
      <c r="A514" s="1">
        <v>4.4366011E7</v>
      </c>
      <c r="B514" s="2" t="s">
        <v>976</v>
      </c>
      <c r="C514" s="19" t="s">
        <v>5591</v>
      </c>
      <c r="D514" s="19"/>
      <c r="E514" s="2"/>
      <c r="F514" s="19"/>
    </row>
    <row r="515" ht="15.75" customHeight="1">
      <c r="A515" s="1">
        <v>4.4376454E7</v>
      </c>
      <c r="B515" s="2" t="s">
        <v>2542</v>
      </c>
      <c r="C515" s="19" t="s">
        <v>5592</v>
      </c>
      <c r="D515" s="19" t="s">
        <v>5593</v>
      </c>
      <c r="E515" s="2"/>
      <c r="F515" s="19"/>
    </row>
    <row r="516" ht="15.75" customHeight="1">
      <c r="A516" s="1">
        <v>4.4394501E7</v>
      </c>
      <c r="B516" s="2" t="s">
        <v>2362</v>
      </c>
      <c r="C516" s="19" t="s">
        <v>5594</v>
      </c>
      <c r="D516" s="19" t="s">
        <v>5595</v>
      </c>
      <c r="E516" s="2"/>
      <c r="F516" s="19"/>
    </row>
    <row r="517" ht="15.75" customHeight="1">
      <c r="A517" s="1">
        <v>4.4398453E7</v>
      </c>
      <c r="B517" s="2" t="s">
        <v>673</v>
      </c>
      <c r="C517" s="19" t="s">
        <v>5596</v>
      </c>
      <c r="D517" s="19" t="s">
        <v>5597</v>
      </c>
      <c r="E517" s="2"/>
      <c r="F517" s="19"/>
    </row>
    <row r="518" ht="15.75" customHeight="1">
      <c r="A518" s="1">
        <v>4.4407451E7</v>
      </c>
      <c r="B518" s="2" t="s">
        <v>1729</v>
      </c>
      <c r="C518" s="19" t="s">
        <v>5598</v>
      </c>
      <c r="D518" s="19"/>
      <c r="E518" s="2"/>
      <c r="F518" s="19"/>
    </row>
    <row r="519" ht="15.75" customHeight="1">
      <c r="A519" s="1">
        <v>4.4416531E7</v>
      </c>
      <c r="B519" s="2" t="s">
        <v>345</v>
      </c>
      <c r="C519" s="19" t="s">
        <v>5599</v>
      </c>
      <c r="D519" s="19" t="s">
        <v>5600</v>
      </c>
      <c r="E519" s="2"/>
      <c r="F519" s="19"/>
    </row>
    <row r="520" ht="15.75" customHeight="1">
      <c r="A520" s="1">
        <v>4.4418891E7</v>
      </c>
      <c r="B520" s="2" t="s">
        <v>2053</v>
      </c>
      <c r="C520" s="19" t="s">
        <v>5601</v>
      </c>
      <c r="D520" s="19"/>
      <c r="E520" s="2"/>
      <c r="F520" s="19"/>
    </row>
    <row r="521" ht="15.75" customHeight="1">
      <c r="A521" s="1">
        <v>4.4419262E7</v>
      </c>
      <c r="B521" s="2" t="s">
        <v>420</v>
      </c>
      <c r="C521" s="19" t="s">
        <v>5602</v>
      </c>
      <c r="D521" s="19"/>
      <c r="E521" s="2"/>
      <c r="F521" s="19"/>
    </row>
    <row r="522" ht="15.75" customHeight="1">
      <c r="A522" s="1">
        <v>4.4421727E7</v>
      </c>
      <c r="B522" s="2" t="s">
        <v>2046</v>
      </c>
      <c r="C522" s="19" t="s">
        <v>5603</v>
      </c>
      <c r="D522" s="19" t="s">
        <v>5604</v>
      </c>
      <c r="E522" s="2"/>
      <c r="F522" s="19"/>
    </row>
    <row r="523" ht="15.75" customHeight="1">
      <c r="A523" s="1">
        <v>4.442572E7</v>
      </c>
      <c r="B523" s="2" t="s">
        <v>2232</v>
      </c>
      <c r="C523" s="19" t="s">
        <v>5605</v>
      </c>
      <c r="D523" s="19"/>
      <c r="E523" s="2"/>
      <c r="F523" s="19"/>
    </row>
    <row r="524" ht="15.75" customHeight="1">
      <c r="A524" s="1">
        <v>4.4442208E7</v>
      </c>
      <c r="B524" s="2" t="s">
        <v>2570</v>
      </c>
      <c r="C524" s="19" t="s">
        <v>5606</v>
      </c>
      <c r="D524" s="19"/>
      <c r="E524" s="2"/>
      <c r="F524" s="19"/>
    </row>
    <row r="525" ht="15.75" customHeight="1">
      <c r="A525" s="1">
        <v>4.4446144E7</v>
      </c>
      <c r="B525" s="2" t="s">
        <v>798</v>
      </c>
      <c r="C525" s="19" t="s">
        <v>5607</v>
      </c>
      <c r="D525" s="19" t="s">
        <v>5608</v>
      </c>
      <c r="E525" s="2"/>
      <c r="F525" s="19"/>
    </row>
    <row r="526" ht="15.75" customHeight="1">
      <c r="A526" s="1">
        <v>4.4497664E7</v>
      </c>
      <c r="B526" s="2" t="s">
        <v>671</v>
      </c>
      <c r="C526" s="19" t="s">
        <v>5609</v>
      </c>
      <c r="D526" s="19" t="s">
        <v>5610</v>
      </c>
      <c r="E526" s="2"/>
      <c r="F526" s="19"/>
    </row>
    <row r="527" ht="15.75" customHeight="1">
      <c r="A527" s="1">
        <v>4.4510491E7</v>
      </c>
      <c r="B527" s="2" t="s">
        <v>2381</v>
      </c>
      <c r="C527" s="19" t="s">
        <v>5611</v>
      </c>
      <c r="D527" s="19"/>
      <c r="E527" s="2"/>
      <c r="F527" s="19"/>
    </row>
    <row r="528" ht="15.75" customHeight="1">
      <c r="A528" s="1">
        <v>4.452515E7</v>
      </c>
      <c r="B528" s="2" t="s">
        <v>1053</v>
      </c>
      <c r="C528" s="19" t="s">
        <v>5612</v>
      </c>
      <c r="D528" s="19" t="s">
        <v>5613</v>
      </c>
      <c r="E528" s="2"/>
      <c r="F528" s="19"/>
    </row>
    <row r="529" ht="15.75" customHeight="1">
      <c r="A529" s="1">
        <v>4.45264E7</v>
      </c>
      <c r="B529" s="2" t="s">
        <v>1162</v>
      </c>
      <c r="C529" s="19" t="s">
        <v>5614</v>
      </c>
      <c r="D529" s="19"/>
      <c r="E529" s="2"/>
      <c r="F529" s="19"/>
    </row>
    <row r="530" ht="15.75" customHeight="1">
      <c r="A530" s="1">
        <v>4.4528282E7</v>
      </c>
      <c r="B530" s="2" t="s">
        <v>1508</v>
      </c>
      <c r="C530" s="19" t="s">
        <v>5615</v>
      </c>
      <c r="D530" s="19" t="s">
        <v>5616</v>
      </c>
      <c r="E530" s="2"/>
      <c r="F530" s="19"/>
    </row>
    <row r="531" ht="15.75" customHeight="1">
      <c r="A531" s="1">
        <v>4.4532598E7</v>
      </c>
      <c r="B531" s="2" t="s">
        <v>1544</v>
      </c>
      <c r="C531" s="19" t="s">
        <v>5617</v>
      </c>
      <c r="D531" s="19"/>
      <c r="E531" s="2"/>
      <c r="F531" s="19"/>
    </row>
    <row r="532" ht="15.75" customHeight="1">
      <c r="A532" s="1">
        <v>4.4535351E7</v>
      </c>
      <c r="B532" s="2" t="s">
        <v>3064</v>
      </c>
      <c r="C532" s="19" t="s">
        <v>5618</v>
      </c>
      <c r="D532" s="19"/>
      <c r="E532" s="2"/>
      <c r="F532" s="19"/>
    </row>
    <row r="533" ht="15.75" customHeight="1">
      <c r="A533" s="1">
        <v>4.4551967E7</v>
      </c>
      <c r="B533" s="2" t="s">
        <v>3319</v>
      </c>
      <c r="C533" s="19" t="s">
        <v>5619</v>
      </c>
      <c r="D533" s="19"/>
      <c r="E533" s="2"/>
      <c r="F533" s="19"/>
    </row>
    <row r="534" ht="15.75" customHeight="1">
      <c r="A534" s="1">
        <v>4.4560224E7</v>
      </c>
      <c r="B534" s="2" t="s">
        <v>2200</v>
      </c>
      <c r="C534" s="19" t="s">
        <v>5620</v>
      </c>
      <c r="D534" s="19"/>
      <c r="E534" s="2"/>
      <c r="F534" s="19"/>
    </row>
    <row r="535" ht="15.75" customHeight="1">
      <c r="A535" s="1">
        <v>4.4588246E7</v>
      </c>
      <c r="B535" s="2" t="s">
        <v>1175</v>
      </c>
      <c r="C535" s="19" t="s">
        <v>5621</v>
      </c>
      <c r="D535" s="19"/>
      <c r="E535" s="2"/>
      <c r="F535" s="19"/>
    </row>
    <row r="536" ht="15.75" customHeight="1">
      <c r="A536" s="1">
        <v>4.4588977E7</v>
      </c>
      <c r="B536" s="2" t="s">
        <v>1742</v>
      </c>
      <c r="C536" s="19" t="s">
        <v>5622</v>
      </c>
      <c r="D536" s="19"/>
      <c r="E536" s="2"/>
      <c r="F536" s="19"/>
    </row>
    <row r="537" ht="15.75" customHeight="1">
      <c r="A537" s="1">
        <v>4.4590497E7</v>
      </c>
      <c r="B537" s="2" t="s">
        <v>1329</v>
      </c>
      <c r="C537" s="19" t="s">
        <v>5623</v>
      </c>
      <c r="D537" s="19"/>
      <c r="E537" s="2"/>
      <c r="F537" s="19"/>
    </row>
    <row r="538" ht="15.75" customHeight="1">
      <c r="A538" s="1">
        <v>4.4634946E7</v>
      </c>
      <c r="B538" s="2" t="s">
        <v>1320</v>
      </c>
      <c r="C538" s="19" t="s">
        <v>5624</v>
      </c>
      <c r="D538" s="19" t="s">
        <v>5625</v>
      </c>
      <c r="E538" s="2"/>
      <c r="F538" s="19"/>
    </row>
    <row r="539" ht="15.75" customHeight="1">
      <c r="A539" s="1">
        <v>4.4638137E7</v>
      </c>
      <c r="B539" s="2" t="s">
        <v>381</v>
      </c>
      <c r="C539" s="19" t="s">
        <v>5626</v>
      </c>
      <c r="D539" s="19"/>
      <c r="E539" s="2"/>
      <c r="F539" s="19"/>
    </row>
    <row r="540" ht="15.75" customHeight="1">
      <c r="A540" s="1">
        <v>4.4641222E7</v>
      </c>
      <c r="B540" s="2" t="s">
        <v>444</v>
      </c>
      <c r="C540" s="19" t="s">
        <v>5627</v>
      </c>
      <c r="D540" s="19" t="s">
        <v>5628</v>
      </c>
      <c r="E540" s="2"/>
      <c r="F540" s="19"/>
    </row>
    <row r="541" ht="15.75" customHeight="1">
      <c r="A541" s="1">
        <v>4.4680025E7</v>
      </c>
      <c r="B541" s="2" t="s">
        <v>1523</v>
      </c>
      <c r="C541" s="19" t="s">
        <v>5629</v>
      </c>
      <c r="D541" s="19" t="s">
        <v>5630</v>
      </c>
      <c r="E541" s="2"/>
      <c r="F541" s="19"/>
    </row>
    <row r="542" ht="15.75" customHeight="1">
      <c r="A542" s="1">
        <v>4.4694808E7</v>
      </c>
      <c r="B542" s="2" t="s">
        <v>1306</v>
      </c>
      <c r="C542" s="19" t="s">
        <v>5631</v>
      </c>
      <c r="D542" s="19" t="s">
        <v>5632</v>
      </c>
      <c r="E542" s="2"/>
      <c r="F542" s="19"/>
    </row>
    <row r="543" ht="15.75" customHeight="1">
      <c r="A543" s="1">
        <v>4.4708936E7</v>
      </c>
      <c r="B543" s="2" t="s">
        <v>2726</v>
      </c>
      <c r="C543" s="19" t="s">
        <v>5633</v>
      </c>
      <c r="D543" s="19"/>
      <c r="E543" s="2"/>
      <c r="F543" s="19"/>
    </row>
    <row r="544" ht="15.75" customHeight="1">
      <c r="A544" s="1">
        <v>4.4710543E7</v>
      </c>
      <c r="B544" s="2" t="s">
        <v>616</v>
      </c>
      <c r="C544" s="19" t="s">
        <v>5634</v>
      </c>
      <c r="D544" s="19"/>
      <c r="E544" s="2"/>
      <c r="F544" s="19"/>
    </row>
    <row r="545" ht="15.75" customHeight="1">
      <c r="A545" s="1">
        <v>4.4727285E7</v>
      </c>
      <c r="B545" s="2" t="s">
        <v>245</v>
      </c>
      <c r="C545" s="19" t="s">
        <v>5635</v>
      </c>
      <c r="D545" s="19"/>
      <c r="E545" s="2"/>
      <c r="F545" s="19"/>
    </row>
    <row r="546" ht="15.75" customHeight="1">
      <c r="A546" s="1">
        <v>4.4733222E7</v>
      </c>
      <c r="B546" s="2" t="s">
        <v>1625</v>
      </c>
      <c r="C546" s="19" t="s">
        <v>5636</v>
      </c>
      <c r="D546" s="19"/>
      <c r="E546" s="2"/>
      <c r="F546" s="19"/>
    </row>
    <row r="547" ht="15.75" customHeight="1">
      <c r="A547" s="1">
        <v>4.4767791E7</v>
      </c>
      <c r="B547" s="2" t="s">
        <v>2528</v>
      </c>
      <c r="C547" s="19" t="s">
        <v>5637</v>
      </c>
      <c r="D547" s="19" t="s">
        <v>5638</v>
      </c>
      <c r="E547" s="2"/>
      <c r="F547" s="19"/>
    </row>
    <row r="548" ht="15.75" customHeight="1">
      <c r="A548" s="1">
        <v>4.4789178E7</v>
      </c>
      <c r="B548" s="2" t="s">
        <v>2582</v>
      </c>
      <c r="C548" s="19" t="s">
        <v>5639</v>
      </c>
      <c r="D548" s="19" t="s">
        <v>5640</v>
      </c>
      <c r="E548" s="2"/>
      <c r="F548" s="19"/>
    </row>
    <row r="549" ht="15.75" customHeight="1">
      <c r="A549" s="1">
        <v>4.4794852E7</v>
      </c>
      <c r="B549" s="2" t="s">
        <v>972</v>
      </c>
      <c r="C549" s="19" t="s">
        <v>5641</v>
      </c>
      <c r="D549" s="19"/>
      <c r="E549" s="2"/>
      <c r="F549" s="19"/>
    </row>
    <row r="550" ht="15.75" customHeight="1">
      <c r="A550" s="1">
        <v>4.4800423E7</v>
      </c>
      <c r="B550" s="2" t="s">
        <v>1502</v>
      </c>
      <c r="C550" s="19" t="s">
        <v>5642</v>
      </c>
      <c r="D550" s="19"/>
      <c r="E550" s="2"/>
      <c r="F550" s="19"/>
    </row>
    <row r="551" ht="15.75" customHeight="1">
      <c r="A551" s="1">
        <v>4.4806952E7</v>
      </c>
      <c r="B551" s="2" t="s">
        <v>679</v>
      </c>
      <c r="C551" s="19" t="s">
        <v>5643</v>
      </c>
      <c r="D551" s="19"/>
      <c r="E551" s="2"/>
      <c r="F551" s="19"/>
    </row>
    <row r="552" ht="15.75" customHeight="1">
      <c r="A552" s="1">
        <v>4.481318E7</v>
      </c>
      <c r="B552" s="2" t="s">
        <v>752</v>
      </c>
      <c r="C552" s="19" t="s">
        <v>5644</v>
      </c>
      <c r="D552" s="19"/>
      <c r="E552" s="2"/>
      <c r="F552" s="19"/>
    </row>
    <row r="553" ht="15.75" customHeight="1">
      <c r="A553" s="1">
        <v>4.4838564E7</v>
      </c>
      <c r="B553" s="2" t="s">
        <v>886</v>
      </c>
      <c r="C553" s="19" t="s">
        <v>5645</v>
      </c>
      <c r="D553" s="19"/>
      <c r="E553" s="2"/>
      <c r="F553" s="19"/>
    </row>
    <row r="554" ht="15.75" customHeight="1">
      <c r="A554" s="1">
        <v>4.4851076E7</v>
      </c>
      <c r="B554" s="2" t="s">
        <v>3214</v>
      </c>
      <c r="C554" s="19" t="s">
        <v>5646</v>
      </c>
      <c r="D554" s="19"/>
      <c r="E554" s="2"/>
      <c r="F554" s="19"/>
    </row>
    <row r="555" ht="15.75" customHeight="1">
      <c r="A555" s="1">
        <v>4.4867066E7</v>
      </c>
      <c r="B555" s="2" t="s">
        <v>718</v>
      </c>
      <c r="C555" s="19" t="s">
        <v>5647</v>
      </c>
      <c r="D555" s="19" t="s">
        <v>5648</v>
      </c>
      <c r="E555" s="2"/>
      <c r="F555" s="19"/>
    </row>
    <row r="556" ht="15.75" customHeight="1">
      <c r="A556" s="1">
        <v>4.4879191E7</v>
      </c>
      <c r="B556" s="2" t="s">
        <v>1103</v>
      </c>
      <c r="C556" s="19" t="s">
        <v>5649</v>
      </c>
      <c r="D556" s="19"/>
      <c r="E556" s="2"/>
      <c r="F556" s="19"/>
    </row>
    <row r="557" ht="15.75" customHeight="1">
      <c r="A557" s="1">
        <v>4.4889483E7</v>
      </c>
      <c r="B557" s="2" t="s">
        <v>545</v>
      </c>
      <c r="C557" s="19" t="s">
        <v>5650</v>
      </c>
      <c r="D557" s="19" t="s">
        <v>5651</v>
      </c>
      <c r="E557" s="2"/>
      <c r="F557" s="19"/>
    </row>
    <row r="558" ht="15.75" customHeight="1">
      <c r="A558" s="1">
        <v>4.4903106E7</v>
      </c>
      <c r="B558" s="2" t="s">
        <v>136</v>
      </c>
      <c r="C558" s="19" t="s">
        <v>5652</v>
      </c>
      <c r="D558" s="19" t="s">
        <v>5653</v>
      </c>
      <c r="E558" s="2"/>
      <c r="F558" s="19"/>
    </row>
    <row r="559" ht="15.75" customHeight="1">
      <c r="A559" s="1">
        <v>4.4912604E7</v>
      </c>
      <c r="B559" s="2" t="s">
        <v>544</v>
      </c>
      <c r="C559" s="19" t="s">
        <v>5654</v>
      </c>
      <c r="D559" s="19"/>
      <c r="E559" s="2"/>
      <c r="F559" s="19"/>
    </row>
    <row r="560" ht="15.75" customHeight="1">
      <c r="A560" s="1">
        <v>4.4920041E7</v>
      </c>
      <c r="B560" s="2" t="s">
        <v>682</v>
      </c>
      <c r="C560" s="19" t="s">
        <v>5655</v>
      </c>
      <c r="D560" s="19"/>
      <c r="E560" s="2"/>
      <c r="F560" s="19"/>
    </row>
    <row r="561" ht="15.75" customHeight="1">
      <c r="A561" s="1">
        <v>4.4931104E7</v>
      </c>
      <c r="B561" s="2" t="s">
        <v>630</v>
      </c>
      <c r="C561" s="19" t="s">
        <v>5656</v>
      </c>
      <c r="D561" s="19"/>
      <c r="E561" s="2"/>
      <c r="F561" s="19"/>
    </row>
    <row r="562" ht="15.75" customHeight="1">
      <c r="A562" s="1">
        <v>4.4950507E7</v>
      </c>
      <c r="B562" s="2" t="s">
        <v>417</v>
      </c>
      <c r="C562" s="19" t="s">
        <v>5657</v>
      </c>
      <c r="D562" s="19"/>
      <c r="E562" s="2"/>
      <c r="F562" s="19"/>
    </row>
    <row r="563" ht="15.75" customHeight="1">
      <c r="A563" s="1">
        <v>4.4952033E7</v>
      </c>
      <c r="B563" s="2" t="s">
        <v>1025</v>
      </c>
      <c r="C563" s="19" t="s">
        <v>5658</v>
      </c>
      <c r="D563" s="19" t="s">
        <v>5659</v>
      </c>
      <c r="E563" s="2"/>
      <c r="F563" s="19"/>
    </row>
    <row r="564" ht="15.75" customHeight="1">
      <c r="A564" s="1">
        <v>4.4956629E7</v>
      </c>
      <c r="B564" s="2" t="s">
        <v>925</v>
      </c>
      <c r="C564" s="19" t="s">
        <v>5660</v>
      </c>
      <c r="D564" s="19" t="s">
        <v>5661</v>
      </c>
      <c r="E564" s="2"/>
      <c r="F564" s="19"/>
    </row>
    <row r="565" ht="15.75" customHeight="1">
      <c r="A565" s="1">
        <v>4.4963674E7</v>
      </c>
      <c r="B565" s="2" t="s">
        <v>1425</v>
      </c>
      <c r="C565" s="19" t="s">
        <v>5662</v>
      </c>
      <c r="D565" s="19"/>
      <c r="E565" s="2"/>
      <c r="F565" s="19"/>
    </row>
    <row r="566" ht="15.75" customHeight="1">
      <c r="A566" s="1">
        <v>4.4974408E7</v>
      </c>
      <c r="B566" s="2" t="s">
        <v>647</v>
      </c>
      <c r="C566" s="19" t="s">
        <v>5663</v>
      </c>
      <c r="D566" s="19"/>
      <c r="E566" s="2"/>
      <c r="F566" s="19"/>
    </row>
    <row r="567" ht="15.75" customHeight="1">
      <c r="A567" s="1">
        <v>4.4980903E7</v>
      </c>
      <c r="B567" s="2" t="s">
        <v>1499</v>
      </c>
      <c r="C567" s="19" t="s">
        <v>5664</v>
      </c>
      <c r="D567" s="19" t="s">
        <v>5665</v>
      </c>
      <c r="E567" s="2"/>
      <c r="F567" s="19"/>
    </row>
    <row r="568" ht="15.75" customHeight="1">
      <c r="A568" s="1">
        <v>4.5004378E7</v>
      </c>
      <c r="B568" s="2" t="s">
        <v>1422</v>
      </c>
      <c r="C568" s="19" t="s">
        <v>5666</v>
      </c>
      <c r="D568" s="19"/>
      <c r="E568" s="2"/>
      <c r="F568" s="19"/>
    </row>
    <row r="569" ht="15.75" customHeight="1">
      <c r="A569" s="1">
        <v>4.5019323E7</v>
      </c>
      <c r="B569" s="2" t="s">
        <v>2291</v>
      </c>
      <c r="C569" s="19" t="s">
        <v>5667</v>
      </c>
      <c r="D569" s="19" t="s">
        <v>5668</v>
      </c>
      <c r="E569" s="2"/>
      <c r="F569" s="19"/>
    </row>
    <row r="570" ht="15.75" customHeight="1">
      <c r="A570" s="1">
        <v>4.5045407E7</v>
      </c>
      <c r="B570" s="2" t="s">
        <v>3143</v>
      </c>
      <c r="C570" s="19" t="s">
        <v>5669</v>
      </c>
      <c r="D570" s="19" t="s">
        <v>5670</v>
      </c>
      <c r="E570" s="2"/>
      <c r="F570" s="19"/>
    </row>
    <row r="571" ht="15.75" customHeight="1">
      <c r="A571" s="1">
        <v>4.504552E7</v>
      </c>
      <c r="B571" s="2" t="s">
        <v>2153</v>
      </c>
      <c r="C571" s="19" t="s">
        <v>5671</v>
      </c>
      <c r="D571" s="19" t="s">
        <v>5672</v>
      </c>
      <c r="E571" s="2"/>
      <c r="F571" s="19"/>
    </row>
    <row r="572" ht="15.75" customHeight="1">
      <c r="A572" s="1">
        <v>4.5068055E7</v>
      </c>
      <c r="B572" s="2" t="s">
        <v>1108</v>
      </c>
      <c r="C572" s="19" t="s">
        <v>5673</v>
      </c>
      <c r="D572" s="19"/>
      <c r="E572" s="2"/>
      <c r="F572" s="19"/>
    </row>
    <row r="573" ht="15.75" customHeight="1">
      <c r="A573" s="1">
        <v>4.509191E7</v>
      </c>
      <c r="B573" s="2" t="s">
        <v>1397</v>
      </c>
      <c r="C573" s="19" t="s">
        <v>5674</v>
      </c>
      <c r="D573" s="19" t="s">
        <v>5675</v>
      </c>
      <c r="E573" s="2"/>
      <c r="F573" s="19"/>
    </row>
    <row r="574" ht="15.75" customHeight="1">
      <c r="A574" s="1">
        <v>4.5101901E7</v>
      </c>
      <c r="B574" s="2" t="s">
        <v>1347</v>
      </c>
      <c r="C574" s="19" t="s">
        <v>5676</v>
      </c>
      <c r="D574" s="19"/>
      <c r="E574" s="2"/>
      <c r="F574" s="19"/>
    </row>
    <row r="575" ht="15.75" customHeight="1">
      <c r="A575" s="1">
        <v>4.5120914E7</v>
      </c>
      <c r="B575" s="2" t="s">
        <v>1479</v>
      </c>
      <c r="C575" s="19" t="s">
        <v>5677</v>
      </c>
      <c r="D575" s="19" t="s">
        <v>5678</v>
      </c>
      <c r="E575" s="2"/>
      <c r="F575" s="19"/>
    </row>
    <row r="576" ht="15.75" customHeight="1">
      <c r="A576" s="1">
        <v>4.513301E7</v>
      </c>
      <c r="B576" s="2" t="s">
        <v>1364</v>
      </c>
      <c r="C576" s="19" t="s">
        <v>5679</v>
      </c>
      <c r="D576" s="19" t="s">
        <v>5680</v>
      </c>
      <c r="E576" s="2"/>
      <c r="F576" s="19"/>
    </row>
    <row r="577" ht="15.75" customHeight="1">
      <c r="A577" s="1">
        <v>4.5145338E7</v>
      </c>
      <c r="B577" s="2" t="s">
        <v>706</v>
      </c>
      <c r="C577" s="19" t="s">
        <v>5681</v>
      </c>
      <c r="D577" s="19" t="s">
        <v>5682</v>
      </c>
      <c r="E577" s="2"/>
      <c r="F577" s="19"/>
    </row>
    <row r="578" ht="15.75" customHeight="1">
      <c r="A578" s="1">
        <v>4.5171327E7</v>
      </c>
      <c r="B578" s="2" t="s">
        <v>2217</v>
      </c>
      <c r="C578" s="19" t="s">
        <v>5683</v>
      </c>
      <c r="D578" s="19"/>
      <c r="E578" s="2"/>
      <c r="F578" s="19"/>
    </row>
    <row r="579" ht="15.75" customHeight="1">
      <c r="A579" s="1">
        <v>4.5174597E7</v>
      </c>
      <c r="B579" s="2" t="s">
        <v>1819</v>
      </c>
      <c r="C579" s="19" t="s">
        <v>5684</v>
      </c>
      <c r="D579" s="19"/>
      <c r="E579" s="2"/>
      <c r="F579" s="19"/>
    </row>
    <row r="580" ht="15.75" customHeight="1">
      <c r="A580" s="1">
        <v>4.5177765E7</v>
      </c>
      <c r="B580" s="2" t="s">
        <v>782</v>
      </c>
      <c r="C580" s="19" t="s">
        <v>5685</v>
      </c>
      <c r="D580" s="19" t="s">
        <v>5686</v>
      </c>
      <c r="E580" s="2"/>
      <c r="F580" s="19"/>
    </row>
    <row r="581" ht="15.75" customHeight="1">
      <c r="A581" s="1">
        <v>4.5195523E7</v>
      </c>
      <c r="B581" s="2" t="s">
        <v>987</v>
      </c>
      <c r="C581" s="19" t="s">
        <v>5687</v>
      </c>
      <c r="D581" s="19"/>
      <c r="E581" s="2"/>
      <c r="F581" s="19"/>
    </row>
    <row r="582" ht="15.75" customHeight="1">
      <c r="A582" s="1">
        <v>4.5197195E7</v>
      </c>
      <c r="B582" s="2" t="s">
        <v>1158</v>
      </c>
      <c r="C582" s="19" t="s">
        <v>5688</v>
      </c>
      <c r="D582" s="19" t="s">
        <v>5689</v>
      </c>
      <c r="E582" s="2"/>
      <c r="F582" s="19"/>
    </row>
    <row r="583" ht="15.75" customHeight="1">
      <c r="A583" s="1">
        <v>4.520245E7</v>
      </c>
      <c r="B583" s="2" t="s">
        <v>1135</v>
      </c>
      <c r="C583" s="19" t="s">
        <v>5690</v>
      </c>
      <c r="D583" s="19"/>
      <c r="E583" s="2"/>
      <c r="F583" s="19"/>
    </row>
    <row r="584" ht="15.75" customHeight="1">
      <c r="A584" s="1">
        <v>4.5209796E7</v>
      </c>
      <c r="B584" s="2" t="s">
        <v>2070</v>
      </c>
      <c r="C584" s="19" t="s">
        <v>5691</v>
      </c>
      <c r="D584" s="19" t="s">
        <v>5692</v>
      </c>
      <c r="E584" s="2"/>
      <c r="F584" s="19"/>
    </row>
    <row r="585" ht="15.75" customHeight="1">
      <c r="A585" s="1">
        <v>4.5224565E7</v>
      </c>
      <c r="B585" s="2" t="s">
        <v>1226</v>
      </c>
      <c r="C585" s="19" t="s">
        <v>5693</v>
      </c>
      <c r="D585" s="19" t="s">
        <v>5694</v>
      </c>
      <c r="E585" s="2"/>
      <c r="F585" s="19"/>
    </row>
    <row r="586" ht="15.75" customHeight="1">
      <c r="A586" s="1">
        <v>4.5232971E7</v>
      </c>
      <c r="B586" s="2" t="s">
        <v>853</v>
      </c>
      <c r="C586" s="19" t="s">
        <v>5695</v>
      </c>
      <c r="D586" s="19"/>
      <c r="E586" s="2"/>
      <c r="F586" s="19"/>
    </row>
    <row r="587" ht="15.75" customHeight="1">
      <c r="A587" s="1">
        <v>4.5238254E7</v>
      </c>
      <c r="B587" s="2" t="s">
        <v>2154</v>
      </c>
      <c r="C587" s="19" t="s">
        <v>5696</v>
      </c>
      <c r="D587" s="19"/>
      <c r="E587" s="2"/>
      <c r="F587" s="19"/>
    </row>
    <row r="588" ht="15.75" customHeight="1">
      <c r="A588" s="1">
        <v>4.5245708E7</v>
      </c>
      <c r="B588" s="2" t="s">
        <v>773</v>
      </c>
      <c r="C588" s="19" t="s">
        <v>5697</v>
      </c>
      <c r="D588" s="19" t="s">
        <v>5698</v>
      </c>
      <c r="E588" s="2"/>
      <c r="F588" s="19"/>
    </row>
    <row r="589" ht="15.75" customHeight="1">
      <c r="A589" s="1">
        <v>4.5273016E7</v>
      </c>
      <c r="B589" s="2" t="s">
        <v>951</v>
      </c>
      <c r="C589" s="19" t="s">
        <v>5699</v>
      </c>
      <c r="D589" s="19"/>
      <c r="E589" s="2"/>
      <c r="F589" s="19"/>
    </row>
    <row r="590" ht="15.75" customHeight="1">
      <c r="A590" s="1">
        <v>4.5281799E7</v>
      </c>
      <c r="B590" s="2" t="s">
        <v>2454</v>
      </c>
      <c r="C590" s="19" t="s">
        <v>5700</v>
      </c>
      <c r="D590" s="19"/>
      <c r="E590" s="2"/>
      <c r="F590" s="19"/>
    </row>
    <row r="591" ht="15.75" customHeight="1">
      <c r="A591" s="1">
        <v>4.5288895E7</v>
      </c>
      <c r="B591" s="2" t="s">
        <v>730</v>
      </c>
      <c r="C591" s="19" t="s">
        <v>5701</v>
      </c>
      <c r="D591" s="19" t="s">
        <v>5702</v>
      </c>
      <c r="E591" s="2"/>
      <c r="F591" s="19"/>
    </row>
    <row r="592" ht="15.75" customHeight="1">
      <c r="A592" s="1">
        <v>4.5310175E7</v>
      </c>
      <c r="B592" s="2" t="s">
        <v>725</v>
      </c>
      <c r="C592" s="19" t="s">
        <v>5703</v>
      </c>
      <c r="D592" s="19"/>
      <c r="E592" s="2"/>
      <c r="F592" s="19"/>
    </row>
    <row r="593" ht="15.75" customHeight="1">
      <c r="A593" s="1">
        <v>4.5312549E7</v>
      </c>
      <c r="B593" s="2" t="s">
        <v>2085</v>
      </c>
      <c r="C593" s="19" t="s">
        <v>5704</v>
      </c>
      <c r="D593" s="19" t="s">
        <v>5705</v>
      </c>
      <c r="E593" s="2"/>
      <c r="F593" s="19"/>
    </row>
    <row r="594" ht="15.75" customHeight="1">
      <c r="A594" s="1">
        <v>4.5318013E7</v>
      </c>
      <c r="B594" s="2" t="s">
        <v>1096</v>
      </c>
      <c r="C594" s="19" t="s">
        <v>5706</v>
      </c>
      <c r="D594" s="19"/>
      <c r="E594" s="2"/>
      <c r="F594" s="19"/>
    </row>
    <row r="595" ht="15.75" customHeight="1">
      <c r="A595" s="1">
        <v>4.5324416E7</v>
      </c>
      <c r="B595" s="2" t="s">
        <v>485</v>
      </c>
      <c r="C595" s="19" t="s">
        <v>5707</v>
      </c>
      <c r="D595" s="19" t="s">
        <v>5708</v>
      </c>
      <c r="E595" s="2"/>
      <c r="F595" s="19"/>
    </row>
    <row r="596" ht="15.75" customHeight="1">
      <c r="A596" s="1">
        <v>4.5324749E7</v>
      </c>
      <c r="B596" s="2" t="s">
        <v>1757</v>
      </c>
      <c r="C596" s="19" t="s">
        <v>5709</v>
      </c>
      <c r="D596" s="19" t="s">
        <v>5710</v>
      </c>
      <c r="E596" s="2"/>
      <c r="F596" s="19"/>
    </row>
    <row r="597" ht="15.75" customHeight="1">
      <c r="A597" s="1">
        <v>4.5334821E7</v>
      </c>
      <c r="B597" s="2" t="s">
        <v>1825</v>
      </c>
      <c r="C597" s="19" t="s">
        <v>5711</v>
      </c>
      <c r="D597" s="19"/>
      <c r="E597" s="2"/>
      <c r="F597" s="19"/>
    </row>
    <row r="598" ht="15.75" customHeight="1">
      <c r="A598" s="1">
        <v>4.5336337E7</v>
      </c>
      <c r="B598" s="2" t="s">
        <v>727</v>
      </c>
      <c r="C598" s="19" t="s">
        <v>5712</v>
      </c>
      <c r="D598" s="19" t="s">
        <v>5713</v>
      </c>
      <c r="E598" s="2"/>
      <c r="F598" s="19"/>
    </row>
    <row r="599" ht="15.75" customHeight="1">
      <c r="A599" s="1">
        <v>4.5363366E7</v>
      </c>
      <c r="B599" s="2" t="s">
        <v>1654</v>
      </c>
      <c r="C599" s="19" t="s">
        <v>5714</v>
      </c>
      <c r="D599" s="19" t="s">
        <v>5715</v>
      </c>
      <c r="E599" s="2"/>
      <c r="F599" s="19"/>
    </row>
    <row r="600" ht="15.75" customHeight="1">
      <c r="A600" s="1">
        <v>4.5380713E7</v>
      </c>
      <c r="B600" s="2" t="s">
        <v>2431</v>
      </c>
      <c r="C600" s="19" t="s">
        <v>5716</v>
      </c>
      <c r="D600" s="19"/>
      <c r="E600" s="2"/>
      <c r="F600" s="19"/>
    </row>
    <row r="601" ht="15.75" customHeight="1">
      <c r="A601" s="1">
        <v>4.5418662E7</v>
      </c>
      <c r="B601" s="2" t="s">
        <v>1136</v>
      </c>
      <c r="C601" s="19" t="s">
        <v>5717</v>
      </c>
      <c r="D601" s="19"/>
      <c r="E601" s="2"/>
      <c r="F601" s="19"/>
    </row>
    <row r="602" ht="15.75" customHeight="1">
      <c r="A602" s="1">
        <v>4.5425713E7</v>
      </c>
      <c r="B602" s="2" t="s">
        <v>748</v>
      </c>
      <c r="C602" s="19" t="s">
        <v>5718</v>
      </c>
      <c r="D602" s="19" t="s">
        <v>5719</v>
      </c>
      <c r="E602" s="2"/>
      <c r="F602" s="19"/>
    </row>
    <row r="603" ht="15.75" customHeight="1">
      <c r="A603" s="1">
        <v>4.5470211E7</v>
      </c>
      <c r="B603" s="2" t="s">
        <v>1106</v>
      </c>
      <c r="C603" s="19" t="s">
        <v>5720</v>
      </c>
      <c r="D603" s="19"/>
      <c r="E603" s="2"/>
      <c r="F603" s="19"/>
    </row>
    <row r="604" ht="15.75" customHeight="1">
      <c r="A604" s="1">
        <v>4.5473657E7</v>
      </c>
      <c r="B604" s="2" t="s">
        <v>2094</v>
      </c>
      <c r="C604" s="19" t="s">
        <v>5721</v>
      </c>
      <c r="D604" s="19" t="s">
        <v>5722</v>
      </c>
      <c r="E604" s="2"/>
      <c r="F604" s="19"/>
    </row>
    <row r="605" ht="15.75" customHeight="1">
      <c r="A605" s="1">
        <v>4.5480663E7</v>
      </c>
      <c r="B605" s="2" t="s">
        <v>1191</v>
      </c>
      <c r="C605" s="19" t="s">
        <v>5723</v>
      </c>
      <c r="D605" s="19"/>
      <c r="E605" s="2"/>
      <c r="F605" s="19"/>
    </row>
    <row r="606" ht="15.75" customHeight="1">
      <c r="A606" s="1">
        <v>4.549432E7</v>
      </c>
      <c r="B606" s="2" t="s">
        <v>1068</v>
      </c>
      <c r="C606" s="19" t="s">
        <v>5724</v>
      </c>
      <c r="D606" s="19" t="s">
        <v>5725</v>
      </c>
      <c r="E606" s="2"/>
      <c r="F606" s="19"/>
    </row>
    <row r="607" ht="15.75" customHeight="1">
      <c r="A607" s="1">
        <v>4.5507738E7</v>
      </c>
      <c r="B607" s="2" t="s">
        <v>1265</v>
      </c>
      <c r="C607" s="19" t="s">
        <v>5726</v>
      </c>
      <c r="D607" s="19"/>
      <c r="E607" s="2"/>
      <c r="F607" s="19"/>
    </row>
    <row r="608" ht="15.75" customHeight="1">
      <c r="A608" s="1">
        <v>4.551129E7</v>
      </c>
      <c r="B608" s="2" t="s">
        <v>214</v>
      </c>
      <c r="C608" s="19" t="s">
        <v>5727</v>
      </c>
      <c r="D608" s="19" t="s">
        <v>5728</v>
      </c>
      <c r="E608" s="2"/>
      <c r="F608" s="19"/>
    </row>
    <row r="609" ht="15.75" customHeight="1">
      <c r="A609" s="1">
        <v>4.5513359E7</v>
      </c>
      <c r="B609" s="2" t="s">
        <v>1577</v>
      </c>
      <c r="C609" s="19" t="s">
        <v>5729</v>
      </c>
      <c r="D609" s="19" t="s">
        <v>5730</v>
      </c>
      <c r="E609" s="2"/>
      <c r="F609" s="19"/>
    </row>
    <row r="610" ht="15.75" customHeight="1">
      <c r="A610" s="1">
        <v>4.5535094E7</v>
      </c>
      <c r="B610" s="2" t="s">
        <v>1647</v>
      </c>
      <c r="C610" s="19" t="s">
        <v>5731</v>
      </c>
      <c r="D610" s="19"/>
      <c r="E610" s="2"/>
      <c r="F610" s="19"/>
    </row>
    <row r="611" ht="15.75" customHeight="1">
      <c r="A611" s="1">
        <v>4.554522E7</v>
      </c>
      <c r="B611" s="2" t="s">
        <v>959</v>
      </c>
      <c r="C611" s="19" t="s">
        <v>5732</v>
      </c>
      <c r="D611" s="19"/>
      <c r="E611" s="2"/>
      <c r="F611" s="19"/>
    </row>
    <row r="612" ht="15.75" customHeight="1">
      <c r="A612" s="1">
        <v>4.5555483E7</v>
      </c>
      <c r="B612" s="2" t="s">
        <v>2096</v>
      </c>
      <c r="C612" s="19" t="s">
        <v>5733</v>
      </c>
      <c r="D612" s="19" t="s">
        <v>5734</v>
      </c>
      <c r="E612" s="2"/>
      <c r="F612" s="19"/>
    </row>
    <row r="613" ht="15.75" customHeight="1">
      <c r="A613" s="1">
        <v>4.5556919E7</v>
      </c>
      <c r="B613" s="2" t="s">
        <v>512</v>
      </c>
      <c r="C613" s="19" t="s">
        <v>5735</v>
      </c>
      <c r="D613" s="19"/>
      <c r="E613" s="2"/>
      <c r="F613" s="19"/>
    </row>
    <row r="614" ht="15.75" customHeight="1">
      <c r="A614" s="1">
        <v>4.5563892E7</v>
      </c>
      <c r="B614" s="2" t="s">
        <v>1993</v>
      </c>
      <c r="C614" s="19" t="s">
        <v>5736</v>
      </c>
      <c r="D614" s="19"/>
      <c r="E614" s="2"/>
      <c r="F614" s="19"/>
    </row>
    <row r="615" ht="15.75" customHeight="1">
      <c r="A615" s="1">
        <v>4.5565228E7</v>
      </c>
      <c r="B615" s="2" t="s">
        <v>1240</v>
      </c>
      <c r="C615" s="19" t="s">
        <v>5737</v>
      </c>
      <c r="D615" s="19"/>
      <c r="E615" s="2"/>
      <c r="F615" s="19"/>
    </row>
    <row r="616" ht="15.75" customHeight="1">
      <c r="A616" s="1">
        <v>4.5572394E7</v>
      </c>
      <c r="B616" s="2" t="s">
        <v>646</v>
      </c>
      <c r="C616" s="19" t="s">
        <v>5738</v>
      </c>
      <c r="D616" s="19"/>
      <c r="E616" s="2"/>
      <c r="F616" s="19"/>
    </row>
    <row r="617" ht="15.75" customHeight="1">
      <c r="A617" s="1">
        <v>4.5588139E7</v>
      </c>
      <c r="B617" s="2" t="s">
        <v>908</v>
      </c>
      <c r="C617" s="19" t="s">
        <v>5739</v>
      </c>
      <c r="D617" s="19"/>
      <c r="E617" s="2"/>
      <c r="F617" s="19"/>
    </row>
    <row r="618" ht="15.75" customHeight="1">
      <c r="A618" s="1">
        <v>4.5602479E7</v>
      </c>
      <c r="B618" s="2" t="s">
        <v>1894</v>
      </c>
      <c r="C618" s="19" t="s">
        <v>5740</v>
      </c>
      <c r="D618" s="19"/>
      <c r="E618" s="2"/>
      <c r="F618" s="19"/>
    </row>
    <row r="619" ht="15.75" customHeight="1">
      <c r="A619" s="1">
        <v>4.5662481E7</v>
      </c>
      <c r="B619" s="2" t="s">
        <v>403</v>
      </c>
      <c r="C619" s="19" t="s">
        <v>5741</v>
      </c>
      <c r="D619" s="19" t="s">
        <v>5742</v>
      </c>
      <c r="E619" s="2"/>
      <c r="F619" s="19"/>
    </row>
    <row r="620" ht="15.75" customHeight="1">
      <c r="A620" s="1">
        <v>4.5672938E7</v>
      </c>
      <c r="B620" s="2" t="s">
        <v>408</v>
      </c>
      <c r="C620" s="19" t="s">
        <v>5743</v>
      </c>
      <c r="D620" s="19" t="s">
        <v>5744</v>
      </c>
      <c r="E620" s="2"/>
      <c r="F620" s="19"/>
    </row>
    <row r="621" ht="15.75" customHeight="1">
      <c r="A621" s="1">
        <v>4.5678498E7</v>
      </c>
      <c r="B621" s="2" t="s">
        <v>1168</v>
      </c>
      <c r="C621" s="19" t="s">
        <v>5745</v>
      </c>
      <c r="D621" s="19"/>
      <c r="E621" s="2"/>
      <c r="F621" s="19"/>
    </row>
    <row r="622" ht="15.75" customHeight="1">
      <c r="A622" s="1">
        <v>4.5686397E7</v>
      </c>
      <c r="B622" s="2" t="s">
        <v>1460</v>
      </c>
      <c r="C622" s="19" t="s">
        <v>5746</v>
      </c>
      <c r="D622" s="19"/>
      <c r="E622" s="2"/>
      <c r="F622" s="19"/>
    </row>
    <row r="623" ht="15.75" customHeight="1">
      <c r="A623" s="1">
        <v>4.5688074E7</v>
      </c>
      <c r="B623" s="2" t="s">
        <v>502</v>
      </c>
      <c r="C623" s="19" t="s">
        <v>5747</v>
      </c>
      <c r="D623" s="19"/>
      <c r="E623" s="2"/>
      <c r="F623" s="19"/>
    </row>
    <row r="624" ht="15.75" customHeight="1">
      <c r="A624" s="1">
        <v>4.569351E7</v>
      </c>
      <c r="B624" s="2" t="s">
        <v>460</v>
      </c>
      <c r="C624" s="19" t="s">
        <v>5748</v>
      </c>
      <c r="D624" s="19"/>
      <c r="E624" s="2"/>
      <c r="F624" s="19"/>
    </row>
    <row r="625" ht="15.75" customHeight="1">
      <c r="A625" s="1">
        <v>4.5697947E7</v>
      </c>
      <c r="B625" s="2" t="s">
        <v>1086</v>
      </c>
      <c r="C625" s="19" t="s">
        <v>5749</v>
      </c>
      <c r="D625" s="19"/>
      <c r="E625" s="2"/>
      <c r="F625" s="19"/>
    </row>
    <row r="626" ht="15.75" customHeight="1">
      <c r="A626" s="1">
        <v>4.5699468E7</v>
      </c>
      <c r="B626" s="2" t="s">
        <v>2627</v>
      </c>
      <c r="C626" s="19" t="s">
        <v>5750</v>
      </c>
      <c r="D626" s="19"/>
      <c r="E626" s="2"/>
      <c r="F626" s="19"/>
    </row>
    <row r="627" ht="15.75" customHeight="1">
      <c r="A627" s="1">
        <v>4.5709701E7</v>
      </c>
      <c r="B627" s="2" t="s">
        <v>1348</v>
      </c>
      <c r="C627" s="19" t="s">
        <v>5751</v>
      </c>
      <c r="D627" s="19" t="s">
        <v>5752</v>
      </c>
      <c r="E627" s="2"/>
      <c r="F627" s="19"/>
    </row>
    <row r="628" ht="15.75" customHeight="1">
      <c r="A628" s="1">
        <v>4.57112E7</v>
      </c>
      <c r="B628" s="2" t="s">
        <v>1901</v>
      </c>
      <c r="C628" s="19" t="s">
        <v>5753</v>
      </c>
      <c r="D628" s="19" t="s">
        <v>5754</v>
      </c>
      <c r="E628" s="2"/>
      <c r="F628" s="19"/>
    </row>
    <row r="629" ht="15.75" customHeight="1">
      <c r="A629" s="1">
        <v>4.5722513E7</v>
      </c>
      <c r="B629" s="2" t="s">
        <v>519</v>
      </c>
      <c r="C629" s="19" t="s">
        <v>5755</v>
      </c>
      <c r="D629" s="19" t="s">
        <v>5756</v>
      </c>
      <c r="E629" s="2"/>
      <c r="F629" s="19"/>
    </row>
    <row r="630" ht="15.75" customHeight="1">
      <c r="A630" s="1">
        <v>4.572482E7</v>
      </c>
      <c r="B630" s="2" t="s">
        <v>1782</v>
      </c>
      <c r="C630" s="19" t="s">
        <v>5757</v>
      </c>
      <c r="D630" s="19"/>
      <c r="E630" s="2"/>
      <c r="F630" s="19"/>
    </row>
    <row r="631" ht="15.75" customHeight="1">
      <c r="A631" s="1">
        <v>4.5731288E7</v>
      </c>
      <c r="B631" s="2" t="s">
        <v>365</v>
      </c>
      <c r="C631" s="19" t="s">
        <v>5758</v>
      </c>
      <c r="D631" s="19" t="s">
        <v>5759</v>
      </c>
      <c r="E631" s="2"/>
      <c r="F631" s="19"/>
    </row>
    <row r="632" ht="15.75" customHeight="1">
      <c r="A632" s="1">
        <v>4.574052E7</v>
      </c>
      <c r="B632" s="2" t="s">
        <v>937</v>
      </c>
      <c r="C632" s="19" t="s">
        <v>5760</v>
      </c>
      <c r="D632" s="19"/>
      <c r="E632" s="2"/>
      <c r="F632" s="19"/>
    </row>
    <row r="633" ht="15.75" customHeight="1">
      <c r="A633" s="1">
        <v>4.5748997E7</v>
      </c>
      <c r="B633" s="2" t="s">
        <v>1809</v>
      </c>
      <c r="C633" s="19" t="s">
        <v>5761</v>
      </c>
      <c r="D633" s="19" t="s">
        <v>5762</v>
      </c>
      <c r="E633" s="2"/>
      <c r="F633" s="19"/>
    </row>
    <row r="634" ht="15.75" customHeight="1">
      <c r="A634" s="1">
        <v>4.5751896E7</v>
      </c>
      <c r="B634" s="2" t="s">
        <v>743</v>
      </c>
      <c r="C634" s="19" t="s">
        <v>5763</v>
      </c>
      <c r="D634" s="19" t="s">
        <v>5764</v>
      </c>
      <c r="E634" s="2"/>
      <c r="F634" s="19"/>
    </row>
    <row r="635" ht="15.75" customHeight="1">
      <c r="A635" s="1">
        <v>4.5766911E7</v>
      </c>
      <c r="B635" s="2" t="s">
        <v>2271</v>
      </c>
      <c r="C635" s="19" t="s">
        <v>5765</v>
      </c>
      <c r="D635" s="19" t="s">
        <v>5766</v>
      </c>
      <c r="E635" s="2"/>
      <c r="F635" s="19"/>
    </row>
    <row r="636" ht="15.75" customHeight="1">
      <c r="A636" s="1">
        <v>4.5767036E7</v>
      </c>
      <c r="B636" s="2" t="s">
        <v>858</v>
      </c>
      <c r="C636" s="19" t="s">
        <v>5767</v>
      </c>
      <c r="D636" s="19"/>
      <c r="E636" s="2"/>
      <c r="F636" s="19"/>
    </row>
    <row r="637" ht="15.75" customHeight="1">
      <c r="A637" s="1">
        <v>4.5772221E7</v>
      </c>
      <c r="B637" s="2" t="s">
        <v>91</v>
      </c>
      <c r="C637" s="19" t="s">
        <v>5768</v>
      </c>
      <c r="D637" s="19" t="s">
        <v>5769</v>
      </c>
      <c r="E637" s="2"/>
      <c r="F637" s="19"/>
    </row>
    <row r="638" ht="15.75" customHeight="1">
      <c r="A638" s="1">
        <v>4.5802802E7</v>
      </c>
      <c r="B638" s="2" t="s">
        <v>729</v>
      </c>
      <c r="C638" s="19" t="s">
        <v>5770</v>
      </c>
      <c r="D638" s="19" t="s">
        <v>5771</v>
      </c>
      <c r="E638" s="2"/>
      <c r="F638" s="19"/>
    </row>
    <row r="639" ht="15.75" customHeight="1">
      <c r="A639" s="1">
        <v>4.5805113E7</v>
      </c>
      <c r="B639" s="2" t="s">
        <v>1441</v>
      </c>
      <c r="C639" s="19" t="s">
        <v>5772</v>
      </c>
      <c r="D639" s="19"/>
      <c r="E639" s="2"/>
      <c r="F639" s="19"/>
    </row>
    <row r="640" ht="15.75" customHeight="1">
      <c r="A640" s="1">
        <v>4.581712E7</v>
      </c>
      <c r="B640" s="2" t="s">
        <v>1803</v>
      </c>
      <c r="C640" s="19" t="s">
        <v>5773</v>
      </c>
      <c r="D640" s="19"/>
      <c r="E640" s="2"/>
      <c r="F640" s="19"/>
    </row>
    <row r="641" ht="15.75" customHeight="1">
      <c r="A641" s="1">
        <v>4.582259E7</v>
      </c>
      <c r="B641" s="2" t="s">
        <v>1566</v>
      </c>
      <c r="C641" s="19" t="s">
        <v>5774</v>
      </c>
      <c r="D641" s="19"/>
      <c r="E641" s="2"/>
      <c r="F641" s="19"/>
    </row>
    <row r="642" ht="15.75" customHeight="1">
      <c r="A642" s="1">
        <v>4.5824743E7</v>
      </c>
      <c r="B642" s="2" t="s">
        <v>2702</v>
      </c>
      <c r="C642" s="19" t="s">
        <v>5775</v>
      </c>
      <c r="D642" s="19" t="s">
        <v>5776</v>
      </c>
      <c r="E642" s="2"/>
      <c r="F642" s="19"/>
    </row>
    <row r="643" ht="15.75" customHeight="1">
      <c r="A643" s="1">
        <v>4.5827341E7</v>
      </c>
      <c r="B643" s="2" t="s">
        <v>2644</v>
      </c>
      <c r="C643" s="19" t="s">
        <v>5777</v>
      </c>
      <c r="D643" s="19"/>
      <c r="E643" s="2"/>
      <c r="F643" s="19"/>
    </row>
    <row r="644" ht="15.75" customHeight="1">
      <c r="A644" s="1">
        <v>4.5830273E7</v>
      </c>
      <c r="B644" s="2" t="s">
        <v>472</v>
      </c>
      <c r="C644" s="19" t="s">
        <v>5778</v>
      </c>
      <c r="D644" s="19"/>
      <c r="E644" s="2"/>
      <c r="F644" s="19"/>
    </row>
    <row r="645" ht="15.75" customHeight="1">
      <c r="A645" s="1">
        <v>4.5842944E7</v>
      </c>
      <c r="B645" s="2" t="s">
        <v>1507</v>
      </c>
      <c r="C645" s="19" t="s">
        <v>5779</v>
      </c>
      <c r="D645" s="19"/>
      <c r="E645" s="2"/>
      <c r="F645" s="19"/>
    </row>
    <row r="646" ht="15.75" customHeight="1">
      <c r="A646" s="1">
        <v>4.5846521E7</v>
      </c>
      <c r="B646" s="2" t="s">
        <v>838</v>
      </c>
      <c r="C646" s="19" t="s">
        <v>5780</v>
      </c>
      <c r="D646" s="19" t="s">
        <v>5781</v>
      </c>
      <c r="E646" s="2"/>
      <c r="F646" s="19"/>
    </row>
    <row r="647" ht="15.75" customHeight="1">
      <c r="A647" s="1">
        <v>4.5853491E7</v>
      </c>
      <c r="B647" s="2" t="s">
        <v>2008</v>
      </c>
      <c r="C647" s="19" t="s">
        <v>5782</v>
      </c>
      <c r="D647" s="19" t="s">
        <v>5783</v>
      </c>
      <c r="E647" s="2"/>
      <c r="F647" s="19"/>
    </row>
    <row r="648" ht="15.75" customHeight="1">
      <c r="A648" s="1">
        <v>4.5874369E7</v>
      </c>
      <c r="B648" s="2" t="s">
        <v>3215</v>
      </c>
      <c r="C648" s="19" t="s">
        <v>5784</v>
      </c>
      <c r="D648" s="19" t="s">
        <v>5785</v>
      </c>
      <c r="E648" s="2"/>
      <c r="F648" s="19"/>
    </row>
    <row r="649" ht="15.75" customHeight="1">
      <c r="A649" s="1">
        <v>4.5875383E7</v>
      </c>
      <c r="B649" s="2" t="s">
        <v>606</v>
      </c>
      <c r="C649" s="19" t="s">
        <v>5786</v>
      </c>
      <c r="D649" s="19" t="s">
        <v>5787</v>
      </c>
      <c r="E649" s="2"/>
      <c r="F649" s="19"/>
    </row>
    <row r="650" ht="15.75" customHeight="1">
      <c r="A650" s="1">
        <v>4.5896488E7</v>
      </c>
      <c r="B650" s="2" t="s">
        <v>2086</v>
      </c>
      <c r="C650" s="19" t="s">
        <v>5788</v>
      </c>
      <c r="D650" s="19"/>
      <c r="E650" s="2"/>
      <c r="F650" s="19"/>
    </row>
    <row r="651" ht="15.75" customHeight="1">
      <c r="A651" s="1">
        <v>4.5901296E7</v>
      </c>
      <c r="B651" s="2" t="s">
        <v>1042</v>
      </c>
      <c r="C651" s="19" t="s">
        <v>5789</v>
      </c>
      <c r="D651" s="19"/>
      <c r="E651" s="2"/>
      <c r="F651" s="19"/>
    </row>
    <row r="652" ht="15.75" customHeight="1">
      <c r="A652" s="1">
        <v>4.5909358E7</v>
      </c>
      <c r="B652" s="2" t="s">
        <v>463</v>
      </c>
      <c r="C652" s="19" t="s">
        <v>5790</v>
      </c>
      <c r="D652" s="19"/>
      <c r="E652" s="2"/>
      <c r="F652" s="19"/>
    </row>
    <row r="653" ht="15.75" customHeight="1">
      <c r="A653" s="1">
        <v>4.5921253E7</v>
      </c>
      <c r="B653" s="2" t="s">
        <v>2659</v>
      </c>
      <c r="C653" s="19" t="s">
        <v>5791</v>
      </c>
      <c r="D653" s="19"/>
      <c r="E653" s="2"/>
      <c r="F653" s="19"/>
    </row>
    <row r="654" ht="15.75" customHeight="1">
      <c r="A654" s="1">
        <v>4.5928071E7</v>
      </c>
      <c r="B654" s="2" t="s">
        <v>1490</v>
      </c>
      <c r="C654" s="19" t="s">
        <v>5792</v>
      </c>
      <c r="D654" s="19"/>
      <c r="E654" s="2"/>
      <c r="F654" s="19"/>
    </row>
    <row r="655" ht="15.75" customHeight="1">
      <c r="A655" s="1">
        <v>4.5931378E7</v>
      </c>
      <c r="B655" s="2" t="s">
        <v>2063</v>
      </c>
      <c r="C655" s="19" t="s">
        <v>5793</v>
      </c>
      <c r="D655" s="19"/>
      <c r="E655" s="2"/>
      <c r="F655" s="19"/>
    </row>
    <row r="656" ht="15.75" customHeight="1">
      <c r="A656" s="1">
        <v>4.59333E7</v>
      </c>
      <c r="B656" s="2" t="s">
        <v>135</v>
      </c>
      <c r="C656" s="19" t="s">
        <v>5794</v>
      </c>
      <c r="D656" s="19"/>
      <c r="E656" s="2"/>
      <c r="F656" s="19"/>
    </row>
    <row r="657" ht="15.75" customHeight="1">
      <c r="A657" s="1">
        <v>4.5941854E7</v>
      </c>
      <c r="B657" s="2" t="s">
        <v>447</v>
      </c>
      <c r="C657" s="19" t="s">
        <v>5795</v>
      </c>
      <c r="D657" s="19" t="s">
        <v>5796</v>
      </c>
      <c r="E657" s="2"/>
      <c r="F657" s="19"/>
    </row>
    <row r="658" ht="15.75" customHeight="1">
      <c r="A658" s="1">
        <v>4.5949757E7</v>
      </c>
      <c r="B658" s="2" t="s">
        <v>1951</v>
      </c>
      <c r="C658" s="19" t="s">
        <v>5797</v>
      </c>
      <c r="D658" s="19"/>
      <c r="E658" s="2"/>
      <c r="F658" s="19"/>
    </row>
    <row r="659" ht="15.75" customHeight="1">
      <c r="A659" s="1">
        <v>4.5954124E7</v>
      </c>
      <c r="B659" s="2" t="s">
        <v>254</v>
      </c>
      <c r="C659" s="19" t="s">
        <v>5798</v>
      </c>
      <c r="D659" s="19" t="s">
        <v>5799</v>
      </c>
      <c r="E659" s="2"/>
      <c r="F659" s="19"/>
    </row>
    <row r="660" ht="15.75" customHeight="1">
      <c r="A660" s="1">
        <v>4.5963371E7</v>
      </c>
      <c r="B660" s="2" t="s">
        <v>771</v>
      </c>
      <c r="C660" s="19" t="s">
        <v>5800</v>
      </c>
      <c r="D660" s="19" t="s">
        <v>5801</v>
      </c>
      <c r="E660" s="2"/>
      <c r="F660" s="19"/>
    </row>
    <row r="661" ht="15.75" customHeight="1">
      <c r="A661" s="1">
        <v>4.5967361E7</v>
      </c>
      <c r="B661" s="2" t="s">
        <v>414</v>
      </c>
      <c r="C661" s="19" t="s">
        <v>5802</v>
      </c>
      <c r="D661" s="19"/>
      <c r="E661" s="2"/>
      <c r="F661" s="19"/>
    </row>
    <row r="662" ht="15.75" customHeight="1">
      <c r="A662" s="1">
        <v>4.5975826E7</v>
      </c>
      <c r="B662" s="2" t="s">
        <v>2292</v>
      </c>
      <c r="C662" s="19" t="s">
        <v>5803</v>
      </c>
      <c r="D662" s="19"/>
      <c r="E662" s="2"/>
      <c r="F662" s="19"/>
    </row>
    <row r="663" ht="15.75" customHeight="1">
      <c r="A663" s="1">
        <v>4.5978094E7</v>
      </c>
      <c r="B663" s="2" t="s">
        <v>1402</v>
      </c>
      <c r="C663" s="19" t="s">
        <v>5804</v>
      </c>
      <c r="D663" s="19"/>
      <c r="E663" s="2"/>
      <c r="F663" s="19"/>
    </row>
    <row r="664" ht="15.75" customHeight="1">
      <c r="A664" s="1">
        <v>4.5980951E7</v>
      </c>
      <c r="B664" s="2" t="s">
        <v>493</v>
      </c>
      <c r="C664" s="19" t="s">
        <v>5805</v>
      </c>
      <c r="D664" s="19" t="s">
        <v>5806</v>
      </c>
      <c r="E664" s="2"/>
      <c r="F664" s="19"/>
    </row>
    <row r="665" ht="15.75" customHeight="1">
      <c r="A665" s="1">
        <v>4.599373E7</v>
      </c>
      <c r="B665" s="2" t="s">
        <v>815</v>
      </c>
      <c r="C665" s="19" t="s">
        <v>5807</v>
      </c>
      <c r="D665" s="19"/>
      <c r="E665" s="2"/>
      <c r="F665" s="19"/>
    </row>
    <row r="666" ht="15.75" customHeight="1">
      <c r="A666" s="1">
        <v>4.5996851E7</v>
      </c>
      <c r="B666" s="2" t="s">
        <v>623</v>
      </c>
      <c r="C666" s="19" t="s">
        <v>5808</v>
      </c>
      <c r="D666" s="19" t="s">
        <v>5809</v>
      </c>
      <c r="E666" s="2"/>
      <c r="F666" s="19"/>
    </row>
    <row r="667" ht="15.75" customHeight="1">
      <c r="A667" s="1">
        <v>4.6001148E7</v>
      </c>
      <c r="B667" s="2" t="s">
        <v>224</v>
      </c>
      <c r="C667" s="19" t="s">
        <v>5810</v>
      </c>
      <c r="D667" s="19" t="s">
        <v>5811</v>
      </c>
      <c r="E667" s="2"/>
      <c r="F667" s="19"/>
    </row>
    <row r="668" ht="15.75" customHeight="1">
      <c r="A668" s="1">
        <v>4.6016491E7</v>
      </c>
      <c r="B668" s="2" t="s">
        <v>2369</v>
      </c>
      <c r="C668" s="19" t="s">
        <v>5812</v>
      </c>
      <c r="D668" s="19"/>
      <c r="E668" s="2"/>
      <c r="F668" s="19"/>
    </row>
    <row r="669" ht="15.75" customHeight="1">
      <c r="A669" s="1">
        <v>4.6016758E7</v>
      </c>
      <c r="B669" s="2" t="s">
        <v>1205</v>
      </c>
      <c r="C669" s="19" t="s">
        <v>5813</v>
      </c>
      <c r="D669" s="19"/>
      <c r="E669" s="2"/>
      <c r="F669" s="19"/>
    </row>
    <row r="670" ht="15.75" customHeight="1">
      <c r="A670" s="1">
        <v>4.603813E7</v>
      </c>
      <c r="B670" s="2" t="s">
        <v>1334</v>
      </c>
      <c r="C670" s="19" t="s">
        <v>5814</v>
      </c>
      <c r="D670" s="19"/>
      <c r="E670" s="2"/>
      <c r="F670" s="19"/>
    </row>
    <row r="671" ht="15.75" customHeight="1">
      <c r="A671" s="1">
        <v>4.6041253E7</v>
      </c>
      <c r="B671" s="2" t="s">
        <v>1841</v>
      </c>
      <c r="C671" s="19" t="s">
        <v>5815</v>
      </c>
      <c r="D671" s="19"/>
      <c r="E671" s="2"/>
      <c r="F671" s="19"/>
    </row>
    <row r="672" ht="15.75" customHeight="1">
      <c r="A672" s="1">
        <v>4.6057517E7</v>
      </c>
      <c r="B672" s="2" t="s">
        <v>637</v>
      </c>
      <c r="C672" s="19" t="s">
        <v>5816</v>
      </c>
      <c r="D672" s="19" t="s">
        <v>5817</v>
      </c>
      <c r="E672" s="2"/>
      <c r="F672" s="19"/>
    </row>
    <row r="673" ht="15.75" customHeight="1">
      <c r="A673" s="1">
        <v>4.605866E7</v>
      </c>
      <c r="B673" s="2" t="s">
        <v>1087</v>
      </c>
      <c r="C673" s="19" t="s">
        <v>5818</v>
      </c>
      <c r="D673" s="19"/>
      <c r="E673" s="2"/>
      <c r="F673" s="19"/>
    </row>
    <row r="674" ht="15.75" customHeight="1">
      <c r="A674" s="1">
        <v>4.6058884E7</v>
      </c>
      <c r="B674" s="2" t="s">
        <v>2739</v>
      </c>
      <c r="C674" s="19" t="s">
        <v>5819</v>
      </c>
      <c r="D674" s="19"/>
      <c r="E674" s="2"/>
      <c r="F674" s="19"/>
    </row>
    <row r="675" ht="15.75" customHeight="1">
      <c r="A675" s="1">
        <v>4.6060441E7</v>
      </c>
      <c r="B675" s="2" t="s">
        <v>1567</v>
      </c>
      <c r="C675" s="19" t="s">
        <v>5820</v>
      </c>
      <c r="D675" s="19" t="s">
        <v>5821</v>
      </c>
      <c r="E675" s="2"/>
      <c r="F675" s="19"/>
    </row>
    <row r="676" ht="15.75" customHeight="1">
      <c r="A676" s="1">
        <v>4.6061585E7</v>
      </c>
      <c r="B676" s="2" t="s">
        <v>1285</v>
      </c>
      <c r="C676" s="19" t="s">
        <v>5822</v>
      </c>
      <c r="D676" s="19"/>
      <c r="E676" s="2"/>
      <c r="F676" s="19"/>
    </row>
    <row r="677" ht="15.75" customHeight="1">
      <c r="A677" s="1">
        <v>4.6065546E7</v>
      </c>
      <c r="B677" s="2" t="s">
        <v>250</v>
      </c>
      <c r="C677" s="19" t="s">
        <v>5823</v>
      </c>
      <c r="D677" s="19" t="s">
        <v>5824</v>
      </c>
      <c r="E677" s="2"/>
      <c r="F677" s="19"/>
    </row>
    <row r="678" ht="15.75" customHeight="1">
      <c r="A678" s="1">
        <v>4.6342043E7</v>
      </c>
      <c r="B678" s="2" t="s">
        <v>1079</v>
      </c>
      <c r="C678" s="19" t="s">
        <v>5825</v>
      </c>
      <c r="D678" s="19"/>
      <c r="E678" s="2"/>
      <c r="F678" s="19"/>
    </row>
    <row r="679" ht="15.75" customHeight="1">
      <c r="A679" s="1">
        <v>4.7258899E7</v>
      </c>
      <c r="B679" s="2" t="s">
        <v>103</v>
      </c>
      <c r="C679" s="19" t="s">
        <v>5826</v>
      </c>
      <c r="D679" s="19"/>
      <c r="E679" s="2"/>
      <c r="F679" s="19"/>
    </row>
    <row r="680" ht="15.75" customHeight="1">
      <c r="A680" s="1">
        <v>4.7820964E7</v>
      </c>
      <c r="B680" s="2" t="s">
        <v>1308</v>
      </c>
      <c r="C680" s="19" t="s">
        <v>5827</v>
      </c>
      <c r="D680" s="19"/>
      <c r="E680" s="2"/>
      <c r="F680" s="19"/>
    </row>
    <row r="681" ht="15.75" customHeight="1">
      <c r="A681" s="1">
        <v>4.8284673E7</v>
      </c>
      <c r="B681" s="2" t="s">
        <v>1462</v>
      </c>
      <c r="C681" s="19" t="s">
        <v>5828</v>
      </c>
      <c r="D681" s="19"/>
      <c r="E681" s="2"/>
      <c r="F681" s="19"/>
    </row>
    <row r="682" ht="15.75" customHeight="1">
      <c r="A682" s="1">
        <v>4.8287957E7</v>
      </c>
      <c r="B682" s="2" t="s">
        <v>203</v>
      </c>
      <c r="C682" s="19" t="s">
        <v>5829</v>
      </c>
      <c r="D682" s="19"/>
      <c r="E682" s="2"/>
      <c r="F682" s="19"/>
    </row>
    <row r="683" ht="15.75" customHeight="1">
      <c r="A683" s="1">
        <v>4.8291882E7</v>
      </c>
      <c r="B683" s="2" t="s">
        <v>1300</v>
      </c>
      <c r="C683" s="19" t="s">
        <v>5830</v>
      </c>
      <c r="D683" s="19"/>
      <c r="E683" s="2"/>
      <c r="F683" s="19"/>
    </row>
    <row r="684" ht="15.75" customHeight="1">
      <c r="A684" s="1">
        <v>4.8315396E7</v>
      </c>
      <c r="B684" s="2" t="s">
        <v>977</v>
      </c>
      <c r="C684" s="19" t="s">
        <v>5831</v>
      </c>
      <c r="D684" s="19"/>
      <c r="E684" s="2"/>
      <c r="F684" s="19"/>
    </row>
    <row r="685" ht="15.75" customHeight="1">
      <c r="A685" s="1">
        <v>4.8324549E7</v>
      </c>
      <c r="B685" s="2" t="s">
        <v>1519</v>
      </c>
      <c r="C685" s="19" t="s">
        <v>5832</v>
      </c>
      <c r="D685" s="19" t="s">
        <v>5833</v>
      </c>
      <c r="E685" s="2"/>
      <c r="F685" s="19"/>
    </row>
    <row r="686" ht="15.75" customHeight="1">
      <c r="A686" s="1">
        <v>4.8342522E7</v>
      </c>
      <c r="B686" s="2" t="s">
        <v>879</v>
      </c>
      <c r="C686" s="19" t="s">
        <v>5834</v>
      </c>
      <c r="D686" s="19"/>
      <c r="E686" s="2"/>
      <c r="F686" s="19"/>
    </row>
    <row r="687" ht="15.75" customHeight="1">
      <c r="A687" s="1">
        <v>4.8383905E7</v>
      </c>
      <c r="B687" s="2" t="s">
        <v>1325</v>
      </c>
      <c r="C687" s="19" t="s">
        <v>5835</v>
      </c>
      <c r="D687" s="19" t="s">
        <v>5836</v>
      </c>
      <c r="E687" s="2"/>
      <c r="F687" s="19"/>
    </row>
    <row r="688" ht="15.75" customHeight="1">
      <c r="A688" s="1">
        <v>4.8385134E7</v>
      </c>
      <c r="B688" s="2" t="s">
        <v>2603</v>
      </c>
      <c r="C688" s="19" t="s">
        <v>5837</v>
      </c>
      <c r="D688" s="19"/>
      <c r="E688" s="2"/>
      <c r="F688" s="19"/>
    </row>
    <row r="689" ht="15.75" customHeight="1">
      <c r="A689" s="1">
        <v>4.8392222E7</v>
      </c>
      <c r="B689" s="2" t="s">
        <v>874</v>
      </c>
      <c r="C689" s="19" t="s">
        <v>5838</v>
      </c>
      <c r="D689" s="19"/>
      <c r="E689" s="2"/>
      <c r="F689" s="19"/>
    </row>
    <row r="690" ht="15.75" customHeight="1">
      <c r="A690" s="1">
        <v>4.840473E7</v>
      </c>
      <c r="B690" s="2" t="s">
        <v>2037</v>
      </c>
      <c r="C690" s="19" t="s">
        <v>5839</v>
      </c>
      <c r="D690" s="19"/>
      <c r="E690" s="2"/>
      <c r="F690" s="19"/>
    </row>
    <row r="691" ht="15.75" customHeight="1">
      <c r="A691" s="1">
        <v>4.8413268E7</v>
      </c>
      <c r="B691" s="2" t="s">
        <v>2543</v>
      </c>
      <c r="C691" s="19" t="s">
        <v>5840</v>
      </c>
      <c r="D691" s="19"/>
      <c r="E691" s="2"/>
      <c r="F691" s="19"/>
    </row>
    <row r="692" ht="15.75" customHeight="1">
      <c r="A692" s="1">
        <v>4.8426028E7</v>
      </c>
      <c r="B692" s="2" t="s">
        <v>1786</v>
      </c>
      <c r="C692" s="19" t="s">
        <v>5841</v>
      </c>
      <c r="D692" s="19" t="s">
        <v>5842</v>
      </c>
      <c r="E692" s="2"/>
      <c r="F692" s="19"/>
    </row>
    <row r="693" ht="15.75" customHeight="1">
      <c r="A693" s="1">
        <v>4.8439782E7</v>
      </c>
      <c r="B693" s="2" t="s">
        <v>124</v>
      </c>
      <c r="C693" s="19" t="s">
        <v>5843</v>
      </c>
      <c r="D693" s="19"/>
      <c r="E693" s="2"/>
      <c r="F693" s="19"/>
    </row>
    <row r="694" ht="15.75" customHeight="1">
      <c r="A694" s="1">
        <v>4.8439868E7</v>
      </c>
      <c r="B694" s="2" t="s">
        <v>1183</v>
      </c>
      <c r="C694" s="19" t="s">
        <v>5844</v>
      </c>
      <c r="D694" s="19" t="s">
        <v>5845</v>
      </c>
      <c r="E694" s="2"/>
      <c r="F694" s="19"/>
    </row>
    <row r="695" ht="15.75" customHeight="1">
      <c r="A695" s="1">
        <v>4.8443288E7</v>
      </c>
      <c r="B695" s="2" t="s">
        <v>648</v>
      </c>
      <c r="C695" s="19" t="s">
        <v>5846</v>
      </c>
      <c r="D695" s="19"/>
      <c r="E695" s="2"/>
      <c r="F695" s="19"/>
    </row>
    <row r="696" ht="15.75" customHeight="1">
      <c r="A696" s="1">
        <v>4.8452352E7</v>
      </c>
      <c r="B696" s="2" t="s">
        <v>401</v>
      </c>
      <c r="C696" s="19" t="s">
        <v>5847</v>
      </c>
      <c r="D696" s="19" t="s">
        <v>5848</v>
      </c>
      <c r="E696" s="2"/>
      <c r="F696" s="19"/>
    </row>
    <row r="697" ht="15.75" customHeight="1">
      <c r="A697" s="1">
        <v>4.8454558E7</v>
      </c>
      <c r="B697" s="2" t="s">
        <v>2674</v>
      </c>
      <c r="C697" s="19" t="s">
        <v>5849</v>
      </c>
      <c r="D697" s="19"/>
      <c r="E697" s="2"/>
      <c r="F697" s="19"/>
    </row>
    <row r="698" ht="15.75" customHeight="1">
      <c r="A698" s="1">
        <v>4.8466362E7</v>
      </c>
      <c r="B698" s="2" t="s">
        <v>360</v>
      </c>
      <c r="C698" s="19" t="s">
        <v>5850</v>
      </c>
      <c r="D698" s="19" t="s">
        <v>5851</v>
      </c>
      <c r="E698" s="2"/>
      <c r="F698" s="19"/>
    </row>
    <row r="699" ht="15.75" customHeight="1">
      <c r="A699" s="1">
        <v>4.8482803E7</v>
      </c>
      <c r="B699" s="2" t="s">
        <v>952</v>
      </c>
      <c r="C699" s="19" t="s">
        <v>5852</v>
      </c>
      <c r="D699" s="19" t="s">
        <v>5853</v>
      </c>
      <c r="E699" s="2"/>
      <c r="F699" s="19"/>
    </row>
    <row r="700" ht="15.75" customHeight="1">
      <c r="A700" s="1">
        <v>4.8520584E7</v>
      </c>
      <c r="B700" s="2" t="s">
        <v>2571</v>
      </c>
      <c r="C700" s="19" t="s">
        <v>5854</v>
      </c>
      <c r="D700" s="19"/>
      <c r="E700" s="2"/>
      <c r="F700" s="19"/>
    </row>
    <row r="701" ht="15.75" customHeight="1">
      <c r="A701" s="1">
        <v>4.8525962E7</v>
      </c>
      <c r="B701" s="2" t="s">
        <v>2469</v>
      </c>
      <c r="C701" s="19" t="s">
        <v>5855</v>
      </c>
      <c r="D701" s="19"/>
      <c r="E701" s="2"/>
      <c r="F701" s="19"/>
    </row>
    <row r="702" ht="15.75" customHeight="1">
      <c r="A702" s="1">
        <v>4.8528931E7</v>
      </c>
      <c r="B702" s="2" t="s">
        <v>926</v>
      </c>
      <c r="C702" s="19" t="s">
        <v>5856</v>
      </c>
      <c r="D702" s="19" t="s">
        <v>5857</v>
      </c>
      <c r="E702" s="2"/>
      <c r="F702" s="19"/>
    </row>
    <row r="703" ht="15.75" customHeight="1">
      <c r="A703" s="1">
        <v>4.8556498E7</v>
      </c>
      <c r="B703" s="2" t="s">
        <v>143</v>
      </c>
      <c r="C703" s="19" t="s">
        <v>5858</v>
      </c>
      <c r="D703" s="19"/>
      <c r="E703" s="2"/>
      <c r="F703" s="19"/>
    </row>
    <row r="704" ht="15.75" customHeight="1">
      <c r="A704" s="1">
        <v>4.8591858E7</v>
      </c>
      <c r="B704" s="2" t="s">
        <v>1184</v>
      </c>
      <c r="C704" s="19" t="s">
        <v>5859</v>
      </c>
      <c r="D704" s="19" t="s">
        <v>5860</v>
      </c>
      <c r="E704" s="2"/>
      <c r="F704" s="19"/>
    </row>
    <row r="705" ht="15.75" customHeight="1">
      <c r="A705" s="1">
        <v>4.8601226E7</v>
      </c>
      <c r="B705" s="2" t="s">
        <v>232</v>
      </c>
      <c r="C705" s="19" t="s">
        <v>5861</v>
      </c>
      <c r="D705" s="19"/>
      <c r="E705" s="2"/>
      <c r="F705" s="19"/>
    </row>
    <row r="706" ht="15.75" customHeight="1">
      <c r="A706" s="1">
        <v>4.8602318E7</v>
      </c>
      <c r="B706" s="2" t="s">
        <v>2118</v>
      </c>
      <c r="C706" s="19" t="s">
        <v>5862</v>
      </c>
      <c r="D706" s="19" t="s">
        <v>5863</v>
      </c>
      <c r="E706" s="2"/>
      <c r="F706" s="19"/>
    </row>
    <row r="707" ht="15.75" customHeight="1">
      <c r="A707" s="1">
        <v>4.8611557E7</v>
      </c>
      <c r="B707" s="2" t="s">
        <v>2312</v>
      </c>
      <c r="C707" s="19" t="s">
        <v>5864</v>
      </c>
      <c r="D707" s="19"/>
      <c r="E707" s="2"/>
      <c r="F707" s="19"/>
    </row>
    <row r="708" ht="15.75" customHeight="1">
      <c r="A708" s="1">
        <v>4.8621279E7</v>
      </c>
      <c r="B708" s="2" t="s">
        <v>1938</v>
      </c>
      <c r="C708" s="19" t="s">
        <v>5865</v>
      </c>
      <c r="D708" s="19"/>
      <c r="E708" s="2"/>
      <c r="F708" s="19"/>
    </row>
    <row r="709" ht="15.75" customHeight="1">
      <c r="A709" s="1">
        <v>4.8628269E7</v>
      </c>
      <c r="B709" s="2" t="s">
        <v>1771</v>
      </c>
      <c r="C709" s="19" t="s">
        <v>5866</v>
      </c>
      <c r="D709" s="19" t="s">
        <v>5867</v>
      </c>
      <c r="E709" s="2"/>
      <c r="F709" s="19"/>
    </row>
    <row r="710" ht="15.75" customHeight="1">
      <c r="A710" s="1">
        <v>4.863339E7</v>
      </c>
      <c r="B710" s="2" t="s">
        <v>2616</v>
      </c>
      <c r="C710" s="19" t="s">
        <v>5868</v>
      </c>
      <c r="D710" s="19" t="s">
        <v>5869</v>
      </c>
      <c r="E710" s="2"/>
      <c r="F710" s="19"/>
    </row>
    <row r="711" ht="15.75" customHeight="1">
      <c r="A711" s="1">
        <v>4.8641569E7</v>
      </c>
      <c r="B711" s="2" t="s">
        <v>1335</v>
      </c>
      <c r="C711" s="19" t="s">
        <v>5870</v>
      </c>
      <c r="D711" s="19"/>
      <c r="E711" s="2"/>
      <c r="F711" s="19"/>
    </row>
    <row r="712" ht="15.75" customHeight="1">
      <c r="A712" s="1">
        <v>4.8642274E7</v>
      </c>
      <c r="B712" s="2" t="s">
        <v>2382</v>
      </c>
      <c r="C712" s="19" t="s">
        <v>5871</v>
      </c>
      <c r="D712" s="19" t="s">
        <v>5872</v>
      </c>
      <c r="E712" s="2"/>
      <c r="F712" s="19"/>
    </row>
    <row r="713" ht="15.75" customHeight="1">
      <c r="A713" s="1">
        <v>4.8647359E7</v>
      </c>
      <c r="B713" s="2" t="s">
        <v>2313</v>
      </c>
      <c r="C713" s="19" t="s">
        <v>5873</v>
      </c>
      <c r="D713" s="19"/>
      <c r="E713" s="2"/>
      <c r="F713" s="19"/>
    </row>
    <row r="714" ht="15.75" customHeight="1">
      <c r="A714" s="1">
        <v>4.8649652E7</v>
      </c>
      <c r="B714" s="2" t="s">
        <v>1210</v>
      </c>
      <c r="C714" s="19" t="s">
        <v>5874</v>
      </c>
      <c r="D714" s="19"/>
      <c r="E714" s="2"/>
      <c r="F714" s="19"/>
    </row>
    <row r="715" ht="15.75" customHeight="1">
      <c r="A715" s="1">
        <v>4.8651904E7</v>
      </c>
      <c r="B715" s="2" t="s">
        <v>2108</v>
      </c>
      <c r="C715" s="19" t="s">
        <v>5875</v>
      </c>
      <c r="D715" s="19" t="s">
        <v>5876</v>
      </c>
      <c r="E715" s="2"/>
      <c r="F715" s="19"/>
    </row>
    <row r="716" ht="15.75" customHeight="1">
      <c r="A716" s="1">
        <v>4.8672445E7</v>
      </c>
      <c r="B716" s="2" t="s">
        <v>229</v>
      </c>
      <c r="C716" s="19" t="s">
        <v>5877</v>
      </c>
      <c r="D716" s="19"/>
      <c r="E716" s="2"/>
      <c r="F716" s="19"/>
    </row>
    <row r="717" ht="15.75" customHeight="1">
      <c r="A717" s="1">
        <v>4.8736701E7</v>
      </c>
      <c r="B717" s="2" t="s">
        <v>1509</v>
      </c>
      <c r="C717" s="19" t="s">
        <v>5878</v>
      </c>
      <c r="D717" s="19"/>
      <c r="E717" s="2"/>
      <c r="F717" s="19"/>
    </row>
    <row r="718" ht="15.75" customHeight="1">
      <c r="A718" s="1">
        <v>4.875241E7</v>
      </c>
      <c r="B718" s="2" t="s">
        <v>2470</v>
      </c>
      <c r="C718" s="19" t="s">
        <v>5879</v>
      </c>
      <c r="D718" s="19"/>
      <c r="E718" s="2"/>
      <c r="F718" s="19"/>
    </row>
    <row r="719" ht="15.75" customHeight="1">
      <c r="A719" s="1">
        <v>4.8757984E7</v>
      </c>
      <c r="B719" s="2" t="s">
        <v>1082</v>
      </c>
      <c r="C719" s="19" t="s">
        <v>5880</v>
      </c>
      <c r="D719" s="19" t="s">
        <v>5881</v>
      </c>
      <c r="E719" s="2"/>
      <c r="F719" s="19"/>
    </row>
    <row r="720" ht="15.75" customHeight="1">
      <c r="A720" s="1">
        <v>4.8761222E7</v>
      </c>
      <c r="B720" s="2" t="s">
        <v>822</v>
      </c>
      <c r="C720" s="19" t="s">
        <v>5882</v>
      </c>
      <c r="D720" s="19"/>
      <c r="E720" s="2"/>
      <c r="F720" s="19"/>
    </row>
    <row r="721" ht="15.75" customHeight="1">
      <c r="A721" s="1">
        <v>4.8773927E7</v>
      </c>
      <c r="B721" s="2" t="s">
        <v>1890</v>
      </c>
      <c r="C721" s="19" t="s">
        <v>5883</v>
      </c>
      <c r="D721" s="19"/>
      <c r="E721" s="2"/>
      <c r="F721" s="19"/>
    </row>
    <row r="722" ht="15.75" customHeight="1">
      <c r="A722" s="1">
        <v>4.8775484E7</v>
      </c>
      <c r="B722" s="2" t="s">
        <v>1297</v>
      </c>
      <c r="C722" s="19" t="s">
        <v>5884</v>
      </c>
      <c r="D722" s="19"/>
      <c r="E722" s="2"/>
      <c r="F722" s="19"/>
    </row>
    <row r="723" ht="15.75" customHeight="1">
      <c r="A723" s="1">
        <v>4.8785562E7</v>
      </c>
      <c r="B723" s="2" t="s">
        <v>608</v>
      </c>
      <c r="C723" s="19" t="s">
        <v>5885</v>
      </c>
      <c r="D723" s="19"/>
      <c r="E723" s="2"/>
      <c r="F723" s="19"/>
    </row>
    <row r="724" ht="15.75" customHeight="1">
      <c r="A724" s="1">
        <v>4.8791497E7</v>
      </c>
      <c r="B724" s="2" t="s">
        <v>1794</v>
      </c>
      <c r="C724" s="19" t="s">
        <v>5886</v>
      </c>
      <c r="D724" s="19"/>
      <c r="E724" s="2"/>
      <c r="F724" s="19"/>
    </row>
    <row r="725" ht="15.75" customHeight="1">
      <c r="A725" s="1">
        <v>4.879451E7</v>
      </c>
      <c r="B725" s="2" t="s">
        <v>1521</v>
      </c>
      <c r="C725" s="19" t="s">
        <v>5887</v>
      </c>
      <c r="D725" s="19"/>
      <c r="E725" s="2"/>
      <c r="F725" s="19"/>
    </row>
    <row r="726" ht="15.75" customHeight="1">
      <c r="A726" s="1">
        <v>4.8805877E7</v>
      </c>
      <c r="B726" s="2" t="s">
        <v>888</v>
      </c>
      <c r="C726" s="19" t="s">
        <v>5888</v>
      </c>
      <c r="D726" s="19" t="s">
        <v>5889</v>
      </c>
      <c r="E726" s="2"/>
      <c r="F726" s="19"/>
    </row>
    <row r="727" ht="15.75" customHeight="1">
      <c r="A727" s="1">
        <v>4.8813443E7</v>
      </c>
      <c r="B727" s="2" t="s">
        <v>236</v>
      </c>
      <c r="C727" s="19" t="s">
        <v>5890</v>
      </c>
      <c r="D727" s="19"/>
      <c r="E727" s="2"/>
      <c r="F727" s="19"/>
    </row>
    <row r="728" ht="15.75" customHeight="1">
      <c r="A728" s="1">
        <v>4.8817664E7</v>
      </c>
      <c r="B728" s="2" t="s">
        <v>2187</v>
      </c>
      <c r="C728" s="19" t="s">
        <v>5891</v>
      </c>
      <c r="D728" s="19"/>
      <c r="E728" s="2"/>
      <c r="F728" s="19"/>
    </row>
    <row r="729" ht="15.75" customHeight="1">
      <c r="A729" s="1">
        <v>4.8837776E7</v>
      </c>
      <c r="B729" s="2" t="s">
        <v>1062</v>
      </c>
      <c r="C729" s="19" t="s">
        <v>5892</v>
      </c>
      <c r="D729" s="19"/>
      <c r="E729" s="2"/>
      <c r="F729" s="19"/>
    </row>
    <row r="730" ht="15.75" customHeight="1">
      <c r="A730" s="1">
        <v>4.8842439E7</v>
      </c>
      <c r="B730" s="2" t="s">
        <v>476</v>
      </c>
      <c r="C730" s="19" t="s">
        <v>5893</v>
      </c>
      <c r="D730" s="19" t="s">
        <v>5894</v>
      </c>
      <c r="E730" s="2"/>
      <c r="F730" s="19"/>
    </row>
    <row r="731" ht="15.75" customHeight="1">
      <c r="A731" s="1">
        <v>4.8865565E7</v>
      </c>
      <c r="B731" s="2" t="s">
        <v>319</v>
      </c>
      <c r="C731" s="19" t="s">
        <v>5895</v>
      </c>
      <c r="D731" s="19" t="s">
        <v>5896</v>
      </c>
      <c r="E731" s="2"/>
      <c r="F731" s="19"/>
    </row>
    <row r="732" ht="15.75" customHeight="1">
      <c r="A732" s="1">
        <v>4.8866981E7</v>
      </c>
      <c r="B732" s="2" t="s">
        <v>457</v>
      </c>
      <c r="C732" s="19" t="s">
        <v>5897</v>
      </c>
      <c r="D732" s="19"/>
      <c r="E732" s="2"/>
      <c r="F732" s="19"/>
    </row>
    <row r="733" ht="15.75" customHeight="1">
      <c r="A733" s="1">
        <v>4.8869897E7</v>
      </c>
      <c r="B733" s="2" t="s">
        <v>1278</v>
      </c>
      <c r="C733" s="19" t="s">
        <v>5898</v>
      </c>
      <c r="D733" s="19"/>
      <c r="E733" s="2"/>
      <c r="F733" s="19"/>
    </row>
    <row r="734" ht="15.75" customHeight="1">
      <c r="A734" s="1">
        <v>4.8870896E7</v>
      </c>
      <c r="B734" s="2" t="s">
        <v>1906</v>
      </c>
      <c r="C734" s="19" t="s">
        <v>5899</v>
      </c>
      <c r="D734" s="19"/>
      <c r="E734" s="2"/>
      <c r="F734" s="19"/>
    </row>
    <row r="735" ht="15.75" customHeight="1">
      <c r="A735" s="1">
        <v>4.8871444E7</v>
      </c>
      <c r="B735" s="2" t="s">
        <v>482</v>
      </c>
      <c r="C735" s="19" t="s">
        <v>5900</v>
      </c>
      <c r="D735" s="19" t="s">
        <v>5901</v>
      </c>
      <c r="E735" s="2"/>
      <c r="F735" s="19"/>
    </row>
    <row r="736" ht="15.75" customHeight="1">
      <c r="A736" s="1">
        <v>4.8875608E7</v>
      </c>
      <c r="B736" s="2" t="s">
        <v>991</v>
      </c>
      <c r="C736" s="19" t="s">
        <v>5902</v>
      </c>
      <c r="D736" s="19" t="s">
        <v>5903</v>
      </c>
      <c r="E736" s="2"/>
      <c r="F736" s="19"/>
    </row>
    <row r="737" ht="15.75" customHeight="1">
      <c r="A737" s="1">
        <v>4.8880561E7</v>
      </c>
      <c r="B737" s="2" t="s">
        <v>1944</v>
      </c>
      <c r="C737" s="19" t="s">
        <v>5904</v>
      </c>
      <c r="D737" s="19"/>
      <c r="E737" s="2"/>
      <c r="F737" s="19"/>
    </row>
    <row r="738" ht="15.75" customHeight="1">
      <c r="A738" s="1">
        <v>4.8881818E7</v>
      </c>
      <c r="B738" s="2" t="s">
        <v>1203</v>
      </c>
      <c r="C738" s="19" t="s">
        <v>5905</v>
      </c>
      <c r="D738" s="19" t="s">
        <v>5906</v>
      </c>
      <c r="E738" s="2"/>
      <c r="F738" s="19"/>
    </row>
    <row r="739" ht="15.75" customHeight="1">
      <c r="A739" s="1">
        <v>4.8881877E7</v>
      </c>
      <c r="B739" s="2" t="s">
        <v>1688</v>
      </c>
      <c r="C739" s="19" t="s">
        <v>5907</v>
      </c>
      <c r="D739" s="19"/>
      <c r="E739" s="2"/>
      <c r="F739" s="19"/>
    </row>
    <row r="740" ht="15.75" customHeight="1">
      <c r="A740" s="1">
        <v>4.8891615E7</v>
      </c>
      <c r="B740" s="2" t="s">
        <v>770</v>
      </c>
      <c r="C740" s="19" t="s">
        <v>5908</v>
      </c>
      <c r="D740" s="19" t="s">
        <v>5909</v>
      </c>
      <c r="E740" s="2"/>
      <c r="F740" s="19"/>
    </row>
    <row r="741" ht="15.75" customHeight="1">
      <c r="A741" s="1">
        <v>4.8897493E7</v>
      </c>
      <c r="B741" s="2" t="s">
        <v>122</v>
      </c>
      <c r="C741" s="19" t="s">
        <v>5910</v>
      </c>
      <c r="D741" s="19"/>
      <c r="E741" s="2"/>
      <c r="F741" s="19"/>
    </row>
    <row r="742" ht="15.75" customHeight="1">
      <c r="A742" s="1">
        <v>4.8904349E7</v>
      </c>
      <c r="B742" s="2" t="s">
        <v>703</v>
      </c>
      <c r="C742" s="19" t="s">
        <v>5911</v>
      </c>
      <c r="D742" s="19"/>
      <c r="E742" s="2"/>
      <c r="F742" s="19"/>
    </row>
    <row r="743" ht="15.75" customHeight="1">
      <c r="A743" s="1">
        <v>4.8906831E7</v>
      </c>
      <c r="B743" s="2" t="s">
        <v>1046</v>
      </c>
      <c r="C743" s="19" t="s">
        <v>5912</v>
      </c>
      <c r="D743" s="19"/>
      <c r="E743" s="2"/>
      <c r="F743" s="19"/>
    </row>
    <row r="744" ht="15.75" customHeight="1">
      <c r="A744" s="1">
        <v>4.891388E7</v>
      </c>
      <c r="B744" s="2" t="s">
        <v>1189</v>
      </c>
      <c r="C744" s="19" t="s">
        <v>5913</v>
      </c>
      <c r="D744" s="19"/>
      <c r="E744" s="2"/>
      <c r="F744" s="19"/>
    </row>
    <row r="745" ht="15.75" customHeight="1">
      <c r="A745" s="1">
        <v>4.8914817E7</v>
      </c>
      <c r="B745" s="2" t="s">
        <v>1307</v>
      </c>
      <c r="C745" s="19" t="s">
        <v>5914</v>
      </c>
      <c r="D745" s="19"/>
      <c r="E745" s="2"/>
      <c r="F745" s="19"/>
    </row>
    <row r="746" ht="15.75" customHeight="1">
      <c r="A746" s="1">
        <v>4.8926866E7</v>
      </c>
      <c r="B746" s="2" t="s">
        <v>454</v>
      </c>
      <c r="C746" s="19" t="s">
        <v>5915</v>
      </c>
      <c r="D746" s="19" t="s">
        <v>5916</v>
      </c>
      <c r="E746" s="2"/>
      <c r="F746" s="19"/>
    </row>
    <row r="747" ht="15.75" customHeight="1">
      <c r="A747" s="1">
        <v>4.893329E7</v>
      </c>
      <c r="B747" s="2" t="s">
        <v>2604</v>
      </c>
      <c r="C747" s="19" t="s">
        <v>5917</v>
      </c>
      <c r="D747" s="19"/>
      <c r="E747" s="2"/>
      <c r="F747" s="19"/>
    </row>
    <row r="748" ht="15.75" customHeight="1">
      <c r="A748" s="1">
        <v>4.8950826E7</v>
      </c>
      <c r="B748" s="2" t="s">
        <v>1195</v>
      </c>
      <c r="C748" s="19" t="s">
        <v>5918</v>
      </c>
      <c r="D748" s="19" t="s">
        <v>5919</v>
      </c>
      <c r="E748" s="2"/>
      <c r="F748" s="19"/>
    </row>
    <row r="749" ht="15.75" customHeight="1">
      <c r="A749" s="1">
        <v>4.8952883E7</v>
      </c>
      <c r="B749" s="2" t="s">
        <v>1038</v>
      </c>
      <c r="C749" s="19" t="s">
        <v>5920</v>
      </c>
      <c r="D749" s="19"/>
      <c r="E749" s="2"/>
      <c r="F749" s="19"/>
    </row>
    <row r="750" ht="15.75" customHeight="1">
      <c r="A750" s="1">
        <v>4.8979623E7</v>
      </c>
      <c r="B750" s="2" t="s">
        <v>1538</v>
      </c>
      <c r="C750" s="19" t="s">
        <v>5921</v>
      </c>
      <c r="D750" s="19"/>
      <c r="E750" s="2"/>
      <c r="F750" s="19"/>
    </row>
    <row r="751" ht="15.75" customHeight="1">
      <c r="A751" s="1">
        <v>4.8981236E7</v>
      </c>
      <c r="B751" s="2" t="s">
        <v>2819</v>
      </c>
      <c r="C751" s="19" t="s">
        <v>5922</v>
      </c>
      <c r="D751" s="19" t="s">
        <v>5923</v>
      </c>
      <c r="E751" s="2"/>
      <c r="F751" s="19"/>
    </row>
    <row r="752" ht="15.75" customHeight="1">
      <c r="A752" s="1">
        <v>4.8997601E7</v>
      </c>
      <c r="B752" s="2" t="s">
        <v>337</v>
      </c>
      <c r="C752" s="19" t="s">
        <v>5924</v>
      </c>
      <c r="D752" s="19"/>
      <c r="E752" s="2"/>
      <c r="F752" s="19"/>
    </row>
    <row r="753" ht="15.75" customHeight="1">
      <c r="A753" s="1">
        <v>4.9002928E7</v>
      </c>
      <c r="B753" s="2" t="s">
        <v>3096</v>
      </c>
      <c r="C753" s="19" t="s">
        <v>5925</v>
      </c>
      <c r="D753" s="19"/>
      <c r="E753" s="2"/>
      <c r="F753" s="19"/>
    </row>
    <row r="754" ht="15.75" customHeight="1">
      <c r="A754" s="1">
        <v>4.9020892E7</v>
      </c>
      <c r="B754" s="2" t="s">
        <v>1109</v>
      </c>
      <c r="C754" s="19" t="s">
        <v>5926</v>
      </c>
      <c r="D754" s="19" t="s">
        <v>5927</v>
      </c>
      <c r="E754" s="2"/>
      <c r="F754" s="19"/>
    </row>
    <row r="755" ht="15.75" customHeight="1">
      <c r="A755" s="1">
        <v>4.9035373E7</v>
      </c>
      <c r="B755" s="2" t="s">
        <v>2349</v>
      </c>
      <c r="C755" s="19" t="s">
        <v>5928</v>
      </c>
      <c r="D755" s="19"/>
      <c r="E755" s="2"/>
      <c r="F755" s="19"/>
    </row>
    <row r="756" ht="15.75" customHeight="1">
      <c r="A756" s="1">
        <v>4.9042255E7</v>
      </c>
      <c r="B756" s="2" t="s">
        <v>394</v>
      </c>
      <c r="C756" s="19" t="s">
        <v>5929</v>
      </c>
      <c r="D756" s="19" t="s">
        <v>5930</v>
      </c>
      <c r="E756" s="2"/>
      <c r="F756" s="19"/>
    </row>
    <row r="757" ht="15.75" customHeight="1">
      <c r="A757" s="1">
        <v>4.90515E7</v>
      </c>
      <c r="B757" s="2" t="s">
        <v>713</v>
      </c>
      <c r="C757" s="19" t="s">
        <v>5931</v>
      </c>
      <c r="D757" s="19"/>
      <c r="E757" s="2"/>
      <c r="F757" s="19"/>
    </row>
    <row r="758" ht="15.75" customHeight="1">
      <c r="A758" s="1">
        <v>4.9097763E7</v>
      </c>
      <c r="B758" s="2" t="s">
        <v>1386</v>
      </c>
      <c r="C758" s="19" t="s">
        <v>5932</v>
      </c>
      <c r="D758" s="19" t="s">
        <v>5933</v>
      </c>
      <c r="E758" s="2"/>
      <c r="F758" s="19"/>
    </row>
    <row r="759" ht="15.75" customHeight="1">
      <c r="A759" s="1">
        <v>4.910388E7</v>
      </c>
      <c r="B759" s="2" t="s">
        <v>1036</v>
      </c>
      <c r="C759" s="19" t="s">
        <v>5934</v>
      </c>
      <c r="D759" s="19" t="s">
        <v>5935</v>
      </c>
      <c r="E759" s="2"/>
      <c r="F759" s="19"/>
    </row>
    <row r="760" ht="15.75" customHeight="1">
      <c r="A760" s="1">
        <v>4.91068E7</v>
      </c>
      <c r="B760" s="2" t="s">
        <v>1762</v>
      </c>
      <c r="C760" s="19" t="s">
        <v>5936</v>
      </c>
      <c r="D760" s="19"/>
      <c r="E760" s="2"/>
      <c r="F760" s="19"/>
    </row>
    <row r="761" ht="15.75" customHeight="1">
      <c r="A761" s="1">
        <v>4.9138059E7</v>
      </c>
      <c r="B761" s="2" t="s">
        <v>1693</v>
      </c>
      <c r="C761" s="19" t="s">
        <v>5937</v>
      </c>
      <c r="D761" s="19"/>
      <c r="E761" s="2"/>
      <c r="F761" s="19"/>
    </row>
    <row r="762" ht="15.75" customHeight="1">
      <c r="A762" s="1">
        <v>4.9143658E7</v>
      </c>
      <c r="B762" s="2" t="s">
        <v>588</v>
      </c>
      <c r="C762" s="19" t="s">
        <v>5938</v>
      </c>
      <c r="D762" s="19"/>
      <c r="E762" s="2"/>
      <c r="F762" s="19"/>
    </row>
    <row r="763" ht="15.75" customHeight="1">
      <c r="A763" s="1">
        <v>4.9146043E7</v>
      </c>
      <c r="B763" s="2" t="s">
        <v>749</v>
      </c>
      <c r="C763" s="19" t="s">
        <v>5939</v>
      </c>
      <c r="D763" s="19" t="s">
        <v>5940</v>
      </c>
      <c r="E763" s="2"/>
      <c r="F763" s="19"/>
    </row>
    <row r="764" ht="15.75" customHeight="1">
      <c r="A764" s="1">
        <v>4.9148407E7</v>
      </c>
      <c r="B764" s="2" t="s">
        <v>1715</v>
      </c>
      <c r="C764" s="19" t="s">
        <v>5941</v>
      </c>
      <c r="D764" s="19"/>
      <c r="E764" s="2"/>
      <c r="F764" s="19"/>
    </row>
    <row r="765" ht="15.75" customHeight="1">
      <c r="A765" s="1">
        <v>4.9157019E7</v>
      </c>
      <c r="B765" s="2" t="s">
        <v>1482</v>
      </c>
      <c r="C765" s="19" t="s">
        <v>5942</v>
      </c>
      <c r="D765" s="19"/>
      <c r="E765" s="2"/>
      <c r="F765" s="19"/>
    </row>
    <row r="766" ht="15.75" customHeight="1">
      <c r="A766" s="1">
        <v>4.9164897E7</v>
      </c>
      <c r="B766" s="2" t="s">
        <v>1682</v>
      </c>
      <c r="C766" s="19" t="s">
        <v>5943</v>
      </c>
      <c r="D766" s="19"/>
      <c r="E766" s="2"/>
      <c r="F766" s="19"/>
    </row>
    <row r="767" ht="15.75" customHeight="1">
      <c r="A767" s="1">
        <v>4.9172417E7</v>
      </c>
      <c r="B767" s="2" t="s">
        <v>2026</v>
      </c>
      <c r="C767" s="19" t="s">
        <v>5944</v>
      </c>
      <c r="D767" s="19"/>
      <c r="E767" s="2"/>
      <c r="F767" s="19"/>
    </row>
    <row r="768" ht="15.75" customHeight="1">
      <c r="A768" s="1">
        <v>4.9175094E7</v>
      </c>
      <c r="B768" s="2" t="s">
        <v>1457</v>
      </c>
      <c r="C768" s="19" t="s">
        <v>5945</v>
      </c>
      <c r="D768" s="19" t="s">
        <v>5946</v>
      </c>
      <c r="E768" s="2"/>
      <c r="F768" s="19"/>
    </row>
    <row r="769" ht="15.75" customHeight="1">
      <c r="A769" s="1">
        <v>4.9192135E7</v>
      </c>
      <c r="B769" s="2" t="s">
        <v>2583</v>
      </c>
      <c r="C769" s="19" t="s">
        <v>5947</v>
      </c>
      <c r="D769" s="19"/>
      <c r="E769" s="2"/>
      <c r="F769" s="19"/>
    </row>
    <row r="770" ht="15.75" customHeight="1">
      <c r="A770" s="1">
        <v>4.9200336E7</v>
      </c>
      <c r="B770" s="2" t="s">
        <v>2363</v>
      </c>
      <c r="C770" s="19" t="s">
        <v>5948</v>
      </c>
      <c r="D770" s="19"/>
      <c r="E770" s="2"/>
      <c r="F770" s="19"/>
    </row>
    <row r="771" ht="15.75" customHeight="1">
      <c r="A771" s="1">
        <v>4.9220818E7</v>
      </c>
      <c r="B771" s="2" t="s">
        <v>1444</v>
      </c>
      <c r="C771" s="19" t="s">
        <v>5949</v>
      </c>
      <c r="D771" s="19" t="s">
        <v>5950</v>
      </c>
      <c r="E771" s="2"/>
      <c r="F771" s="19"/>
    </row>
    <row r="772" ht="15.75" customHeight="1">
      <c r="A772" s="1">
        <v>4.9223721E7</v>
      </c>
      <c r="B772" s="2" t="s">
        <v>2022</v>
      </c>
      <c r="C772" s="19" t="s">
        <v>5951</v>
      </c>
      <c r="D772" s="19" t="s">
        <v>5952</v>
      </c>
      <c r="E772" s="2"/>
      <c r="F772" s="19"/>
    </row>
    <row r="773" ht="15.75" customHeight="1">
      <c r="A773" s="1">
        <v>4.9229199E7</v>
      </c>
      <c r="B773" s="2" t="s">
        <v>1088</v>
      </c>
      <c r="C773" s="19" t="s">
        <v>5953</v>
      </c>
      <c r="D773" s="19" t="s">
        <v>5954</v>
      </c>
      <c r="E773" s="2"/>
      <c r="F773" s="19"/>
    </row>
    <row r="774" ht="15.75" customHeight="1">
      <c r="A774" s="1">
        <v>4.9242888E7</v>
      </c>
      <c r="B774" s="2" t="s">
        <v>1411</v>
      </c>
      <c r="C774" s="19" t="s">
        <v>5955</v>
      </c>
      <c r="D774" s="19" t="s">
        <v>5956</v>
      </c>
      <c r="E774" s="2"/>
      <c r="F774" s="19"/>
    </row>
    <row r="775" ht="15.75" customHeight="1">
      <c r="A775" s="1">
        <v>4.9249899E7</v>
      </c>
      <c r="B775" s="2" t="s">
        <v>2364</v>
      </c>
      <c r="C775" s="19" t="s">
        <v>5957</v>
      </c>
      <c r="D775" s="19"/>
      <c r="E775" s="2"/>
      <c r="F775" s="19"/>
    </row>
    <row r="776" ht="15.75" customHeight="1">
      <c r="A776" s="1">
        <v>4.9261726E7</v>
      </c>
      <c r="B776" s="2" t="s">
        <v>1063</v>
      </c>
      <c r="C776" s="19" t="s">
        <v>5958</v>
      </c>
      <c r="D776" s="19"/>
      <c r="E776" s="2"/>
      <c r="F776" s="19"/>
    </row>
    <row r="777" ht="15.75" customHeight="1">
      <c r="A777" s="1">
        <v>4.9263074E7</v>
      </c>
      <c r="B777" s="2" t="s">
        <v>466</v>
      </c>
      <c r="C777" s="19" t="s">
        <v>5959</v>
      </c>
      <c r="D777" s="19"/>
      <c r="E777" s="2"/>
      <c r="F777" s="19"/>
    </row>
    <row r="778" ht="15.75" customHeight="1">
      <c r="A778" s="1">
        <v>4.9286426E7</v>
      </c>
      <c r="B778" s="2" t="s">
        <v>1569</v>
      </c>
      <c r="C778" s="19" t="s">
        <v>5960</v>
      </c>
      <c r="D778" s="19"/>
      <c r="E778" s="2"/>
      <c r="F778" s="19"/>
    </row>
    <row r="779" ht="15.75" customHeight="1">
      <c r="A779" s="1">
        <v>4.928845E7</v>
      </c>
      <c r="B779" s="2" t="s">
        <v>2259</v>
      </c>
      <c r="C779" s="19" t="s">
        <v>5961</v>
      </c>
      <c r="D779" s="19"/>
      <c r="E779" s="2"/>
      <c r="F779" s="19"/>
    </row>
    <row r="780" ht="15.75" customHeight="1">
      <c r="A780" s="1">
        <v>4.9298407E7</v>
      </c>
      <c r="B780" s="2" t="s">
        <v>1703</v>
      </c>
      <c r="C780" s="19" t="s">
        <v>5962</v>
      </c>
      <c r="D780" s="19"/>
      <c r="E780" s="2"/>
      <c r="F780" s="19"/>
    </row>
    <row r="781" ht="15.75" customHeight="1">
      <c r="A781" s="1">
        <v>4.9301986E7</v>
      </c>
      <c r="B781" s="2" t="s">
        <v>1930</v>
      </c>
      <c r="C781" s="19" t="s">
        <v>5963</v>
      </c>
      <c r="D781" s="19" t="s">
        <v>5964</v>
      </c>
      <c r="E781" s="2"/>
      <c r="F781" s="19"/>
    </row>
    <row r="782" ht="15.75" customHeight="1">
      <c r="A782" s="1">
        <v>4.9311336E7</v>
      </c>
      <c r="B782" s="2" t="s">
        <v>2357</v>
      </c>
      <c r="C782" s="19" t="s">
        <v>5965</v>
      </c>
      <c r="D782" s="19" t="s">
        <v>5966</v>
      </c>
      <c r="E782" s="2"/>
      <c r="F782" s="19"/>
    </row>
    <row r="783" ht="15.75" customHeight="1">
      <c r="A783" s="1">
        <v>4.9320948E7</v>
      </c>
      <c r="B783" s="2" t="s">
        <v>2119</v>
      </c>
      <c r="C783" s="19" t="s">
        <v>5967</v>
      </c>
      <c r="D783" s="19"/>
      <c r="E783" s="2"/>
      <c r="F783" s="19"/>
    </row>
    <row r="784" ht="15.75" customHeight="1">
      <c r="A784" s="1">
        <v>4.9326074E7</v>
      </c>
      <c r="B784" s="2" t="s">
        <v>589</v>
      </c>
      <c r="C784" s="19" t="s">
        <v>5968</v>
      </c>
      <c r="D784" s="19"/>
      <c r="E784" s="2"/>
      <c r="F784" s="19"/>
    </row>
    <row r="785" ht="15.75" customHeight="1">
      <c r="A785" s="1">
        <v>4.9372027E7</v>
      </c>
      <c r="B785" s="2" t="s">
        <v>1179</v>
      </c>
      <c r="C785" s="19" t="s">
        <v>5969</v>
      </c>
      <c r="D785" s="19"/>
      <c r="E785" s="2"/>
      <c r="F785" s="19"/>
    </row>
    <row r="786" ht="15.75" customHeight="1">
      <c r="A786" s="1">
        <v>4.9375184E7</v>
      </c>
      <c r="B786" s="2" t="s">
        <v>2095</v>
      </c>
      <c r="C786" s="19" t="s">
        <v>5970</v>
      </c>
      <c r="D786" s="19"/>
      <c r="E786" s="2"/>
      <c r="F786" s="19"/>
    </row>
    <row r="787" ht="15.75" customHeight="1">
      <c r="A787" s="1">
        <v>4.9379459E7</v>
      </c>
      <c r="B787" s="2" t="s">
        <v>1491</v>
      </c>
      <c r="C787" s="19" t="s">
        <v>5971</v>
      </c>
      <c r="D787" s="19" t="s">
        <v>5972</v>
      </c>
      <c r="E787" s="2"/>
      <c r="F787" s="19"/>
    </row>
    <row r="788" ht="15.75" customHeight="1">
      <c r="A788" s="1">
        <v>4.9400625E7</v>
      </c>
      <c r="B788" s="2" t="s">
        <v>397</v>
      </c>
      <c r="C788" s="19" t="s">
        <v>5973</v>
      </c>
      <c r="D788" s="19"/>
      <c r="E788" s="2"/>
      <c r="F788" s="19"/>
    </row>
    <row r="789" ht="15.75" customHeight="1">
      <c r="A789" s="1">
        <v>4.9409218E7</v>
      </c>
      <c r="B789" s="2" t="s">
        <v>1847</v>
      </c>
      <c r="C789" s="19" t="s">
        <v>5974</v>
      </c>
      <c r="D789" s="19"/>
      <c r="E789" s="2"/>
      <c r="F789" s="19"/>
    </row>
    <row r="790" ht="15.75" customHeight="1">
      <c r="A790" s="1">
        <v>4.9412482E7</v>
      </c>
      <c r="B790" s="2" t="s">
        <v>1642</v>
      </c>
      <c r="C790" s="19" t="s">
        <v>5975</v>
      </c>
      <c r="D790" s="19"/>
      <c r="E790" s="2"/>
      <c r="F790" s="19"/>
    </row>
    <row r="791" ht="15.75" customHeight="1">
      <c r="A791" s="1">
        <v>4.9428459E7</v>
      </c>
      <c r="B791" s="2" t="s">
        <v>1483</v>
      </c>
      <c r="C791" s="19" t="s">
        <v>5976</v>
      </c>
      <c r="D791" s="19" t="s">
        <v>5977</v>
      </c>
      <c r="E791" s="2"/>
      <c r="F791" s="19"/>
    </row>
    <row r="792" ht="15.75" customHeight="1">
      <c r="A792" s="1">
        <v>4.9434916E7</v>
      </c>
      <c r="B792" s="2" t="s">
        <v>1535</v>
      </c>
      <c r="C792" s="19" t="s">
        <v>5978</v>
      </c>
      <c r="D792" s="19" t="s">
        <v>5979</v>
      </c>
      <c r="E792" s="2"/>
      <c r="F792" s="19"/>
    </row>
    <row r="793" ht="15.75" customHeight="1">
      <c r="A793" s="1">
        <v>4.9439737E7</v>
      </c>
      <c r="B793" s="2" t="s">
        <v>1011</v>
      </c>
      <c r="C793" s="19" t="s">
        <v>5980</v>
      </c>
      <c r="D793" s="19"/>
      <c r="E793" s="2"/>
      <c r="F793" s="19"/>
    </row>
    <row r="794" ht="15.75" customHeight="1">
      <c r="A794" s="1">
        <v>4.9444662E7</v>
      </c>
      <c r="B794" s="2" t="s">
        <v>395</v>
      </c>
      <c r="C794" s="19" t="s">
        <v>5981</v>
      </c>
      <c r="D794" s="19"/>
      <c r="E794" s="2"/>
      <c r="F794" s="19"/>
    </row>
    <row r="795" ht="15.75" customHeight="1">
      <c r="A795" s="1">
        <v>4.9447462E7</v>
      </c>
      <c r="B795" s="2" t="s">
        <v>1124</v>
      </c>
      <c r="C795" s="19" t="s">
        <v>5982</v>
      </c>
      <c r="D795" s="19" t="s">
        <v>5983</v>
      </c>
      <c r="E795" s="2"/>
      <c r="F795" s="19"/>
    </row>
    <row r="796" ht="15.75" customHeight="1">
      <c r="A796" s="1">
        <v>4.9449205E7</v>
      </c>
      <c r="B796" s="2" t="s">
        <v>1743</v>
      </c>
      <c r="C796" s="19" t="s">
        <v>5984</v>
      </c>
      <c r="D796" s="19" t="s">
        <v>5985</v>
      </c>
      <c r="E796" s="2"/>
      <c r="F796" s="19"/>
    </row>
    <row r="797" ht="15.75" customHeight="1">
      <c r="A797" s="1">
        <v>4.9467664E7</v>
      </c>
      <c r="B797" s="2" t="s">
        <v>917</v>
      </c>
      <c r="C797" s="19" t="s">
        <v>5986</v>
      </c>
      <c r="D797" s="19" t="s">
        <v>5987</v>
      </c>
      <c r="E797" s="2"/>
      <c r="F797" s="19"/>
    </row>
    <row r="798" ht="15.75" customHeight="1">
      <c r="A798" s="1">
        <v>4.9488781E7</v>
      </c>
      <c r="B798" s="2" t="s">
        <v>766</v>
      </c>
      <c r="C798" s="19" t="s">
        <v>5988</v>
      </c>
      <c r="D798" s="19" t="s">
        <v>5989</v>
      </c>
      <c r="E798" s="2"/>
      <c r="F798" s="19"/>
    </row>
    <row r="799" ht="15.75" customHeight="1">
      <c r="A799" s="1">
        <v>4.9493225E7</v>
      </c>
      <c r="B799" s="2" t="s">
        <v>441</v>
      </c>
      <c r="C799" s="19" t="s">
        <v>5990</v>
      </c>
      <c r="D799" s="19"/>
      <c r="E799" s="2"/>
      <c r="F799" s="19"/>
    </row>
    <row r="800" ht="15.75" customHeight="1">
      <c r="A800" s="1">
        <v>4.9496987E7</v>
      </c>
      <c r="B800" s="2" t="s">
        <v>1675</v>
      </c>
      <c r="C800" s="19" t="s">
        <v>5991</v>
      </c>
      <c r="D800" s="19" t="s">
        <v>5992</v>
      </c>
      <c r="E800" s="2"/>
      <c r="F800" s="19"/>
    </row>
    <row r="801" ht="15.75" customHeight="1">
      <c r="A801" s="1">
        <v>4.9503406E7</v>
      </c>
      <c r="B801" s="2" t="s">
        <v>928</v>
      </c>
      <c r="C801" s="19" t="s">
        <v>5993</v>
      </c>
      <c r="D801" s="19"/>
      <c r="E801" s="2"/>
      <c r="F801" s="19"/>
    </row>
    <row r="802" ht="15.75" customHeight="1">
      <c r="A802" s="1">
        <v>4.9504777E7</v>
      </c>
      <c r="B802" s="2" t="s">
        <v>978</v>
      </c>
      <c r="C802" s="19" t="s">
        <v>5994</v>
      </c>
      <c r="D802" s="19" t="s">
        <v>5995</v>
      </c>
      <c r="E802" s="2"/>
      <c r="F802" s="19"/>
    </row>
    <row r="803" ht="15.75" customHeight="1">
      <c r="A803" s="1">
        <v>4.9506812E7</v>
      </c>
      <c r="B803" s="2" t="s">
        <v>1673</v>
      </c>
      <c r="C803" s="19" t="s">
        <v>5996</v>
      </c>
      <c r="D803" s="19" t="s">
        <v>5997</v>
      </c>
      <c r="E803" s="2"/>
      <c r="F803" s="19"/>
    </row>
    <row r="804" ht="15.75" customHeight="1">
      <c r="A804" s="1">
        <v>4.9509195E7</v>
      </c>
      <c r="B804" s="2" t="s">
        <v>1562</v>
      </c>
      <c r="C804" s="19" t="s">
        <v>5998</v>
      </c>
      <c r="D804" s="19" t="s">
        <v>5999</v>
      </c>
      <c r="E804" s="2"/>
      <c r="F804" s="19"/>
    </row>
    <row r="805" ht="15.75" customHeight="1">
      <c r="A805" s="1">
        <v>4.9511434E7</v>
      </c>
      <c r="B805" s="2" t="s">
        <v>788</v>
      </c>
      <c r="C805" s="19" t="s">
        <v>6000</v>
      </c>
      <c r="D805" s="19"/>
      <c r="E805" s="2"/>
      <c r="F805" s="19"/>
    </row>
    <row r="806" ht="15.75" customHeight="1">
      <c r="A806" s="1">
        <v>4.9517238E7</v>
      </c>
      <c r="B806" s="2" t="s">
        <v>1746</v>
      </c>
      <c r="C806" s="19" t="s">
        <v>6001</v>
      </c>
      <c r="D806" s="19"/>
      <c r="E806" s="2"/>
      <c r="F806" s="19"/>
    </row>
    <row r="807" ht="15.75" customHeight="1">
      <c r="A807" s="1">
        <v>4.9528679E7</v>
      </c>
      <c r="B807" s="2" t="s">
        <v>2155</v>
      </c>
      <c r="C807" s="19" t="s">
        <v>6002</v>
      </c>
      <c r="D807" s="19" t="s">
        <v>6003</v>
      </c>
      <c r="E807" s="2"/>
      <c r="F807" s="19"/>
    </row>
    <row r="808" ht="15.75" customHeight="1">
      <c r="A808" s="1">
        <v>4.9544447E7</v>
      </c>
      <c r="B808" s="2" t="s">
        <v>1412</v>
      </c>
      <c r="C808" s="19" t="s">
        <v>6004</v>
      </c>
      <c r="D808" s="19" t="s">
        <v>6005</v>
      </c>
      <c r="E808" s="2"/>
      <c r="F808" s="19"/>
    </row>
    <row r="809" ht="15.75" customHeight="1">
      <c r="A809" s="1">
        <v>4.9544718E7</v>
      </c>
      <c r="B809" s="2" t="s">
        <v>1271</v>
      </c>
      <c r="C809" s="19" t="s">
        <v>6006</v>
      </c>
      <c r="D809" s="19"/>
      <c r="E809" s="2"/>
      <c r="F809" s="19"/>
    </row>
    <row r="810" ht="15.75" customHeight="1">
      <c r="A810" s="1">
        <v>4.9550965E7</v>
      </c>
      <c r="B810" s="2" t="s">
        <v>721</v>
      </c>
      <c r="C810" s="19" t="s">
        <v>6007</v>
      </c>
      <c r="D810" s="19"/>
      <c r="E810" s="2"/>
      <c r="F810" s="19"/>
    </row>
    <row r="811" ht="15.75" customHeight="1">
      <c r="A811" s="1">
        <v>4.9553459E7</v>
      </c>
      <c r="B811" s="2" t="s">
        <v>267</v>
      </c>
      <c r="C811" s="19" t="s">
        <v>6008</v>
      </c>
      <c r="D811" s="19" t="s">
        <v>6009</v>
      </c>
      <c r="E811" s="2"/>
      <c r="F811" s="19"/>
    </row>
    <row r="812" ht="15.75" customHeight="1">
      <c r="A812" s="1">
        <v>4.956387E7</v>
      </c>
      <c r="B812" s="2" t="s">
        <v>2544</v>
      </c>
      <c r="C812" s="19" t="s">
        <v>6010</v>
      </c>
      <c r="D812" s="19"/>
      <c r="E812" s="2"/>
      <c r="F812" s="19"/>
    </row>
    <row r="813" ht="15.75" customHeight="1">
      <c r="A813" s="1">
        <v>4.9565318E7</v>
      </c>
      <c r="B813" s="2" t="s">
        <v>806</v>
      </c>
      <c r="C813" s="19" t="s">
        <v>6011</v>
      </c>
      <c r="D813" s="19" t="s">
        <v>6012</v>
      </c>
      <c r="E813" s="2"/>
      <c r="F813" s="19"/>
    </row>
    <row r="814" ht="15.75" customHeight="1">
      <c r="A814" s="1">
        <v>4.9573392E7</v>
      </c>
      <c r="B814" s="2" t="s">
        <v>1052</v>
      </c>
      <c r="C814" s="19" t="s">
        <v>6013</v>
      </c>
      <c r="D814" s="19" t="s">
        <v>6014</v>
      </c>
      <c r="E814" s="2"/>
      <c r="F814" s="19"/>
    </row>
    <row r="815" ht="15.75" customHeight="1">
      <c r="A815" s="1">
        <v>4.9580441E7</v>
      </c>
      <c r="B815" s="2" t="s">
        <v>2370</v>
      </c>
      <c r="C815" s="19" t="s">
        <v>6015</v>
      </c>
      <c r="D815" s="19"/>
      <c r="E815" s="2"/>
      <c r="F815" s="19"/>
    </row>
    <row r="816" ht="15.75" customHeight="1">
      <c r="A816" s="1">
        <v>4.9615281E7</v>
      </c>
      <c r="B816" s="2" t="s">
        <v>1365</v>
      </c>
      <c r="C816" s="19" t="s">
        <v>6016</v>
      </c>
      <c r="D816" s="19" t="s">
        <v>6017</v>
      </c>
      <c r="E816" s="2"/>
      <c r="F816" s="19"/>
    </row>
    <row r="817" ht="15.75" customHeight="1">
      <c r="A817" s="1">
        <v>4.9642849E7</v>
      </c>
      <c r="B817" s="2" t="s">
        <v>938</v>
      </c>
      <c r="C817" s="19" t="s">
        <v>6018</v>
      </c>
      <c r="D817" s="19"/>
      <c r="E817" s="2"/>
      <c r="F817" s="19"/>
    </row>
    <row r="818" ht="15.75" customHeight="1">
      <c r="A818" s="1">
        <v>4.964461E7</v>
      </c>
      <c r="B818" s="2" t="s">
        <v>666</v>
      </c>
      <c r="C818" s="19" t="s">
        <v>6019</v>
      </c>
      <c r="D818" s="19"/>
      <c r="E818" s="2"/>
      <c r="F818" s="19"/>
    </row>
    <row r="819" ht="15.75" customHeight="1">
      <c r="A819" s="1">
        <v>4.9659166E7</v>
      </c>
      <c r="B819" s="2" t="s">
        <v>230</v>
      </c>
      <c r="C819" s="19" t="s">
        <v>6020</v>
      </c>
      <c r="D819" s="19" t="s">
        <v>6021</v>
      </c>
      <c r="E819" s="2"/>
      <c r="F819" s="19"/>
    </row>
    <row r="820" ht="15.75" customHeight="1">
      <c r="A820" s="1">
        <v>4.9660802E7</v>
      </c>
      <c r="B820" s="2" t="s">
        <v>3037</v>
      </c>
      <c r="C820" s="19" t="s">
        <v>6022</v>
      </c>
      <c r="D820" s="19"/>
      <c r="E820" s="2"/>
      <c r="F820" s="19"/>
    </row>
    <row r="821" ht="15.75" customHeight="1">
      <c r="A821" s="1">
        <v>4.9669653E7</v>
      </c>
      <c r="B821" s="2" t="s">
        <v>174</v>
      </c>
      <c r="C821" s="19" t="s">
        <v>6023</v>
      </c>
      <c r="D821" s="19" t="s">
        <v>6024</v>
      </c>
      <c r="E821" s="2"/>
      <c r="F821" s="19"/>
    </row>
    <row r="822" ht="15.75" customHeight="1">
      <c r="A822" s="1">
        <v>4.9670353E7</v>
      </c>
      <c r="B822" s="2" t="s">
        <v>116</v>
      </c>
      <c r="C822" s="19" t="s">
        <v>6025</v>
      </c>
      <c r="D822" s="19" t="s">
        <v>6026</v>
      </c>
      <c r="E822" s="2"/>
      <c r="F822" s="19"/>
    </row>
    <row r="823" ht="15.75" customHeight="1">
      <c r="A823" s="1">
        <v>4.9675462E7</v>
      </c>
      <c r="B823" s="2" t="s">
        <v>227</v>
      </c>
      <c r="C823" s="19" t="s">
        <v>6027</v>
      </c>
      <c r="D823" s="19"/>
      <c r="E823" s="2"/>
      <c r="F823" s="19"/>
    </row>
    <row r="824" ht="15.75" customHeight="1">
      <c r="A824" s="1">
        <v>4.9689289E7</v>
      </c>
      <c r="B824" s="2" t="s">
        <v>1515</v>
      </c>
      <c r="C824" s="19" t="s">
        <v>6028</v>
      </c>
      <c r="D824" s="19" t="s">
        <v>6029</v>
      </c>
      <c r="E824" s="2"/>
      <c r="F824" s="19"/>
    </row>
    <row r="825" ht="15.75" customHeight="1">
      <c r="A825" s="1">
        <v>4.9692206E7</v>
      </c>
      <c r="B825" s="2" t="s">
        <v>152</v>
      </c>
      <c r="C825" s="19" t="s">
        <v>6030</v>
      </c>
      <c r="D825" s="19" t="s">
        <v>6031</v>
      </c>
      <c r="E825" s="2"/>
      <c r="F825" s="19"/>
    </row>
    <row r="826" ht="15.75" customHeight="1">
      <c r="A826" s="1">
        <v>4.9701465E7</v>
      </c>
      <c r="B826" s="2" t="s">
        <v>1256</v>
      </c>
      <c r="C826" s="19" t="s">
        <v>6032</v>
      </c>
      <c r="D826" s="19"/>
      <c r="E826" s="2"/>
      <c r="F826" s="19"/>
    </row>
    <row r="827" ht="15.75" customHeight="1">
      <c r="A827" s="1">
        <v>4.9715967E7</v>
      </c>
      <c r="B827" s="2" t="s">
        <v>1314</v>
      </c>
      <c r="C827" s="19" t="s">
        <v>6033</v>
      </c>
      <c r="D827" s="19" t="s">
        <v>6034</v>
      </c>
      <c r="E827" s="2"/>
      <c r="F827" s="19"/>
    </row>
    <row r="828" ht="15.75" customHeight="1">
      <c r="A828" s="1">
        <v>4.9717039E7</v>
      </c>
      <c r="B828" s="2" t="s">
        <v>1830</v>
      </c>
      <c r="C828" s="19" t="s">
        <v>6035</v>
      </c>
      <c r="D828" s="19" t="s">
        <v>6036</v>
      </c>
      <c r="E828" s="2"/>
      <c r="F828" s="19"/>
    </row>
    <row r="829" ht="15.75" customHeight="1">
      <c r="A829" s="1">
        <v>4.9718975E7</v>
      </c>
      <c r="B829" s="2" t="s">
        <v>1227</v>
      </c>
      <c r="C829" s="19" t="s">
        <v>6037</v>
      </c>
      <c r="D829" s="19"/>
      <c r="E829" s="2"/>
      <c r="F829" s="19"/>
    </row>
    <row r="830" ht="15.75" customHeight="1">
      <c r="A830" s="1">
        <v>4.9738995E7</v>
      </c>
      <c r="B830" s="2" t="s">
        <v>1266</v>
      </c>
      <c r="C830" s="19" t="s">
        <v>6038</v>
      </c>
      <c r="D830" s="19" t="s">
        <v>6039</v>
      </c>
      <c r="E830" s="2"/>
      <c r="F830" s="19"/>
    </row>
    <row r="831" ht="15.75" customHeight="1">
      <c r="A831" s="1">
        <v>4.974087E7</v>
      </c>
      <c r="B831" s="2" t="s">
        <v>1366</v>
      </c>
      <c r="C831" s="19" t="s">
        <v>6040</v>
      </c>
      <c r="D831" s="19"/>
      <c r="E831" s="2"/>
      <c r="F831" s="19"/>
    </row>
    <row r="832" ht="15.75" customHeight="1">
      <c r="A832" s="1">
        <v>4.9747691E7</v>
      </c>
      <c r="B832" s="2" t="s">
        <v>558</v>
      </c>
      <c r="C832" s="19" t="s">
        <v>6041</v>
      </c>
      <c r="D832" s="19" t="s">
        <v>6042</v>
      </c>
      <c r="E832" s="2"/>
      <c r="F832" s="19"/>
    </row>
    <row r="833" ht="15.75" customHeight="1">
      <c r="A833" s="1">
        <v>4.9763535E7</v>
      </c>
      <c r="B833" s="2" t="s">
        <v>367</v>
      </c>
      <c r="C833" s="19" t="s">
        <v>6043</v>
      </c>
      <c r="D833" s="19"/>
      <c r="E833" s="2"/>
      <c r="F833" s="19"/>
    </row>
    <row r="834" ht="15.75" customHeight="1">
      <c r="A834" s="1">
        <v>4.9770636E7</v>
      </c>
      <c r="B834" s="2" t="s">
        <v>2064</v>
      </c>
      <c r="C834" s="19" t="s">
        <v>6044</v>
      </c>
      <c r="D834" s="19" t="s">
        <v>6045</v>
      </c>
      <c r="E834" s="2"/>
      <c r="F834" s="19"/>
    </row>
    <row r="835" ht="15.75" customHeight="1">
      <c r="A835" s="1">
        <v>4.9772445E7</v>
      </c>
      <c r="B835" s="2" t="s">
        <v>1783</v>
      </c>
      <c r="C835" s="19" t="s">
        <v>6046</v>
      </c>
      <c r="D835" s="19"/>
      <c r="E835" s="2"/>
      <c r="F835" s="19"/>
    </row>
    <row r="836" ht="15.75" customHeight="1">
      <c r="A836" s="1">
        <v>4.9789544E7</v>
      </c>
      <c r="B836" s="2" t="s">
        <v>1176</v>
      </c>
      <c r="C836" s="19" t="s">
        <v>6047</v>
      </c>
      <c r="D836" s="19" t="s">
        <v>6048</v>
      </c>
      <c r="E836" s="2"/>
      <c r="F836" s="19"/>
    </row>
    <row r="837" ht="15.75" customHeight="1">
      <c r="A837" s="1">
        <v>4.9803583E7</v>
      </c>
      <c r="B837" s="2" t="s">
        <v>1463</v>
      </c>
      <c r="C837" s="19" t="s">
        <v>6049</v>
      </c>
      <c r="D837" s="19"/>
      <c r="E837" s="2"/>
      <c r="F837" s="19"/>
    </row>
    <row r="838" ht="15.75" customHeight="1">
      <c r="A838" s="1">
        <v>4.9809115E7</v>
      </c>
      <c r="B838" s="2" t="s">
        <v>794</v>
      </c>
      <c r="C838" s="19" t="s">
        <v>6050</v>
      </c>
      <c r="D838" s="19" t="s">
        <v>6051</v>
      </c>
      <c r="E838" s="2"/>
      <c r="F838" s="19"/>
    </row>
    <row r="839" ht="15.75" customHeight="1">
      <c r="A839" s="1">
        <v>4.9838965E7</v>
      </c>
      <c r="B839" s="2" t="s">
        <v>561</v>
      </c>
      <c r="C839" s="19" t="s">
        <v>6052</v>
      </c>
      <c r="D839" s="19"/>
      <c r="E839" s="2"/>
      <c r="F839" s="19"/>
    </row>
    <row r="840" ht="15.75" customHeight="1">
      <c r="A840" s="1">
        <v>4.9848538E7</v>
      </c>
      <c r="B840" s="2" t="s">
        <v>1484</v>
      </c>
      <c r="C840" s="19" t="s">
        <v>6053</v>
      </c>
      <c r="D840" s="19"/>
      <c r="E840" s="2"/>
      <c r="F840" s="19"/>
    </row>
    <row r="841" ht="15.75" customHeight="1">
      <c r="A841" s="1">
        <v>4.9865996E7</v>
      </c>
      <c r="B841" s="2" t="s">
        <v>1257</v>
      </c>
      <c r="C841" s="19" t="s">
        <v>6054</v>
      </c>
      <c r="D841" s="19"/>
      <c r="E841" s="2"/>
      <c r="F841" s="19"/>
    </row>
    <row r="842" ht="15.75" customHeight="1">
      <c r="A842" s="1">
        <v>4.9891856E7</v>
      </c>
      <c r="B842" s="2" t="s">
        <v>1838</v>
      </c>
      <c r="C842" s="19" t="s">
        <v>6055</v>
      </c>
      <c r="D842" s="19"/>
      <c r="E842" s="2"/>
      <c r="F842" s="19"/>
    </row>
    <row r="843" ht="15.75" customHeight="1">
      <c r="A843" s="1">
        <v>4.9895043E7</v>
      </c>
      <c r="B843" s="2" t="s">
        <v>1235</v>
      </c>
      <c r="C843" s="19" t="s">
        <v>6056</v>
      </c>
      <c r="D843" s="19" t="s">
        <v>6057</v>
      </c>
      <c r="E843" s="2"/>
      <c r="F843" s="19"/>
    </row>
    <row r="844" ht="15.75" customHeight="1">
      <c r="A844" s="1">
        <v>4.9897894E7</v>
      </c>
      <c r="B844" s="2" t="s">
        <v>448</v>
      </c>
      <c r="C844" s="19" t="s">
        <v>6058</v>
      </c>
      <c r="D844" s="19" t="s">
        <v>6059</v>
      </c>
      <c r="E844" s="2"/>
      <c r="F844" s="19"/>
    </row>
    <row r="845" ht="15.75" customHeight="1">
      <c r="A845" s="1">
        <v>4.9913681E7</v>
      </c>
      <c r="B845" s="2" t="s">
        <v>1590</v>
      </c>
      <c r="C845" s="19" t="s">
        <v>6060</v>
      </c>
      <c r="D845" s="19"/>
      <c r="E845" s="2"/>
      <c r="F845" s="19"/>
    </row>
    <row r="846" ht="15.75" customHeight="1">
      <c r="A846" s="1">
        <v>4.9914445E7</v>
      </c>
      <c r="B846" s="2" t="s">
        <v>564</v>
      </c>
      <c r="C846" s="19" t="s">
        <v>6061</v>
      </c>
      <c r="D846" s="19"/>
      <c r="E846" s="2"/>
      <c r="F846" s="19"/>
    </row>
    <row r="847" ht="15.75" customHeight="1">
      <c r="A847" s="1">
        <v>4.9920361E7</v>
      </c>
      <c r="B847" s="2" t="s">
        <v>726</v>
      </c>
      <c r="C847" s="19" t="s">
        <v>6062</v>
      </c>
      <c r="D847" s="19" t="s">
        <v>6063</v>
      </c>
      <c r="E847" s="2"/>
      <c r="F847" s="19"/>
    </row>
    <row r="848" ht="15.75" customHeight="1">
      <c r="A848" s="1">
        <v>4.9921038E7</v>
      </c>
      <c r="B848" s="2" t="s">
        <v>3144</v>
      </c>
      <c r="C848" s="19" t="s">
        <v>6064</v>
      </c>
      <c r="D848" s="19"/>
      <c r="E848" s="2"/>
      <c r="F848" s="19"/>
    </row>
    <row r="849" ht="15.75" customHeight="1">
      <c r="A849" s="1">
        <v>4.9925236E7</v>
      </c>
      <c r="B849" s="2" t="s">
        <v>1699</v>
      </c>
      <c r="C849" s="19" t="s">
        <v>6065</v>
      </c>
      <c r="D849" s="19" t="s">
        <v>6066</v>
      </c>
      <c r="E849" s="2"/>
      <c r="F849" s="19"/>
    </row>
    <row r="850" ht="15.75" customHeight="1">
      <c r="A850" s="1">
        <v>4.9928032E7</v>
      </c>
      <c r="B850" s="2" t="s">
        <v>2178</v>
      </c>
      <c r="C850" s="19" t="s">
        <v>6067</v>
      </c>
      <c r="D850" s="19"/>
      <c r="E850" s="2"/>
      <c r="F850" s="19"/>
    </row>
    <row r="851" ht="15.75" customHeight="1">
      <c r="A851" s="1">
        <v>4.9929362E7</v>
      </c>
      <c r="B851" s="2" t="s">
        <v>1172</v>
      </c>
      <c r="C851" s="19" t="s">
        <v>6068</v>
      </c>
      <c r="D851" s="19"/>
      <c r="E851" s="2"/>
      <c r="F851" s="19"/>
    </row>
    <row r="852" ht="15.75" customHeight="1">
      <c r="A852" s="1">
        <v>4.9933936E7</v>
      </c>
      <c r="B852" s="2" t="s">
        <v>1143</v>
      </c>
      <c r="C852" s="19" t="s">
        <v>6069</v>
      </c>
      <c r="D852" s="19" t="s">
        <v>6070</v>
      </c>
      <c r="E852" s="2"/>
      <c r="F852" s="19"/>
    </row>
    <row r="853" ht="15.75" customHeight="1">
      <c r="A853" s="1">
        <v>4.9944261E7</v>
      </c>
      <c r="B853" s="2" t="s">
        <v>2320</v>
      </c>
      <c r="C853" s="19" t="s">
        <v>6071</v>
      </c>
      <c r="D853" s="19" t="s">
        <v>6072</v>
      </c>
      <c r="E853" s="2"/>
      <c r="F853" s="19"/>
    </row>
    <row r="854" ht="15.75" customHeight="1">
      <c r="A854" s="1">
        <v>4.9954489E7</v>
      </c>
      <c r="B854" s="2" t="s">
        <v>904</v>
      </c>
      <c r="C854" s="19" t="s">
        <v>6073</v>
      </c>
      <c r="D854" s="19"/>
      <c r="E854" s="2"/>
      <c r="F854" s="19"/>
    </row>
    <row r="855" ht="15.75" customHeight="1">
      <c r="A855" s="1">
        <v>4.9956884E7</v>
      </c>
      <c r="B855" s="2" t="s">
        <v>723</v>
      </c>
      <c r="C855" s="19" t="s">
        <v>6074</v>
      </c>
      <c r="D855" s="19"/>
      <c r="E855" s="2"/>
      <c r="F855" s="19"/>
    </row>
    <row r="856" ht="15.75" customHeight="1">
      <c r="A856" s="1">
        <v>4.995758E7</v>
      </c>
      <c r="B856" s="2" t="s">
        <v>2015</v>
      </c>
      <c r="C856" s="19" t="s">
        <v>6075</v>
      </c>
      <c r="D856" s="19" t="s">
        <v>6076</v>
      </c>
      <c r="E856" s="2"/>
      <c r="F856" s="19"/>
    </row>
    <row r="857" ht="15.75" customHeight="1">
      <c r="A857" s="1">
        <v>4.9958989E7</v>
      </c>
      <c r="B857" s="2" t="s">
        <v>2669</v>
      </c>
      <c r="C857" s="19" t="s">
        <v>6077</v>
      </c>
      <c r="D857" s="19" t="s">
        <v>6078</v>
      </c>
      <c r="E857" s="2"/>
      <c r="F857" s="19"/>
    </row>
    <row r="858" ht="15.75" customHeight="1">
      <c r="A858" s="1">
        <v>4.9969127E7</v>
      </c>
      <c r="B858" s="2" t="s">
        <v>1428</v>
      </c>
      <c r="C858" s="19" t="s">
        <v>6079</v>
      </c>
      <c r="D858" s="19"/>
      <c r="E858" s="2"/>
      <c r="F858" s="19"/>
    </row>
    <row r="859" ht="15.75" customHeight="1">
      <c r="A859" s="1">
        <v>4.9984925E7</v>
      </c>
      <c r="B859" s="2" t="s">
        <v>1667</v>
      </c>
      <c r="C859" s="19" t="s">
        <v>6080</v>
      </c>
      <c r="D859" s="19"/>
      <c r="E859" s="2"/>
      <c r="F859" s="19"/>
    </row>
    <row r="860" ht="15.75" customHeight="1">
      <c r="A860" s="1">
        <v>4.9986234E7</v>
      </c>
      <c r="B860" s="2" t="s">
        <v>1301</v>
      </c>
      <c r="C860" s="19" t="s">
        <v>6081</v>
      </c>
      <c r="D860" s="19"/>
      <c r="E860" s="2"/>
      <c r="F860" s="19"/>
    </row>
    <row r="861" ht="15.75" customHeight="1">
      <c r="A861" s="1">
        <v>4.9988947E7</v>
      </c>
      <c r="B861" s="2" t="s">
        <v>1668</v>
      </c>
      <c r="C861" s="19" t="s">
        <v>6082</v>
      </c>
      <c r="D861" s="19" t="s">
        <v>6083</v>
      </c>
      <c r="E861" s="2"/>
      <c r="F861" s="19"/>
    </row>
    <row r="862" ht="15.75" customHeight="1">
      <c r="A862" s="1">
        <v>4.9994108E7</v>
      </c>
      <c r="B862" s="2" t="s">
        <v>1118</v>
      </c>
      <c r="C862" s="19" t="s">
        <v>6084</v>
      </c>
      <c r="D862" s="19"/>
      <c r="E862" s="2"/>
      <c r="F862" s="19"/>
    </row>
    <row r="863" ht="15.75" customHeight="1">
      <c r="A863" s="1">
        <v>4.9997339E7</v>
      </c>
      <c r="B863" s="2" t="s">
        <v>895</v>
      </c>
      <c r="C863" s="19" t="s">
        <v>6085</v>
      </c>
      <c r="D863" s="19" t="s">
        <v>6086</v>
      </c>
      <c r="E863" s="2"/>
      <c r="F863" s="19"/>
    </row>
    <row r="864" ht="15.75" customHeight="1">
      <c r="A864" s="1">
        <v>5.000589E7</v>
      </c>
      <c r="B864" s="2" t="s">
        <v>555</v>
      </c>
      <c r="C864" s="19" t="s">
        <v>6087</v>
      </c>
      <c r="D864" s="19"/>
      <c r="E864" s="2"/>
      <c r="F864" s="19"/>
    </row>
    <row r="865" ht="15.75" customHeight="1">
      <c r="A865" s="1">
        <v>5.0013399E7</v>
      </c>
      <c r="B865" s="2" t="s">
        <v>1054</v>
      </c>
      <c r="C865" s="19" t="s">
        <v>6088</v>
      </c>
      <c r="D865" s="19" t="s">
        <v>6089</v>
      </c>
      <c r="E865" s="2"/>
      <c r="F865" s="19"/>
    </row>
    <row r="866" ht="15.75" customHeight="1">
      <c r="A866" s="1">
        <v>5.0018204E7</v>
      </c>
      <c r="B866" s="2" t="s">
        <v>3298</v>
      </c>
      <c r="C866" s="19" t="s">
        <v>6090</v>
      </c>
      <c r="D866" s="19"/>
      <c r="E866" s="2"/>
      <c r="F866" s="19"/>
    </row>
    <row r="867" ht="15.75" customHeight="1">
      <c r="A867" s="1">
        <v>5.0024563E7</v>
      </c>
      <c r="B867" s="2" t="s">
        <v>1920</v>
      </c>
      <c r="C867" s="19" t="s">
        <v>6091</v>
      </c>
      <c r="D867" s="19" t="s">
        <v>6092</v>
      </c>
      <c r="E867" s="2"/>
      <c r="F867" s="19"/>
    </row>
    <row r="868" ht="15.75" customHeight="1">
      <c r="A868" s="1">
        <v>5.0027522E7</v>
      </c>
      <c r="B868" s="2" t="s">
        <v>1853</v>
      </c>
      <c r="C868" s="19" t="s">
        <v>6093</v>
      </c>
      <c r="D868" s="19"/>
      <c r="E868" s="2"/>
      <c r="F868" s="19"/>
    </row>
    <row r="869" ht="15.75" customHeight="1">
      <c r="A869" s="1">
        <v>5.0028775E7</v>
      </c>
      <c r="B869" s="2" t="s">
        <v>2087</v>
      </c>
      <c r="C869" s="19" t="s">
        <v>6094</v>
      </c>
      <c r="D869" s="19"/>
      <c r="E869" s="2"/>
      <c r="F869" s="19"/>
    </row>
    <row r="870" ht="15.75" customHeight="1">
      <c r="A870" s="1">
        <v>5.0031163E7</v>
      </c>
      <c r="B870" s="2" t="s">
        <v>2963</v>
      </c>
      <c r="C870" s="19" t="s">
        <v>6095</v>
      </c>
      <c r="D870" s="19"/>
      <c r="E870" s="2"/>
      <c r="F870" s="19"/>
    </row>
    <row r="871" ht="15.75" customHeight="1">
      <c r="A871" s="1">
        <v>5.0036821E7</v>
      </c>
      <c r="B871" s="2" t="s">
        <v>2572</v>
      </c>
      <c r="C871" s="19" t="s">
        <v>6096</v>
      </c>
      <c r="D871" s="19"/>
      <c r="E871" s="2"/>
      <c r="F871" s="19"/>
    </row>
    <row r="872" ht="15.75" customHeight="1">
      <c r="A872" s="1">
        <v>5.0038246E7</v>
      </c>
      <c r="B872" s="2" t="s">
        <v>1913</v>
      </c>
      <c r="C872" s="19" t="s">
        <v>6097</v>
      </c>
      <c r="D872" s="19"/>
      <c r="E872" s="2"/>
      <c r="F872" s="19"/>
    </row>
    <row r="873" ht="15.75" customHeight="1">
      <c r="A873" s="1">
        <v>5.003874E7</v>
      </c>
      <c r="B873" s="2" t="s">
        <v>1021</v>
      </c>
      <c r="C873" s="19" t="s">
        <v>6098</v>
      </c>
      <c r="D873" s="19" t="s">
        <v>6099</v>
      </c>
      <c r="E873" s="2"/>
      <c r="F873" s="19"/>
    </row>
    <row r="874" ht="15.75" customHeight="1">
      <c r="A874" s="1">
        <v>5.0084095E7</v>
      </c>
      <c r="B874" s="2" t="s">
        <v>642</v>
      </c>
      <c r="C874" s="19" t="s">
        <v>6100</v>
      </c>
      <c r="D874" s="19" t="s">
        <v>6101</v>
      </c>
      <c r="E874" s="2"/>
      <c r="F874" s="19"/>
    </row>
    <row r="875" ht="15.75" customHeight="1">
      <c r="A875" s="1">
        <v>5.0102219E7</v>
      </c>
      <c r="B875" s="2" t="s">
        <v>2878</v>
      </c>
      <c r="C875" s="19" t="s">
        <v>6102</v>
      </c>
      <c r="D875" s="19" t="s">
        <v>6103</v>
      </c>
      <c r="E875" s="2"/>
      <c r="F875" s="19"/>
    </row>
    <row r="876" ht="15.75" customHeight="1">
      <c r="A876" s="1">
        <v>5.0104914E7</v>
      </c>
      <c r="B876" s="2" t="s">
        <v>200</v>
      </c>
      <c r="C876" s="19" t="s">
        <v>6104</v>
      </c>
      <c r="D876" s="19"/>
      <c r="E876" s="2"/>
      <c r="F876" s="19"/>
    </row>
    <row r="877" ht="15.75" customHeight="1">
      <c r="A877" s="1">
        <v>5.0115856E7</v>
      </c>
      <c r="B877" s="2" t="s">
        <v>1831</v>
      </c>
      <c r="C877" s="19" t="s">
        <v>6105</v>
      </c>
      <c r="D877" s="19"/>
      <c r="E877" s="2"/>
      <c r="F877" s="19"/>
    </row>
    <row r="878" ht="15.75" customHeight="1">
      <c r="A878" s="1">
        <v>5.0116681E7</v>
      </c>
      <c r="B878" s="2" t="s">
        <v>133</v>
      </c>
      <c r="C878" s="19" t="s">
        <v>6106</v>
      </c>
      <c r="D878" s="19"/>
      <c r="E878" s="2"/>
      <c r="F878" s="19"/>
    </row>
    <row r="879" ht="15.75" customHeight="1">
      <c r="A879" s="1">
        <v>5.0121723E7</v>
      </c>
      <c r="B879" s="2" t="s">
        <v>1163</v>
      </c>
      <c r="C879" s="19" t="s">
        <v>6107</v>
      </c>
      <c r="D879" s="19"/>
      <c r="E879" s="2"/>
      <c r="F879" s="19"/>
    </row>
    <row r="880" ht="15.75" customHeight="1">
      <c r="A880" s="1">
        <v>5.0125193E7</v>
      </c>
      <c r="B880" s="2" t="s">
        <v>1359</v>
      </c>
      <c r="C880" s="19" t="s">
        <v>6108</v>
      </c>
      <c r="D880" s="19" t="s">
        <v>6109</v>
      </c>
      <c r="E880" s="2"/>
      <c r="F880" s="19"/>
    </row>
    <row r="881" ht="15.75" customHeight="1">
      <c r="A881" s="1">
        <v>5.0128461E7</v>
      </c>
      <c r="B881" s="2" t="s">
        <v>1856</v>
      </c>
      <c r="C881" s="19" t="s">
        <v>6110</v>
      </c>
      <c r="D881" s="19" t="s">
        <v>6111</v>
      </c>
      <c r="E881" s="2"/>
      <c r="F881" s="19"/>
    </row>
    <row r="882" ht="15.75" customHeight="1">
      <c r="A882" s="1">
        <v>5.0130057E7</v>
      </c>
      <c r="B882" s="2" t="s">
        <v>605</v>
      </c>
      <c r="C882" s="19" t="s">
        <v>6112</v>
      </c>
      <c r="D882" s="19" t="s">
        <v>6113</v>
      </c>
      <c r="E882" s="2"/>
      <c r="F882" s="19"/>
    </row>
    <row r="883" ht="15.75" customHeight="1">
      <c r="A883" s="1">
        <v>5.0130081E7</v>
      </c>
      <c r="B883" s="2" t="s">
        <v>1632</v>
      </c>
      <c r="C883" s="19" t="s">
        <v>6114</v>
      </c>
      <c r="D883" s="19" t="s">
        <v>6115</v>
      </c>
      <c r="E883" s="2"/>
      <c r="F883" s="19"/>
    </row>
    <row r="884" ht="15.75" customHeight="1">
      <c r="A884" s="1">
        <v>5.0130435E7</v>
      </c>
      <c r="B884" s="2" t="s">
        <v>2071</v>
      </c>
      <c r="C884" s="19" t="s">
        <v>6116</v>
      </c>
      <c r="D884" s="19" t="s">
        <v>6117</v>
      </c>
      <c r="E884" s="2"/>
      <c r="F884" s="19"/>
    </row>
    <row r="885" ht="15.75" customHeight="1">
      <c r="A885" s="1">
        <v>5.0142255E7</v>
      </c>
      <c r="B885" s="2" t="s">
        <v>1448</v>
      </c>
      <c r="C885" s="19" t="s">
        <v>6118</v>
      </c>
      <c r="D885" s="19" t="s">
        <v>6119</v>
      </c>
      <c r="E885" s="2"/>
      <c r="F885" s="19"/>
    </row>
    <row r="886" ht="15.75" customHeight="1">
      <c r="A886" s="1">
        <v>5.0149635E7</v>
      </c>
      <c r="B886" s="2" t="s">
        <v>1676</v>
      </c>
      <c r="C886" s="19" t="s">
        <v>6120</v>
      </c>
      <c r="D886" s="19"/>
      <c r="E886" s="2"/>
      <c r="F886" s="19"/>
    </row>
    <row r="887" ht="15.75" customHeight="1">
      <c r="A887" s="1">
        <v>5.0152309E7</v>
      </c>
      <c r="B887" s="2" t="s">
        <v>3097</v>
      </c>
      <c r="C887" s="19" t="s">
        <v>6121</v>
      </c>
      <c r="D887" s="19"/>
      <c r="E887" s="2"/>
      <c r="F887" s="19"/>
    </row>
    <row r="888" ht="15.75" customHeight="1">
      <c r="A888" s="1">
        <v>5.0156366E7</v>
      </c>
      <c r="B888" s="2" t="s">
        <v>1369</v>
      </c>
      <c r="C888" s="19" t="s">
        <v>6122</v>
      </c>
      <c r="D888" s="19" t="s">
        <v>6123</v>
      </c>
      <c r="E888" s="2"/>
      <c r="F888" s="19"/>
    </row>
    <row r="889" ht="15.75" customHeight="1">
      <c r="A889" s="1">
        <v>5.0164098E7</v>
      </c>
      <c r="B889" s="2" t="s">
        <v>1726</v>
      </c>
      <c r="C889" s="19" t="s">
        <v>6124</v>
      </c>
      <c r="D889" s="19"/>
      <c r="E889" s="2"/>
      <c r="F889" s="19"/>
    </row>
    <row r="890" ht="15.75" customHeight="1">
      <c r="A890" s="1">
        <v>5.0167772E7</v>
      </c>
      <c r="B890" s="2" t="s">
        <v>147</v>
      </c>
      <c r="C890" s="19" t="s">
        <v>6125</v>
      </c>
      <c r="D890" s="19"/>
      <c r="E890" s="2"/>
      <c r="F890" s="19"/>
    </row>
    <row r="891" ht="15.75" customHeight="1">
      <c r="A891" s="1">
        <v>5.0168257E7</v>
      </c>
      <c r="B891" s="2" t="s">
        <v>1857</v>
      </c>
      <c r="C891" s="19" t="s">
        <v>6126</v>
      </c>
      <c r="D891" s="19" t="s">
        <v>6127</v>
      </c>
      <c r="E891" s="2"/>
      <c r="F891" s="19"/>
    </row>
    <row r="892" ht="15.75" customHeight="1">
      <c r="A892" s="1">
        <v>5.0168921E7</v>
      </c>
      <c r="B892" s="2" t="s">
        <v>893</v>
      </c>
      <c r="C892" s="19" t="s">
        <v>6128</v>
      </c>
      <c r="D892" s="19"/>
      <c r="E892" s="2"/>
      <c r="F892" s="19"/>
    </row>
    <row r="893" ht="15.75" customHeight="1">
      <c r="A893" s="1">
        <v>5.0170184E7</v>
      </c>
      <c r="B893" s="2" t="s">
        <v>2628</v>
      </c>
      <c r="C893" s="19" t="s">
        <v>6129</v>
      </c>
      <c r="D893" s="19"/>
      <c r="E893" s="2"/>
      <c r="F893" s="19"/>
    </row>
    <row r="894" ht="15.75" customHeight="1">
      <c r="A894" s="1">
        <v>5.0171963E7</v>
      </c>
      <c r="B894" s="2" t="s">
        <v>2442</v>
      </c>
      <c r="C894" s="19" t="s">
        <v>6130</v>
      </c>
      <c r="D894" s="19"/>
      <c r="E894" s="2"/>
      <c r="F894" s="19"/>
    </row>
    <row r="895" ht="15.75" customHeight="1">
      <c r="A895" s="1">
        <v>5.0184405E7</v>
      </c>
      <c r="B895" s="2" t="s">
        <v>1206</v>
      </c>
      <c r="C895" s="19" t="s">
        <v>6131</v>
      </c>
      <c r="D895" s="19"/>
      <c r="E895" s="2"/>
      <c r="F895" s="19"/>
    </row>
    <row r="896" ht="15.75" customHeight="1">
      <c r="A896" s="1">
        <v>5.0191802E7</v>
      </c>
      <c r="B896" s="2" t="s">
        <v>2675</v>
      </c>
      <c r="C896" s="19" t="s">
        <v>6132</v>
      </c>
      <c r="D896" s="19"/>
      <c r="E896" s="2"/>
      <c r="F896" s="19"/>
    </row>
    <row r="897" ht="15.75" customHeight="1">
      <c r="A897" s="1">
        <v>5.0194352E7</v>
      </c>
      <c r="B897" s="2" t="s">
        <v>1679</v>
      </c>
      <c r="C897" s="19" t="s">
        <v>6133</v>
      </c>
      <c r="D897" s="19" t="s">
        <v>6134</v>
      </c>
      <c r="E897" s="2"/>
      <c r="F897" s="19"/>
    </row>
    <row r="898" ht="15.75" customHeight="1">
      <c r="A898" s="1">
        <v>5.0197317E7</v>
      </c>
      <c r="B898" s="2" t="s">
        <v>1337</v>
      </c>
      <c r="C898" s="19" t="s">
        <v>6135</v>
      </c>
      <c r="D898" s="19"/>
      <c r="E898" s="2"/>
      <c r="F898" s="19"/>
    </row>
    <row r="899" ht="15.75" customHeight="1">
      <c r="A899" s="1">
        <v>5.0211166E7</v>
      </c>
      <c r="B899" s="2" t="s">
        <v>434</v>
      </c>
      <c r="C899" s="19" t="s">
        <v>6136</v>
      </c>
      <c r="D899" s="19" t="s">
        <v>6137</v>
      </c>
      <c r="E899" s="2"/>
      <c r="F899" s="19"/>
    </row>
    <row r="900" ht="15.75" customHeight="1">
      <c r="A900" s="1">
        <v>5.0216642E7</v>
      </c>
      <c r="B900" s="2" t="s">
        <v>811</v>
      </c>
      <c r="C900" s="19" t="s">
        <v>6138</v>
      </c>
      <c r="D900" s="19"/>
      <c r="E900" s="2"/>
      <c r="F900" s="19"/>
    </row>
    <row r="901" ht="15.75" customHeight="1">
      <c r="A901" s="1">
        <v>5.02185E7</v>
      </c>
      <c r="B901" s="2" t="s">
        <v>1776</v>
      </c>
      <c r="C901" s="19" t="s">
        <v>6139</v>
      </c>
      <c r="D901" s="19" t="s">
        <v>6140</v>
      </c>
      <c r="E901" s="2"/>
      <c r="F901" s="19"/>
    </row>
    <row r="902" ht="15.75" customHeight="1">
      <c r="A902" s="1">
        <v>5.022318E7</v>
      </c>
      <c r="B902" s="2" t="s">
        <v>1820</v>
      </c>
      <c r="C902" s="19" t="s">
        <v>6141</v>
      </c>
      <c r="D902" s="19"/>
      <c r="E902" s="2"/>
      <c r="F902" s="19"/>
    </row>
    <row r="903" ht="15.75" customHeight="1">
      <c r="A903" s="1">
        <v>5.0247642E7</v>
      </c>
      <c r="B903" s="2" t="s">
        <v>694</v>
      </c>
      <c r="C903" s="19" t="s">
        <v>6142</v>
      </c>
      <c r="D903" s="19"/>
      <c r="E903" s="2"/>
      <c r="F903" s="19"/>
    </row>
    <row r="904" ht="15.75" customHeight="1">
      <c r="A904" s="1">
        <v>5.0247924E7</v>
      </c>
      <c r="B904" s="2" t="s">
        <v>733</v>
      </c>
      <c r="C904" s="19" t="s">
        <v>6143</v>
      </c>
      <c r="D904" s="19" t="s">
        <v>6144</v>
      </c>
      <c r="E904" s="2"/>
      <c r="F904" s="19"/>
    </row>
    <row r="905" ht="15.75" customHeight="1">
      <c r="A905" s="1">
        <v>5.024895E7</v>
      </c>
      <c r="B905" s="2" t="s">
        <v>973</v>
      </c>
      <c r="C905" s="19" t="s">
        <v>6145</v>
      </c>
      <c r="D905" s="19"/>
      <c r="E905" s="2"/>
      <c r="F905" s="19"/>
    </row>
    <row r="906" ht="15.75" customHeight="1">
      <c r="A906" s="1">
        <v>5.0267824E7</v>
      </c>
      <c r="B906" s="2" t="s">
        <v>468</v>
      </c>
      <c r="C906" s="19" t="s">
        <v>6146</v>
      </c>
      <c r="D906" s="19" t="s">
        <v>6147</v>
      </c>
      <c r="E906" s="2"/>
      <c r="F906" s="19"/>
    </row>
    <row r="907" ht="15.75" customHeight="1">
      <c r="A907" s="1">
        <v>5.0280733E7</v>
      </c>
      <c r="B907" s="2" t="s">
        <v>1487</v>
      </c>
      <c r="C907" s="19" t="s">
        <v>6148</v>
      </c>
      <c r="D907" s="19"/>
      <c r="E907" s="2"/>
      <c r="F907" s="19"/>
    </row>
    <row r="908" ht="15.75" customHeight="1">
      <c r="A908" s="1">
        <v>5.0285253E7</v>
      </c>
      <c r="B908" s="2" t="s">
        <v>1272</v>
      </c>
      <c r="C908" s="19" t="s">
        <v>6149</v>
      </c>
      <c r="D908" s="19"/>
      <c r="E908" s="2"/>
      <c r="F908" s="19"/>
    </row>
    <row r="909" ht="15.75" customHeight="1">
      <c r="A909" s="1">
        <v>5.0299058E7</v>
      </c>
      <c r="B909" s="2" t="s">
        <v>1834</v>
      </c>
      <c r="C909" s="19" t="s">
        <v>6150</v>
      </c>
      <c r="D909" s="19" t="s">
        <v>6151</v>
      </c>
      <c r="E909" s="2"/>
      <c r="F909" s="19"/>
    </row>
    <row r="910" ht="15.75" customHeight="1">
      <c r="A910" s="1">
        <v>5.0303866E7</v>
      </c>
      <c r="B910" s="2" t="s">
        <v>1665</v>
      </c>
      <c r="C910" s="19" t="s">
        <v>6152</v>
      </c>
      <c r="D910" s="19"/>
      <c r="E910" s="2"/>
      <c r="F910" s="19"/>
    </row>
    <row r="911" ht="15.75" customHeight="1">
      <c r="A911" s="1">
        <v>5.0316386E7</v>
      </c>
      <c r="B911" s="2" t="s">
        <v>1064</v>
      </c>
      <c r="C911" s="19" t="s">
        <v>6153</v>
      </c>
      <c r="D911" s="19"/>
      <c r="E911" s="2"/>
      <c r="F911" s="19"/>
    </row>
    <row r="912" ht="15.75" customHeight="1">
      <c r="A912" s="1">
        <v>5.0322178E7</v>
      </c>
      <c r="B912" s="2" t="s">
        <v>378</v>
      </c>
      <c r="C912" s="19" t="s">
        <v>6154</v>
      </c>
      <c r="D912" s="19" t="s">
        <v>6155</v>
      </c>
      <c r="E912" s="2"/>
      <c r="F912" s="19"/>
    </row>
    <row r="913" ht="15.75" customHeight="1">
      <c r="A913" s="1">
        <v>5.0326508E7</v>
      </c>
      <c r="B913" s="2" t="s">
        <v>343</v>
      </c>
      <c r="C913" s="19" t="s">
        <v>6156</v>
      </c>
      <c r="D913" s="19" t="s">
        <v>6157</v>
      </c>
      <c r="E913" s="2"/>
      <c r="F913" s="19"/>
    </row>
    <row r="914" ht="15.75" customHeight="1">
      <c r="A914" s="1">
        <v>5.0326783E7</v>
      </c>
      <c r="B914" s="2" t="s">
        <v>810</v>
      </c>
      <c r="C914" s="19" t="s">
        <v>6158</v>
      </c>
      <c r="D914" s="19"/>
      <c r="E914" s="2"/>
      <c r="F914" s="19"/>
    </row>
    <row r="915" ht="15.75" customHeight="1">
      <c r="A915" s="1">
        <v>5.0330121E7</v>
      </c>
      <c r="B915" s="2" t="s">
        <v>675</v>
      </c>
      <c r="C915" s="19" t="s">
        <v>6159</v>
      </c>
      <c r="D915" s="19" t="s">
        <v>6160</v>
      </c>
      <c r="E915" s="2"/>
      <c r="F915" s="19"/>
    </row>
    <row r="916" ht="15.75" customHeight="1">
      <c r="A916" s="1">
        <v>5.0339104E7</v>
      </c>
      <c r="B916" s="2" t="s">
        <v>3577</v>
      </c>
      <c r="C916" s="19" t="s">
        <v>6161</v>
      </c>
      <c r="D916" s="19"/>
      <c r="E916" s="2"/>
      <c r="F916" s="19"/>
    </row>
    <row r="917" ht="15.75" customHeight="1">
      <c r="A917" s="1">
        <v>5.0339838E7</v>
      </c>
      <c r="B917" s="2" t="s">
        <v>462</v>
      </c>
      <c r="C917" s="19" t="s">
        <v>6162</v>
      </c>
      <c r="D917" s="19"/>
      <c r="E917" s="2"/>
      <c r="F917" s="19"/>
    </row>
    <row r="918" ht="15.75" customHeight="1">
      <c r="A918" s="1">
        <v>5.0378352E7</v>
      </c>
      <c r="B918" s="2" t="s">
        <v>1962</v>
      </c>
      <c r="C918" s="19" t="s">
        <v>6163</v>
      </c>
      <c r="D918" s="19"/>
      <c r="E918" s="2"/>
      <c r="F918" s="19"/>
    </row>
    <row r="919" ht="15.75" customHeight="1">
      <c r="A919" s="1">
        <v>5.0405394E7</v>
      </c>
      <c r="B919" s="2" t="s">
        <v>1586</v>
      </c>
      <c r="C919" s="19" t="s">
        <v>6164</v>
      </c>
      <c r="D919" s="19"/>
      <c r="E919" s="2"/>
      <c r="F919" s="19"/>
    </row>
    <row r="920" ht="15.75" customHeight="1">
      <c r="A920" s="1">
        <v>5.0407983E7</v>
      </c>
      <c r="B920" s="2" t="s">
        <v>2120</v>
      </c>
      <c r="C920" s="19" t="s">
        <v>6165</v>
      </c>
      <c r="D920" s="19"/>
      <c r="E920" s="2"/>
      <c r="F920" s="19"/>
    </row>
    <row r="921" ht="15.75" customHeight="1">
      <c r="A921" s="1">
        <v>5.0420941E7</v>
      </c>
      <c r="B921" s="2" t="s">
        <v>1917</v>
      </c>
      <c r="C921" s="19" t="s">
        <v>6166</v>
      </c>
      <c r="D921" s="19"/>
      <c r="E921" s="2"/>
      <c r="F921" s="19"/>
    </row>
    <row r="922" ht="15.75" customHeight="1">
      <c r="A922" s="1">
        <v>5.0427696E7</v>
      </c>
      <c r="B922" s="2" t="s">
        <v>2494</v>
      </c>
      <c r="C922" s="19" t="s">
        <v>6167</v>
      </c>
      <c r="D922" s="19"/>
      <c r="E922" s="2"/>
      <c r="F922" s="19"/>
    </row>
    <row r="923" ht="15.75" customHeight="1">
      <c r="A923" s="1">
        <v>5.0442085E7</v>
      </c>
      <c r="B923" s="2" t="s">
        <v>1613</v>
      </c>
      <c r="C923" s="19" t="s">
        <v>6168</v>
      </c>
      <c r="D923" s="19" t="s">
        <v>6169</v>
      </c>
      <c r="E923" s="2"/>
      <c r="F923" s="19"/>
    </row>
    <row r="924" ht="15.75" customHeight="1">
      <c r="A924" s="1">
        <v>5.0450644E7</v>
      </c>
      <c r="B924" s="2" t="s">
        <v>3547</v>
      </c>
      <c r="C924" s="19" t="s">
        <v>6170</v>
      </c>
      <c r="D924" s="19"/>
      <c r="E924" s="2"/>
      <c r="F924" s="19"/>
    </row>
    <row r="925" ht="15.75" customHeight="1">
      <c r="A925" s="1">
        <v>5.0454105E7</v>
      </c>
      <c r="B925" s="2" t="s">
        <v>846</v>
      </c>
      <c r="C925" s="19" t="s">
        <v>6171</v>
      </c>
      <c r="D925" s="19" t="s">
        <v>6172</v>
      </c>
      <c r="E925" s="2"/>
      <c r="F925" s="19"/>
    </row>
    <row r="926" ht="15.75" customHeight="1">
      <c r="A926" s="1">
        <v>5.0462355E7</v>
      </c>
      <c r="B926" s="2" t="s">
        <v>1002</v>
      </c>
      <c r="C926" s="19" t="s">
        <v>6173</v>
      </c>
      <c r="D926" s="19"/>
      <c r="E926" s="2"/>
      <c r="F926" s="19"/>
    </row>
    <row r="927" ht="15.75" customHeight="1">
      <c r="A927" s="1">
        <v>5.0466511E7</v>
      </c>
      <c r="B927" s="2" t="s">
        <v>529</v>
      </c>
      <c r="C927" s="19" t="s">
        <v>6174</v>
      </c>
      <c r="D927" s="19"/>
      <c r="E927" s="2"/>
      <c r="F927" s="19"/>
    </row>
    <row r="928" ht="15.75" customHeight="1">
      <c r="A928" s="1">
        <v>5.0470391E7</v>
      </c>
      <c r="B928" s="2" t="s">
        <v>776</v>
      </c>
      <c r="C928" s="19" t="s">
        <v>6175</v>
      </c>
      <c r="D928" s="19" t="s">
        <v>6176</v>
      </c>
      <c r="E928" s="2"/>
      <c r="F928" s="19"/>
    </row>
    <row r="929" ht="15.75" customHeight="1">
      <c r="A929" s="1">
        <v>5.0479987E7</v>
      </c>
      <c r="B929" s="2" t="s">
        <v>967</v>
      </c>
      <c r="C929" s="19" t="s">
        <v>6177</v>
      </c>
      <c r="D929" s="19" t="s">
        <v>6178</v>
      </c>
      <c r="E929" s="2"/>
      <c r="F929" s="19"/>
    </row>
    <row r="930" ht="15.75" customHeight="1">
      <c r="A930" s="1">
        <v>5.0480858E7</v>
      </c>
      <c r="B930" s="2" t="s">
        <v>645</v>
      </c>
      <c r="C930" s="19" t="s">
        <v>6179</v>
      </c>
      <c r="D930" s="19"/>
      <c r="E930" s="2"/>
      <c r="F930" s="19"/>
    </row>
    <row r="931" ht="15.75" customHeight="1">
      <c r="A931" s="1">
        <v>5.0487617E7</v>
      </c>
      <c r="B931" s="2" t="s">
        <v>787</v>
      </c>
      <c r="C931" s="19" t="s">
        <v>6180</v>
      </c>
      <c r="D931" s="19"/>
      <c r="E931" s="2"/>
      <c r="F931" s="19"/>
    </row>
    <row r="932" ht="15.75" customHeight="1">
      <c r="A932" s="1">
        <v>5.0490209E7</v>
      </c>
      <c r="B932" s="2" t="s">
        <v>2003</v>
      </c>
      <c r="C932" s="19" t="s">
        <v>6181</v>
      </c>
      <c r="D932" s="19" t="s">
        <v>6182</v>
      </c>
      <c r="E932" s="2"/>
      <c r="F932" s="19"/>
    </row>
    <row r="933" ht="15.75" customHeight="1">
      <c r="A933" s="1">
        <v>5.0491544E7</v>
      </c>
      <c r="B933" s="2" t="s">
        <v>1071</v>
      </c>
      <c r="C933" s="19" t="s">
        <v>6183</v>
      </c>
      <c r="D933" s="19"/>
      <c r="E933" s="2"/>
      <c r="F933" s="19"/>
    </row>
    <row r="934" ht="15.75" customHeight="1">
      <c r="A934" s="1">
        <v>5.0502923E7</v>
      </c>
      <c r="B934" s="2" t="s">
        <v>338</v>
      </c>
      <c r="C934" s="19" t="s">
        <v>6184</v>
      </c>
      <c r="D934" s="19" t="s">
        <v>6185</v>
      </c>
      <c r="E934" s="2"/>
      <c r="F934" s="19"/>
    </row>
    <row r="935" ht="15.75" customHeight="1">
      <c r="A935" s="1">
        <v>5.0506366E7</v>
      </c>
      <c r="B935" s="2" t="s">
        <v>1336</v>
      </c>
      <c r="C935" s="19" t="s">
        <v>6186</v>
      </c>
      <c r="D935" s="19" t="s">
        <v>6187</v>
      </c>
      <c r="E935" s="2"/>
      <c r="F935" s="19"/>
    </row>
    <row r="936" ht="15.75" customHeight="1">
      <c r="A936" s="1">
        <v>5.051246E7</v>
      </c>
      <c r="B936" s="2" t="s">
        <v>1604</v>
      </c>
      <c r="C936" s="19" t="s">
        <v>6188</v>
      </c>
      <c r="D936" s="19"/>
      <c r="E936" s="2"/>
      <c r="F936" s="19"/>
    </row>
    <row r="937" ht="15.75" customHeight="1">
      <c r="A937" s="1">
        <v>5.0529981E7</v>
      </c>
      <c r="B937" s="2" t="s">
        <v>2138</v>
      </c>
      <c r="C937" s="19" t="s">
        <v>6189</v>
      </c>
      <c r="D937" s="19" t="s">
        <v>6190</v>
      </c>
      <c r="E937" s="2"/>
      <c r="F937" s="19"/>
    </row>
    <row r="938" ht="15.75" customHeight="1">
      <c r="A938" s="1">
        <v>5.0561808E7</v>
      </c>
      <c r="B938" s="2" t="s">
        <v>260</v>
      </c>
      <c r="C938" s="19" t="s">
        <v>6191</v>
      </c>
      <c r="D938" s="19" t="s">
        <v>6192</v>
      </c>
      <c r="E938" s="2"/>
      <c r="F938" s="19"/>
    </row>
    <row r="939" ht="15.75" customHeight="1">
      <c r="A939" s="1">
        <v>5.0582355E7</v>
      </c>
      <c r="B939" s="2" t="s">
        <v>670</v>
      </c>
      <c r="C939" s="19" t="s">
        <v>6193</v>
      </c>
      <c r="D939" s="19" t="s">
        <v>6194</v>
      </c>
      <c r="E939" s="2"/>
      <c r="F939" s="19"/>
    </row>
    <row r="940" ht="15.75" customHeight="1">
      <c r="A940" s="1">
        <v>5.05841E7</v>
      </c>
      <c r="B940" s="2" t="s">
        <v>1563</v>
      </c>
      <c r="C940" s="19" t="s">
        <v>6195</v>
      </c>
      <c r="D940" s="19"/>
      <c r="E940" s="2"/>
      <c r="F940" s="19"/>
    </row>
    <row r="941" ht="15.75" customHeight="1">
      <c r="A941" s="1">
        <v>5.0584594E7</v>
      </c>
      <c r="B941" s="2" t="s">
        <v>362</v>
      </c>
      <c r="C941" s="19" t="s">
        <v>6196</v>
      </c>
      <c r="D941" s="19"/>
      <c r="E941" s="2"/>
      <c r="F941" s="19"/>
    </row>
    <row r="942" ht="15.75" customHeight="1">
      <c r="A942" s="1">
        <v>5.0591528E7</v>
      </c>
      <c r="B942" s="2" t="s">
        <v>2281</v>
      </c>
      <c r="C942" s="19" t="s">
        <v>6197</v>
      </c>
      <c r="D942" s="19" t="s">
        <v>6198</v>
      </c>
      <c r="E942" s="2"/>
      <c r="F942" s="19"/>
    </row>
    <row r="943" ht="15.75" customHeight="1">
      <c r="A943" s="1">
        <v>5.0597271E7</v>
      </c>
      <c r="B943" s="2" t="s">
        <v>1034</v>
      </c>
      <c r="C943" s="19" t="s">
        <v>6199</v>
      </c>
      <c r="D943" s="19" t="s">
        <v>6200</v>
      </c>
      <c r="E943" s="2"/>
      <c r="F943" s="19"/>
    </row>
    <row r="944" ht="15.75" customHeight="1">
      <c r="A944" s="1">
        <v>5.0611776E7</v>
      </c>
      <c r="B944" s="2" t="s">
        <v>1342</v>
      </c>
      <c r="C944" s="19" t="s">
        <v>6201</v>
      </c>
      <c r="D944" s="19"/>
      <c r="E944" s="2"/>
      <c r="F944" s="19"/>
    </row>
    <row r="945" ht="15.75" customHeight="1">
      <c r="A945" s="1">
        <v>5.0613764E7</v>
      </c>
      <c r="B945" s="2" t="s">
        <v>2545</v>
      </c>
      <c r="C945" s="19" t="s">
        <v>6202</v>
      </c>
      <c r="D945" s="19"/>
      <c r="E945" s="2"/>
      <c r="F945" s="19"/>
    </row>
    <row r="946" ht="15.75" customHeight="1">
      <c r="A946" s="1">
        <v>5.0624609E7</v>
      </c>
      <c r="B946" s="2" t="s">
        <v>1113</v>
      </c>
      <c r="C946" s="19" t="s">
        <v>6203</v>
      </c>
      <c r="D946" s="19"/>
      <c r="E946" s="2"/>
      <c r="F946" s="19"/>
    </row>
    <row r="947" ht="15.75" customHeight="1">
      <c r="A947" s="1">
        <v>5.0627461E7</v>
      </c>
      <c r="B947" s="2" t="s">
        <v>650</v>
      </c>
      <c r="C947" s="19" t="s">
        <v>6204</v>
      </c>
      <c r="D947" s="19" t="s">
        <v>6205</v>
      </c>
      <c r="E947" s="2"/>
      <c r="F947" s="19"/>
    </row>
    <row r="948" ht="15.75" customHeight="1">
      <c r="A948" s="1">
        <v>5.0628776E7</v>
      </c>
      <c r="B948" s="2" t="s">
        <v>148</v>
      </c>
      <c r="C948" s="19" t="s">
        <v>6206</v>
      </c>
      <c r="D948" s="19" t="s">
        <v>6207</v>
      </c>
      <c r="E948" s="2"/>
      <c r="F948" s="19"/>
    </row>
    <row r="949" ht="15.75" customHeight="1">
      <c r="A949" s="1">
        <v>5.0629028E7</v>
      </c>
      <c r="B949" s="2" t="s">
        <v>1442</v>
      </c>
      <c r="C949" s="19" t="s">
        <v>6208</v>
      </c>
      <c r="D949" s="19"/>
      <c r="E949" s="2"/>
      <c r="F949" s="19"/>
    </row>
    <row r="950" ht="15.75" customHeight="1">
      <c r="A950" s="1">
        <v>5.0632954E7</v>
      </c>
      <c r="B950" s="2" t="s">
        <v>1545</v>
      </c>
      <c r="C950" s="19" t="s">
        <v>6209</v>
      </c>
      <c r="D950" s="19" t="s">
        <v>6210</v>
      </c>
      <c r="E950" s="2"/>
      <c r="F950" s="19"/>
    </row>
    <row r="951" ht="15.75" customHeight="1">
      <c r="A951" s="1">
        <v>5.063383E7</v>
      </c>
      <c r="B951" s="2" t="s">
        <v>465</v>
      </c>
      <c r="C951" s="19" t="s">
        <v>6211</v>
      </c>
      <c r="D951" s="19"/>
      <c r="E951" s="2"/>
      <c r="F951" s="19"/>
    </row>
    <row r="952" ht="15.75" customHeight="1">
      <c r="A952" s="1">
        <v>5.0635277E7</v>
      </c>
      <c r="B952" s="2" t="s">
        <v>1166</v>
      </c>
      <c r="C952" s="19" t="s">
        <v>6212</v>
      </c>
      <c r="D952" s="19" t="s">
        <v>6213</v>
      </c>
      <c r="E952" s="2"/>
      <c r="F952" s="19"/>
    </row>
    <row r="953" ht="15.75" customHeight="1">
      <c r="A953" s="1">
        <v>5.0636935E7</v>
      </c>
      <c r="B953" s="2" t="s">
        <v>1250</v>
      </c>
      <c r="C953" s="19" t="s">
        <v>6214</v>
      </c>
      <c r="D953" s="19"/>
      <c r="E953" s="2"/>
      <c r="F953" s="19"/>
    </row>
    <row r="954" ht="15.75" customHeight="1">
      <c r="A954" s="1">
        <v>5.0637765E7</v>
      </c>
      <c r="B954" s="2" t="s">
        <v>1619</v>
      </c>
      <c r="C954" s="19" t="s">
        <v>6215</v>
      </c>
      <c r="D954" s="19"/>
      <c r="E954" s="2"/>
      <c r="F954" s="19"/>
    </row>
    <row r="955" ht="15.75" customHeight="1">
      <c r="A955" s="1">
        <v>5.0641477E7</v>
      </c>
      <c r="B955" s="2" t="s">
        <v>1416</v>
      </c>
      <c r="C955" s="19" t="s">
        <v>6216</v>
      </c>
      <c r="D955" s="19"/>
      <c r="E955" s="2"/>
      <c r="F955" s="19"/>
    </row>
    <row r="956" ht="15.75" customHeight="1">
      <c r="A956" s="1">
        <v>5.0661246E7</v>
      </c>
      <c r="B956" s="2" t="s">
        <v>3145</v>
      </c>
      <c r="C956" s="19" t="s">
        <v>6217</v>
      </c>
      <c r="D956" s="19"/>
      <c r="E956" s="2"/>
      <c r="F956" s="19"/>
    </row>
    <row r="957" ht="15.75" customHeight="1">
      <c r="A957" s="1">
        <v>5.067456E7</v>
      </c>
      <c r="B957" s="2" t="s">
        <v>3275</v>
      </c>
      <c r="C957" s="19" t="s">
        <v>6218</v>
      </c>
      <c r="D957" s="19" t="s">
        <v>6219</v>
      </c>
      <c r="E957" s="2"/>
      <c r="F957" s="19"/>
    </row>
    <row r="958" ht="15.75" customHeight="1">
      <c r="A958" s="1">
        <v>5.0688958E7</v>
      </c>
      <c r="B958" s="2" t="s">
        <v>1666</v>
      </c>
      <c r="C958" s="19" t="s">
        <v>6220</v>
      </c>
      <c r="D958" s="19"/>
      <c r="E958" s="2"/>
      <c r="F958" s="19"/>
    </row>
    <row r="959" ht="15.75" customHeight="1">
      <c r="A959" s="1">
        <v>5.0699695E7</v>
      </c>
      <c r="B959" s="2" t="s">
        <v>3009</v>
      </c>
      <c r="C959" s="19" t="s">
        <v>6221</v>
      </c>
      <c r="D959" s="19" t="s">
        <v>6222</v>
      </c>
      <c r="E959" s="2"/>
      <c r="F959" s="19"/>
    </row>
    <row r="960" ht="15.75" customHeight="1">
      <c r="A960" s="1">
        <v>5.0701731E7</v>
      </c>
      <c r="B960" s="2" t="s">
        <v>1315</v>
      </c>
      <c r="C960" s="19" t="s">
        <v>6223</v>
      </c>
      <c r="D960" s="19"/>
      <c r="E960" s="2"/>
      <c r="F960" s="19"/>
    </row>
    <row r="961" ht="15.75" customHeight="1">
      <c r="A961" s="1">
        <v>5.0705737E7</v>
      </c>
      <c r="B961" s="2" t="s">
        <v>2914</v>
      </c>
      <c r="C961" s="19" t="s">
        <v>6224</v>
      </c>
      <c r="D961" s="19"/>
      <c r="E961" s="2"/>
      <c r="F961" s="19"/>
    </row>
    <row r="962" ht="15.75" customHeight="1">
      <c r="A962" s="1">
        <v>5.0710541E7</v>
      </c>
      <c r="B962" s="2" t="s">
        <v>1375</v>
      </c>
      <c r="C962" s="19" t="s">
        <v>6225</v>
      </c>
      <c r="D962" s="19" t="s">
        <v>6226</v>
      </c>
      <c r="E962" s="2"/>
      <c r="F962" s="19"/>
    </row>
    <row r="963" ht="15.75" customHeight="1">
      <c r="A963" s="1">
        <v>5.0713215E7</v>
      </c>
      <c r="B963" s="2" t="s">
        <v>1453</v>
      </c>
      <c r="C963" s="19" t="s">
        <v>6227</v>
      </c>
      <c r="D963" s="19" t="s">
        <v>6228</v>
      </c>
      <c r="E963" s="2"/>
      <c r="F963" s="19"/>
    </row>
    <row r="964" ht="15.75" customHeight="1">
      <c r="A964" s="1">
        <v>5.0718804E7</v>
      </c>
      <c r="B964" s="2" t="s">
        <v>3247</v>
      </c>
      <c r="C964" s="19" t="s">
        <v>6229</v>
      </c>
      <c r="D964" s="19"/>
      <c r="E964" s="2"/>
      <c r="F964" s="19"/>
    </row>
    <row r="965" ht="15.75" customHeight="1">
      <c r="A965" s="1">
        <v>5.0730545E7</v>
      </c>
      <c r="B965" s="2" t="s">
        <v>1684</v>
      </c>
      <c r="C965" s="19" t="s">
        <v>6230</v>
      </c>
      <c r="D965" s="19"/>
      <c r="E965" s="2"/>
      <c r="F965" s="19"/>
    </row>
    <row r="966" ht="15.75" customHeight="1">
      <c r="A966" s="1">
        <v>5.0749813E7</v>
      </c>
      <c r="B966" s="2" t="s">
        <v>1530</v>
      </c>
      <c r="C966" s="19" t="s">
        <v>6231</v>
      </c>
      <c r="D966" s="19"/>
      <c r="E966" s="2"/>
      <c r="F966" s="19"/>
    </row>
    <row r="967" ht="15.75" customHeight="1">
      <c r="A967" s="1">
        <v>5.075225E7</v>
      </c>
      <c r="B967" s="2" t="s">
        <v>1015</v>
      </c>
      <c r="C967" s="19" t="s">
        <v>6232</v>
      </c>
      <c r="D967" s="19"/>
      <c r="E967" s="2"/>
      <c r="F967" s="19"/>
    </row>
    <row r="968" ht="15.75" customHeight="1">
      <c r="A968" s="1">
        <v>5.0757567E7</v>
      </c>
      <c r="B968" s="2" t="s">
        <v>207</v>
      </c>
      <c r="C968" s="19" t="s">
        <v>6233</v>
      </c>
      <c r="D968" s="19"/>
      <c r="E968" s="2"/>
      <c r="F968" s="19"/>
    </row>
    <row r="969" ht="15.75" customHeight="1">
      <c r="A969" s="1">
        <v>5.0764255E7</v>
      </c>
      <c r="B969" s="2" t="s">
        <v>2157</v>
      </c>
      <c r="C969" s="19" t="s">
        <v>6234</v>
      </c>
      <c r="D969" s="19" t="s">
        <v>6235</v>
      </c>
      <c r="E969" s="2"/>
      <c r="F969" s="19"/>
    </row>
    <row r="970" ht="15.75" customHeight="1">
      <c r="A970" s="1">
        <v>5.0766363E7</v>
      </c>
      <c r="B970" s="2" t="s">
        <v>2105</v>
      </c>
      <c r="C970" s="19" t="s">
        <v>6236</v>
      </c>
      <c r="D970" s="19" t="s">
        <v>6237</v>
      </c>
      <c r="E970" s="2"/>
      <c r="F970" s="19"/>
    </row>
    <row r="971" ht="15.75" customHeight="1">
      <c r="A971" s="1">
        <v>5.0783112E7</v>
      </c>
      <c r="B971" s="2" t="s">
        <v>2097</v>
      </c>
      <c r="C971" s="19" t="s">
        <v>6238</v>
      </c>
      <c r="D971" s="19" t="s">
        <v>6239</v>
      </c>
      <c r="E971" s="2"/>
      <c r="F971" s="19"/>
    </row>
    <row r="972" ht="15.75" customHeight="1">
      <c r="A972" s="1">
        <v>5.0819321E7</v>
      </c>
      <c r="B972" s="2" t="s">
        <v>668</v>
      </c>
      <c r="C972" s="19" t="s">
        <v>6240</v>
      </c>
      <c r="D972" s="19"/>
      <c r="E972" s="2"/>
      <c r="F972" s="19"/>
    </row>
    <row r="973" ht="15.75" customHeight="1">
      <c r="A973" s="1">
        <v>5.0822695E7</v>
      </c>
      <c r="B973" s="2" t="s">
        <v>2127</v>
      </c>
      <c r="C973" s="19" t="s">
        <v>6241</v>
      </c>
      <c r="D973" s="19"/>
      <c r="E973" s="2"/>
      <c r="F973" s="19"/>
    </row>
    <row r="974" ht="15.75" customHeight="1">
      <c r="A974" s="1">
        <v>5.0823383E7</v>
      </c>
      <c r="B974" s="2" t="s">
        <v>320</v>
      </c>
      <c r="C974" s="19" t="s">
        <v>6242</v>
      </c>
      <c r="D974" s="19"/>
      <c r="E974" s="2"/>
      <c r="F974" s="19"/>
    </row>
    <row r="975" ht="15.75" customHeight="1">
      <c r="A975" s="1">
        <v>5.0825507E7</v>
      </c>
      <c r="B975" s="2" t="s">
        <v>1596</v>
      </c>
      <c r="C975" s="19" t="s">
        <v>6243</v>
      </c>
      <c r="D975" s="19"/>
      <c r="E975" s="2"/>
      <c r="F975" s="19"/>
    </row>
    <row r="976" ht="15.75" customHeight="1">
      <c r="A976" s="1">
        <v>5.0829992E7</v>
      </c>
      <c r="B976" s="2" t="s">
        <v>1321</v>
      </c>
      <c r="C976" s="19" t="s">
        <v>6244</v>
      </c>
      <c r="D976" s="19"/>
      <c r="E976" s="2"/>
      <c r="F976" s="19"/>
    </row>
    <row r="977" ht="15.75" customHeight="1">
      <c r="A977" s="1">
        <v>5.0846243E7</v>
      </c>
      <c r="B977" s="2" t="s">
        <v>1316</v>
      </c>
      <c r="C977" s="19" t="s">
        <v>6245</v>
      </c>
      <c r="D977" s="19"/>
      <c r="E977" s="2"/>
      <c r="F977" s="19"/>
    </row>
    <row r="978" ht="15.75" customHeight="1">
      <c r="A978" s="1">
        <v>5.0850661E7</v>
      </c>
      <c r="B978" s="2" t="s">
        <v>626</v>
      </c>
      <c r="C978" s="19" t="s">
        <v>6246</v>
      </c>
      <c r="D978" s="19"/>
      <c r="E978" s="2"/>
      <c r="F978" s="19"/>
    </row>
    <row r="979" ht="15.75" customHeight="1">
      <c r="A979" s="1">
        <v>5.0851665E7</v>
      </c>
      <c r="B979" s="2" t="s">
        <v>2760</v>
      </c>
      <c r="C979" s="19" t="s">
        <v>6247</v>
      </c>
      <c r="D979" s="19"/>
      <c r="E979" s="2"/>
      <c r="F979" s="19"/>
    </row>
    <row r="980" ht="15.75" customHeight="1">
      <c r="A980" s="1">
        <v>5.085215E7</v>
      </c>
      <c r="B980" s="2" t="s">
        <v>862</v>
      </c>
      <c r="C980" s="19" t="s">
        <v>6248</v>
      </c>
      <c r="D980" s="19"/>
      <c r="E980" s="2"/>
      <c r="F980" s="19"/>
    </row>
    <row r="981" ht="15.75" customHeight="1">
      <c r="A981" s="1">
        <v>5.0856027E7</v>
      </c>
      <c r="B981" s="2" t="s">
        <v>3191</v>
      </c>
      <c r="C981" s="19" t="s">
        <v>6249</v>
      </c>
      <c r="D981" s="19"/>
      <c r="E981" s="2"/>
      <c r="F981" s="19"/>
    </row>
    <row r="982" ht="15.75" customHeight="1">
      <c r="A982" s="1">
        <v>5.0862637E7</v>
      </c>
      <c r="B982" s="2" t="s">
        <v>346</v>
      </c>
      <c r="C982" s="19" t="s">
        <v>6250</v>
      </c>
      <c r="D982" s="19"/>
      <c r="E982" s="2"/>
      <c r="F982" s="19"/>
    </row>
    <row r="983" ht="15.75" customHeight="1">
      <c r="A983" s="1">
        <v>5.0865772E7</v>
      </c>
      <c r="B983" s="2" t="s">
        <v>2437</v>
      </c>
      <c r="C983" s="19" t="s">
        <v>6251</v>
      </c>
      <c r="D983" s="19" t="s">
        <v>6252</v>
      </c>
      <c r="E983" s="2"/>
      <c r="F983" s="19"/>
    </row>
    <row r="984" ht="15.75" customHeight="1">
      <c r="A984" s="1">
        <v>5.0867815E7</v>
      </c>
      <c r="B984" s="2" t="s">
        <v>1132</v>
      </c>
      <c r="C984" s="19" t="s">
        <v>6253</v>
      </c>
      <c r="D984" s="19"/>
      <c r="E984" s="2"/>
      <c r="F984" s="19"/>
    </row>
    <row r="985" ht="15.75" customHeight="1">
      <c r="A985" s="1">
        <v>5.0868194E7</v>
      </c>
      <c r="B985" s="2" t="s">
        <v>1128</v>
      </c>
      <c r="C985" s="19" t="s">
        <v>6254</v>
      </c>
      <c r="D985" s="19"/>
      <c r="E985" s="2"/>
      <c r="F985" s="19"/>
    </row>
    <row r="986" ht="15.75" customHeight="1">
      <c r="A986" s="1">
        <v>5.0872515E7</v>
      </c>
      <c r="B986" s="2" t="s">
        <v>603</v>
      </c>
      <c r="C986" s="19" t="s">
        <v>6255</v>
      </c>
      <c r="D986" s="19"/>
      <c r="E986" s="2"/>
      <c r="F986" s="19"/>
    </row>
    <row r="987" ht="15.75" customHeight="1">
      <c r="A987" s="1">
        <v>5.0874376E7</v>
      </c>
      <c r="B987" s="2" t="s">
        <v>903</v>
      </c>
      <c r="C987" s="19" t="s">
        <v>6256</v>
      </c>
      <c r="D987" s="19"/>
      <c r="E987" s="2"/>
      <c r="F987" s="19"/>
    </row>
    <row r="988" ht="15.75" customHeight="1">
      <c r="A988" s="1">
        <v>5.087628E7</v>
      </c>
      <c r="B988" s="2" t="s">
        <v>2629</v>
      </c>
      <c r="C988" s="19" t="s">
        <v>6257</v>
      </c>
      <c r="D988" s="19"/>
      <c r="E988" s="2"/>
      <c r="F988" s="19"/>
    </row>
    <row r="989" ht="15.75" customHeight="1">
      <c r="A989" s="1">
        <v>5.0877919E7</v>
      </c>
      <c r="B989" s="2" t="s">
        <v>1419</v>
      </c>
      <c r="C989" s="19" t="s">
        <v>6258</v>
      </c>
      <c r="D989" s="19" t="s">
        <v>6259</v>
      </c>
      <c r="E989" s="2"/>
      <c r="F989" s="19"/>
    </row>
    <row r="990" ht="15.75" customHeight="1">
      <c r="A990" s="1">
        <v>5.0877966E7</v>
      </c>
      <c r="B990" s="2" t="s">
        <v>2061</v>
      </c>
      <c r="C990" s="19" t="s">
        <v>6260</v>
      </c>
      <c r="D990" s="19" t="s">
        <v>6261</v>
      </c>
      <c r="E990" s="2"/>
      <c r="F990" s="19"/>
    </row>
    <row r="991" ht="15.75" customHeight="1">
      <c r="A991" s="1">
        <v>5.0882936E7</v>
      </c>
      <c r="B991" s="2" t="s">
        <v>1091</v>
      </c>
      <c r="C991" s="19" t="s">
        <v>6262</v>
      </c>
      <c r="D991" s="19" t="s">
        <v>6263</v>
      </c>
      <c r="E991" s="2"/>
      <c r="F991" s="19"/>
    </row>
    <row r="992" ht="15.75" customHeight="1">
      <c r="A992" s="1">
        <v>5.0903007E7</v>
      </c>
      <c r="B992" s="2" t="s">
        <v>1914</v>
      </c>
      <c r="C992" s="19" t="s">
        <v>6264</v>
      </c>
      <c r="D992" s="19"/>
      <c r="E992" s="2"/>
      <c r="F992" s="19"/>
    </row>
    <row r="993" ht="15.75" customHeight="1">
      <c r="A993" s="1">
        <v>5.0932709E7</v>
      </c>
      <c r="B993" s="2" t="s">
        <v>1281</v>
      </c>
      <c r="C993" s="19" t="s">
        <v>6265</v>
      </c>
      <c r="D993" s="19"/>
      <c r="E993" s="2"/>
      <c r="F993" s="19"/>
    </row>
    <row r="994" ht="15.75" customHeight="1">
      <c r="A994" s="1">
        <v>5.0936643E7</v>
      </c>
      <c r="B994" s="2" t="s">
        <v>1945</v>
      </c>
      <c r="C994" s="19" t="s">
        <v>6266</v>
      </c>
      <c r="D994" s="19" t="s">
        <v>6267</v>
      </c>
      <c r="E994" s="2"/>
      <c r="F994" s="19"/>
    </row>
    <row r="995" ht="15.75" customHeight="1">
      <c r="A995" s="1">
        <v>5.0945866E7</v>
      </c>
      <c r="B995" s="2" t="s">
        <v>2987</v>
      </c>
      <c r="C995" s="19" t="s">
        <v>6268</v>
      </c>
      <c r="D995" s="19"/>
      <c r="E995" s="2"/>
      <c r="F995" s="19"/>
    </row>
    <row r="996" ht="15.75" customHeight="1">
      <c r="A996" s="1">
        <v>5.097315E7</v>
      </c>
      <c r="B996" s="2" t="s">
        <v>724</v>
      </c>
      <c r="C996" s="19" t="s">
        <v>6269</v>
      </c>
      <c r="D996" s="19"/>
      <c r="E996" s="2"/>
      <c r="F996" s="19"/>
    </row>
    <row r="997" ht="15.75" customHeight="1">
      <c r="A997" s="1">
        <v>5.0977178E7</v>
      </c>
      <c r="B997" s="2" t="s">
        <v>612</v>
      </c>
      <c r="C997" s="19" t="s">
        <v>6270</v>
      </c>
      <c r="D997" s="19" t="s">
        <v>6271</v>
      </c>
      <c r="E997" s="2"/>
      <c r="F997" s="19"/>
    </row>
    <row r="998" ht="15.75" customHeight="1">
      <c r="A998" s="1">
        <v>5.0980779E7</v>
      </c>
      <c r="B998" s="2" t="s">
        <v>164</v>
      </c>
      <c r="C998" s="19" t="s">
        <v>6272</v>
      </c>
      <c r="D998" s="19"/>
      <c r="E998" s="2"/>
      <c r="F998" s="19"/>
    </row>
    <row r="999" ht="15.75" customHeight="1">
      <c r="A999" s="1">
        <v>5.0986952E7</v>
      </c>
      <c r="B999" s="2" t="s">
        <v>1585</v>
      </c>
      <c r="C999" s="19" t="s">
        <v>6273</v>
      </c>
      <c r="D999" s="19"/>
      <c r="E999" s="2"/>
      <c r="F999" s="19"/>
    </row>
    <row r="1000" ht="15.75" customHeight="1">
      <c r="A1000" s="1">
        <v>5.1000955E7</v>
      </c>
      <c r="B1000" s="2" t="s">
        <v>1406</v>
      </c>
      <c r="C1000" s="19" t="s">
        <v>6274</v>
      </c>
      <c r="D1000" s="19" t="s">
        <v>6275</v>
      </c>
      <c r="E1000" s="2"/>
      <c r="F1000" s="19"/>
    </row>
    <row r="1001" ht="15.75" customHeight="1">
      <c r="A1001" s="1">
        <v>5.1016243E7</v>
      </c>
      <c r="B1001" s="2" t="s">
        <v>2584</v>
      </c>
      <c r="C1001" s="19" t="s">
        <v>6276</v>
      </c>
      <c r="D1001" s="19"/>
      <c r="E1001" s="2"/>
      <c r="F1001" s="19"/>
    </row>
    <row r="1002" ht="15.75" customHeight="1">
      <c r="A1002" s="1">
        <v>5.1018281E7</v>
      </c>
      <c r="B1002" s="2" t="s">
        <v>1070</v>
      </c>
      <c r="C1002" s="19" t="s">
        <v>6277</v>
      </c>
      <c r="D1002" s="19"/>
      <c r="E1002" s="2"/>
      <c r="F1002" s="19"/>
    </row>
    <row r="1003" ht="15.75" customHeight="1">
      <c r="A1003" s="1">
        <v>5.1024525E7</v>
      </c>
      <c r="B1003" s="2" t="s">
        <v>3146</v>
      </c>
      <c r="C1003" s="19" t="s">
        <v>6278</v>
      </c>
      <c r="D1003" s="19"/>
      <c r="E1003" s="2"/>
      <c r="F1003" s="19"/>
    </row>
    <row r="1004" ht="15.75" customHeight="1">
      <c r="A1004" s="1">
        <v>5.1028474E7</v>
      </c>
      <c r="B1004" s="2" t="s">
        <v>2016</v>
      </c>
      <c r="C1004" s="19" t="s">
        <v>6279</v>
      </c>
      <c r="D1004" s="19" t="s">
        <v>6280</v>
      </c>
      <c r="E1004" s="2"/>
      <c r="F1004" s="19"/>
    </row>
    <row r="1005" ht="15.75" customHeight="1">
      <c r="A1005" s="1">
        <v>5.1031354E7</v>
      </c>
      <c r="B1005" s="2" t="s">
        <v>1393</v>
      </c>
      <c r="C1005" s="19" t="s">
        <v>6281</v>
      </c>
      <c r="D1005" s="19"/>
      <c r="E1005" s="2"/>
      <c r="F1005" s="19"/>
    </row>
    <row r="1006" ht="15.75" customHeight="1">
      <c r="A1006" s="1">
        <v>5.1031495E7</v>
      </c>
      <c r="B1006" s="2" t="s">
        <v>705</v>
      </c>
      <c r="C1006" s="19" t="s">
        <v>6282</v>
      </c>
      <c r="D1006" s="19"/>
      <c r="E1006" s="2"/>
      <c r="F1006" s="19"/>
    </row>
    <row r="1007" ht="15.75" customHeight="1">
      <c r="A1007" s="1">
        <v>5.1032451E7</v>
      </c>
      <c r="B1007" s="2" t="s">
        <v>1164</v>
      </c>
      <c r="C1007" s="19" t="s">
        <v>6283</v>
      </c>
      <c r="D1007" s="19" t="s">
        <v>6284</v>
      </c>
      <c r="E1007" s="2"/>
      <c r="F1007" s="19"/>
    </row>
    <row r="1008" ht="15.75" customHeight="1">
      <c r="A1008" s="1">
        <v>5.103332E7</v>
      </c>
      <c r="B1008" s="2" t="s">
        <v>1608</v>
      </c>
      <c r="C1008" s="19" t="s">
        <v>6285</v>
      </c>
      <c r="D1008" s="19"/>
      <c r="E1008" s="2"/>
      <c r="F1008" s="19"/>
    </row>
    <row r="1009" ht="15.75" customHeight="1">
      <c r="A1009" s="1">
        <v>5.1043227E7</v>
      </c>
      <c r="B1009" s="2" t="s">
        <v>2879</v>
      </c>
      <c r="C1009" s="19" t="s">
        <v>6286</v>
      </c>
      <c r="D1009" s="19"/>
      <c r="E1009" s="2"/>
      <c r="F1009" s="19"/>
    </row>
    <row r="1010" ht="15.75" customHeight="1">
      <c r="A1010" s="1">
        <v>5.1044647E7</v>
      </c>
      <c r="B1010" s="2" t="s">
        <v>1511</v>
      </c>
      <c r="C1010" s="19" t="s">
        <v>6287</v>
      </c>
      <c r="D1010" s="19"/>
      <c r="E1010" s="2"/>
      <c r="F1010" s="19"/>
    </row>
    <row r="1011" ht="15.75" customHeight="1">
      <c r="A1011" s="1">
        <v>5.1056684E7</v>
      </c>
      <c r="B1011" s="2" t="s">
        <v>2213</v>
      </c>
      <c r="C1011" s="19" t="s">
        <v>6288</v>
      </c>
      <c r="D1011" s="19" t="s">
        <v>6289</v>
      </c>
      <c r="E1011" s="2"/>
      <c r="F1011" s="19"/>
    </row>
    <row r="1012" ht="15.75" customHeight="1">
      <c r="A1012" s="1">
        <v>5.1066585E7</v>
      </c>
      <c r="B1012" s="2" t="s">
        <v>1083</v>
      </c>
      <c r="C1012" s="19" t="s">
        <v>6290</v>
      </c>
      <c r="D1012" s="19"/>
      <c r="E1012" s="2"/>
      <c r="F1012" s="19"/>
    </row>
    <row r="1013" ht="15.75" customHeight="1">
      <c r="A1013" s="1">
        <v>5.1069295E7</v>
      </c>
      <c r="B1013" s="2" t="s">
        <v>962</v>
      </c>
      <c r="C1013" s="19" t="s">
        <v>6291</v>
      </c>
      <c r="D1013" s="19" t="s">
        <v>6292</v>
      </c>
      <c r="E1013" s="2"/>
      <c r="F1013" s="19"/>
    </row>
    <row r="1014" ht="15.75" customHeight="1">
      <c r="A1014" s="1">
        <v>5.1072576E7</v>
      </c>
      <c r="B1014" s="2" t="s">
        <v>576</v>
      </c>
      <c r="C1014" s="19" t="s">
        <v>6293</v>
      </c>
      <c r="D1014" s="19"/>
      <c r="E1014" s="2"/>
      <c r="F1014" s="19"/>
    </row>
    <row r="1015" ht="15.75" customHeight="1">
      <c r="A1015" s="1">
        <v>5.1076243E7</v>
      </c>
      <c r="B1015" s="2" t="s">
        <v>211</v>
      </c>
      <c r="C1015" s="19" t="s">
        <v>6294</v>
      </c>
      <c r="D1015" s="19" t="s">
        <v>6295</v>
      </c>
      <c r="E1015" s="2"/>
      <c r="F1015" s="19"/>
    </row>
    <row r="1016" ht="15.75" customHeight="1">
      <c r="A1016" s="1">
        <v>5.1077496E7</v>
      </c>
      <c r="B1016" s="2" t="s">
        <v>1465</v>
      </c>
      <c r="C1016" s="19" t="s">
        <v>6296</v>
      </c>
      <c r="D1016" s="19"/>
      <c r="E1016" s="2"/>
      <c r="F1016" s="19"/>
    </row>
    <row r="1017" ht="15.75" customHeight="1">
      <c r="A1017" s="1">
        <v>5.1079139E7</v>
      </c>
      <c r="B1017" s="2" t="s">
        <v>1553</v>
      </c>
      <c r="C1017" s="19" t="s">
        <v>6297</v>
      </c>
      <c r="D1017" s="19" t="s">
        <v>6298</v>
      </c>
      <c r="E1017" s="2"/>
      <c r="F1017" s="19"/>
    </row>
    <row r="1018" ht="15.75" customHeight="1">
      <c r="A1018" s="1">
        <v>5.108679E7</v>
      </c>
      <c r="B1018" s="2" t="s">
        <v>1842</v>
      </c>
      <c r="C1018" s="19" t="s">
        <v>6299</v>
      </c>
      <c r="D1018" s="19"/>
      <c r="E1018" s="2"/>
      <c r="F1018" s="19"/>
    </row>
    <row r="1019" ht="15.75" customHeight="1">
      <c r="A1019" s="1">
        <v>5.1092787E7</v>
      </c>
      <c r="B1019" s="2" t="s">
        <v>154</v>
      </c>
      <c r="C1019" s="19" t="s">
        <v>6300</v>
      </c>
      <c r="D1019" s="19" t="s">
        <v>6301</v>
      </c>
      <c r="E1019" s="2"/>
      <c r="F1019" s="19"/>
    </row>
    <row r="1020" ht="15.75" customHeight="1">
      <c r="A1020" s="1">
        <v>5.1104084E7</v>
      </c>
      <c r="B1020" s="2" t="s">
        <v>241</v>
      </c>
      <c r="C1020" s="19" t="s">
        <v>6302</v>
      </c>
      <c r="D1020" s="19"/>
      <c r="E1020" s="2"/>
      <c r="F1020" s="19"/>
    </row>
    <row r="1021" ht="15.75" customHeight="1">
      <c r="A1021" s="1">
        <v>5.1105421E7</v>
      </c>
      <c r="B1021" s="2" t="s">
        <v>2249</v>
      </c>
      <c r="C1021" s="19" t="s">
        <v>6303</v>
      </c>
      <c r="D1021" s="19"/>
      <c r="E1021" s="2"/>
      <c r="F1021" s="19"/>
    </row>
    <row r="1022" ht="15.75" customHeight="1">
      <c r="A1022" s="1">
        <v>5.1105842E7</v>
      </c>
      <c r="B1022" s="2" t="s">
        <v>2383</v>
      </c>
      <c r="C1022" s="19" t="s">
        <v>6304</v>
      </c>
      <c r="D1022" s="19"/>
      <c r="E1022" s="2"/>
      <c r="F1022" s="19"/>
    </row>
    <row r="1023" ht="15.75" customHeight="1">
      <c r="A1023" s="1">
        <v>5.1110466E7</v>
      </c>
      <c r="B1023" s="2" t="s">
        <v>2645</v>
      </c>
      <c r="C1023" s="19" t="s">
        <v>6305</v>
      </c>
      <c r="D1023" s="19"/>
      <c r="E1023" s="2"/>
      <c r="F1023" s="19"/>
    </row>
    <row r="1024" ht="15.75" customHeight="1">
      <c r="A1024" s="1">
        <v>5.1133592E7</v>
      </c>
      <c r="B1024" s="2" t="s">
        <v>1055</v>
      </c>
      <c r="C1024" s="19" t="s">
        <v>6306</v>
      </c>
      <c r="D1024" s="19"/>
      <c r="E1024" s="2"/>
      <c r="F1024" s="19"/>
    </row>
    <row r="1025" ht="15.75" customHeight="1">
      <c r="A1025" s="1">
        <v>5.1142087E7</v>
      </c>
      <c r="B1025" s="2" t="s">
        <v>354</v>
      </c>
      <c r="C1025" s="19" t="s">
        <v>6307</v>
      </c>
      <c r="D1025" s="19"/>
      <c r="E1025" s="2"/>
      <c r="F1025" s="19"/>
    </row>
    <row r="1026" ht="15.75" customHeight="1">
      <c r="A1026" s="1">
        <v>5.1150942E7</v>
      </c>
      <c r="B1026" s="2" t="s">
        <v>3516</v>
      </c>
      <c r="C1026" s="19" t="s">
        <v>6308</v>
      </c>
      <c r="D1026" s="19"/>
      <c r="E1026" s="2"/>
      <c r="F1026" s="19"/>
    </row>
    <row r="1027" ht="15.75" customHeight="1">
      <c r="A1027" s="1">
        <v>5.1151926E7</v>
      </c>
      <c r="B1027" s="2" t="s">
        <v>155</v>
      </c>
      <c r="C1027" s="19" t="s">
        <v>6309</v>
      </c>
      <c r="D1027" s="19"/>
      <c r="E1027" s="2"/>
      <c r="F1027" s="19"/>
    </row>
    <row r="1028" ht="15.75" customHeight="1">
      <c r="A1028" s="1">
        <v>5.1157469E7</v>
      </c>
      <c r="B1028" s="2" t="s">
        <v>210</v>
      </c>
      <c r="C1028" s="19" t="s">
        <v>6310</v>
      </c>
      <c r="D1028" s="19" t="s">
        <v>6311</v>
      </c>
      <c r="E1028" s="2"/>
      <c r="F1028" s="19"/>
    </row>
    <row r="1029" ht="15.75" customHeight="1">
      <c r="A1029" s="1">
        <v>5.115776E7</v>
      </c>
      <c r="B1029" s="2" t="s">
        <v>436</v>
      </c>
      <c r="C1029" s="19" t="s">
        <v>6312</v>
      </c>
      <c r="D1029" s="19"/>
      <c r="E1029" s="2"/>
      <c r="F1029" s="19"/>
    </row>
    <row r="1030" ht="15.75" customHeight="1">
      <c r="A1030" s="1">
        <v>5.1162737E7</v>
      </c>
      <c r="B1030" s="2" t="s">
        <v>583</v>
      </c>
      <c r="C1030" s="19" t="s">
        <v>6313</v>
      </c>
      <c r="D1030" s="19"/>
      <c r="E1030" s="2"/>
      <c r="F1030" s="19"/>
    </row>
    <row r="1031" ht="15.75" customHeight="1">
      <c r="A1031" s="1">
        <v>5.1168207E7</v>
      </c>
      <c r="B1031" s="2" t="s">
        <v>571</v>
      </c>
      <c r="C1031" s="19" t="s">
        <v>6314</v>
      </c>
      <c r="D1031" s="19"/>
      <c r="E1031" s="2"/>
      <c r="F1031" s="19"/>
    </row>
    <row r="1032" ht="15.75" customHeight="1">
      <c r="A1032" s="1">
        <v>5.116853E7</v>
      </c>
      <c r="B1032" s="2" t="s">
        <v>2282</v>
      </c>
      <c r="C1032" s="19" t="s">
        <v>6315</v>
      </c>
      <c r="D1032" s="19"/>
      <c r="E1032" s="2"/>
      <c r="F1032" s="19"/>
    </row>
    <row r="1033" ht="15.75" customHeight="1">
      <c r="A1033" s="1">
        <v>5.1175074E7</v>
      </c>
      <c r="B1033" s="2" t="s">
        <v>2406</v>
      </c>
      <c r="C1033" s="19" t="s">
        <v>6316</v>
      </c>
      <c r="D1033" s="19"/>
      <c r="E1033" s="2"/>
      <c r="F1033" s="19"/>
    </row>
    <row r="1034" ht="15.75" customHeight="1">
      <c r="A1034" s="1">
        <v>5.117829E7</v>
      </c>
      <c r="B1034" s="2" t="s">
        <v>413</v>
      </c>
      <c r="C1034" s="19" t="s">
        <v>6317</v>
      </c>
      <c r="D1034" s="19"/>
      <c r="E1034" s="2"/>
      <c r="F1034" s="19"/>
    </row>
    <row r="1035" ht="15.75" customHeight="1">
      <c r="A1035" s="1">
        <v>5.1186512E7</v>
      </c>
      <c r="B1035" s="2" t="s">
        <v>1282</v>
      </c>
      <c r="C1035" s="19" t="s">
        <v>6318</v>
      </c>
      <c r="D1035" s="19" t="s">
        <v>6319</v>
      </c>
      <c r="E1035" s="2"/>
      <c r="F1035" s="19"/>
    </row>
    <row r="1036" ht="15.75" customHeight="1">
      <c r="A1036" s="1">
        <v>5.1193793E7</v>
      </c>
      <c r="B1036" s="2" t="s">
        <v>527</v>
      </c>
      <c r="C1036" s="19" t="s">
        <v>6320</v>
      </c>
      <c r="D1036" s="19" t="s">
        <v>6321</v>
      </c>
      <c r="E1036" s="2"/>
      <c r="F1036" s="19"/>
    </row>
    <row r="1037" ht="15.75" customHeight="1">
      <c r="A1037" s="1">
        <v>5.1194662E7</v>
      </c>
      <c r="B1037" s="2" t="s">
        <v>1614</v>
      </c>
      <c r="C1037" s="19" t="s">
        <v>6322</v>
      </c>
      <c r="D1037" s="19" t="s">
        <v>6323</v>
      </c>
      <c r="E1037" s="2"/>
      <c r="F1037" s="19"/>
    </row>
    <row r="1038" ht="15.75" customHeight="1">
      <c r="A1038" s="1">
        <v>5.1196057E7</v>
      </c>
      <c r="B1038" s="2" t="s">
        <v>1620</v>
      </c>
      <c r="C1038" s="19" t="s">
        <v>6324</v>
      </c>
      <c r="D1038" s="19"/>
      <c r="E1038" s="2"/>
      <c r="F1038" s="19"/>
    </row>
    <row r="1039" ht="15.75" customHeight="1">
      <c r="A1039" s="1">
        <v>5.1206764E7</v>
      </c>
      <c r="B1039" s="2" t="s">
        <v>1721</v>
      </c>
      <c r="C1039" s="19" t="s">
        <v>6325</v>
      </c>
      <c r="D1039" s="19"/>
      <c r="E1039" s="2"/>
      <c r="F1039" s="19"/>
    </row>
    <row r="1040" ht="15.75" customHeight="1">
      <c r="A1040" s="1">
        <v>5.1208243E7</v>
      </c>
      <c r="B1040" s="2" t="s">
        <v>1582</v>
      </c>
      <c r="C1040" s="19" t="s">
        <v>6326</v>
      </c>
      <c r="D1040" s="19"/>
      <c r="E1040" s="2"/>
      <c r="F1040" s="19"/>
    </row>
    <row r="1041" ht="15.75" customHeight="1">
      <c r="A1041" s="1">
        <v>5.1230134E7</v>
      </c>
      <c r="B1041" s="2" t="s">
        <v>1326</v>
      </c>
      <c r="C1041" s="19" t="s">
        <v>6327</v>
      </c>
      <c r="D1041" s="19" t="s">
        <v>6328</v>
      </c>
      <c r="E1041" s="2"/>
      <c r="F1041" s="19"/>
    </row>
    <row r="1042" ht="15.75" customHeight="1">
      <c r="A1042" s="1">
        <v>5.1242918E7</v>
      </c>
      <c r="B1042" s="2" t="s">
        <v>1946</v>
      </c>
      <c r="C1042" s="19" t="s">
        <v>6329</v>
      </c>
      <c r="D1042" s="19" t="s">
        <v>6330</v>
      </c>
      <c r="E1042" s="2"/>
      <c r="F1042" s="19"/>
    </row>
    <row r="1043" ht="15.75" customHeight="1">
      <c r="A1043" s="1">
        <v>5.1257658E7</v>
      </c>
      <c r="B1043" s="2" t="s">
        <v>1435</v>
      </c>
      <c r="C1043" s="19" t="s">
        <v>6331</v>
      </c>
      <c r="D1043" s="19"/>
      <c r="E1043" s="2"/>
      <c r="F1043" s="19"/>
    </row>
    <row r="1044" ht="15.75" customHeight="1">
      <c r="A1044" s="1">
        <v>5.1282275E7</v>
      </c>
      <c r="B1044" s="2" t="s">
        <v>547</v>
      </c>
      <c r="C1044" s="19" t="s">
        <v>6332</v>
      </c>
      <c r="D1044" s="19" t="s">
        <v>6333</v>
      </c>
      <c r="E1044" s="2"/>
      <c r="F1044" s="19"/>
    </row>
    <row r="1045" ht="15.75" customHeight="1">
      <c r="A1045" s="1">
        <v>5.1289884E7</v>
      </c>
      <c r="B1045" s="2" t="s">
        <v>1276</v>
      </c>
      <c r="C1045" s="19" t="s">
        <v>6334</v>
      </c>
      <c r="D1045" s="19"/>
      <c r="E1045" s="2"/>
      <c r="F1045" s="19"/>
    </row>
    <row r="1046" ht="15.75" customHeight="1">
      <c r="A1046" s="1">
        <v>5.1303561E7</v>
      </c>
      <c r="B1046" s="2" t="s">
        <v>834</v>
      </c>
      <c r="C1046" s="19" t="s">
        <v>6335</v>
      </c>
      <c r="D1046" s="19"/>
      <c r="E1046" s="2"/>
      <c r="F1046" s="19"/>
    </row>
    <row r="1047" ht="15.75" customHeight="1">
      <c r="A1047" s="1">
        <v>5.1306484E7</v>
      </c>
      <c r="B1047" s="2" t="s">
        <v>1151</v>
      </c>
      <c r="C1047" s="19" t="s">
        <v>6336</v>
      </c>
      <c r="D1047" s="19"/>
      <c r="E1047" s="2"/>
      <c r="F1047" s="19"/>
    </row>
    <row r="1048" ht="15.75" customHeight="1">
      <c r="A1048" s="1">
        <v>5.1306743E7</v>
      </c>
      <c r="B1048" s="2" t="s">
        <v>2843</v>
      </c>
      <c r="C1048" s="19" t="s">
        <v>6337</v>
      </c>
      <c r="D1048" s="19"/>
      <c r="E1048" s="2"/>
      <c r="F1048" s="19"/>
    </row>
    <row r="1049" ht="15.75" customHeight="1">
      <c r="A1049" s="1">
        <v>5.1394376E7</v>
      </c>
      <c r="B1049" s="2" t="s">
        <v>1214</v>
      </c>
      <c r="C1049" s="19" t="s">
        <v>6338</v>
      </c>
      <c r="D1049" s="19"/>
      <c r="E1049" s="2"/>
      <c r="F1049" s="19"/>
    </row>
    <row r="1050" ht="15.75" customHeight="1">
      <c r="A1050" s="1">
        <v>5.1398947E7</v>
      </c>
      <c r="B1050" s="2" t="s">
        <v>870</v>
      </c>
      <c r="C1050" s="19" t="s">
        <v>6339</v>
      </c>
      <c r="D1050" s="19" t="s">
        <v>6340</v>
      </c>
      <c r="E1050" s="2"/>
      <c r="F1050" s="19"/>
    </row>
    <row r="1051" ht="15.75" customHeight="1">
      <c r="A1051" s="1">
        <v>5.1411038E7</v>
      </c>
      <c r="B1051" s="2" t="s">
        <v>2179</v>
      </c>
      <c r="C1051" s="19" t="s">
        <v>6341</v>
      </c>
      <c r="D1051" s="19"/>
      <c r="E1051" s="2"/>
      <c r="F1051" s="19"/>
    </row>
    <row r="1052" ht="15.75" customHeight="1">
      <c r="A1052" s="1">
        <v>5.141599E7</v>
      </c>
      <c r="B1052" s="2" t="s">
        <v>1160</v>
      </c>
      <c r="C1052" s="19" t="s">
        <v>6342</v>
      </c>
      <c r="D1052" s="19"/>
      <c r="E1052" s="2"/>
      <c r="F1052" s="19"/>
    </row>
    <row r="1053" ht="15.75" customHeight="1">
      <c r="A1053" s="1">
        <v>5.1429292E7</v>
      </c>
      <c r="B1053" s="2" t="s">
        <v>1987</v>
      </c>
      <c r="C1053" s="19" t="s">
        <v>6343</v>
      </c>
      <c r="D1053" s="19"/>
      <c r="E1053" s="2"/>
      <c r="F1053" s="19"/>
    </row>
    <row r="1054" ht="15.75" customHeight="1">
      <c r="A1054" s="1">
        <v>5.1431318E7</v>
      </c>
      <c r="B1054" s="2" t="s">
        <v>1294</v>
      </c>
      <c r="C1054" s="19" t="s">
        <v>6344</v>
      </c>
      <c r="D1054" s="19"/>
      <c r="E1054" s="2"/>
      <c r="F1054" s="19"/>
    </row>
    <row r="1055" ht="15.75" customHeight="1">
      <c r="A1055" s="1">
        <v>5.1444586E7</v>
      </c>
      <c r="B1055" s="2" t="s">
        <v>3170</v>
      </c>
      <c r="C1055" s="19" t="s">
        <v>6345</v>
      </c>
      <c r="D1055" s="19"/>
      <c r="E1055" s="2"/>
      <c r="F1055" s="19"/>
    </row>
    <row r="1056" ht="15.75" customHeight="1">
      <c r="A1056" s="1">
        <v>5.1464538E7</v>
      </c>
      <c r="B1056" s="2" t="s">
        <v>1539</v>
      </c>
      <c r="C1056" s="19" t="s">
        <v>6346</v>
      </c>
      <c r="D1056" s="19" t="s">
        <v>6347</v>
      </c>
      <c r="E1056" s="2"/>
      <c r="F1056" s="19"/>
    </row>
    <row r="1057" ht="15.75" customHeight="1">
      <c r="A1057" s="1">
        <v>5.146848E7</v>
      </c>
      <c r="B1057" s="2" t="s">
        <v>1991</v>
      </c>
      <c r="C1057" s="19" t="s">
        <v>6348</v>
      </c>
      <c r="D1057" s="19" t="s">
        <v>6349</v>
      </c>
      <c r="E1057" s="2"/>
      <c r="F1057" s="19"/>
    </row>
    <row r="1058" ht="15.75" customHeight="1">
      <c r="A1058" s="1">
        <v>5.1472013E7</v>
      </c>
      <c r="B1058" s="2" t="s">
        <v>1222</v>
      </c>
      <c r="C1058" s="19" t="s">
        <v>6350</v>
      </c>
      <c r="D1058" s="19" t="s">
        <v>6351</v>
      </c>
      <c r="E1058" s="2"/>
      <c r="F1058" s="19"/>
    </row>
    <row r="1059" ht="15.75" customHeight="1">
      <c r="A1059" s="1">
        <v>5.1480081E7</v>
      </c>
      <c r="B1059" s="2" t="s">
        <v>391</v>
      </c>
      <c r="C1059" s="19" t="s">
        <v>6352</v>
      </c>
      <c r="D1059" s="19"/>
      <c r="E1059" s="2"/>
      <c r="F1059" s="19"/>
    </row>
    <row r="1060" ht="15.75" customHeight="1">
      <c r="A1060" s="1">
        <v>5.1483123E7</v>
      </c>
      <c r="B1060" s="2" t="s">
        <v>1472</v>
      </c>
      <c r="C1060" s="19" t="s">
        <v>6353</v>
      </c>
      <c r="D1060" s="19" t="s">
        <v>6354</v>
      </c>
      <c r="E1060" s="2"/>
      <c r="F1060" s="19"/>
    </row>
    <row r="1061" ht="15.75" customHeight="1">
      <c r="A1061" s="1">
        <v>5.148875E7</v>
      </c>
      <c r="B1061" s="2" t="s">
        <v>580</v>
      </c>
      <c r="C1061" s="19" t="s">
        <v>6355</v>
      </c>
      <c r="D1061" s="19" t="s">
        <v>6356</v>
      </c>
      <c r="E1061" s="2"/>
      <c r="F1061" s="19"/>
    </row>
    <row r="1062" ht="15.75" customHeight="1">
      <c r="A1062" s="1">
        <v>5.149346E7</v>
      </c>
      <c r="B1062" s="2" t="s">
        <v>513</v>
      </c>
      <c r="C1062" s="19" t="s">
        <v>6357</v>
      </c>
      <c r="D1062" s="19"/>
      <c r="E1062" s="2"/>
      <c r="F1062" s="19"/>
    </row>
    <row r="1063" ht="15.75" customHeight="1">
      <c r="A1063" s="1">
        <v>5.1496895E7</v>
      </c>
      <c r="B1063" s="2" t="s">
        <v>909</v>
      </c>
      <c r="C1063" s="19" t="s">
        <v>6358</v>
      </c>
      <c r="D1063" s="19"/>
      <c r="E1063" s="2"/>
      <c r="F1063" s="19"/>
    </row>
    <row r="1064" ht="15.75" customHeight="1">
      <c r="A1064" s="1">
        <v>5.1499885E7</v>
      </c>
      <c r="B1064" s="2" t="s">
        <v>141</v>
      </c>
      <c r="C1064" s="19" t="s">
        <v>6359</v>
      </c>
      <c r="D1064" s="19" t="s">
        <v>6360</v>
      </c>
      <c r="E1064" s="2"/>
      <c r="F1064" s="19"/>
    </row>
    <row r="1065" ht="15.75" customHeight="1">
      <c r="A1065" s="1">
        <v>5.1512628E7</v>
      </c>
      <c r="B1065" s="2" t="s">
        <v>330</v>
      </c>
      <c r="C1065" s="19" t="s">
        <v>6361</v>
      </c>
      <c r="D1065" s="19" t="s">
        <v>6362</v>
      </c>
      <c r="E1065" s="2"/>
      <c r="F1065" s="19"/>
    </row>
    <row r="1066" ht="15.75" customHeight="1">
      <c r="A1066" s="1">
        <v>5.1523396E7</v>
      </c>
      <c r="B1066" s="2" t="s">
        <v>2218</v>
      </c>
      <c r="C1066" s="19" t="s">
        <v>6363</v>
      </c>
      <c r="D1066" s="19"/>
      <c r="E1066" s="2"/>
      <c r="F1066" s="19"/>
    </row>
    <row r="1067" ht="15.75" customHeight="1">
      <c r="A1067" s="1">
        <v>5.1525766E7</v>
      </c>
      <c r="B1067" s="2" t="s">
        <v>3038</v>
      </c>
      <c r="C1067" s="19" t="s">
        <v>6364</v>
      </c>
      <c r="D1067" s="19" t="s">
        <v>6365</v>
      </c>
      <c r="E1067" s="2"/>
      <c r="F1067" s="19"/>
    </row>
    <row r="1068" ht="15.75" customHeight="1">
      <c r="A1068" s="1">
        <v>5.1529636E7</v>
      </c>
      <c r="B1068" s="2" t="s">
        <v>2236</v>
      </c>
      <c r="C1068" s="19" t="s">
        <v>6366</v>
      </c>
      <c r="D1068" s="19"/>
      <c r="E1068" s="2"/>
      <c r="F1068" s="19"/>
    </row>
    <row r="1069" ht="15.75" customHeight="1">
      <c r="A1069" s="1">
        <v>5.153503E7</v>
      </c>
      <c r="B1069" s="2" t="s">
        <v>2947</v>
      </c>
      <c r="C1069" s="19" t="s">
        <v>6367</v>
      </c>
      <c r="D1069" s="19" t="s">
        <v>6368</v>
      </c>
      <c r="E1069" s="2"/>
      <c r="F1069" s="19"/>
    </row>
    <row r="1070" ht="15.75" customHeight="1">
      <c r="A1070" s="1">
        <v>5.1537089E7</v>
      </c>
      <c r="B1070" s="2" t="s">
        <v>981</v>
      </c>
      <c r="C1070" s="19" t="s">
        <v>6369</v>
      </c>
      <c r="D1070" s="19"/>
      <c r="E1070" s="2"/>
      <c r="F1070" s="19"/>
    </row>
    <row r="1071" ht="15.75" customHeight="1">
      <c r="A1071" s="1">
        <v>5.1542863E7</v>
      </c>
      <c r="B1071" s="2" t="s">
        <v>435</v>
      </c>
      <c r="C1071" s="19" t="s">
        <v>6370</v>
      </c>
      <c r="D1071" s="19" t="s">
        <v>6371</v>
      </c>
      <c r="E1071" s="2"/>
      <c r="F1071" s="19"/>
    </row>
    <row r="1072" ht="15.75" customHeight="1">
      <c r="A1072" s="1">
        <v>5.1545104E7</v>
      </c>
      <c r="B1072" s="2" t="s">
        <v>732</v>
      </c>
      <c r="C1072" s="19" t="s">
        <v>6372</v>
      </c>
      <c r="D1072" s="19"/>
      <c r="E1072" s="2"/>
      <c r="F1072" s="19"/>
    </row>
    <row r="1073" ht="15.75" customHeight="1">
      <c r="A1073" s="1">
        <v>5.1555502E7</v>
      </c>
      <c r="B1073" s="2" t="s">
        <v>2676</v>
      </c>
      <c r="C1073" s="19" t="s">
        <v>6373</v>
      </c>
      <c r="D1073" s="19" t="s">
        <v>6374</v>
      </c>
      <c r="E1073" s="2"/>
      <c r="F1073" s="19"/>
    </row>
    <row r="1074" ht="15.75" customHeight="1">
      <c r="A1074" s="1">
        <v>5.1572657E7</v>
      </c>
      <c r="B1074" s="2" t="s">
        <v>2407</v>
      </c>
      <c r="C1074" s="19" t="s">
        <v>6375</v>
      </c>
      <c r="D1074" s="19"/>
      <c r="E1074" s="2"/>
      <c r="F1074" s="19"/>
    </row>
    <row r="1075" ht="15.75" customHeight="1">
      <c r="A1075" s="1">
        <v>5.1591812E7</v>
      </c>
      <c r="B1075" s="2" t="s">
        <v>1963</v>
      </c>
      <c r="C1075" s="19" t="s">
        <v>6376</v>
      </c>
      <c r="D1075" s="19" t="s">
        <v>6377</v>
      </c>
      <c r="E1075" s="2"/>
      <c r="F1075" s="19"/>
    </row>
    <row r="1076" ht="15.75" customHeight="1">
      <c r="A1076" s="1">
        <v>5.1592581E7</v>
      </c>
      <c r="B1076" s="2" t="s">
        <v>1382</v>
      </c>
      <c r="C1076" s="19" t="s">
        <v>6378</v>
      </c>
      <c r="D1076" s="19" t="s">
        <v>6379</v>
      </c>
      <c r="E1076" s="2"/>
      <c r="F1076" s="19"/>
    </row>
    <row r="1077" ht="15.75" customHeight="1">
      <c r="A1077" s="1">
        <v>5.1596007E7</v>
      </c>
      <c r="B1077" s="2" t="s">
        <v>1810</v>
      </c>
      <c r="C1077" s="19" t="s">
        <v>6380</v>
      </c>
      <c r="D1077" s="19" t="s">
        <v>6381</v>
      </c>
      <c r="E1077" s="2"/>
      <c r="F1077" s="19"/>
    </row>
    <row r="1078" ht="15.75" customHeight="1">
      <c r="A1078" s="1">
        <v>5.1603118E7</v>
      </c>
      <c r="B1078" s="2" t="s">
        <v>777</v>
      </c>
      <c r="C1078" s="19" t="s">
        <v>6382</v>
      </c>
      <c r="D1078" s="19"/>
      <c r="E1078" s="2"/>
      <c r="F1078" s="19"/>
    </row>
    <row r="1079" ht="15.75" customHeight="1">
      <c r="A1079" s="1">
        <v>5.1612458E7</v>
      </c>
      <c r="B1079" s="2" t="s">
        <v>1578</v>
      </c>
      <c r="C1079" s="19" t="s">
        <v>6383</v>
      </c>
      <c r="D1079" s="19" t="s">
        <v>6384</v>
      </c>
      <c r="E1079" s="2"/>
      <c r="F1079" s="19"/>
    </row>
    <row r="1080" ht="15.75" customHeight="1">
      <c r="A1080" s="1">
        <v>5.1623407E7</v>
      </c>
      <c r="B1080" s="2" t="s">
        <v>2250</v>
      </c>
      <c r="C1080" s="19" t="s">
        <v>6385</v>
      </c>
      <c r="D1080" s="19" t="s">
        <v>6386</v>
      </c>
      <c r="E1080" s="2"/>
      <c r="F1080" s="19"/>
    </row>
    <row r="1081" ht="15.75" customHeight="1">
      <c r="A1081" s="1">
        <v>5.1624741E7</v>
      </c>
      <c r="B1081" s="2" t="s">
        <v>2546</v>
      </c>
      <c r="C1081" s="19" t="s">
        <v>6387</v>
      </c>
      <c r="D1081" s="19" t="s">
        <v>6388</v>
      </c>
      <c r="E1081" s="2"/>
      <c r="F1081" s="19"/>
    </row>
    <row r="1082" ht="15.75" customHeight="1">
      <c r="A1082" s="1">
        <v>5.1626328E7</v>
      </c>
      <c r="B1082" s="2" t="s">
        <v>1672</v>
      </c>
      <c r="C1082" s="19" t="s">
        <v>6389</v>
      </c>
      <c r="D1082" s="19" t="s">
        <v>6390</v>
      </c>
      <c r="E1082" s="2"/>
      <c r="F1082" s="19"/>
    </row>
    <row r="1083" ht="15.75" customHeight="1">
      <c r="A1083" s="1">
        <v>5.1627648E7</v>
      </c>
      <c r="B1083" s="2" t="s">
        <v>940</v>
      </c>
      <c r="C1083" s="19" t="s">
        <v>6391</v>
      </c>
      <c r="D1083" s="19" t="s">
        <v>6392</v>
      </c>
      <c r="E1083" s="2"/>
      <c r="F1083" s="19"/>
    </row>
    <row r="1084" ht="15.75" customHeight="1">
      <c r="A1084" s="1">
        <v>5.1639748E7</v>
      </c>
      <c r="B1084" s="2" t="s">
        <v>932</v>
      </c>
      <c r="C1084" s="19" t="s">
        <v>6393</v>
      </c>
      <c r="D1084" s="19" t="s">
        <v>6394</v>
      </c>
      <c r="E1084" s="2"/>
      <c r="F1084" s="19"/>
    </row>
    <row r="1085" ht="15.75" customHeight="1">
      <c r="A1085" s="1">
        <v>5.1649558E7</v>
      </c>
      <c r="B1085" s="2" t="s">
        <v>2050</v>
      </c>
      <c r="C1085" s="19" t="s">
        <v>6395</v>
      </c>
      <c r="D1085" s="19"/>
      <c r="E1085" s="2"/>
      <c r="F1085" s="19"/>
    </row>
    <row r="1086" ht="15.75" customHeight="1">
      <c r="A1086" s="1">
        <v>5.1652025E7</v>
      </c>
      <c r="B1086" s="2" t="s">
        <v>453</v>
      </c>
      <c r="C1086" s="19" t="s">
        <v>6396</v>
      </c>
      <c r="D1086" s="19"/>
      <c r="E1086" s="2"/>
      <c r="F1086" s="19"/>
    </row>
    <row r="1087" ht="15.75" customHeight="1">
      <c r="A1087" s="1">
        <v>5.1653586E7</v>
      </c>
      <c r="B1087" s="2" t="s">
        <v>663</v>
      </c>
      <c r="C1087" s="19" t="s">
        <v>6397</v>
      </c>
      <c r="D1087" s="19" t="s">
        <v>6398</v>
      </c>
      <c r="E1087" s="2"/>
      <c r="F1087" s="19"/>
    </row>
    <row r="1088" ht="15.75" customHeight="1">
      <c r="A1088" s="1">
        <v>5.1653789E7</v>
      </c>
      <c r="B1088" s="2" t="s">
        <v>2251</v>
      </c>
      <c r="C1088" s="19" t="s">
        <v>6399</v>
      </c>
      <c r="D1088" s="19" t="s">
        <v>6400</v>
      </c>
      <c r="E1088" s="2"/>
      <c r="F1088" s="19"/>
    </row>
    <row r="1089" ht="15.75" customHeight="1">
      <c r="A1089" s="1">
        <v>5.1655129E7</v>
      </c>
      <c r="B1089" s="2" t="s">
        <v>1648</v>
      </c>
      <c r="C1089" s="19" t="s">
        <v>6401</v>
      </c>
      <c r="D1089" s="19"/>
      <c r="E1089" s="2"/>
      <c r="F1089" s="19"/>
    </row>
    <row r="1090" ht="15.75" customHeight="1">
      <c r="A1090" s="1">
        <v>5.1656823E7</v>
      </c>
      <c r="B1090" s="2" t="s">
        <v>1858</v>
      </c>
      <c r="C1090" s="19" t="s">
        <v>6402</v>
      </c>
      <c r="D1090" s="19"/>
      <c r="E1090" s="2"/>
      <c r="F1090" s="19"/>
    </row>
    <row r="1091" ht="15.75" customHeight="1">
      <c r="A1091" s="1">
        <v>5.1657195E7</v>
      </c>
      <c r="B1091" s="2" t="s">
        <v>1975</v>
      </c>
      <c r="C1091" s="19" t="s">
        <v>6403</v>
      </c>
      <c r="D1091" s="19"/>
      <c r="E1091" s="2"/>
      <c r="F1091" s="19"/>
    </row>
    <row r="1092" ht="15.75" customHeight="1">
      <c r="A1092" s="1">
        <v>5.1665421E7</v>
      </c>
      <c r="B1092" s="2" t="s">
        <v>1662</v>
      </c>
      <c r="C1092" s="19" t="s">
        <v>6404</v>
      </c>
      <c r="D1092" s="19" t="s">
        <v>6405</v>
      </c>
      <c r="E1092" s="2"/>
      <c r="F1092" s="19"/>
    </row>
    <row r="1093" ht="15.75" customHeight="1">
      <c r="A1093" s="1">
        <v>5.1666283E7</v>
      </c>
      <c r="B1093" s="2" t="s">
        <v>321</v>
      </c>
      <c r="C1093" s="19" t="s">
        <v>6406</v>
      </c>
      <c r="D1093" s="19"/>
      <c r="E1093" s="2"/>
      <c r="F1093" s="19"/>
    </row>
    <row r="1094" ht="15.75" customHeight="1">
      <c r="A1094" s="1">
        <v>5.1671846E7</v>
      </c>
      <c r="B1094" s="2" t="s">
        <v>847</v>
      </c>
      <c r="C1094" s="19" t="s">
        <v>6407</v>
      </c>
      <c r="D1094" s="19"/>
      <c r="E1094" s="2"/>
      <c r="F1094" s="19"/>
    </row>
    <row r="1095" ht="15.75" customHeight="1">
      <c r="A1095" s="1">
        <v>5.1674308E7</v>
      </c>
      <c r="B1095" s="2" t="s">
        <v>205</v>
      </c>
      <c r="C1095" s="19" t="s">
        <v>6408</v>
      </c>
      <c r="D1095" s="19"/>
      <c r="E1095" s="2"/>
      <c r="F1095" s="19"/>
    </row>
    <row r="1096" ht="15.75" customHeight="1">
      <c r="A1096" s="1">
        <v>5.1675435E7</v>
      </c>
      <c r="B1096" s="2" t="s">
        <v>1649</v>
      </c>
      <c r="C1096" s="19" t="s">
        <v>6409</v>
      </c>
      <c r="D1096" s="19" t="s">
        <v>6410</v>
      </c>
      <c r="E1096" s="2"/>
      <c r="F1096" s="19"/>
    </row>
    <row r="1097" ht="15.75" customHeight="1">
      <c r="A1097" s="1">
        <v>5.1678234E7</v>
      </c>
      <c r="B1097" s="2" t="s">
        <v>916</v>
      </c>
      <c r="C1097" s="19" t="s">
        <v>6411</v>
      </c>
      <c r="D1097" s="19" t="s">
        <v>6412</v>
      </c>
      <c r="E1097" s="2"/>
      <c r="F1097" s="19"/>
    </row>
    <row r="1098" ht="15.75" customHeight="1">
      <c r="A1098" s="1">
        <v>5.1685009E7</v>
      </c>
      <c r="B1098" s="2" t="s">
        <v>2432</v>
      </c>
      <c r="C1098" s="19" t="s">
        <v>6413</v>
      </c>
      <c r="D1098" s="19"/>
      <c r="E1098" s="2"/>
      <c r="F1098" s="19"/>
    </row>
    <row r="1099" ht="15.75" customHeight="1">
      <c r="A1099" s="1">
        <v>5.1700472E7</v>
      </c>
      <c r="B1099" s="2" t="s">
        <v>368</v>
      </c>
      <c r="C1099" s="19" t="s">
        <v>6414</v>
      </c>
      <c r="D1099" s="19" t="s">
        <v>6415</v>
      </c>
      <c r="E1099" s="2"/>
      <c r="F1099" s="19"/>
    </row>
    <row r="1100" ht="15.75" customHeight="1">
      <c r="A1100" s="1">
        <v>5.1730232E7</v>
      </c>
      <c r="B1100" s="2" t="s">
        <v>226</v>
      </c>
      <c r="C1100" s="19" t="s">
        <v>6416</v>
      </c>
      <c r="D1100" s="19"/>
      <c r="E1100" s="2"/>
      <c r="F1100" s="19"/>
    </row>
    <row r="1101" ht="15.75" customHeight="1">
      <c r="A1101" s="1">
        <v>5.1731481E7</v>
      </c>
      <c r="B1101" s="2" t="s">
        <v>1378</v>
      </c>
      <c r="C1101" s="19" t="s">
        <v>6417</v>
      </c>
      <c r="D1101" s="19"/>
      <c r="E1101" s="2"/>
      <c r="F1101" s="19"/>
    </row>
    <row r="1102" ht="15.75" customHeight="1">
      <c r="A1102" s="1">
        <v>5.1739637E7</v>
      </c>
      <c r="B1102" s="2" t="s">
        <v>1456</v>
      </c>
      <c r="C1102" s="19" t="s">
        <v>6418</v>
      </c>
      <c r="D1102" s="19"/>
      <c r="E1102" s="2"/>
      <c r="F1102" s="19"/>
    </row>
    <row r="1103" ht="15.75" customHeight="1">
      <c r="A1103" s="1">
        <v>5.1744626E7</v>
      </c>
      <c r="B1103" s="2" t="s">
        <v>1583</v>
      </c>
      <c r="C1103" s="19" t="s">
        <v>6419</v>
      </c>
      <c r="D1103" s="19" t="s">
        <v>6420</v>
      </c>
      <c r="E1103" s="2"/>
      <c r="F1103" s="19"/>
    </row>
    <row r="1104" ht="15.75" customHeight="1">
      <c r="A1104" s="1">
        <v>5.1748181E7</v>
      </c>
      <c r="B1104" s="2" t="s">
        <v>2229</v>
      </c>
      <c r="C1104" s="19" t="s">
        <v>6421</v>
      </c>
      <c r="D1104" s="19"/>
      <c r="E1104" s="2"/>
      <c r="F1104" s="19"/>
    </row>
    <row r="1105" ht="15.75" customHeight="1">
      <c r="A1105" s="1">
        <v>5.1750774E7</v>
      </c>
      <c r="B1105" s="2" t="s">
        <v>859</v>
      </c>
      <c r="C1105" s="19" t="s">
        <v>6422</v>
      </c>
      <c r="D1105" s="19" t="s">
        <v>6423</v>
      </c>
      <c r="E1105" s="2"/>
      <c r="F1105" s="19"/>
    </row>
    <row r="1106" ht="15.75" customHeight="1">
      <c r="A1106" s="1">
        <v>5.1759572E7</v>
      </c>
      <c r="B1106" s="2" t="s">
        <v>2529</v>
      </c>
      <c r="C1106" s="19" t="s">
        <v>6424</v>
      </c>
      <c r="D1106" s="19"/>
      <c r="E1106" s="2"/>
      <c r="F1106" s="19"/>
    </row>
    <row r="1107" ht="15.75" customHeight="1">
      <c r="A1107" s="1">
        <v>5.1764889E7</v>
      </c>
      <c r="B1107" s="2" t="s">
        <v>204</v>
      </c>
      <c r="C1107" s="19" t="s">
        <v>6425</v>
      </c>
      <c r="D1107" s="19" t="s">
        <v>6426</v>
      </c>
      <c r="E1107" s="2"/>
      <c r="F1107" s="19"/>
    </row>
    <row r="1108" ht="15.75" customHeight="1">
      <c r="A1108" s="1">
        <v>5.1769448E7</v>
      </c>
      <c r="B1108" s="2" t="s">
        <v>2121</v>
      </c>
      <c r="C1108" s="19" t="s">
        <v>6427</v>
      </c>
      <c r="D1108" s="19" t="s">
        <v>6428</v>
      </c>
      <c r="E1108" s="2"/>
      <c r="F1108" s="19"/>
    </row>
    <row r="1109" ht="15.75" customHeight="1">
      <c r="A1109" s="1">
        <v>5.1775608E7</v>
      </c>
      <c r="B1109" s="2" t="s">
        <v>1379</v>
      </c>
      <c r="C1109" s="19" t="s">
        <v>6429</v>
      </c>
      <c r="D1109" s="19"/>
      <c r="E1109" s="2"/>
      <c r="F1109" s="19"/>
    </row>
    <row r="1110" ht="15.75" customHeight="1">
      <c r="A1110" s="1">
        <v>5.1779833E7</v>
      </c>
      <c r="B1110" s="2" t="s">
        <v>1349</v>
      </c>
      <c r="C1110" s="19" t="s">
        <v>6430</v>
      </c>
      <c r="D1110" s="19" t="s">
        <v>6431</v>
      </c>
      <c r="E1110" s="2"/>
      <c r="F1110" s="19"/>
    </row>
    <row r="1111" ht="15.75" customHeight="1">
      <c r="A1111" s="1">
        <v>5.1789832E7</v>
      </c>
      <c r="B1111" s="2" t="s">
        <v>1966</v>
      </c>
      <c r="C1111" s="19" t="s">
        <v>6432</v>
      </c>
      <c r="D1111" s="19"/>
      <c r="E1111" s="2"/>
      <c r="F1111" s="19"/>
    </row>
    <row r="1112" ht="15.75" customHeight="1">
      <c r="A1112" s="1">
        <v>5.1817025E7</v>
      </c>
      <c r="B1112" s="2" t="s">
        <v>173</v>
      </c>
      <c r="C1112" s="19" t="s">
        <v>6433</v>
      </c>
      <c r="D1112" s="19" t="s">
        <v>6434</v>
      </c>
      <c r="E1112" s="2"/>
      <c r="F1112" s="19"/>
    </row>
    <row r="1113" ht="15.75" customHeight="1">
      <c r="A1113" s="1">
        <v>5.1820368E7</v>
      </c>
      <c r="B1113" s="2" t="s">
        <v>177</v>
      </c>
      <c r="C1113" s="19" t="s">
        <v>6435</v>
      </c>
      <c r="D1113" s="19" t="s">
        <v>6436</v>
      </c>
      <c r="E1113" s="2"/>
      <c r="F1113" s="19"/>
    </row>
    <row r="1114" ht="15.75" customHeight="1">
      <c r="A1114" s="1">
        <v>5.1828297E7</v>
      </c>
      <c r="B1114" s="2" t="s">
        <v>1171</v>
      </c>
      <c r="C1114" s="19" t="s">
        <v>6437</v>
      </c>
      <c r="D1114" s="19"/>
      <c r="E1114" s="2"/>
      <c r="F1114" s="19"/>
    </row>
    <row r="1115" ht="15.75" customHeight="1">
      <c r="A1115" s="1">
        <v>5.18316E7</v>
      </c>
      <c r="B1115" s="2" t="s">
        <v>1925</v>
      </c>
      <c r="C1115" s="19" t="s">
        <v>6438</v>
      </c>
      <c r="D1115" s="19" t="s">
        <v>6439</v>
      </c>
      <c r="E1115" s="2"/>
      <c r="F1115" s="19"/>
    </row>
    <row r="1116" ht="15.75" customHeight="1">
      <c r="A1116" s="1">
        <v>5.1836618E7</v>
      </c>
      <c r="B1116" s="2" t="s">
        <v>1223</v>
      </c>
      <c r="C1116" s="19" t="s">
        <v>6440</v>
      </c>
      <c r="D1116" s="19" t="s">
        <v>6441</v>
      </c>
      <c r="E1116" s="2"/>
      <c r="F1116" s="19"/>
    </row>
    <row r="1117" ht="15.75" customHeight="1">
      <c r="A1117" s="1">
        <v>5.1840153E7</v>
      </c>
      <c r="B1117" s="2" t="s">
        <v>2408</v>
      </c>
      <c r="C1117" s="19" t="s">
        <v>6442</v>
      </c>
      <c r="D1117" s="19" t="s">
        <v>6443</v>
      </c>
      <c r="E1117" s="2"/>
      <c r="F1117" s="19"/>
    </row>
    <row r="1118" ht="15.75" customHeight="1">
      <c r="A1118" s="1">
        <v>5.1845292E7</v>
      </c>
      <c r="B1118" s="2" t="s">
        <v>1043</v>
      </c>
      <c r="C1118" s="19" t="s">
        <v>6444</v>
      </c>
      <c r="D1118" s="19"/>
      <c r="E1118" s="2"/>
      <c r="F1118" s="19"/>
    </row>
    <row r="1119" ht="15.75" customHeight="1">
      <c r="A1119" s="1">
        <v>5.184763E7</v>
      </c>
      <c r="B1119" s="2" t="s">
        <v>2895</v>
      </c>
      <c r="C1119" s="19" t="s">
        <v>6445</v>
      </c>
      <c r="D1119" s="19"/>
      <c r="E1119" s="2"/>
      <c r="F1119" s="19"/>
    </row>
    <row r="1120" ht="15.75" customHeight="1">
      <c r="A1120" s="1">
        <v>5.1847975E7</v>
      </c>
      <c r="B1120" s="2" t="s">
        <v>1429</v>
      </c>
      <c r="C1120" s="19" t="s">
        <v>6446</v>
      </c>
      <c r="D1120" s="19"/>
      <c r="E1120" s="2"/>
      <c r="F1120" s="19"/>
    </row>
    <row r="1121" ht="15.75" customHeight="1">
      <c r="A1121" s="1">
        <v>5.1849298E7</v>
      </c>
      <c r="B1121" s="2" t="s">
        <v>2260</v>
      </c>
      <c r="C1121" s="19" t="s">
        <v>6447</v>
      </c>
      <c r="D1121" s="19" t="s">
        <v>6448</v>
      </c>
      <c r="E1121" s="2"/>
      <c r="F1121" s="19"/>
    </row>
    <row r="1122" ht="15.75" customHeight="1">
      <c r="A1122" s="1">
        <v>5.185331E7</v>
      </c>
      <c r="B1122" s="2" t="s">
        <v>1461</v>
      </c>
      <c r="C1122" s="19" t="s">
        <v>6449</v>
      </c>
      <c r="D1122" s="19"/>
      <c r="E1122" s="2"/>
      <c r="F1122" s="19"/>
    </row>
    <row r="1123" ht="15.75" customHeight="1">
      <c r="A1123" s="1">
        <v>5.1857872E7</v>
      </c>
      <c r="B1123" s="2" t="s">
        <v>1727</v>
      </c>
      <c r="C1123" s="19" t="s">
        <v>6450</v>
      </c>
      <c r="D1123" s="19"/>
      <c r="E1123" s="2"/>
      <c r="F1123" s="19"/>
    </row>
    <row r="1124" ht="15.75" customHeight="1">
      <c r="A1124" s="1">
        <v>5.1865071E7</v>
      </c>
      <c r="B1124" s="2" t="s">
        <v>1039</v>
      </c>
      <c r="C1124" s="19" t="s">
        <v>6451</v>
      </c>
      <c r="D1124" s="19" t="s">
        <v>6452</v>
      </c>
      <c r="E1124" s="2"/>
      <c r="F1124" s="19"/>
    </row>
    <row r="1125" ht="15.75" customHeight="1">
      <c r="A1125" s="1">
        <v>5.1865601E7</v>
      </c>
      <c r="B1125" s="2" t="s">
        <v>1763</v>
      </c>
      <c r="C1125" s="19" t="s">
        <v>6453</v>
      </c>
      <c r="D1125" s="19"/>
      <c r="E1125" s="2"/>
      <c r="F1125" s="19"/>
    </row>
    <row r="1126" ht="15.75" customHeight="1">
      <c r="A1126" s="1">
        <v>5.1869363E7</v>
      </c>
      <c r="B1126" s="2" t="s">
        <v>1279</v>
      </c>
      <c r="C1126" s="19" t="s">
        <v>6454</v>
      </c>
      <c r="D1126" s="19" t="s">
        <v>6455</v>
      </c>
      <c r="E1126" s="2"/>
      <c r="F1126" s="19"/>
    </row>
    <row r="1127" ht="15.75" customHeight="1">
      <c r="A1127" s="1">
        <v>5.1870216E7</v>
      </c>
      <c r="B1127" s="2" t="s">
        <v>353</v>
      </c>
      <c r="C1127" s="19" t="s">
        <v>6456</v>
      </c>
      <c r="D1127" s="19" t="s">
        <v>6457</v>
      </c>
      <c r="E1127" s="2"/>
      <c r="F1127" s="19"/>
    </row>
    <row r="1128" ht="15.75" customHeight="1">
      <c r="A1128" s="1">
        <v>5.1874604E7</v>
      </c>
      <c r="B1128" s="2" t="s">
        <v>2988</v>
      </c>
      <c r="C1128" s="19" t="s">
        <v>6458</v>
      </c>
      <c r="D1128" s="19"/>
      <c r="E1128" s="2"/>
      <c r="F1128" s="19"/>
    </row>
    <row r="1129" ht="15.75" customHeight="1">
      <c r="A1129" s="1">
        <v>5.1875348E7</v>
      </c>
      <c r="B1129" s="2" t="s">
        <v>1074</v>
      </c>
      <c r="C1129" s="19" t="s">
        <v>6459</v>
      </c>
      <c r="D1129" s="19" t="s">
        <v>6460</v>
      </c>
      <c r="E1129" s="2"/>
      <c r="F1129" s="19"/>
    </row>
    <row r="1130" ht="15.75" customHeight="1">
      <c r="A1130" s="1">
        <v>5.1876478E7</v>
      </c>
      <c r="B1130" s="2" t="s">
        <v>1200</v>
      </c>
      <c r="C1130" s="19" t="s">
        <v>6461</v>
      </c>
      <c r="D1130" s="19"/>
      <c r="E1130" s="2"/>
      <c r="F1130" s="19"/>
    </row>
    <row r="1131" ht="15.75" customHeight="1">
      <c r="A1131" s="1">
        <v>5.1881224E7</v>
      </c>
      <c r="B1131" s="2" t="s">
        <v>1931</v>
      </c>
      <c r="C1131" s="19" t="s">
        <v>6462</v>
      </c>
      <c r="D1131" s="19"/>
      <c r="E1131" s="2"/>
      <c r="F1131" s="19"/>
    </row>
    <row r="1132" ht="15.75" customHeight="1">
      <c r="A1132" s="1">
        <v>5.188513E7</v>
      </c>
      <c r="B1132" s="2" t="s">
        <v>593</v>
      </c>
      <c r="C1132" s="19" t="s">
        <v>6463</v>
      </c>
      <c r="D1132" s="19" t="s">
        <v>6464</v>
      </c>
      <c r="E1132" s="2"/>
      <c r="F1132" s="19"/>
    </row>
    <row r="1133" ht="15.75" customHeight="1">
      <c r="A1133" s="1">
        <v>5.1888709E7</v>
      </c>
      <c r="B1133" s="2" t="s">
        <v>501</v>
      </c>
      <c r="C1133" s="19" t="s">
        <v>6465</v>
      </c>
      <c r="D1133" s="19" t="s">
        <v>6466</v>
      </c>
      <c r="E1133" s="2"/>
      <c r="F1133" s="19"/>
    </row>
    <row r="1134" ht="15.75" customHeight="1">
      <c r="A1134" s="1">
        <v>5.1893056E7</v>
      </c>
      <c r="B1134" s="2" t="s">
        <v>2350</v>
      </c>
      <c r="C1134" s="19" t="s">
        <v>6467</v>
      </c>
      <c r="D1134" s="19"/>
      <c r="E1134" s="2"/>
      <c r="F1134" s="19"/>
    </row>
    <row r="1135" ht="15.75" customHeight="1">
      <c r="A1135" s="1">
        <v>5.1895945E7</v>
      </c>
      <c r="B1135" s="2" t="s">
        <v>1524</v>
      </c>
      <c r="C1135" s="19" t="s">
        <v>6468</v>
      </c>
      <c r="D1135" s="19" t="s">
        <v>6469</v>
      </c>
      <c r="E1135" s="2"/>
      <c r="F1135" s="19"/>
    </row>
    <row r="1136" ht="15.75" customHeight="1">
      <c r="A1136" s="1">
        <v>5.1923404E7</v>
      </c>
      <c r="B1136" s="2" t="s">
        <v>2547</v>
      </c>
      <c r="C1136" s="19" t="s">
        <v>6470</v>
      </c>
      <c r="D1136" s="19" t="s">
        <v>6471</v>
      </c>
      <c r="E1136" s="2"/>
      <c r="F1136" s="19"/>
    </row>
    <row r="1137" ht="15.75" customHeight="1">
      <c r="A1137" s="1">
        <v>5.1927332E7</v>
      </c>
      <c r="B1137" s="2" t="s">
        <v>1839</v>
      </c>
      <c r="C1137" s="19" t="s">
        <v>6472</v>
      </c>
      <c r="D1137" s="19"/>
      <c r="E1137" s="2"/>
      <c r="F1137" s="19"/>
    </row>
    <row r="1138" ht="15.75" customHeight="1">
      <c r="A1138" s="1">
        <v>5.1950209E7</v>
      </c>
      <c r="B1138" s="2" t="s">
        <v>953</v>
      </c>
      <c r="C1138" s="19" t="s">
        <v>6473</v>
      </c>
      <c r="D1138" s="19" t="s">
        <v>6474</v>
      </c>
      <c r="E1138" s="2"/>
      <c r="F1138" s="19"/>
    </row>
    <row r="1139" ht="15.75" customHeight="1">
      <c r="A1139" s="1">
        <v>5.1960443E7</v>
      </c>
      <c r="B1139" s="2" t="s">
        <v>1880</v>
      </c>
      <c r="C1139" s="19" t="s">
        <v>6475</v>
      </c>
      <c r="D1139" s="19"/>
      <c r="E1139" s="2"/>
      <c r="F1139" s="19"/>
    </row>
    <row r="1140" ht="15.75" customHeight="1">
      <c r="A1140" s="1">
        <v>5.1964843E7</v>
      </c>
      <c r="B1140" s="2" t="s">
        <v>997</v>
      </c>
      <c r="C1140" s="19" t="s">
        <v>6476</v>
      </c>
      <c r="D1140" s="19"/>
      <c r="E1140" s="2"/>
      <c r="F1140" s="19"/>
    </row>
    <row r="1141" ht="15.75" customHeight="1">
      <c r="A1141" s="1">
        <v>5.1965019E7</v>
      </c>
      <c r="B1141" s="2" t="s">
        <v>1224</v>
      </c>
      <c r="C1141" s="19" t="s">
        <v>6477</v>
      </c>
      <c r="D1141" s="19" t="s">
        <v>6478</v>
      </c>
      <c r="E1141" s="2"/>
      <c r="F1141" s="19"/>
    </row>
    <row r="1142" ht="15.75" customHeight="1">
      <c r="A1142" s="1">
        <v>5.1966939E7</v>
      </c>
      <c r="B1142" s="2" t="s">
        <v>475</v>
      </c>
      <c r="C1142" s="19" t="s">
        <v>6479</v>
      </c>
      <c r="D1142" s="19" t="s">
        <v>6480</v>
      </c>
      <c r="E1142" s="2"/>
      <c r="F1142" s="19"/>
    </row>
    <row r="1143" ht="15.75" customHeight="1">
      <c r="A1143" s="1">
        <v>5.1973751E7</v>
      </c>
      <c r="B1143" s="2" t="s">
        <v>153</v>
      </c>
      <c r="C1143" s="19" t="s">
        <v>6481</v>
      </c>
      <c r="D1143" s="19" t="s">
        <v>6482</v>
      </c>
      <c r="E1143" s="2"/>
      <c r="F1143" s="19"/>
    </row>
    <row r="1144" ht="15.75" customHeight="1">
      <c r="A1144" s="1">
        <v>5.1973789E7</v>
      </c>
      <c r="B1144" s="2" t="s">
        <v>1258</v>
      </c>
      <c r="C1144" s="19" t="s">
        <v>6483</v>
      </c>
      <c r="D1144" s="19"/>
      <c r="E1144" s="2"/>
      <c r="F1144" s="19"/>
    </row>
    <row r="1145" ht="15.75" customHeight="1">
      <c r="A1145" s="1">
        <v>5.1977391E7</v>
      </c>
      <c r="B1145" s="2" t="s">
        <v>1636</v>
      </c>
      <c r="C1145" s="19" t="s">
        <v>6484</v>
      </c>
      <c r="D1145" s="19"/>
      <c r="E1145" s="2"/>
      <c r="F1145" s="19"/>
    </row>
    <row r="1146" ht="15.75" customHeight="1">
      <c r="A1146" s="1">
        <v>5.1977946E7</v>
      </c>
      <c r="B1146" s="2" t="s">
        <v>2054</v>
      </c>
      <c r="C1146" s="19" t="s">
        <v>6485</v>
      </c>
      <c r="D1146" s="19"/>
      <c r="E1146" s="2"/>
      <c r="F1146" s="19"/>
    </row>
    <row r="1147" ht="15.75" customHeight="1">
      <c r="A1147" s="1">
        <v>5.1980747E7</v>
      </c>
      <c r="B1147" s="2" t="s">
        <v>296</v>
      </c>
      <c r="C1147" s="19" t="s">
        <v>6486</v>
      </c>
      <c r="D1147" s="19"/>
      <c r="E1147" s="2"/>
      <c r="F1147" s="19"/>
    </row>
    <row r="1148" ht="15.75" customHeight="1">
      <c r="A1148" s="1">
        <v>5.1993959E7</v>
      </c>
      <c r="B1148" s="2" t="s">
        <v>1591</v>
      </c>
      <c r="C1148" s="19" t="s">
        <v>6487</v>
      </c>
      <c r="D1148" s="19"/>
      <c r="E1148" s="2"/>
      <c r="F1148" s="19"/>
    </row>
    <row r="1149" ht="15.75" customHeight="1">
      <c r="A1149" s="1">
        <v>5.1996744E7</v>
      </c>
      <c r="B1149" s="2" t="s">
        <v>2844</v>
      </c>
      <c r="C1149" s="19" t="s">
        <v>6488</v>
      </c>
      <c r="D1149" s="19"/>
      <c r="E1149" s="2"/>
      <c r="F1149" s="19"/>
    </row>
    <row r="1150" ht="15.75" customHeight="1">
      <c r="A1150" s="1">
        <v>5.1999779E7</v>
      </c>
      <c r="B1150" s="2" t="s">
        <v>1360</v>
      </c>
      <c r="C1150" s="19" t="s">
        <v>6489</v>
      </c>
      <c r="D1150" s="19"/>
      <c r="E1150" s="2"/>
      <c r="F1150" s="19"/>
    </row>
    <row r="1151" ht="15.75" customHeight="1">
      <c r="A1151" s="1">
        <v>5.2003746E7</v>
      </c>
      <c r="B1151" s="2" t="s">
        <v>2803</v>
      </c>
      <c r="C1151" s="19" t="s">
        <v>6490</v>
      </c>
      <c r="D1151" s="19"/>
      <c r="E1151" s="2"/>
      <c r="F1151" s="19"/>
    </row>
    <row r="1152" ht="15.75" customHeight="1">
      <c r="A1152" s="1">
        <v>5.201622E7</v>
      </c>
      <c r="B1152" s="2" t="s">
        <v>1652</v>
      </c>
      <c r="C1152" s="19" t="s">
        <v>6491</v>
      </c>
      <c r="D1152" s="19" t="s">
        <v>6492</v>
      </c>
      <c r="E1152" s="2"/>
      <c r="F1152" s="19"/>
    </row>
    <row r="1153" ht="15.75" customHeight="1">
      <c r="A1153" s="1">
        <v>5.2023042E7</v>
      </c>
      <c r="B1153" s="2" t="s">
        <v>526</v>
      </c>
      <c r="C1153" s="19" t="s">
        <v>6493</v>
      </c>
      <c r="D1153" s="19"/>
      <c r="E1153" s="2"/>
      <c r="F1153" s="19"/>
    </row>
    <row r="1154" ht="15.75" customHeight="1">
      <c r="A1154" s="1">
        <v>5.2034362E7</v>
      </c>
      <c r="B1154" s="2" t="s">
        <v>1947</v>
      </c>
      <c r="C1154" s="19" t="s">
        <v>6494</v>
      </c>
      <c r="D1154" s="19"/>
      <c r="E1154" s="2"/>
      <c r="F1154" s="19"/>
    </row>
    <row r="1155" ht="15.75" customHeight="1">
      <c r="A1155" s="1">
        <v>5.2045267E7</v>
      </c>
      <c r="B1155" s="2" t="s">
        <v>1473</v>
      </c>
      <c r="C1155" s="19" t="s">
        <v>6495</v>
      </c>
      <c r="D1155" s="19"/>
      <c r="E1155" s="2"/>
      <c r="F1155" s="19"/>
    </row>
    <row r="1156" ht="15.75" customHeight="1">
      <c r="A1156" s="1">
        <v>5.2046824E7</v>
      </c>
      <c r="B1156" s="2" t="s">
        <v>2585</v>
      </c>
      <c r="C1156" s="19" t="s">
        <v>6496</v>
      </c>
      <c r="D1156" s="19"/>
      <c r="E1156" s="2"/>
      <c r="F1156" s="19"/>
    </row>
    <row r="1157" ht="15.75" customHeight="1">
      <c r="A1157" s="1">
        <v>5.2052148E7</v>
      </c>
      <c r="B1157" s="2" t="s">
        <v>192</v>
      </c>
      <c r="C1157" s="19" t="s">
        <v>6497</v>
      </c>
      <c r="D1157" s="19" t="s">
        <v>6498</v>
      </c>
      <c r="E1157" s="2"/>
      <c r="F1157" s="19"/>
    </row>
    <row r="1158" ht="15.75" customHeight="1">
      <c r="A1158" s="1">
        <v>5.2054618E7</v>
      </c>
      <c r="B1158" s="2" t="s">
        <v>1401</v>
      </c>
      <c r="C1158" s="19" t="s">
        <v>6499</v>
      </c>
      <c r="D1158" s="19"/>
      <c r="E1158" s="2"/>
      <c r="F1158" s="19"/>
    </row>
    <row r="1159" ht="15.75" customHeight="1">
      <c r="A1159" s="1">
        <v>5.2057206E7</v>
      </c>
      <c r="B1159" s="2" t="s">
        <v>2586</v>
      </c>
      <c r="C1159" s="19" t="s">
        <v>6500</v>
      </c>
      <c r="D1159" s="19"/>
      <c r="E1159" s="2"/>
      <c r="F1159" s="19"/>
    </row>
    <row r="1160" ht="15.75" customHeight="1">
      <c r="A1160" s="1">
        <v>5.2058662E7</v>
      </c>
      <c r="B1160" s="2" t="s">
        <v>1988</v>
      </c>
      <c r="C1160" s="19" t="s">
        <v>6501</v>
      </c>
      <c r="D1160" s="19"/>
      <c r="E1160" s="2"/>
      <c r="F1160" s="19"/>
    </row>
    <row r="1161" ht="15.75" customHeight="1">
      <c r="A1161" s="1">
        <v>5.2058813E7</v>
      </c>
      <c r="B1161" s="2" t="s">
        <v>185</v>
      </c>
      <c r="C1161" s="19" t="s">
        <v>6502</v>
      </c>
      <c r="D1161" s="19" t="s">
        <v>6503</v>
      </c>
      <c r="E1161" s="2"/>
      <c r="F1161" s="19"/>
    </row>
    <row r="1162" ht="15.75" customHeight="1">
      <c r="A1162" s="1">
        <v>5.2070481E7</v>
      </c>
      <c r="B1162" s="2" t="s">
        <v>1568</v>
      </c>
      <c r="C1162" s="19" t="s">
        <v>6504</v>
      </c>
      <c r="D1162" s="19"/>
      <c r="E1162" s="2"/>
      <c r="F1162" s="19"/>
    </row>
    <row r="1163" ht="15.75" customHeight="1">
      <c r="A1163" s="1">
        <v>5.2078776E7</v>
      </c>
      <c r="B1163" s="2" t="s">
        <v>921</v>
      </c>
      <c r="C1163" s="19" t="s">
        <v>6505</v>
      </c>
      <c r="D1163" s="19"/>
      <c r="E1163" s="2"/>
      <c r="F1163" s="19"/>
    </row>
    <row r="1164" ht="15.75" customHeight="1">
      <c r="A1164" s="1">
        <v>5.2083694E7</v>
      </c>
      <c r="B1164" s="2" t="s">
        <v>1280</v>
      </c>
      <c r="C1164" s="19" t="s">
        <v>6506</v>
      </c>
      <c r="D1164" s="19" t="s">
        <v>6507</v>
      </c>
      <c r="E1164" s="2"/>
      <c r="F1164" s="19"/>
    </row>
    <row r="1165" ht="15.75" customHeight="1">
      <c r="A1165" s="1">
        <v>5.2085701E7</v>
      </c>
      <c r="B1165" s="2" t="s">
        <v>1423</v>
      </c>
      <c r="C1165" s="19" t="s">
        <v>6508</v>
      </c>
      <c r="D1165" s="19"/>
      <c r="E1165" s="2"/>
      <c r="F1165" s="19"/>
    </row>
    <row r="1166" ht="15.75" customHeight="1">
      <c r="A1166" s="1">
        <v>5.2088202E7</v>
      </c>
      <c r="B1166" s="2" t="s">
        <v>1980</v>
      </c>
      <c r="C1166" s="19" t="s">
        <v>6509</v>
      </c>
      <c r="D1166" s="19" t="s">
        <v>6510</v>
      </c>
      <c r="E1166" s="2"/>
      <c r="F1166" s="19"/>
    </row>
    <row r="1167" ht="15.75" customHeight="1">
      <c r="A1167" s="1">
        <v>5.2088852E7</v>
      </c>
      <c r="B1167" s="2" t="s">
        <v>2880</v>
      </c>
      <c r="C1167" s="19" t="s">
        <v>6511</v>
      </c>
      <c r="D1167" s="19"/>
      <c r="E1167" s="2"/>
      <c r="F1167" s="19"/>
    </row>
    <row r="1168" ht="15.75" customHeight="1">
      <c r="A1168" s="1">
        <v>5.2098303E7</v>
      </c>
      <c r="B1168" s="2" t="s">
        <v>1295</v>
      </c>
      <c r="C1168" s="19" t="s">
        <v>6512</v>
      </c>
      <c r="D1168" s="19"/>
      <c r="E1168" s="2"/>
      <c r="F1168" s="19"/>
    </row>
    <row r="1169" ht="15.75" customHeight="1">
      <c r="A1169" s="1">
        <v>5.212097E7</v>
      </c>
      <c r="B1169" s="2" t="s">
        <v>2433</v>
      </c>
      <c r="C1169" s="19" t="s">
        <v>6513</v>
      </c>
      <c r="D1169" s="19"/>
      <c r="E1169" s="2"/>
      <c r="F1169" s="19"/>
    </row>
    <row r="1170" ht="15.75" customHeight="1">
      <c r="A1170" s="1">
        <v>5.2126309E7</v>
      </c>
      <c r="B1170" s="2" t="s">
        <v>884</v>
      </c>
      <c r="C1170" s="19" t="s">
        <v>6514</v>
      </c>
      <c r="D1170" s="19" t="s">
        <v>6515</v>
      </c>
      <c r="E1170" s="2"/>
      <c r="F1170" s="19"/>
    </row>
    <row r="1171" ht="15.75" customHeight="1">
      <c r="A1171" s="1">
        <v>5.2133532E7</v>
      </c>
      <c r="B1171" s="2" t="s">
        <v>2715</v>
      </c>
      <c r="C1171" s="19" t="s">
        <v>6516</v>
      </c>
      <c r="D1171" s="19"/>
      <c r="E1171" s="2"/>
      <c r="F1171" s="19"/>
    </row>
    <row r="1172" ht="15.75" customHeight="1">
      <c r="A1172" s="1">
        <v>5.2143938E7</v>
      </c>
      <c r="B1172" s="2" t="s">
        <v>1854</v>
      </c>
      <c r="C1172" s="19" t="s">
        <v>6517</v>
      </c>
      <c r="D1172" s="19" t="s">
        <v>6518</v>
      </c>
      <c r="E1172" s="2"/>
      <c r="F1172" s="19"/>
    </row>
    <row r="1173" ht="15.75" customHeight="1">
      <c r="A1173" s="1">
        <v>5.2144189E7</v>
      </c>
      <c r="B1173" s="2" t="s">
        <v>1550</v>
      </c>
      <c r="C1173" s="19" t="s">
        <v>6519</v>
      </c>
      <c r="D1173" s="19"/>
      <c r="E1173" s="2"/>
      <c r="F1173" s="19"/>
    </row>
    <row r="1174" ht="15.75" customHeight="1">
      <c r="A1174" s="1">
        <v>5.2144934E7</v>
      </c>
      <c r="B1174" s="2" t="s">
        <v>785</v>
      </c>
      <c r="C1174" s="19" t="s">
        <v>6520</v>
      </c>
      <c r="D1174" s="19"/>
      <c r="E1174" s="2"/>
      <c r="F1174" s="19"/>
    </row>
    <row r="1175" ht="15.75" customHeight="1">
      <c r="A1175" s="1">
        <v>5.2145113E7</v>
      </c>
      <c r="B1175" s="2" t="s">
        <v>552</v>
      </c>
      <c r="C1175" s="19" t="s">
        <v>6521</v>
      </c>
      <c r="D1175" s="19"/>
      <c r="E1175" s="2"/>
      <c r="F1175" s="19"/>
    </row>
    <row r="1176" ht="15.75" customHeight="1">
      <c r="A1176" s="1">
        <v>5.215479E7</v>
      </c>
      <c r="B1176" s="2" t="s">
        <v>1066</v>
      </c>
      <c r="C1176" s="19" t="s">
        <v>6522</v>
      </c>
      <c r="D1176" s="19" t="s">
        <v>6523</v>
      </c>
      <c r="E1176" s="2"/>
      <c r="F1176" s="19"/>
    </row>
    <row r="1177" ht="15.75" customHeight="1">
      <c r="A1177" s="1">
        <v>5.2163958E7</v>
      </c>
      <c r="B1177" s="2" t="s">
        <v>1051</v>
      </c>
      <c r="C1177" s="19" t="s">
        <v>6524</v>
      </c>
      <c r="D1177" s="19" t="s">
        <v>6525</v>
      </c>
      <c r="E1177" s="2"/>
      <c r="F1177" s="19"/>
    </row>
    <row r="1178" ht="15.75" customHeight="1">
      <c r="A1178" s="1">
        <v>5.2186852E7</v>
      </c>
      <c r="B1178" s="2" t="s">
        <v>1237</v>
      </c>
      <c r="C1178" s="19" t="s">
        <v>6526</v>
      </c>
      <c r="D1178" s="19"/>
      <c r="E1178" s="2"/>
      <c r="F1178" s="19"/>
    </row>
    <row r="1179" ht="15.75" customHeight="1">
      <c r="A1179" s="1">
        <v>5.2187749E7</v>
      </c>
      <c r="B1179" s="2" t="s">
        <v>1290</v>
      </c>
      <c r="C1179" s="19" t="s">
        <v>6527</v>
      </c>
      <c r="D1179" s="19"/>
      <c r="E1179" s="2"/>
      <c r="F1179" s="19"/>
    </row>
    <row r="1180" ht="15.75" customHeight="1">
      <c r="A1180" s="1">
        <v>5.2191591E7</v>
      </c>
      <c r="B1180" s="2" t="s">
        <v>2293</v>
      </c>
      <c r="C1180" s="19" t="s">
        <v>6528</v>
      </c>
      <c r="D1180" s="19" t="s">
        <v>6529</v>
      </c>
      <c r="E1180" s="2"/>
      <c r="F1180" s="19"/>
    </row>
    <row r="1181" ht="15.75" customHeight="1">
      <c r="A1181" s="1">
        <v>5.2194258E7</v>
      </c>
      <c r="B1181" s="2" t="s">
        <v>1722</v>
      </c>
      <c r="C1181" s="19" t="s">
        <v>6530</v>
      </c>
      <c r="D1181" s="19" t="s">
        <v>6531</v>
      </c>
      <c r="E1181" s="2"/>
      <c r="F1181" s="19"/>
    </row>
    <row r="1182" ht="15.75" customHeight="1">
      <c r="A1182" s="1">
        <v>5.2201545E7</v>
      </c>
      <c r="B1182" s="2" t="s">
        <v>2283</v>
      </c>
      <c r="C1182" s="19" t="s">
        <v>6532</v>
      </c>
      <c r="D1182" s="19" t="s">
        <v>6533</v>
      </c>
      <c r="E1182" s="2"/>
      <c r="F1182" s="19"/>
    </row>
    <row r="1183" ht="15.75" customHeight="1">
      <c r="A1183" s="1">
        <v>5.2205477E7</v>
      </c>
      <c r="B1183" s="2" t="s">
        <v>1621</v>
      </c>
      <c r="C1183" s="19" t="s">
        <v>6534</v>
      </c>
      <c r="D1183" s="19" t="s">
        <v>6535</v>
      </c>
      <c r="E1183" s="2"/>
      <c r="F1183" s="19"/>
    </row>
    <row r="1184" ht="15.75" customHeight="1">
      <c r="A1184" s="1">
        <v>5.2205799E7</v>
      </c>
      <c r="B1184" s="2" t="s">
        <v>2351</v>
      </c>
      <c r="C1184" s="19" t="s">
        <v>6536</v>
      </c>
      <c r="D1184" s="19"/>
      <c r="E1184" s="2"/>
      <c r="F1184" s="19"/>
    </row>
    <row r="1185" ht="15.75" customHeight="1">
      <c r="A1185" s="1">
        <v>5.2213181E7</v>
      </c>
      <c r="B1185" s="2" t="s">
        <v>2837</v>
      </c>
      <c r="C1185" s="19" t="s">
        <v>6537</v>
      </c>
      <c r="D1185" s="19"/>
      <c r="E1185" s="2"/>
      <c r="F1185" s="19"/>
    </row>
    <row r="1186" ht="15.75" customHeight="1">
      <c r="A1186" s="1">
        <v>5.221387E7</v>
      </c>
      <c r="B1186" s="2" t="s">
        <v>2140</v>
      </c>
      <c r="C1186" s="19" t="s">
        <v>6538</v>
      </c>
      <c r="D1186" s="19" t="s">
        <v>6539</v>
      </c>
      <c r="E1186" s="2"/>
      <c r="F1186" s="19"/>
    </row>
    <row r="1187" ht="15.75" customHeight="1">
      <c r="A1187" s="1">
        <v>5.2215513E7</v>
      </c>
      <c r="B1187" s="2" t="s">
        <v>2133</v>
      </c>
      <c r="C1187" s="19" t="s">
        <v>6540</v>
      </c>
      <c r="D1187" s="19" t="s">
        <v>6541</v>
      </c>
      <c r="E1187" s="2"/>
      <c r="F1187" s="19"/>
    </row>
    <row r="1188" ht="15.75" customHeight="1">
      <c r="A1188" s="1">
        <v>5.2215703E7</v>
      </c>
      <c r="B1188" s="2" t="s">
        <v>1403</v>
      </c>
      <c r="C1188" s="19" t="s">
        <v>6542</v>
      </c>
      <c r="D1188" s="19"/>
      <c r="E1188" s="2"/>
      <c r="F1188" s="19"/>
    </row>
    <row r="1189" ht="15.75" customHeight="1">
      <c r="A1189" s="1">
        <v>5.2217414E7</v>
      </c>
      <c r="B1189" s="2" t="s">
        <v>841</v>
      </c>
      <c r="C1189" s="19" t="s">
        <v>6543</v>
      </c>
      <c r="D1189" s="19" t="s">
        <v>6544</v>
      </c>
      <c r="E1189" s="2"/>
      <c r="F1189" s="19"/>
    </row>
    <row r="1190" ht="15.75" customHeight="1">
      <c r="A1190" s="1">
        <v>5.2223085E7</v>
      </c>
      <c r="B1190" s="2" t="s">
        <v>1100</v>
      </c>
      <c r="C1190" s="19" t="s">
        <v>6545</v>
      </c>
      <c r="D1190" s="19"/>
      <c r="E1190" s="2"/>
      <c r="F1190" s="19"/>
    </row>
    <row r="1191" ht="15.75" customHeight="1">
      <c r="A1191" s="1">
        <v>5.2224883E7</v>
      </c>
      <c r="B1191" s="2" t="s">
        <v>1104</v>
      </c>
      <c r="C1191" s="19" t="s">
        <v>6546</v>
      </c>
      <c r="D1191" s="19" t="s">
        <v>6547</v>
      </c>
      <c r="E1191" s="2"/>
      <c r="F1191" s="19"/>
    </row>
    <row r="1192" ht="15.75" customHeight="1">
      <c r="A1192" s="1">
        <v>5.2242599E7</v>
      </c>
      <c r="B1192" s="2" t="s">
        <v>3381</v>
      </c>
      <c r="C1192" s="19" t="s">
        <v>6548</v>
      </c>
      <c r="D1192" s="19"/>
      <c r="E1192" s="2"/>
      <c r="F1192" s="19"/>
    </row>
    <row r="1193" ht="15.75" customHeight="1">
      <c r="A1193" s="1">
        <v>5.2260506E7</v>
      </c>
      <c r="B1193" s="2" t="s">
        <v>1005</v>
      </c>
      <c r="C1193" s="19" t="s">
        <v>6549</v>
      </c>
      <c r="D1193" s="19"/>
      <c r="E1193" s="2"/>
      <c r="F1193" s="19"/>
    </row>
    <row r="1194" ht="15.75" customHeight="1">
      <c r="A1194" s="1">
        <v>5.226199E7</v>
      </c>
      <c r="B1194" s="2" t="s">
        <v>1932</v>
      </c>
      <c r="C1194" s="19" t="s">
        <v>6550</v>
      </c>
      <c r="D1194" s="19"/>
      <c r="E1194" s="2"/>
      <c r="F1194" s="19"/>
    </row>
    <row r="1195" ht="15.75" customHeight="1">
      <c r="A1195" s="1">
        <v>5.2264141E7</v>
      </c>
      <c r="B1195" s="2" t="s">
        <v>2122</v>
      </c>
      <c r="C1195" s="19" t="s">
        <v>6551</v>
      </c>
      <c r="D1195" s="19" t="s">
        <v>6552</v>
      </c>
      <c r="E1195" s="2"/>
      <c r="F1195" s="19"/>
    </row>
    <row r="1196" ht="15.75" customHeight="1">
      <c r="A1196" s="1">
        <v>5.2282777E7</v>
      </c>
      <c r="B1196" s="2" t="s">
        <v>2964</v>
      </c>
      <c r="C1196" s="19" t="s">
        <v>6553</v>
      </c>
      <c r="D1196" s="19"/>
      <c r="E1196" s="2"/>
      <c r="F1196" s="19"/>
    </row>
    <row r="1197" ht="15.75" customHeight="1">
      <c r="A1197" s="1">
        <v>5.2287773E7</v>
      </c>
      <c r="B1197" s="2" t="s">
        <v>2820</v>
      </c>
      <c r="C1197" s="19" t="s">
        <v>6554</v>
      </c>
      <c r="D1197" s="19" t="s">
        <v>6555</v>
      </c>
      <c r="E1197" s="2"/>
      <c r="F1197" s="19"/>
    </row>
    <row r="1198" ht="15.75" customHeight="1">
      <c r="A1198" s="1">
        <v>5.228899E7</v>
      </c>
      <c r="B1198" s="2" t="s">
        <v>146</v>
      </c>
      <c r="C1198" s="19" t="s">
        <v>6556</v>
      </c>
      <c r="D1198" s="19" t="s">
        <v>6557</v>
      </c>
      <c r="E1198" s="2"/>
      <c r="F1198" s="19"/>
    </row>
    <row r="1199" ht="15.75" customHeight="1">
      <c r="A1199" s="1">
        <v>5.229027E7</v>
      </c>
      <c r="B1199" s="2" t="s">
        <v>3248</v>
      </c>
      <c r="C1199" s="19" t="s">
        <v>6558</v>
      </c>
      <c r="D1199" s="19"/>
      <c r="E1199" s="2"/>
      <c r="F1199" s="19"/>
    </row>
    <row r="1200" ht="15.75" customHeight="1">
      <c r="A1200" s="1">
        <v>5.2294271E7</v>
      </c>
      <c r="B1200" s="2" t="s">
        <v>974</v>
      </c>
      <c r="C1200" s="19" t="s">
        <v>6559</v>
      </c>
      <c r="D1200" s="19"/>
      <c r="E1200" s="2"/>
      <c r="F1200" s="19"/>
    </row>
    <row r="1201" ht="15.75" customHeight="1">
      <c r="A1201" s="1">
        <v>5.2294548E7</v>
      </c>
      <c r="B1201" s="2" t="s">
        <v>2845</v>
      </c>
      <c r="C1201" s="19" t="s">
        <v>6560</v>
      </c>
      <c r="D1201" s="19" t="s">
        <v>6561</v>
      </c>
      <c r="E1201" s="2"/>
      <c r="F1201" s="19"/>
    </row>
    <row r="1202" ht="15.75" customHeight="1">
      <c r="A1202" s="1">
        <v>5.2294863E7</v>
      </c>
      <c r="B1202" s="2" t="s">
        <v>1605</v>
      </c>
      <c r="C1202" s="19" t="s">
        <v>6562</v>
      </c>
      <c r="D1202" s="19"/>
      <c r="E1202" s="2"/>
      <c r="F1202" s="19"/>
    </row>
    <row r="1203" ht="15.75" customHeight="1">
      <c r="A1203" s="1">
        <v>5.2296498E7</v>
      </c>
      <c r="B1203" s="2" t="s">
        <v>1863</v>
      </c>
      <c r="C1203" s="19" t="s">
        <v>6563</v>
      </c>
      <c r="D1203" s="19"/>
      <c r="E1203" s="2"/>
      <c r="F1203" s="19"/>
    </row>
    <row r="1204" ht="15.75" customHeight="1">
      <c r="A1204" s="1">
        <v>5.2299979E7</v>
      </c>
      <c r="B1204" s="2" t="s">
        <v>1570</v>
      </c>
      <c r="C1204" s="19" t="s">
        <v>6564</v>
      </c>
      <c r="D1204" s="19"/>
      <c r="E1204" s="2"/>
      <c r="F1204" s="19"/>
    </row>
    <row r="1205" ht="15.75" customHeight="1">
      <c r="A1205" s="1">
        <v>5.2300209E7</v>
      </c>
      <c r="B1205" s="2" t="s">
        <v>1547</v>
      </c>
      <c r="C1205" s="19" t="s">
        <v>6565</v>
      </c>
      <c r="D1205" s="19" t="s">
        <v>6566</v>
      </c>
      <c r="E1205" s="2"/>
      <c r="F1205" s="19"/>
    </row>
    <row r="1206" ht="15.75" customHeight="1">
      <c r="A1206" s="1">
        <v>5.2316754E7</v>
      </c>
      <c r="B1206" s="2" t="s">
        <v>1048</v>
      </c>
      <c r="C1206" s="19" t="s">
        <v>6567</v>
      </c>
      <c r="D1206" s="19" t="s">
        <v>6568</v>
      </c>
      <c r="E1206" s="2"/>
      <c r="F1206" s="19"/>
    </row>
    <row r="1207" ht="15.75" customHeight="1">
      <c r="A1207" s="1">
        <v>5.2325612E7</v>
      </c>
      <c r="B1207" s="2" t="s">
        <v>1238</v>
      </c>
      <c r="C1207" s="19" t="s">
        <v>6569</v>
      </c>
      <c r="D1207" s="19" t="s">
        <v>6570</v>
      </c>
      <c r="E1207" s="2"/>
      <c r="F1207" s="19"/>
    </row>
    <row r="1208" ht="15.75" customHeight="1">
      <c r="A1208" s="1">
        <v>5.2332025E7</v>
      </c>
      <c r="B1208" s="2" t="s">
        <v>2965</v>
      </c>
      <c r="C1208" s="19" t="s">
        <v>6571</v>
      </c>
      <c r="D1208" s="19" t="s">
        <v>6572</v>
      </c>
      <c r="E1208" s="2"/>
      <c r="F1208" s="19"/>
    </row>
    <row r="1209" ht="15.75" customHeight="1">
      <c r="A1209" s="1">
        <v>5.2353918E7</v>
      </c>
      <c r="B1209" s="2" t="s">
        <v>660</v>
      </c>
      <c r="C1209" s="19" t="s">
        <v>6573</v>
      </c>
      <c r="D1209" s="19" t="s">
        <v>6574</v>
      </c>
      <c r="E1209" s="2"/>
      <c r="F1209" s="19"/>
    </row>
    <row r="1210" ht="15.75" customHeight="1">
      <c r="A1210" s="1">
        <v>5.2363765E7</v>
      </c>
      <c r="B1210" s="2" t="s">
        <v>2443</v>
      </c>
      <c r="C1210" s="19" t="s">
        <v>6575</v>
      </c>
      <c r="D1210" s="19"/>
      <c r="E1210" s="2"/>
      <c r="F1210" s="19"/>
    </row>
    <row r="1211" ht="15.75" customHeight="1">
      <c r="A1211" s="1">
        <v>5.2370349E7</v>
      </c>
      <c r="B1211" s="2" t="s">
        <v>878</v>
      </c>
      <c r="C1211" s="19" t="s">
        <v>6576</v>
      </c>
      <c r="D1211" s="19"/>
      <c r="E1211" s="2"/>
      <c r="F1211" s="19"/>
    </row>
    <row r="1212" ht="15.75" customHeight="1">
      <c r="A1212" s="1">
        <v>5.2370474E7</v>
      </c>
      <c r="B1212" s="2" t="s">
        <v>3249</v>
      </c>
      <c r="C1212" s="19" t="s">
        <v>6577</v>
      </c>
      <c r="D1212" s="19"/>
      <c r="E1212" s="2"/>
      <c r="F1212" s="19"/>
    </row>
    <row r="1213" ht="15.75" customHeight="1">
      <c r="A1213" s="1">
        <v>5.2370526E7</v>
      </c>
      <c r="B1213" s="2" t="s">
        <v>1548</v>
      </c>
      <c r="C1213" s="19" t="s">
        <v>6578</v>
      </c>
      <c r="D1213" s="19"/>
      <c r="E1213" s="2"/>
      <c r="F1213" s="19"/>
    </row>
    <row r="1214" ht="15.75" customHeight="1">
      <c r="A1214" s="1">
        <v>5.2406269E7</v>
      </c>
      <c r="B1214" s="2" t="s">
        <v>410</v>
      </c>
      <c r="C1214" s="19" t="s">
        <v>6579</v>
      </c>
      <c r="D1214" s="19"/>
      <c r="E1214" s="2"/>
      <c r="F1214" s="19"/>
    </row>
    <row r="1215" ht="15.75" customHeight="1">
      <c r="A1215" s="1">
        <v>5.2406753E7</v>
      </c>
      <c r="B1215" s="2" t="s">
        <v>1855</v>
      </c>
      <c r="C1215" s="19" t="s">
        <v>6580</v>
      </c>
      <c r="D1215" s="19" t="s">
        <v>6581</v>
      </c>
      <c r="E1215" s="2"/>
      <c r="F1215" s="19"/>
    </row>
    <row r="1216" ht="15.75" customHeight="1">
      <c r="A1216" s="1">
        <v>5.2421026E7</v>
      </c>
      <c r="B1216" s="2" t="s">
        <v>2931</v>
      </c>
      <c r="C1216" s="19" t="s">
        <v>6582</v>
      </c>
      <c r="D1216" s="19" t="s">
        <v>6583</v>
      </c>
      <c r="E1216" s="2"/>
      <c r="F1216" s="19"/>
    </row>
    <row r="1217" ht="15.75" customHeight="1">
      <c r="A1217" s="1">
        <v>5.2424944E7</v>
      </c>
      <c r="B1217" s="2" t="s">
        <v>301</v>
      </c>
      <c r="C1217" s="19" t="s">
        <v>6584</v>
      </c>
      <c r="D1217" s="19"/>
      <c r="E1217" s="2"/>
      <c r="F1217" s="19"/>
    </row>
    <row r="1218" ht="15.75" customHeight="1">
      <c r="A1218" s="1">
        <v>5.2425738E7</v>
      </c>
      <c r="B1218" s="2" t="s">
        <v>2859</v>
      </c>
      <c r="C1218" s="19" t="s">
        <v>6585</v>
      </c>
      <c r="D1218" s="19"/>
      <c r="E1218" s="2"/>
      <c r="F1218" s="19"/>
    </row>
    <row r="1219" ht="15.75" customHeight="1">
      <c r="A1219" s="1">
        <v>5.2427085E7</v>
      </c>
      <c r="B1219" s="2" t="s">
        <v>2821</v>
      </c>
      <c r="C1219" s="19" t="s">
        <v>6586</v>
      </c>
      <c r="D1219" s="19"/>
      <c r="E1219" s="2"/>
      <c r="F1219" s="19"/>
    </row>
    <row r="1220" ht="15.75" customHeight="1">
      <c r="A1220" s="1">
        <v>5.2436007E7</v>
      </c>
      <c r="B1220" s="2" t="s">
        <v>1475</v>
      </c>
      <c r="C1220" s="19" t="s">
        <v>6587</v>
      </c>
      <c r="D1220" s="19"/>
      <c r="E1220" s="2"/>
      <c r="F1220" s="19"/>
    </row>
    <row r="1221" ht="15.75" customHeight="1">
      <c r="A1221" s="1">
        <v>5.244144E7</v>
      </c>
      <c r="B1221" s="2" t="s">
        <v>1298</v>
      </c>
      <c r="C1221" s="19" t="s">
        <v>6588</v>
      </c>
      <c r="D1221" s="19"/>
      <c r="E1221" s="2"/>
      <c r="F1221" s="19"/>
    </row>
    <row r="1222" ht="15.75" customHeight="1">
      <c r="A1222" s="1">
        <v>5.2443062E7</v>
      </c>
      <c r="B1222" s="2" t="s">
        <v>300</v>
      </c>
      <c r="C1222" s="19" t="s">
        <v>6589</v>
      </c>
      <c r="D1222" s="19" t="s">
        <v>6590</v>
      </c>
      <c r="E1222" s="2"/>
      <c r="F1222" s="19"/>
    </row>
    <row r="1223" ht="15.75" customHeight="1">
      <c r="A1223" s="1">
        <v>5.2480985E7</v>
      </c>
      <c r="B1223" s="2" t="s">
        <v>1212</v>
      </c>
      <c r="C1223" s="19" t="s">
        <v>6591</v>
      </c>
      <c r="D1223" s="19" t="s">
        <v>6592</v>
      </c>
      <c r="E1223" s="2"/>
      <c r="F1223" s="19"/>
    </row>
    <row r="1224" ht="15.75" customHeight="1">
      <c r="A1224" s="1">
        <v>5.2486527E7</v>
      </c>
      <c r="B1224" s="2" t="s">
        <v>1421</v>
      </c>
      <c r="C1224" s="19" t="s">
        <v>6593</v>
      </c>
      <c r="D1224" s="19"/>
      <c r="E1224" s="2"/>
      <c r="F1224" s="19"/>
    </row>
    <row r="1225" ht="15.75" customHeight="1">
      <c r="A1225" s="1">
        <v>5.2492264E7</v>
      </c>
      <c r="B1225" s="2" t="s">
        <v>1689</v>
      </c>
      <c r="C1225" s="19" t="s">
        <v>6594</v>
      </c>
      <c r="D1225" s="19"/>
      <c r="E1225" s="2"/>
      <c r="F1225" s="19"/>
    </row>
    <row r="1226" ht="15.75" customHeight="1">
      <c r="A1226" s="1">
        <v>5.2497823E7</v>
      </c>
      <c r="B1226" s="2" t="s">
        <v>1228</v>
      </c>
      <c r="C1226" s="19" t="s">
        <v>6595</v>
      </c>
      <c r="D1226" s="19" t="s">
        <v>6596</v>
      </c>
      <c r="E1226" s="2"/>
      <c r="F1226" s="19"/>
    </row>
    <row r="1227" ht="15.75" customHeight="1">
      <c r="A1227" s="1">
        <v>5.249814E7</v>
      </c>
      <c r="B1227" s="2" t="s">
        <v>2141</v>
      </c>
      <c r="C1227" s="19" t="s">
        <v>6597</v>
      </c>
      <c r="D1227" s="19"/>
      <c r="E1227" s="2"/>
      <c r="F1227" s="19"/>
    </row>
    <row r="1228" ht="15.75" customHeight="1">
      <c r="A1228" s="1">
        <v>5.2499067E7</v>
      </c>
      <c r="B1228" s="2" t="s">
        <v>1594</v>
      </c>
      <c r="C1228" s="19" t="s">
        <v>6598</v>
      </c>
      <c r="D1228" s="19"/>
      <c r="E1228" s="2"/>
      <c r="F1228" s="19"/>
    </row>
    <row r="1229" ht="15.75" customHeight="1">
      <c r="A1229" s="1">
        <v>5.2510724E7</v>
      </c>
      <c r="B1229" s="2" t="s">
        <v>1534</v>
      </c>
      <c r="C1229" s="19" t="s">
        <v>6599</v>
      </c>
      <c r="D1229" s="19"/>
      <c r="E1229" s="2"/>
      <c r="F1229" s="19"/>
    </row>
    <row r="1230" ht="15.75" customHeight="1">
      <c r="A1230" s="1">
        <v>5.2518944E7</v>
      </c>
      <c r="B1230" s="2" t="s">
        <v>1267</v>
      </c>
      <c r="C1230" s="19" t="s">
        <v>6600</v>
      </c>
      <c r="D1230" s="19" t="s">
        <v>6601</v>
      </c>
      <c r="E1230" s="2"/>
      <c r="F1230" s="19"/>
    </row>
    <row r="1231" ht="15.75" customHeight="1">
      <c r="A1231" s="1">
        <v>5.2519202E7</v>
      </c>
      <c r="B1231" s="2" t="s">
        <v>1363</v>
      </c>
      <c r="C1231" s="19" t="s">
        <v>6602</v>
      </c>
      <c r="D1231" s="19"/>
      <c r="E1231" s="2"/>
      <c r="F1231" s="19"/>
    </row>
    <row r="1232" ht="15.75" customHeight="1">
      <c r="A1232" s="1">
        <v>5.252532E7</v>
      </c>
      <c r="B1232" s="2" t="s">
        <v>1125</v>
      </c>
      <c r="C1232" s="19" t="s">
        <v>6603</v>
      </c>
      <c r="D1232" s="19"/>
      <c r="E1232" s="2"/>
      <c r="F1232" s="19"/>
    </row>
    <row r="1233" ht="15.75" customHeight="1">
      <c r="A1233" s="1">
        <v>5.2529279E7</v>
      </c>
      <c r="B1233" s="2" t="s">
        <v>129</v>
      </c>
      <c r="C1233" s="19" t="s">
        <v>6604</v>
      </c>
      <c r="D1233" s="19"/>
      <c r="E1233" s="2"/>
      <c r="F1233" s="19"/>
    </row>
    <row r="1234" ht="15.75" customHeight="1">
      <c r="A1234" s="1">
        <v>5.2534581E7</v>
      </c>
      <c r="B1234" s="2" t="s">
        <v>781</v>
      </c>
      <c r="C1234" s="19" t="s">
        <v>6605</v>
      </c>
      <c r="D1234" s="19"/>
      <c r="E1234" s="2"/>
      <c r="F1234" s="19"/>
    </row>
    <row r="1235" ht="15.75" customHeight="1">
      <c r="A1235" s="1">
        <v>5.2544025E7</v>
      </c>
      <c r="B1235" s="2" t="s">
        <v>2896</v>
      </c>
      <c r="C1235" s="19" t="s">
        <v>6606</v>
      </c>
      <c r="D1235" s="19"/>
      <c r="E1235" s="2"/>
      <c r="F1235" s="19"/>
    </row>
    <row r="1236" ht="15.75" customHeight="1">
      <c r="A1236" s="1">
        <v>5.2559551E7</v>
      </c>
      <c r="B1236" s="2" t="s">
        <v>1526</v>
      </c>
      <c r="C1236" s="19" t="s">
        <v>6607</v>
      </c>
      <c r="D1236" s="19"/>
      <c r="E1236" s="2"/>
      <c r="F1236" s="19"/>
    </row>
    <row r="1237" ht="15.75" customHeight="1">
      <c r="A1237" s="1">
        <v>5.2563232E7</v>
      </c>
      <c r="B1237" s="2" t="s">
        <v>875</v>
      </c>
      <c r="C1237" s="19" t="s">
        <v>6608</v>
      </c>
      <c r="D1237" s="19"/>
      <c r="E1237" s="2"/>
      <c r="F1237" s="19"/>
    </row>
    <row r="1238" ht="15.75" customHeight="1">
      <c r="A1238" s="1">
        <v>5.257449E7</v>
      </c>
      <c r="B1238" s="2" t="s">
        <v>1057</v>
      </c>
      <c r="C1238" s="19" t="s">
        <v>6609</v>
      </c>
      <c r="D1238" s="19"/>
      <c r="E1238" s="2"/>
      <c r="F1238" s="19"/>
    </row>
    <row r="1239" ht="15.75" customHeight="1">
      <c r="A1239" s="1">
        <v>5.2585467E7</v>
      </c>
      <c r="B1239" s="2" t="s">
        <v>883</v>
      </c>
      <c r="C1239" s="19" t="s">
        <v>6610</v>
      </c>
      <c r="D1239" s="19"/>
      <c r="E1239" s="2"/>
      <c r="F1239" s="19"/>
    </row>
    <row r="1240" ht="15.75" customHeight="1">
      <c r="A1240" s="1">
        <v>5.2593036E7</v>
      </c>
      <c r="B1240" s="2" t="s">
        <v>2573</v>
      </c>
      <c r="C1240" s="19" t="s">
        <v>6611</v>
      </c>
      <c r="D1240" s="19"/>
      <c r="E1240" s="2"/>
      <c r="F1240" s="19"/>
    </row>
    <row r="1241" ht="15.75" customHeight="1">
      <c r="A1241" s="1">
        <v>5.260001E7</v>
      </c>
      <c r="B1241" s="2" t="s">
        <v>539</v>
      </c>
      <c r="C1241" s="19" t="s">
        <v>6612</v>
      </c>
      <c r="D1241" s="19" t="s">
        <v>6613</v>
      </c>
      <c r="E1241" s="2"/>
      <c r="F1241" s="19"/>
    </row>
    <row r="1242" ht="15.75" customHeight="1">
      <c r="A1242" s="1">
        <v>5.2605791E7</v>
      </c>
      <c r="B1242" s="2" t="s">
        <v>1747</v>
      </c>
      <c r="C1242" s="19" t="s">
        <v>6614</v>
      </c>
      <c r="D1242" s="19" t="s">
        <v>6615</v>
      </c>
      <c r="E1242" s="2"/>
      <c r="F1242" s="19"/>
    </row>
    <row r="1243" ht="15.75" customHeight="1">
      <c r="A1243" s="1">
        <v>5.2612424E7</v>
      </c>
      <c r="B1243" s="2" t="s">
        <v>2414</v>
      </c>
      <c r="C1243" s="19" t="s">
        <v>6616</v>
      </c>
      <c r="D1243" s="19"/>
      <c r="E1243" s="2"/>
      <c r="F1243" s="19"/>
    </row>
    <row r="1244" ht="15.75" customHeight="1">
      <c r="A1244" s="1">
        <v>5.2626952E7</v>
      </c>
      <c r="B1244" s="2" t="s">
        <v>2423</v>
      </c>
      <c r="C1244" s="19" t="s">
        <v>6617</v>
      </c>
      <c r="D1244" s="19"/>
      <c r="E1244" s="2"/>
      <c r="F1244" s="19"/>
    </row>
    <row r="1245" ht="15.75" customHeight="1">
      <c r="A1245" s="1">
        <v>5.2642674E7</v>
      </c>
      <c r="B1245" s="2" t="s">
        <v>2183</v>
      </c>
      <c r="C1245" s="19" t="s">
        <v>6618</v>
      </c>
      <c r="D1245" s="19"/>
      <c r="E1245" s="2"/>
      <c r="F1245" s="19"/>
    </row>
    <row r="1246" ht="15.75" customHeight="1">
      <c r="A1246" s="1">
        <v>5.2648963E7</v>
      </c>
      <c r="B1246" s="2" t="s">
        <v>2160</v>
      </c>
      <c r="C1246" s="19" t="s">
        <v>6619</v>
      </c>
      <c r="D1246" s="19"/>
      <c r="E1246" s="2"/>
      <c r="F1246" s="19"/>
    </row>
    <row r="1247" ht="15.75" customHeight="1">
      <c r="A1247" s="1">
        <v>5.2656748E7</v>
      </c>
      <c r="B1247" s="2" t="s">
        <v>2846</v>
      </c>
      <c r="C1247" s="19" t="s">
        <v>6620</v>
      </c>
      <c r="D1247" s="19"/>
      <c r="E1247" s="2"/>
      <c r="F1247" s="19"/>
    </row>
    <row r="1248" ht="15.75" customHeight="1">
      <c r="A1248" s="1">
        <v>5.26681E7</v>
      </c>
      <c r="B1248" s="2" t="s">
        <v>2530</v>
      </c>
      <c r="C1248" s="19" t="s">
        <v>6621</v>
      </c>
      <c r="D1248" s="19"/>
      <c r="E1248" s="2"/>
      <c r="F1248" s="19"/>
    </row>
    <row r="1249" ht="15.75" customHeight="1">
      <c r="A1249" s="1">
        <v>5.2670156E7</v>
      </c>
      <c r="B1249" s="2" t="s">
        <v>1789</v>
      </c>
      <c r="C1249" s="19" t="s">
        <v>6622</v>
      </c>
      <c r="D1249" s="19" t="s">
        <v>6623</v>
      </c>
      <c r="E1249" s="2"/>
      <c r="F1249" s="19"/>
    </row>
    <row r="1250" ht="15.75" customHeight="1">
      <c r="A1250" s="1">
        <v>5.2673505E7</v>
      </c>
      <c r="B1250" s="2" t="s">
        <v>406</v>
      </c>
      <c r="C1250" s="19" t="s">
        <v>6624</v>
      </c>
      <c r="D1250" s="19"/>
      <c r="E1250" s="2"/>
      <c r="F1250" s="19"/>
    </row>
    <row r="1251" ht="15.75" customHeight="1">
      <c r="A1251" s="1">
        <v>5.2684091E7</v>
      </c>
      <c r="B1251" s="2" t="s">
        <v>876</v>
      </c>
      <c r="C1251" s="19" t="s">
        <v>6625</v>
      </c>
      <c r="D1251" s="19"/>
      <c r="E1251" s="2"/>
      <c r="F1251" s="19"/>
    </row>
    <row r="1252" ht="15.75" customHeight="1">
      <c r="A1252" s="1">
        <v>5.2706803E7</v>
      </c>
      <c r="B1252" s="2" t="s">
        <v>2261</v>
      </c>
      <c r="C1252" s="19" t="s">
        <v>6626</v>
      </c>
      <c r="D1252" s="19" t="s">
        <v>6627</v>
      </c>
      <c r="E1252" s="2"/>
      <c r="F1252" s="19"/>
    </row>
    <row r="1253" ht="15.75" customHeight="1">
      <c r="A1253" s="1">
        <v>5.2715914E7</v>
      </c>
      <c r="B1253" s="2" t="s">
        <v>2703</v>
      </c>
      <c r="C1253" s="19" t="s">
        <v>6628</v>
      </c>
      <c r="D1253" s="19"/>
      <c r="E1253" s="2"/>
      <c r="F1253" s="19"/>
    </row>
    <row r="1254" ht="15.75" customHeight="1">
      <c r="A1254" s="1">
        <v>5.2719697E7</v>
      </c>
      <c r="B1254" s="2" t="s">
        <v>2128</v>
      </c>
      <c r="C1254" s="19" t="s">
        <v>6629</v>
      </c>
      <c r="D1254" s="19"/>
      <c r="E1254" s="2"/>
      <c r="F1254" s="19"/>
    </row>
    <row r="1255" ht="15.75" customHeight="1">
      <c r="A1255" s="1">
        <v>5.2720455E7</v>
      </c>
      <c r="B1255" s="2" t="s">
        <v>802</v>
      </c>
      <c r="C1255" s="19" t="s">
        <v>6630</v>
      </c>
      <c r="D1255" s="19" t="s">
        <v>6631</v>
      </c>
      <c r="E1255" s="2"/>
      <c r="F1255" s="19"/>
    </row>
    <row r="1256" ht="15.75" customHeight="1">
      <c r="A1256" s="1">
        <v>5.2733497E7</v>
      </c>
      <c r="B1256" s="2" t="s">
        <v>1110</v>
      </c>
      <c r="C1256" s="19" t="s">
        <v>6632</v>
      </c>
      <c r="D1256" s="19" t="s">
        <v>6633</v>
      </c>
      <c r="E1256" s="2"/>
      <c r="F1256" s="19"/>
    </row>
    <row r="1257" ht="15.75" customHeight="1">
      <c r="A1257" s="1">
        <v>5.2736363E7</v>
      </c>
      <c r="B1257" s="2" t="s">
        <v>597</v>
      </c>
      <c r="C1257" s="19" t="s">
        <v>6634</v>
      </c>
      <c r="D1257" s="19" t="s">
        <v>6635</v>
      </c>
      <c r="E1257" s="2"/>
      <c r="F1257" s="19"/>
    </row>
    <row r="1258" ht="15.75" customHeight="1">
      <c r="A1258" s="1">
        <v>5.2737691E7</v>
      </c>
      <c r="B1258" s="2" t="s">
        <v>2822</v>
      </c>
      <c r="C1258" s="19" t="s">
        <v>6636</v>
      </c>
      <c r="D1258" s="19"/>
      <c r="E1258" s="2"/>
      <c r="F1258" s="19"/>
    </row>
    <row r="1259" ht="15.75" customHeight="1">
      <c r="A1259" s="1">
        <v>5.2753965E7</v>
      </c>
      <c r="B1259" s="2" t="s">
        <v>2781</v>
      </c>
      <c r="C1259" s="19" t="s">
        <v>6637</v>
      </c>
      <c r="D1259" s="19"/>
      <c r="E1259" s="2"/>
      <c r="F1259" s="19"/>
    </row>
    <row r="1260" ht="15.75" customHeight="1">
      <c r="A1260" s="1">
        <v>5.2761661E7</v>
      </c>
      <c r="B1260" s="2" t="s">
        <v>1690</v>
      </c>
      <c r="C1260" s="19" t="s">
        <v>6638</v>
      </c>
      <c r="D1260" s="19" t="s">
        <v>6639</v>
      </c>
      <c r="E1260" s="2"/>
      <c r="F1260" s="19"/>
    </row>
    <row r="1261" ht="15.75" customHeight="1">
      <c r="A1261" s="1">
        <v>5.2772128E7</v>
      </c>
      <c r="B1261" s="2" t="s">
        <v>427</v>
      </c>
      <c r="C1261" s="19" t="s">
        <v>6640</v>
      </c>
      <c r="D1261" s="19" t="s">
        <v>6641</v>
      </c>
      <c r="E1261" s="2"/>
      <c r="F1261" s="19"/>
    </row>
    <row r="1262" ht="15.75" customHeight="1">
      <c r="A1262" s="1">
        <v>5.2776119E7</v>
      </c>
      <c r="B1262" s="2" t="s">
        <v>1537</v>
      </c>
      <c r="C1262" s="19" t="s">
        <v>6642</v>
      </c>
      <c r="D1262" s="19"/>
      <c r="E1262" s="2"/>
      <c r="F1262" s="19"/>
    </row>
    <row r="1263" ht="15.75" customHeight="1">
      <c r="A1263" s="1">
        <v>5.2781309E7</v>
      </c>
      <c r="B1263" s="2" t="s">
        <v>554</v>
      </c>
      <c r="C1263" s="19" t="s">
        <v>6643</v>
      </c>
      <c r="D1263" s="19" t="s">
        <v>6644</v>
      </c>
      <c r="E1263" s="2"/>
      <c r="F1263" s="19"/>
    </row>
    <row r="1264" ht="15.75" customHeight="1">
      <c r="A1264" s="1">
        <v>5.2805378E7</v>
      </c>
      <c r="B1264" s="2" t="s">
        <v>741</v>
      </c>
      <c r="C1264" s="19" t="s">
        <v>6645</v>
      </c>
      <c r="D1264" s="19"/>
      <c r="E1264" s="2"/>
      <c r="F1264" s="19"/>
    </row>
    <row r="1265" ht="15.75" customHeight="1">
      <c r="A1265" s="1">
        <v>5.2814608E7</v>
      </c>
      <c r="B1265" s="2" t="s">
        <v>692</v>
      </c>
      <c r="C1265" s="19" t="s">
        <v>6646</v>
      </c>
      <c r="D1265" s="19" t="s">
        <v>6647</v>
      </c>
      <c r="E1265" s="2"/>
      <c r="F1265" s="19"/>
    </row>
    <row r="1266" ht="15.75" customHeight="1">
      <c r="A1266" s="1">
        <v>5.2816757E7</v>
      </c>
      <c r="B1266" s="2" t="s">
        <v>2740</v>
      </c>
      <c r="C1266" s="19" t="s">
        <v>6648</v>
      </c>
      <c r="D1266" s="19"/>
      <c r="E1266" s="2"/>
      <c r="F1266" s="19"/>
    </row>
    <row r="1267" ht="15.75" customHeight="1">
      <c r="A1267" s="1">
        <v>5.2821168E7</v>
      </c>
      <c r="B1267" s="2" t="s">
        <v>995</v>
      </c>
      <c r="C1267" s="19" t="s">
        <v>6649</v>
      </c>
      <c r="D1267" s="19"/>
      <c r="E1267" s="2"/>
      <c r="F1267" s="19"/>
    </row>
    <row r="1268" ht="15.75" customHeight="1">
      <c r="A1268" s="1">
        <v>5.2825572E7</v>
      </c>
      <c r="B1268" s="2" t="s">
        <v>1207</v>
      </c>
      <c r="C1268" s="19" t="s">
        <v>6650</v>
      </c>
      <c r="D1268" s="19"/>
      <c r="E1268" s="2"/>
      <c r="F1268" s="19"/>
    </row>
    <row r="1269" ht="15.75" customHeight="1">
      <c r="A1269" s="1">
        <v>5.2838421E7</v>
      </c>
      <c r="B1269" s="2" t="s">
        <v>1918</v>
      </c>
      <c r="C1269" s="19" t="s">
        <v>6651</v>
      </c>
      <c r="D1269" s="19"/>
      <c r="E1269" s="2"/>
      <c r="F1269" s="19"/>
    </row>
    <row r="1270" ht="15.75" customHeight="1">
      <c r="A1270" s="1">
        <v>5.2840363E7</v>
      </c>
      <c r="B1270" s="2" t="s">
        <v>1275</v>
      </c>
      <c r="C1270" s="19" t="s">
        <v>6652</v>
      </c>
      <c r="D1270" s="19" t="s">
        <v>6653</v>
      </c>
      <c r="E1270" s="2"/>
      <c r="F1270" s="19"/>
    </row>
    <row r="1271" ht="15.75" customHeight="1">
      <c r="A1271" s="1">
        <v>5.2843956E7</v>
      </c>
      <c r="B1271" s="2" t="s">
        <v>657</v>
      </c>
      <c r="C1271" s="19" t="s">
        <v>6654</v>
      </c>
      <c r="D1271" s="19" t="s">
        <v>6655</v>
      </c>
      <c r="E1271" s="2"/>
      <c r="F1271" s="19"/>
    </row>
    <row r="1272" ht="15.75" customHeight="1">
      <c r="A1272" s="1">
        <v>5.2854298E7</v>
      </c>
      <c r="B1272" s="2" t="s">
        <v>2691</v>
      </c>
      <c r="C1272" s="19" t="s">
        <v>6656</v>
      </c>
      <c r="D1272" s="19"/>
      <c r="E1272" s="2"/>
      <c r="F1272" s="19"/>
    </row>
    <row r="1273" ht="15.75" customHeight="1">
      <c r="A1273" s="1">
        <v>5.2872674E7</v>
      </c>
      <c r="B1273" s="2" t="s">
        <v>1188</v>
      </c>
      <c r="C1273" s="19" t="s">
        <v>6657</v>
      </c>
      <c r="D1273" s="19"/>
      <c r="E1273" s="2"/>
      <c r="F1273" s="19"/>
    </row>
    <row r="1274" ht="15.75" customHeight="1">
      <c r="A1274" s="1">
        <v>5.2874947E7</v>
      </c>
      <c r="B1274" s="2" t="s">
        <v>2088</v>
      </c>
      <c r="C1274" s="19" t="s">
        <v>6658</v>
      </c>
      <c r="D1274" s="19"/>
      <c r="E1274" s="2"/>
      <c r="F1274" s="19"/>
    </row>
    <row r="1275" ht="15.75" customHeight="1">
      <c r="A1275" s="1">
        <v>5.2880268E7</v>
      </c>
      <c r="B1275" s="2" t="s">
        <v>1922</v>
      </c>
      <c r="C1275" s="19" t="s">
        <v>6659</v>
      </c>
      <c r="D1275" s="19"/>
      <c r="E1275" s="2"/>
      <c r="F1275" s="19"/>
    </row>
    <row r="1276" ht="15.75" customHeight="1">
      <c r="A1276" s="1">
        <v>5.2888222E7</v>
      </c>
      <c r="B1276" s="2" t="s">
        <v>2335</v>
      </c>
      <c r="C1276" s="19" t="s">
        <v>6660</v>
      </c>
      <c r="D1276" s="19"/>
      <c r="E1276" s="2"/>
      <c r="F1276" s="19"/>
    </row>
    <row r="1277" ht="15.75" customHeight="1">
      <c r="A1277" s="1">
        <v>5.2890757E7</v>
      </c>
      <c r="B1277" s="2" t="s">
        <v>329</v>
      </c>
      <c r="C1277" s="19" t="s">
        <v>6661</v>
      </c>
      <c r="D1277" s="19"/>
      <c r="E1277" s="2"/>
      <c r="F1277" s="19"/>
    </row>
    <row r="1278" ht="15.75" customHeight="1">
      <c r="A1278" s="1">
        <v>5.289267E7</v>
      </c>
      <c r="B1278" s="2" t="s">
        <v>3039</v>
      </c>
      <c r="C1278" s="19" t="s">
        <v>6662</v>
      </c>
      <c r="D1278" s="19"/>
      <c r="E1278" s="2"/>
      <c r="F1278" s="19"/>
    </row>
    <row r="1279" ht="15.75" customHeight="1">
      <c r="A1279" s="1">
        <v>5.2894062E7</v>
      </c>
      <c r="B1279" s="2" t="s">
        <v>2741</v>
      </c>
      <c r="C1279" s="19" t="s">
        <v>6663</v>
      </c>
      <c r="D1279" s="19" t="s">
        <v>6664</v>
      </c>
      <c r="E1279" s="2"/>
      <c r="F1279" s="19"/>
    </row>
    <row r="1280" ht="15.75" customHeight="1">
      <c r="A1280" s="1">
        <v>5.2897466E7</v>
      </c>
      <c r="B1280" s="2" t="s">
        <v>2548</v>
      </c>
      <c r="C1280" s="19" t="s">
        <v>6665</v>
      </c>
      <c r="D1280" s="19"/>
      <c r="E1280" s="2"/>
      <c r="F1280" s="19"/>
    </row>
    <row r="1281" ht="15.75" customHeight="1">
      <c r="A1281" s="1">
        <v>5.2898741E7</v>
      </c>
      <c r="B1281" s="2" t="s">
        <v>2194</v>
      </c>
      <c r="C1281" s="19" t="s">
        <v>6666</v>
      </c>
      <c r="D1281" s="19" t="s">
        <v>6667</v>
      </c>
      <c r="E1281" s="2"/>
      <c r="F1281" s="19"/>
    </row>
    <row r="1282" ht="15.75" customHeight="1">
      <c r="A1282" s="1">
        <v>5.2904363E7</v>
      </c>
      <c r="B1282" s="2" t="s">
        <v>1291</v>
      </c>
      <c r="C1282" s="19" t="s">
        <v>6668</v>
      </c>
      <c r="D1282" s="19"/>
      <c r="E1282" s="2"/>
      <c r="F1282" s="19"/>
    </row>
    <row r="1283" ht="15.75" customHeight="1">
      <c r="A1283" s="1">
        <v>5.2917737E7</v>
      </c>
      <c r="B1283" s="2" t="s">
        <v>249</v>
      </c>
      <c r="C1283" s="19" t="s">
        <v>6669</v>
      </c>
      <c r="D1283" s="19" t="s">
        <v>6670</v>
      </c>
      <c r="E1283" s="2"/>
      <c r="F1283" s="19"/>
    </row>
    <row r="1284" ht="15.75" customHeight="1">
      <c r="A1284" s="1">
        <v>5.2919137E7</v>
      </c>
      <c r="B1284" s="2" t="s">
        <v>1512</v>
      </c>
      <c r="C1284" s="19" t="s">
        <v>6671</v>
      </c>
      <c r="D1284" s="19" t="s">
        <v>6672</v>
      </c>
      <c r="E1284" s="2"/>
      <c r="F1284" s="19"/>
    </row>
    <row r="1285" ht="15.75" customHeight="1">
      <c r="A1285" s="1">
        <v>5.2923228E7</v>
      </c>
      <c r="B1285" s="2" t="s">
        <v>2195</v>
      </c>
      <c r="C1285" s="19" t="s">
        <v>6673</v>
      </c>
      <c r="D1285" s="19" t="s">
        <v>6674</v>
      </c>
      <c r="E1285" s="2"/>
      <c r="F1285" s="19"/>
    </row>
    <row r="1286" ht="15.75" customHeight="1">
      <c r="A1286" s="1">
        <v>5.293968E7</v>
      </c>
      <c r="B1286" s="2" t="s">
        <v>1964</v>
      </c>
      <c r="C1286" s="19" t="s">
        <v>6675</v>
      </c>
      <c r="D1286" s="19" t="s">
        <v>6676</v>
      </c>
      <c r="E1286" s="2"/>
      <c r="F1286" s="19"/>
    </row>
    <row r="1287" ht="15.75" customHeight="1">
      <c r="A1287" s="1">
        <v>5.2953534E7</v>
      </c>
      <c r="B1287" s="2" t="s">
        <v>1358</v>
      </c>
      <c r="C1287" s="19" t="s">
        <v>6677</v>
      </c>
      <c r="D1287" s="19" t="s">
        <v>6678</v>
      </c>
      <c r="E1287" s="2"/>
      <c r="F1287" s="19"/>
    </row>
    <row r="1288" ht="15.75" customHeight="1">
      <c r="A1288" s="1">
        <v>5.2954065E7</v>
      </c>
      <c r="B1288" s="2" t="s">
        <v>474</v>
      </c>
      <c r="C1288" s="19" t="s">
        <v>6679</v>
      </c>
      <c r="D1288" s="19"/>
      <c r="E1288" s="2"/>
      <c r="F1288" s="19"/>
    </row>
    <row r="1289" ht="15.75" customHeight="1">
      <c r="A1289" s="1">
        <v>5.2958536E7</v>
      </c>
      <c r="B1289" s="2" t="s">
        <v>2204</v>
      </c>
      <c r="C1289" s="19" t="s">
        <v>6680</v>
      </c>
      <c r="D1289" s="19"/>
      <c r="E1289" s="2"/>
      <c r="F1289" s="19"/>
    </row>
    <row r="1290" ht="15.75" customHeight="1">
      <c r="A1290" s="1">
        <v>5.2960863E7</v>
      </c>
      <c r="B1290" s="2" t="s">
        <v>1606</v>
      </c>
      <c r="C1290" s="19" t="s">
        <v>6681</v>
      </c>
      <c r="D1290" s="19"/>
      <c r="E1290" s="2"/>
      <c r="F1290" s="19"/>
    </row>
    <row r="1291" ht="15.75" customHeight="1">
      <c r="A1291" s="1">
        <v>5.2961393E7</v>
      </c>
      <c r="B1291" s="2" t="s">
        <v>2630</v>
      </c>
      <c r="C1291" s="19" t="s">
        <v>6682</v>
      </c>
      <c r="D1291" s="19"/>
      <c r="E1291" s="2"/>
      <c r="F1291" s="19"/>
    </row>
    <row r="1292" ht="15.75" customHeight="1">
      <c r="A1292" s="1">
        <v>5.2975602E7</v>
      </c>
      <c r="B1292" s="2" t="s">
        <v>1105</v>
      </c>
      <c r="C1292" s="19" t="s">
        <v>6683</v>
      </c>
      <c r="D1292" s="19" t="s">
        <v>6684</v>
      </c>
      <c r="E1292" s="2"/>
      <c r="F1292" s="19"/>
    </row>
    <row r="1293" ht="15.75" customHeight="1">
      <c r="A1293" s="1">
        <v>5.3008138E7</v>
      </c>
      <c r="B1293" s="2" t="s">
        <v>2384</v>
      </c>
      <c r="C1293" s="19" t="s">
        <v>6685</v>
      </c>
      <c r="D1293" s="19"/>
      <c r="E1293" s="2"/>
      <c r="F1293" s="19"/>
    </row>
    <row r="1294" ht="15.75" customHeight="1">
      <c r="A1294" s="1">
        <v>5.3015958E7</v>
      </c>
      <c r="B1294" s="2" t="s">
        <v>2782</v>
      </c>
      <c r="C1294" s="19" t="s">
        <v>6686</v>
      </c>
      <c r="D1294" s="19"/>
      <c r="E1294" s="2"/>
      <c r="F1294" s="19"/>
    </row>
    <row r="1295" ht="15.75" customHeight="1">
      <c r="A1295" s="1">
        <v>5.3027157E7</v>
      </c>
      <c r="B1295" s="2" t="s">
        <v>933</v>
      </c>
      <c r="C1295" s="19" t="s">
        <v>6687</v>
      </c>
      <c r="D1295" s="19"/>
      <c r="E1295" s="2"/>
      <c r="F1295" s="19"/>
    </row>
    <row r="1296" ht="15.75" customHeight="1">
      <c r="A1296" s="1">
        <v>5.3039094E7</v>
      </c>
      <c r="B1296" s="2" t="s">
        <v>1723</v>
      </c>
      <c r="C1296" s="19" t="s">
        <v>6688</v>
      </c>
      <c r="D1296" s="19"/>
      <c r="E1296" s="2"/>
      <c r="F1296" s="19"/>
    </row>
    <row r="1297" ht="15.75" customHeight="1">
      <c r="A1297" s="1">
        <v>5.3043346E7</v>
      </c>
      <c r="B1297" s="2" t="s">
        <v>2027</v>
      </c>
      <c r="C1297" s="19" t="s">
        <v>6689</v>
      </c>
      <c r="D1297" s="19"/>
      <c r="E1297" s="2"/>
      <c r="F1297" s="19"/>
    </row>
    <row r="1298" ht="15.75" customHeight="1">
      <c r="A1298" s="1">
        <v>5.3051838E7</v>
      </c>
      <c r="B1298" s="2" t="s">
        <v>3098</v>
      </c>
      <c r="C1298" s="19" t="s">
        <v>6690</v>
      </c>
      <c r="D1298" s="19"/>
      <c r="E1298" s="2"/>
      <c r="F1298" s="19"/>
    </row>
    <row r="1299" ht="15.75" customHeight="1">
      <c r="A1299" s="1">
        <v>5.3082382E7</v>
      </c>
      <c r="B1299" s="2" t="s">
        <v>1593</v>
      </c>
      <c r="C1299" s="19" t="s">
        <v>6691</v>
      </c>
      <c r="D1299" s="19"/>
      <c r="E1299" s="2"/>
      <c r="F1299" s="19"/>
    </row>
    <row r="1300" ht="15.75" customHeight="1">
      <c r="A1300" s="1">
        <v>5.3082622E7</v>
      </c>
      <c r="B1300" s="2" t="s">
        <v>1044</v>
      </c>
      <c r="C1300" s="19" t="s">
        <v>6692</v>
      </c>
      <c r="D1300" s="19" t="s">
        <v>6693</v>
      </c>
      <c r="E1300" s="2"/>
      <c r="F1300" s="19"/>
    </row>
    <row r="1301" ht="15.75" customHeight="1">
      <c r="A1301" s="1">
        <v>5.3095373E7</v>
      </c>
      <c r="B1301" s="2" t="s">
        <v>175</v>
      </c>
      <c r="C1301" s="19" t="s">
        <v>6694</v>
      </c>
      <c r="D1301" s="19"/>
      <c r="E1301" s="2"/>
      <c r="F1301" s="19"/>
    </row>
    <row r="1302" ht="15.75" customHeight="1">
      <c r="A1302" s="1">
        <v>5.3108026E7</v>
      </c>
      <c r="B1302" s="2" t="s">
        <v>377</v>
      </c>
      <c r="C1302" s="19" t="s">
        <v>6695</v>
      </c>
      <c r="D1302" s="19"/>
      <c r="E1302" s="2"/>
      <c r="F1302" s="19"/>
    </row>
    <row r="1303" ht="15.75" customHeight="1">
      <c r="A1303" s="1">
        <v>5.310913E7</v>
      </c>
      <c r="B1303" s="2" t="s">
        <v>2574</v>
      </c>
      <c r="C1303" s="19" t="s">
        <v>6696</v>
      </c>
      <c r="D1303" s="19"/>
      <c r="E1303" s="2"/>
      <c r="F1303" s="19"/>
    </row>
    <row r="1304" ht="15.75" customHeight="1">
      <c r="A1304" s="1">
        <v>5.3110268E7</v>
      </c>
      <c r="B1304" s="2" t="s">
        <v>1584</v>
      </c>
      <c r="C1304" s="19" t="s">
        <v>6697</v>
      </c>
      <c r="D1304" s="19" t="s">
        <v>6698</v>
      </c>
      <c r="E1304" s="2"/>
      <c r="F1304" s="19"/>
    </row>
    <row r="1305" ht="15.75" customHeight="1">
      <c r="A1305" s="1">
        <v>5.3115362E7</v>
      </c>
      <c r="B1305" s="2" t="s">
        <v>621</v>
      </c>
      <c r="C1305" s="19" t="s">
        <v>6699</v>
      </c>
      <c r="D1305" s="19" t="s">
        <v>6700</v>
      </c>
      <c r="E1305" s="2"/>
      <c r="F1305" s="19"/>
    </row>
    <row r="1306" ht="15.75" customHeight="1">
      <c r="A1306" s="1">
        <v>5.3154744E7</v>
      </c>
      <c r="B1306" s="2" t="s">
        <v>1111</v>
      </c>
      <c r="C1306" s="19" t="s">
        <v>6701</v>
      </c>
      <c r="D1306" s="19" t="s">
        <v>6702</v>
      </c>
      <c r="E1306" s="2"/>
      <c r="F1306" s="19"/>
    </row>
    <row r="1307" ht="15.75" customHeight="1">
      <c r="A1307" s="1">
        <v>5.3161038E7</v>
      </c>
      <c r="B1307" s="2" t="s">
        <v>2352</v>
      </c>
      <c r="C1307" s="19" t="s">
        <v>6703</v>
      </c>
      <c r="D1307" s="19"/>
      <c r="E1307" s="2"/>
      <c r="F1307" s="19"/>
    </row>
    <row r="1308" ht="15.75" customHeight="1">
      <c r="A1308" s="1">
        <v>5.3167215E7</v>
      </c>
      <c r="B1308" s="2" t="s">
        <v>1033</v>
      </c>
      <c r="C1308" s="19" t="s">
        <v>6704</v>
      </c>
      <c r="D1308" s="19" t="s">
        <v>6705</v>
      </c>
      <c r="E1308" s="2"/>
      <c r="F1308" s="19"/>
    </row>
    <row r="1309" ht="15.75" customHeight="1">
      <c r="A1309" s="1">
        <v>5.3169033E7</v>
      </c>
      <c r="B1309" s="2" t="s">
        <v>1971</v>
      </c>
      <c r="C1309" s="19" t="s">
        <v>6706</v>
      </c>
      <c r="D1309" s="19" t="s">
        <v>6707</v>
      </c>
      <c r="E1309" s="2"/>
      <c r="F1309" s="19"/>
    </row>
    <row r="1310" ht="15.75" customHeight="1">
      <c r="A1310" s="1">
        <v>5.3170139E7</v>
      </c>
      <c r="B1310" s="2" t="s">
        <v>1935</v>
      </c>
      <c r="C1310" s="19" t="s">
        <v>6708</v>
      </c>
      <c r="D1310" s="19"/>
      <c r="E1310" s="2"/>
      <c r="F1310" s="19"/>
    </row>
    <row r="1311" ht="15.75" customHeight="1">
      <c r="A1311" s="1">
        <v>5.3170292E7</v>
      </c>
      <c r="B1311" s="2" t="s">
        <v>2631</v>
      </c>
      <c r="C1311" s="19" t="s">
        <v>6709</v>
      </c>
      <c r="D1311" s="19" t="s">
        <v>6710</v>
      </c>
      <c r="E1311" s="2"/>
      <c r="F1311" s="19"/>
    </row>
    <row r="1312" ht="15.75" customHeight="1">
      <c r="A1312" s="1">
        <v>5.3171048E7</v>
      </c>
      <c r="B1312" s="2" t="s">
        <v>1542</v>
      </c>
      <c r="C1312" s="19" t="s">
        <v>6711</v>
      </c>
      <c r="D1312" s="19"/>
      <c r="E1312" s="2"/>
      <c r="F1312" s="19"/>
    </row>
    <row r="1313" ht="15.75" customHeight="1">
      <c r="A1313" s="1">
        <v>5.3173969E7</v>
      </c>
      <c r="B1313" s="2" t="s">
        <v>2704</v>
      </c>
      <c r="C1313" s="19" t="s">
        <v>6712</v>
      </c>
      <c r="D1313" s="19" t="s">
        <v>6713</v>
      </c>
      <c r="E1313" s="2"/>
      <c r="F1313" s="19"/>
    </row>
    <row r="1314" ht="15.75" customHeight="1">
      <c r="A1314" s="1">
        <v>5.3174186E7</v>
      </c>
      <c r="B1314" s="2" t="s">
        <v>1114</v>
      </c>
      <c r="C1314" s="19" t="s">
        <v>6714</v>
      </c>
      <c r="D1314" s="19"/>
      <c r="E1314" s="2"/>
      <c r="F1314" s="19"/>
    </row>
    <row r="1315" ht="15.75" customHeight="1">
      <c r="A1315" s="1">
        <v>5.3175144E7</v>
      </c>
      <c r="B1315" s="2" t="s">
        <v>496</v>
      </c>
      <c r="C1315" s="19" t="s">
        <v>6715</v>
      </c>
      <c r="D1315" s="19" t="s">
        <v>6716</v>
      </c>
      <c r="E1315" s="2"/>
      <c r="F1315" s="19"/>
    </row>
    <row r="1316" ht="15.75" customHeight="1">
      <c r="A1316" s="1">
        <v>5.3192185E7</v>
      </c>
      <c r="B1316" s="2" t="s">
        <v>2495</v>
      </c>
      <c r="C1316" s="19" t="s">
        <v>6717</v>
      </c>
      <c r="D1316" s="19"/>
      <c r="E1316" s="2"/>
      <c r="F1316" s="19"/>
    </row>
    <row r="1317" ht="15.75" customHeight="1">
      <c r="A1317" s="1">
        <v>5.3192332E7</v>
      </c>
      <c r="B1317" s="2" t="s">
        <v>1730</v>
      </c>
      <c r="C1317" s="19" t="s">
        <v>6718</v>
      </c>
      <c r="D1317" s="19"/>
      <c r="E1317" s="2"/>
      <c r="F1317" s="19"/>
    </row>
    <row r="1318" ht="15.75" customHeight="1">
      <c r="A1318" s="1">
        <v>5.3195363E7</v>
      </c>
      <c r="B1318" s="2" t="s">
        <v>1381</v>
      </c>
      <c r="C1318" s="19" t="s">
        <v>6719</v>
      </c>
      <c r="D1318" s="19" t="s">
        <v>6720</v>
      </c>
      <c r="E1318" s="2"/>
      <c r="F1318" s="19"/>
    </row>
    <row r="1319" ht="15.75" customHeight="1">
      <c r="A1319" s="1">
        <v>5.3197839E7</v>
      </c>
      <c r="B1319" s="2" t="s">
        <v>2455</v>
      </c>
      <c r="C1319" s="19" t="s">
        <v>6721</v>
      </c>
      <c r="D1319" s="19"/>
      <c r="E1319" s="2"/>
      <c r="F1319" s="19"/>
    </row>
    <row r="1320" ht="15.75" customHeight="1">
      <c r="A1320" s="1">
        <v>5.319968E7</v>
      </c>
      <c r="B1320" s="2" t="s">
        <v>2424</v>
      </c>
      <c r="C1320" s="19" t="s">
        <v>6722</v>
      </c>
      <c r="D1320" s="19" t="s">
        <v>6723</v>
      </c>
      <c r="E1320" s="2"/>
      <c r="F1320" s="19"/>
    </row>
    <row r="1321" ht="15.75" customHeight="1">
      <c r="A1321" s="1">
        <v>5.3207169E7</v>
      </c>
      <c r="B1321" s="2" t="s">
        <v>2135</v>
      </c>
      <c r="C1321" s="19" t="s">
        <v>6724</v>
      </c>
      <c r="D1321" s="19"/>
      <c r="E1321" s="2"/>
      <c r="F1321" s="19"/>
    </row>
    <row r="1322" ht="15.75" customHeight="1">
      <c r="A1322" s="1">
        <v>5.3207653E7</v>
      </c>
      <c r="B1322" s="2" t="s">
        <v>2136</v>
      </c>
      <c r="C1322" s="19" t="s">
        <v>6725</v>
      </c>
      <c r="D1322" s="19"/>
      <c r="E1322" s="2"/>
      <c r="F1322" s="19"/>
    </row>
    <row r="1323" ht="15.75" customHeight="1">
      <c r="A1323" s="1">
        <v>5.3208833E7</v>
      </c>
      <c r="B1323" s="2" t="s">
        <v>2531</v>
      </c>
      <c r="C1323" s="19" t="s">
        <v>6726</v>
      </c>
      <c r="D1323" s="19"/>
      <c r="E1323" s="2"/>
      <c r="F1323" s="19"/>
    </row>
    <row r="1324" ht="15.75" customHeight="1">
      <c r="A1324" s="1">
        <v>5.3218116E7</v>
      </c>
      <c r="B1324" s="2" t="s">
        <v>568</v>
      </c>
      <c r="C1324" s="19" t="s">
        <v>6727</v>
      </c>
      <c r="D1324" s="19"/>
      <c r="E1324" s="2"/>
      <c r="F1324" s="19"/>
    </row>
    <row r="1325" ht="15.75" customHeight="1">
      <c r="A1325" s="1">
        <v>5.3232272E7</v>
      </c>
      <c r="B1325" s="2" t="s">
        <v>1003</v>
      </c>
      <c r="C1325" s="19" t="s">
        <v>6728</v>
      </c>
      <c r="D1325" s="19"/>
      <c r="E1325" s="2"/>
      <c r="F1325" s="19"/>
    </row>
    <row r="1326" ht="15.75" customHeight="1">
      <c r="A1326" s="1">
        <v>5.3244788E7</v>
      </c>
      <c r="B1326" s="2" t="s">
        <v>3065</v>
      </c>
      <c r="C1326" s="19" t="s">
        <v>6729</v>
      </c>
      <c r="D1326" s="19"/>
      <c r="E1326" s="2"/>
      <c r="F1326" s="19"/>
    </row>
    <row r="1327" ht="15.75" customHeight="1">
      <c r="A1327" s="1">
        <v>5.3257076E7</v>
      </c>
      <c r="B1327" s="2" t="s">
        <v>1262</v>
      </c>
      <c r="C1327" s="19" t="s">
        <v>6730</v>
      </c>
      <c r="D1327" s="19"/>
      <c r="E1327" s="2"/>
      <c r="F1327" s="19"/>
    </row>
    <row r="1328" ht="15.75" customHeight="1">
      <c r="A1328" s="1">
        <v>5.3258037E7</v>
      </c>
      <c r="B1328" s="2" t="s">
        <v>2028</v>
      </c>
      <c r="C1328" s="19" t="s">
        <v>6731</v>
      </c>
      <c r="D1328" s="19" t="s">
        <v>6732</v>
      </c>
      <c r="E1328" s="2"/>
      <c r="F1328" s="19"/>
    </row>
    <row r="1329" ht="15.75" customHeight="1">
      <c r="A1329" s="1">
        <v>5.3260499E7</v>
      </c>
      <c r="B1329" s="2" t="s">
        <v>2496</v>
      </c>
      <c r="C1329" s="19" t="s">
        <v>6733</v>
      </c>
      <c r="D1329" s="19" t="s">
        <v>6734</v>
      </c>
      <c r="E1329" s="2"/>
      <c r="F1329" s="19"/>
    </row>
    <row r="1330" ht="15.75" customHeight="1">
      <c r="A1330" s="1">
        <v>5.3262784E7</v>
      </c>
      <c r="B1330" s="2" t="s">
        <v>1433</v>
      </c>
      <c r="C1330" s="19" t="s">
        <v>6735</v>
      </c>
      <c r="D1330" s="19"/>
      <c r="E1330" s="2"/>
      <c r="F1330" s="19"/>
    </row>
    <row r="1331" ht="15.75" customHeight="1">
      <c r="A1331" s="1">
        <v>5.3264791E7</v>
      </c>
      <c r="B1331" s="2" t="s">
        <v>2804</v>
      </c>
      <c r="C1331" s="19" t="s">
        <v>6736</v>
      </c>
      <c r="D1331" s="19"/>
      <c r="E1331" s="2"/>
      <c r="F1331" s="19"/>
    </row>
    <row r="1332" ht="15.75" customHeight="1">
      <c r="A1332" s="1">
        <v>5.3267924E7</v>
      </c>
      <c r="B1332" s="2" t="s">
        <v>1492</v>
      </c>
      <c r="C1332" s="19" t="s">
        <v>6737</v>
      </c>
      <c r="D1332" s="19" t="s">
        <v>6738</v>
      </c>
      <c r="E1332" s="2"/>
      <c r="F1332" s="19"/>
    </row>
    <row r="1333" ht="15.75" customHeight="1">
      <c r="A1333" s="1">
        <v>5.3279941E7</v>
      </c>
      <c r="B1333" s="2" t="s">
        <v>2617</v>
      </c>
      <c r="C1333" s="19" t="s">
        <v>6739</v>
      </c>
      <c r="D1333" s="19"/>
      <c r="E1333" s="2"/>
      <c r="F1333" s="19"/>
    </row>
    <row r="1334" ht="15.75" customHeight="1">
      <c r="A1334" s="1">
        <v>5.3287555E7</v>
      </c>
      <c r="B1334" s="2" t="s">
        <v>1764</v>
      </c>
      <c r="C1334" s="19" t="s">
        <v>6740</v>
      </c>
      <c r="D1334" s="19"/>
      <c r="E1334" s="2"/>
      <c r="F1334" s="19"/>
    </row>
    <row r="1335" ht="15.75" customHeight="1">
      <c r="A1335" s="1">
        <v>5.3288846E7</v>
      </c>
      <c r="B1335" s="2" t="s">
        <v>2392</v>
      </c>
      <c r="C1335" s="19" t="s">
        <v>6741</v>
      </c>
      <c r="D1335" s="19"/>
      <c r="E1335" s="2"/>
      <c r="F1335" s="19"/>
    </row>
    <row r="1336" ht="15.75" customHeight="1">
      <c r="A1336" s="1">
        <v>5.3290593E7</v>
      </c>
      <c r="B1336" s="2" t="s">
        <v>1283</v>
      </c>
      <c r="C1336" s="19" t="s">
        <v>6742</v>
      </c>
      <c r="D1336" s="19" t="s">
        <v>6743</v>
      </c>
      <c r="E1336" s="2"/>
      <c r="F1336" s="19"/>
    </row>
    <row r="1337" ht="15.75" customHeight="1">
      <c r="A1337" s="1">
        <v>5.3299189E7</v>
      </c>
      <c r="B1337" s="2" t="s">
        <v>1615</v>
      </c>
      <c r="C1337" s="19" t="s">
        <v>6744</v>
      </c>
      <c r="D1337" s="19"/>
      <c r="E1337" s="2"/>
      <c r="F1337" s="19"/>
    </row>
    <row r="1338" ht="15.75" customHeight="1">
      <c r="A1338" s="1">
        <v>5.3303701E7</v>
      </c>
      <c r="B1338" s="2" t="s">
        <v>2161</v>
      </c>
      <c r="C1338" s="19" t="s">
        <v>6745</v>
      </c>
      <c r="D1338" s="19" t="s">
        <v>6746</v>
      </c>
      <c r="E1338" s="2"/>
      <c r="F1338" s="19"/>
    </row>
    <row r="1339" ht="15.75" customHeight="1">
      <c r="A1339" s="1">
        <v>5.3305663E7</v>
      </c>
      <c r="B1339" s="2" t="s">
        <v>1148</v>
      </c>
      <c r="C1339" s="19" t="s">
        <v>6747</v>
      </c>
      <c r="D1339" s="19"/>
      <c r="E1339" s="2"/>
      <c r="F1339" s="19"/>
    </row>
    <row r="1340" ht="15.75" customHeight="1">
      <c r="A1340" s="1">
        <v>5.3319236E7</v>
      </c>
      <c r="B1340" s="2" t="s">
        <v>546</v>
      </c>
      <c r="C1340" s="19" t="s">
        <v>6748</v>
      </c>
      <c r="D1340" s="19"/>
      <c r="E1340" s="2"/>
      <c r="F1340" s="19"/>
    </row>
    <row r="1341" ht="15.75" customHeight="1">
      <c r="A1341" s="1">
        <v>5.3326262E7</v>
      </c>
      <c r="B1341" s="2" t="s">
        <v>1967</v>
      </c>
      <c r="C1341" s="19" t="s">
        <v>6749</v>
      </c>
      <c r="D1341" s="19"/>
      <c r="E1341" s="2"/>
      <c r="F1341" s="19"/>
    </row>
    <row r="1342" ht="15.75" customHeight="1">
      <c r="A1342" s="1">
        <v>5.3344801E7</v>
      </c>
      <c r="B1342" s="2" t="s">
        <v>1973</v>
      </c>
      <c r="C1342" s="19" t="s">
        <v>6750</v>
      </c>
      <c r="D1342" s="19"/>
      <c r="E1342" s="2"/>
      <c r="F1342" s="19"/>
    </row>
    <row r="1343" ht="15.75" customHeight="1">
      <c r="A1343" s="1">
        <v>5.3388231E7</v>
      </c>
      <c r="B1343" s="2" t="s">
        <v>3250</v>
      </c>
      <c r="C1343" s="19" t="s">
        <v>6751</v>
      </c>
      <c r="D1343" s="19"/>
      <c r="E1343" s="2"/>
      <c r="F1343" s="19"/>
    </row>
    <row r="1344" ht="15.75" customHeight="1">
      <c r="A1344" s="1">
        <v>5.3398068E7</v>
      </c>
      <c r="B1344" s="2" t="s">
        <v>2742</v>
      </c>
      <c r="C1344" s="19" t="s">
        <v>6752</v>
      </c>
      <c r="D1344" s="19" t="s">
        <v>6753</v>
      </c>
      <c r="E1344" s="2"/>
      <c r="F1344" s="19"/>
    </row>
    <row r="1345" ht="15.75" customHeight="1">
      <c r="A1345" s="1">
        <v>5.341029E7</v>
      </c>
      <c r="B1345" s="2" t="s">
        <v>553</v>
      </c>
      <c r="C1345" s="19" t="s">
        <v>6754</v>
      </c>
      <c r="D1345" s="19"/>
      <c r="E1345" s="2"/>
      <c r="F1345" s="19"/>
    </row>
    <row r="1346" ht="15.75" customHeight="1">
      <c r="A1346" s="1">
        <v>5.3412187E7</v>
      </c>
      <c r="B1346" s="2" t="s">
        <v>2989</v>
      </c>
      <c r="C1346" s="19" t="s">
        <v>6755</v>
      </c>
      <c r="D1346" s="19" t="s">
        <v>6756</v>
      </c>
      <c r="E1346" s="2"/>
      <c r="F1346" s="19"/>
    </row>
    <row r="1347" ht="15.75" customHeight="1">
      <c r="A1347" s="1">
        <v>5.3413258E7</v>
      </c>
      <c r="B1347" s="2" t="s">
        <v>842</v>
      </c>
      <c r="C1347" s="19" t="s">
        <v>6757</v>
      </c>
      <c r="D1347" s="19"/>
      <c r="E1347" s="2"/>
      <c r="F1347" s="19"/>
    </row>
    <row r="1348" ht="15.75" customHeight="1">
      <c r="A1348" s="1">
        <v>5.3433521E7</v>
      </c>
      <c r="B1348" s="2" t="s">
        <v>1516</v>
      </c>
      <c r="C1348" s="19" t="s">
        <v>6758</v>
      </c>
      <c r="D1348" s="19"/>
      <c r="E1348" s="2"/>
      <c r="F1348" s="19"/>
    </row>
    <row r="1349" ht="15.75" customHeight="1">
      <c r="A1349" s="1">
        <v>5.3439446E7</v>
      </c>
      <c r="B1349" s="2" t="s">
        <v>1540</v>
      </c>
      <c r="C1349" s="19" t="s">
        <v>6759</v>
      </c>
      <c r="D1349" s="19" t="s">
        <v>6760</v>
      </c>
      <c r="E1349" s="2"/>
      <c r="F1349" s="19"/>
    </row>
    <row r="1350" ht="15.75" customHeight="1">
      <c r="A1350" s="1">
        <v>5.3449627E7</v>
      </c>
      <c r="B1350" s="2" t="s">
        <v>1795</v>
      </c>
      <c r="C1350" s="19" t="s">
        <v>6761</v>
      </c>
      <c r="D1350" s="19" t="s">
        <v>6762</v>
      </c>
      <c r="E1350" s="2"/>
      <c r="F1350" s="19"/>
    </row>
    <row r="1351" ht="15.75" customHeight="1">
      <c r="A1351" s="1">
        <v>5.3472963E7</v>
      </c>
      <c r="B1351" s="2" t="s">
        <v>914</v>
      </c>
      <c r="C1351" s="19" t="s">
        <v>6763</v>
      </c>
      <c r="D1351" s="19"/>
      <c r="E1351" s="2"/>
      <c r="F1351" s="19"/>
    </row>
    <row r="1352" ht="15.75" customHeight="1">
      <c r="A1352" s="1">
        <v>5.3478159E7</v>
      </c>
      <c r="B1352" s="2" t="s">
        <v>2000</v>
      </c>
      <c r="C1352" s="19" t="s">
        <v>6764</v>
      </c>
      <c r="D1352" s="19"/>
      <c r="E1352" s="2"/>
      <c r="F1352" s="19"/>
    </row>
    <row r="1353" ht="15.75" customHeight="1">
      <c r="A1353" s="1">
        <v>5.348649E7</v>
      </c>
      <c r="B1353" s="2" t="s">
        <v>2385</v>
      </c>
      <c r="C1353" s="19" t="s">
        <v>6765</v>
      </c>
      <c r="D1353" s="19"/>
      <c r="E1353" s="2"/>
      <c r="F1353" s="19"/>
    </row>
    <row r="1354" ht="15.75" customHeight="1">
      <c r="A1354" s="1">
        <v>5.3487133E7</v>
      </c>
      <c r="B1354" s="2" t="s">
        <v>1180</v>
      </c>
      <c r="C1354" s="19" t="s">
        <v>6766</v>
      </c>
      <c r="D1354" s="19"/>
      <c r="E1354" s="2"/>
      <c r="F1354" s="19"/>
    </row>
    <row r="1355" ht="15.75" customHeight="1">
      <c r="A1355" s="1">
        <v>5.3499572E7</v>
      </c>
      <c r="B1355" s="2" t="s">
        <v>3299</v>
      </c>
      <c r="C1355" s="19" t="s">
        <v>6767</v>
      </c>
      <c r="D1355" s="19"/>
      <c r="E1355" s="2"/>
      <c r="F1355" s="19"/>
    </row>
    <row r="1356" ht="15.75" customHeight="1">
      <c r="A1356" s="1">
        <v>5.3503894E7</v>
      </c>
      <c r="B1356" s="2" t="s">
        <v>1270</v>
      </c>
      <c r="C1356" s="19" t="s">
        <v>6768</v>
      </c>
      <c r="D1356" s="19"/>
      <c r="E1356" s="2"/>
      <c r="F1356" s="19"/>
    </row>
    <row r="1357" ht="15.75" customHeight="1">
      <c r="A1357" s="1">
        <v>5.3504268E7</v>
      </c>
      <c r="B1357" s="2" t="s">
        <v>1007</v>
      </c>
      <c r="C1357" s="19" t="s">
        <v>6769</v>
      </c>
      <c r="D1357" s="19" t="s">
        <v>6770</v>
      </c>
      <c r="E1357" s="2"/>
      <c r="F1357" s="19"/>
    </row>
    <row r="1358" ht="15.75" customHeight="1">
      <c r="A1358" s="1">
        <v>5.3506323E7</v>
      </c>
      <c r="B1358" s="2" t="s">
        <v>191</v>
      </c>
      <c r="C1358" s="19" t="s">
        <v>6771</v>
      </c>
      <c r="D1358" s="19"/>
      <c r="E1358" s="2"/>
      <c r="F1358" s="19"/>
    </row>
    <row r="1359" ht="15.75" customHeight="1">
      <c r="A1359" s="1">
        <v>5.3513775E7</v>
      </c>
      <c r="B1359" s="2" t="s">
        <v>2162</v>
      </c>
      <c r="C1359" s="19" t="s">
        <v>6772</v>
      </c>
      <c r="D1359" s="19"/>
      <c r="E1359" s="2"/>
      <c r="F1359" s="19"/>
    </row>
    <row r="1360" ht="15.75" customHeight="1">
      <c r="A1360" s="1">
        <v>5.3518146E7</v>
      </c>
      <c r="B1360" s="2" t="s">
        <v>2761</v>
      </c>
      <c r="C1360" s="19" t="s">
        <v>6773</v>
      </c>
      <c r="D1360" s="19" t="s">
        <v>6774</v>
      </c>
      <c r="E1360" s="2"/>
      <c r="F1360" s="19"/>
    </row>
    <row r="1361" ht="15.75" customHeight="1">
      <c r="A1361" s="1">
        <v>5.3518737E7</v>
      </c>
      <c r="B1361" s="2" t="s">
        <v>710</v>
      </c>
      <c r="C1361" s="19" t="s">
        <v>6775</v>
      </c>
      <c r="D1361" s="19" t="s">
        <v>6776</v>
      </c>
      <c r="E1361" s="2"/>
      <c r="F1361" s="19"/>
    </row>
    <row r="1362" ht="15.75" customHeight="1">
      <c r="A1362" s="1">
        <v>5.3522196E7</v>
      </c>
      <c r="B1362" s="2" t="s">
        <v>1072</v>
      </c>
      <c r="C1362" s="19" t="s">
        <v>6777</v>
      </c>
      <c r="D1362" s="19"/>
      <c r="E1362" s="2"/>
      <c r="F1362" s="19"/>
    </row>
    <row r="1363" ht="15.75" customHeight="1">
      <c r="A1363" s="1">
        <v>5.3528663E7</v>
      </c>
      <c r="B1363" s="2" t="s">
        <v>1541</v>
      </c>
      <c r="C1363" s="19" t="s">
        <v>6778</v>
      </c>
      <c r="D1363" s="19"/>
      <c r="E1363" s="2"/>
      <c r="F1363" s="19"/>
    </row>
    <row r="1364" ht="15.75" customHeight="1">
      <c r="A1364" s="1">
        <v>5.3534973E7</v>
      </c>
      <c r="B1364" s="2" t="s">
        <v>2353</v>
      </c>
      <c r="C1364" s="19" t="s">
        <v>6779</v>
      </c>
      <c r="D1364" s="19"/>
      <c r="E1364" s="2"/>
      <c r="F1364" s="19"/>
    </row>
    <row r="1365" ht="15.75" customHeight="1">
      <c r="A1365" s="1">
        <v>5.3538056E7</v>
      </c>
      <c r="B1365" s="2" t="s">
        <v>1488</v>
      </c>
      <c r="C1365" s="19" t="s">
        <v>6780</v>
      </c>
      <c r="D1365" s="19"/>
      <c r="E1365" s="2"/>
      <c r="F1365" s="19"/>
    </row>
    <row r="1366" ht="15.75" customHeight="1">
      <c r="A1366" s="1">
        <v>5.3539159E7</v>
      </c>
      <c r="B1366" s="2" t="s">
        <v>1564</v>
      </c>
      <c r="C1366" s="19" t="s">
        <v>6781</v>
      </c>
      <c r="D1366" s="19"/>
      <c r="E1366" s="2"/>
      <c r="F1366" s="19"/>
    </row>
    <row r="1367" ht="15.75" customHeight="1">
      <c r="A1367" s="1">
        <v>5.3544934E7</v>
      </c>
      <c r="B1367" s="2" t="s">
        <v>3192</v>
      </c>
      <c r="C1367" s="19" t="s">
        <v>6782</v>
      </c>
      <c r="D1367" s="19"/>
      <c r="E1367" s="2"/>
      <c r="F1367" s="19"/>
    </row>
    <row r="1368" ht="15.75" customHeight="1">
      <c r="A1368" s="1">
        <v>5.3571219E7</v>
      </c>
      <c r="B1368" s="2" t="s">
        <v>2618</v>
      </c>
      <c r="C1368" s="19" t="s">
        <v>6783</v>
      </c>
      <c r="D1368" s="19"/>
      <c r="E1368" s="2"/>
      <c r="F1368" s="19"/>
    </row>
    <row r="1369" ht="15.75" customHeight="1">
      <c r="A1369" s="1">
        <v>5.3577204E7</v>
      </c>
      <c r="B1369" s="2" t="s">
        <v>1389</v>
      </c>
      <c r="C1369" s="19" t="s">
        <v>6784</v>
      </c>
      <c r="D1369" s="19"/>
      <c r="E1369" s="2"/>
      <c r="F1369" s="19"/>
    </row>
    <row r="1370" ht="15.75" customHeight="1">
      <c r="A1370" s="1">
        <v>5.3580445E7</v>
      </c>
      <c r="B1370" s="2" t="s">
        <v>2294</v>
      </c>
      <c r="C1370" s="19" t="s">
        <v>6785</v>
      </c>
      <c r="D1370" s="19"/>
      <c r="E1370" s="2"/>
      <c r="F1370" s="19"/>
    </row>
    <row r="1371" ht="15.75" customHeight="1">
      <c r="A1371" s="1">
        <v>5.358246E7</v>
      </c>
      <c r="B1371" s="2" t="s">
        <v>2038</v>
      </c>
      <c r="C1371" s="19" t="s">
        <v>6786</v>
      </c>
      <c r="D1371" s="19"/>
      <c r="E1371" s="2"/>
      <c r="F1371" s="19"/>
    </row>
    <row r="1372" ht="15.75" customHeight="1">
      <c r="A1372" s="1">
        <v>5.3586428E7</v>
      </c>
      <c r="B1372" s="2" t="s">
        <v>220</v>
      </c>
      <c r="C1372" s="19" t="s">
        <v>6787</v>
      </c>
      <c r="D1372" s="19" t="s">
        <v>6788</v>
      </c>
      <c r="E1372" s="2"/>
      <c r="F1372" s="19"/>
    </row>
    <row r="1373" ht="15.75" customHeight="1">
      <c r="A1373" s="1">
        <v>5.3590054E7</v>
      </c>
      <c r="B1373" s="2" t="s">
        <v>2692</v>
      </c>
      <c r="C1373" s="19" t="s">
        <v>6789</v>
      </c>
      <c r="D1373" s="19"/>
      <c r="E1373" s="2"/>
      <c r="F1373" s="19"/>
    </row>
    <row r="1374" ht="15.75" customHeight="1">
      <c r="A1374" s="1">
        <v>5.3590585E7</v>
      </c>
      <c r="B1374" s="2" t="s">
        <v>3432</v>
      </c>
      <c r="C1374" s="19" t="s">
        <v>6790</v>
      </c>
      <c r="D1374" s="19"/>
      <c r="E1374" s="2"/>
      <c r="F1374" s="19"/>
    </row>
    <row r="1375" ht="15.75" customHeight="1">
      <c r="A1375" s="1">
        <v>5.3604501E7</v>
      </c>
      <c r="B1375" s="2" t="s">
        <v>2079</v>
      </c>
      <c r="C1375" s="19" t="s">
        <v>6791</v>
      </c>
      <c r="D1375" s="19"/>
      <c r="E1375" s="2"/>
      <c r="F1375" s="19"/>
    </row>
    <row r="1376" ht="15.75" customHeight="1">
      <c r="A1376" s="1">
        <v>5.3606563E7</v>
      </c>
      <c r="B1376" s="2" t="s">
        <v>181</v>
      </c>
      <c r="C1376" s="19" t="s">
        <v>6792</v>
      </c>
      <c r="D1376" s="19" t="s">
        <v>6793</v>
      </c>
      <c r="E1376" s="2"/>
      <c r="F1376" s="19"/>
    </row>
    <row r="1377" ht="15.75" customHeight="1">
      <c r="A1377" s="1">
        <v>5.3618469E7</v>
      </c>
      <c r="B1377" s="2" t="s">
        <v>2321</v>
      </c>
      <c r="C1377" s="19" t="s">
        <v>6794</v>
      </c>
      <c r="D1377" s="19" t="s">
        <v>6795</v>
      </c>
      <c r="E1377" s="2"/>
      <c r="F1377" s="19"/>
    </row>
    <row r="1378" ht="15.75" customHeight="1">
      <c r="A1378" s="1">
        <v>5.3623673E7</v>
      </c>
      <c r="B1378" s="2" t="s">
        <v>980</v>
      </c>
      <c r="C1378" s="19" t="s">
        <v>6796</v>
      </c>
      <c r="D1378" s="19" t="s">
        <v>6797</v>
      </c>
      <c r="E1378" s="2"/>
      <c r="F1378" s="19"/>
    </row>
    <row r="1379" ht="15.75" customHeight="1">
      <c r="A1379" s="1">
        <v>5.3644174E7</v>
      </c>
      <c r="B1379" s="2" t="s">
        <v>2098</v>
      </c>
      <c r="C1379" s="19" t="s">
        <v>6798</v>
      </c>
      <c r="D1379" s="19" t="s">
        <v>6799</v>
      </c>
      <c r="E1379" s="2"/>
      <c r="F1379" s="19"/>
    </row>
    <row r="1380" ht="15.75" customHeight="1">
      <c r="A1380" s="1">
        <v>5.3648077E7</v>
      </c>
      <c r="B1380" s="2" t="s">
        <v>890</v>
      </c>
      <c r="C1380" s="19" t="s">
        <v>6800</v>
      </c>
      <c r="D1380" s="19"/>
      <c r="E1380" s="2"/>
      <c r="F1380" s="19"/>
    </row>
    <row r="1381" ht="15.75" customHeight="1">
      <c r="A1381" s="1">
        <v>5.3649899E7</v>
      </c>
      <c r="B1381" s="2" t="s">
        <v>473</v>
      </c>
      <c r="C1381" s="19" t="s">
        <v>6801</v>
      </c>
      <c r="D1381" s="19" t="s">
        <v>6802</v>
      </c>
      <c r="E1381" s="2"/>
      <c r="F1381" s="19"/>
    </row>
    <row r="1382" ht="15.75" customHeight="1">
      <c r="A1382" s="1">
        <v>5.3662108E7</v>
      </c>
      <c r="B1382" s="2" t="s">
        <v>2512</v>
      </c>
      <c r="C1382" s="19" t="s">
        <v>6803</v>
      </c>
      <c r="D1382" s="19" t="s">
        <v>6804</v>
      </c>
      <c r="E1382" s="2"/>
      <c r="F1382" s="19"/>
    </row>
    <row r="1383" ht="15.75" customHeight="1">
      <c r="A1383" s="1">
        <v>5.3664484E7</v>
      </c>
      <c r="B1383" s="2" t="s">
        <v>2134</v>
      </c>
      <c r="C1383" s="19" t="s">
        <v>6805</v>
      </c>
      <c r="D1383" s="19"/>
      <c r="E1383" s="2"/>
      <c r="F1383" s="19"/>
    </row>
    <row r="1384" ht="15.75" customHeight="1">
      <c r="A1384" s="1">
        <v>5.3666484E7</v>
      </c>
      <c r="B1384" s="2" t="s">
        <v>889</v>
      </c>
      <c r="C1384" s="19" t="s">
        <v>6806</v>
      </c>
      <c r="D1384" s="19"/>
      <c r="E1384" s="2"/>
      <c r="F1384" s="19"/>
    </row>
    <row r="1385" ht="15.75" customHeight="1">
      <c r="A1385" s="1">
        <v>5.3669169E7</v>
      </c>
      <c r="B1385" s="2" t="s">
        <v>2336</v>
      </c>
      <c r="C1385" s="19" t="s">
        <v>6807</v>
      </c>
      <c r="D1385" s="19"/>
      <c r="E1385" s="2"/>
      <c r="F1385" s="19"/>
    </row>
    <row r="1386" ht="15.75" customHeight="1">
      <c r="A1386" s="1">
        <v>5.3670395E7</v>
      </c>
      <c r="B1386" s="2" t="s">
        <v>2337</v>
      </c>
      <c r="C1386" s="19" t="s">
        <v>6808</v>
      </c>
      <c r="D1386" s="19"/>
      <c r="E1386" s="2"/>
      <c r="F1386" s="19"/>
    </row>
    <row r="1387" ht="15.75" customHeight="1">
      <c r="A1387" s="1">
        <v>5.3677413E7</v>
      </c>
      <c r="B1387" s="2" t="s">
        <v>2532</v>
      </c>
      <c r="C1387" s="19" t="s">
        <v>6809</v>
      </c>
      <c r="D1387" s="19"/>
      <c r="E1387" s="2"/>
      <c r="F1387" s="19"/>
    </row>
    <row r="1388" ht="15.75" customHeight="1">
      <c r="A1388" s="1">
        <v>5.3690242E7</v>
      </c>
      <c r="B1388" s="2" t="s">
        <v>2338</v>
      </c>
      <c r="C1388" s="19" t="s">
        <v>6810</v>
      </c>
      <c r="D1388" s="19"/>
      <c r="E1388" s="2"/>
      <c r="F1388" s="19"/>
    </row>
    <row r="1389" ht="15.75" customHeight="1">
      <c r="A1389" s="1">
        <v>5.3698558E7</v>
      </c>
      <c r="B1389" s="2" t="s">
        <v>3320</v>
      </c>
      <c r="C1389" s="19" t="s">
        <v>6811</v>
      </c>
      <c r="D1389" s="19"/>
      <c r="E1389" s="2"/>
      <c r="F1389" s="19"/>
    </row>
    <row r="1390" ht="15.75" customHeight="1">
      <c r="A1390" s="1">
        <v>5.3701218E7</v>
      </c>
      <c r="B1390" s="2" t="s">
        <v>1150</v>
      </c>
      <c r="C1390" s="19" t="s">
        <v>6812</v>
      </c>
      <c r="D1390" s="19"/>
      <c r="E1390" s="2"/>
      <c r="F1390" s="19"/>
    </row>
    <row r="1391" ht="15.75" customHeight="1">
      <c r="A1391" s="1">
        <v>5.3702258E7</v>
      </c>
      <c r="B1391" s="2" t="s">
        <v>2029</v>
      </c>
      <c r="C1391" s="19" t="s">
        <v>6813</v>
      </c>
      <c r="D1391" s="19"/>
      <c r="E1391" s="2"/>
      <c r="F1391" s="19"/>
    </row>
    <row r="1392" ht="15.75" customHeight="1">
      <c r="A1392" s="1">
        <v>5.3707341E7</v>
      </c>
      <c r="B1392" s="2" t="s">
        <v>531</v>
      </c>
      <c r="C1392" s="19" t="s">
        <v>6814</v>
      </c>
      <c r="D1392" s="19"/>
      <c r="E1392" s="2"/>
      <c r="F1392" s="19"/>
    </row>
    <row r="1393" ht="15.75" customHeight="1">
      <c r="A1393" s="1">
        <v>5.3708352E7</v>
      </c>
      <c r="B1393" s="2" t="s">
        <v>2897</v>
      </c>
      <c r="C1393" s="19" t="s">
        <v>6815</v>
      </c>
      <c r="D1393" s="19"/>
      <c r="E1393" s="2"/>
      <c r="F1393" s="19"/>
    </row>
    <row r="1394" ht="15.75" customHeight="1">
      <c r="A1394" s="1">
        <v>5.3728623E7</v>
      </c>
      <c r="B1394" s="2" t="s">
        <v>1247</v>
      </c>
      <c r="C1394" s="19" t="s">
        <v>6816</v>
      </c>
      <c r="D1394" s="19"/>
      <c r="E1394" s="2"/>
      <c r="F1394" s="19"/>
    </row>
    <row r="1395" ht="15.75" customHeight="1">
      <c r="A1395" s="1">
        <v>5.3729079E7</v>
      </c>
      <c r="B1395" s="2" t="s">
        <v>2226</v>
      </c>
      <c r="C1395" s="19" t="s">
        <v>6817</v>
      </c>
      <c r="D1395" s="19"/>
      <c r="E1395" s="2"/>
      <c r="F1395" s="19"/>
    </row>
    <row r="1396" ht="15.75" customHeight="1">
      <c r="A1396" s="1">
        <v>5.3734879E7</v>
      </c>
      <c r="B1396" s="2" t="s">
        <v>2805</v>
      </c>
      <c r="C1396" s="19" t="s">
        <v>6818</v>
      </c>
      <c r="D1396" s="19"/>
      <c r="E1396" s="2"/>
      <c r="F1396" s="19"/>
    </row>
    <row r="1397" ht="15.75" customHeight="1">
      <c r="A1397" s="1">
        <v>5.373772E7</v>
      </c>
      <c r="B1397" s="2" t="s">
        <v>217</v>
      </c>
      <c r="C1397" s="19" t="s">
        <v>6819</v>
      </c>
      <c r="D1397" s="19"/>
      <c r="E1397" s="2"/>
      <c r="F1397" s="19"/>
    </row>
    <row r="1398" ht="15.75" customHeight="1">
      <c r="A1398" s="1">
        <v>5.3739089E7</v>
      </c>
      <c r="B1398" s="2" t="s">
        <v>2860</v>
      </c>
      <c r="C1398" s="19" t="s">
        <v>6820</v>
      </c>
      <c r="D1398" s="19" t="s">
        <v>6821</v>
      </c>
      <c r="E1398" s="2"/>
      <c r="F1398" s="19"/>
    </row>
    <row r="1399" ht="15.75" customHeight="1">
      <c r="A1399" s="1">
        <v>5.3742356E7</v>
      </c>
      <c r="B1399" s="2" t="s">
        <v>2170</v>
      </c>
      <c r="C1399" s="19" t="s">
        <v>6822</v>
      </c>
      <c r="D1399" s="19" t="s">
        <v>6823</v>
      </c>
      <c r="E1399" s="2"/>
      <c r="F1399" s="19"/>
    </row>
    <row r="1400" ht="15.75" customHeight="1">
      <c r="A1400" s="1">
        <v>5.3743401E7</v>
      </c>
      <c r="B1400" s="2" t="s">
        <v>2456</v>
      </c>
      <c r="C1400" s="19" t="s">
        <v>6824</v>
      </c>
      <c r="D1400" s="19"/>
      <c r="E1400" s="2"/>
      <c r="F1400" s="19"/>
    </row>
    <row r="1401" ht="15.75" customHeight="1">
      <c r="A1401" s="1">
        <v>5.3748256E7</v>
      </c>
      <c r="B1401" s="2" t="s">
        <v>1923</v>
      </c>
      <c r="C1401" s="19" t="s">
        <v>6825</v>
      </c>
      <c r="D1401" s="19" t="s">
        <v>6826</v>
      </c>
      <c r="E1401" s="2"/>
      <c r="F1401" s="19"/>
    </row>
    <row r="1402" ht="15.75" customHeight="1">
      <c r="A1402" s="1">
        <v>5.3750539E7</v>
      </c>
      <c r="B1402" s="2" t="s">
        <v>127</v>
      </c>
      <c r="C1402" s="19" t="s">
        <v>6827</v>
      </c>
      <c r="D1402" s="19"/>
      <c r="E1402" s="2"/>
      <c r="F1402" s="19"/>
    </row>
    <row r="1403" ht="15.75" customHeight="1">
      <c r="A1403" s="1">
        <v>5.3751429E7</v>
      </c>
      <c r="B1403" s="2" t="s">
        <v>2444</v>
      </c>
      <c r="C1403" s="19" t="s">
        <v>6828</v>
      </c>
      <c r="D1403" s="19"/>
      <c r="E1403" s="2"/>
      <c r="F1403" s="19"/>
    </row>
    <row r="1404" ht="15.75" customHeight="1">
      <c r="A1404" s="1">
        <v>5.3755821E7</v>
      </c>
      <c r="B1404" s="2" t="s">
        <v>1061</v>
      </c>
      <c r="C1404" s="19" t="s">
        <v>6829</v>
      </c>
      <c r="D1404" s="19" t="s">
        <v>6830</v>
      </c>
      <c r="E1404" s="2"/>
      <c r="F1404" s="19"/>
    </row>
    <row r="1405" ht="15.75" customHeight="1">
      <c r="A1405" s="1">
        <v>5.376397E7</v>
      </c>
      <c r="B1405" s="2" t="s">
        <v>1225</v>
      </c>
      <c r="C1405" s="19" t="s">
        <v>6831</v>
      </c>
      <c r="D1405" s="19"/>
      <c r="E1405" s="2"/>
      <c r="F1405" s="19"/>
    </row>
    <row r="1406" ht="15.75" customHeight="1">
      <c r="A1406" s="1">
        <v>5.3784092E7</v>
      </c>
      <c r="B1406" s="2" t="s">
        <v>2415</v>
      </c>
      <c r="C1406" s="19" t="s">
        <v>6832</v>
      </c>
      <c r="D1406" s="19"/>
      <c r="E1406" s="2"/>
      <c r="F1406" s="19"/>
    </row>
    <row r="1407" ht="15.75" customHeight="1">
      <c r="A1407" s="1">
        <v>5.3801839E7</v>
      </c>
      <c r="B1407" s="2" t="s">
        <v>1696</v>
      </c>
      <c r="C1407" s="19" t="s">
        <v>6833</v>
      </c>
      <c r="D1407" s="19"/>
      <c r="E1407" s="2"/>
      <c r="F1407" s="19"/>
    </row>
    <row r="1408" ht="15.75" customHeight="1">
      <c r="A1408" s="1">
        <v>5.3808662E7</v>
      </c>
      <c r="B1408" s="2" t="s">
        <v>2219</v>
      </c>
      <c r="C1408" s="19" t="s">
        <v>6834</v>
      </c>
      <c r="D1408" s="19" t="s">
        <v>6835</v>
      </c>
      <c r="E1408" s="2"/>
      <c r="F1408" s="19"/>
    </row>
    <row r="1409" ht="15.75" customHeight="1">
      <c r="A1409" s="1">
        <v>5.3820097E7</v>
      </c>
      <c r="B1409" s="2" t="s">
        <v>2932</v>
      </c>
      <c r="C1409" s="19" t="s">
        <v>6836</v>
      </c>
      <c r="D1409" s="19"/>
      <c r="E1409" s="2"/>
      <c r="F1409" s="19"/>
    </row>
    <row r="1410" ht="15.75" customHeight="1">
      <c r="A1410" s="1">
        <v>5.3821137E7</v>
      </c>
      <c r="B1410" s="2" t="s">
        <v>2677</v>
      </c>
      <c r="C1410" s="19" t="s">
        <v>6837</v>
      </c>
      <c r="D1410" s="19" t="s">
        <v>6838</v>
      </c>
      <c r="E1410" s="2"/>
      <c r="F1410" s="19"/>
    </row>
    <row r="1411" ht="15.75" customHeight="1">
      <c r="A1411" s="1">
        <v>5.4113212E7</v>
      </c>
      <c r="B1411" s="2" t="s">
        <v>656</v>
      </c>
      <c r="C1411" s="19" t="s">
        <v>6839</v>
      </c>
      <c r="D1411" s="19"/>
      <c r="E1411" s="2"/>
      <c r="F1411" s="19"/>
    </row>
    <row r="1412" ht="15.75" customHeight="1">
      <c r="A1412" s="1">
        <v>5.4121067E7</v>
      </c>
      <c r="B1412" s="2" t="s">
        <v>256</v>
      </c>
      <c r="C1412" s="19" t="s">
        <v>6840</v>
      </c>
      <c r="D1412" s="19"/>
      <c r="E1412" s="2"/>
      <c r="F1412" s="19"/>
    </row>
    <row r="1413" ht="15.75" customHeight="1">
      <c r="A1413" s="1">
        <v>5.4123965E7</v>
      </c>
      <c r="B1413" s="2" t="s">
        <v>1989</v>
      </c>
      <c r="C1413" s="19" t="s">
        <v>6841</v>
      </c>
      <c r="D1413" s="19" t="s">
        <v>6842</v>
      </c>
      <c r="E1413" s="2"/>
      <c r="F1413" s="19"/>
    </row>
    <row r="1414" ht="15.75" customHeight="1">
      <c r="A1414" s="1">
        <v>5.4134476E7</v>
      </c>
      <c r="B1414" s="2" t="s">
        <v>636</v>
      </c>
      <c r="C1414" s="19" t="s">
        <v>6843</v>
      </c>
      <c r="D1414" s="19"/>
      <c r="E1414" s="2"/>
      <c r="F1414" s="19"/>
    </row>
    <row r="1415" ht="15.75" customHeight="1">
      <c r="A1415" s="1">
        <v>5.4138914E7</v>
      </c>
      <c r="B1415" s="2" t="s">
        <v>2237</v>
      </c>
      <c r="C1415" s="19" t="s">
        <v>6844</v>
      </c>
      <c r="D1415" s="19" t="s">
        <v>6845</v>
      </c>
      <c r="E1415" s="2"/>
      <c r="F1415" s="19"/>
    </row>
    <row r="1416" ht="15.75" customHeight="1">
      <c r="A1416" s="1">
        <v>5.4143107E7</v>
      </c>
      <c r="B1416" s="2" t="s">
        <v>1394</v>
      </c>
      <c r="C1416" s="19" t="s">
        <v>6846</v>
      </c>
      <c r="D1416" s="19" t="s">
        <v>6847</v>
      </c>
      <c r="E1416" s="2"/>
      <c r="F1416" s="19"/>
    </row>
    <row r="1417" ht="15.75" customHeight="1">
      <c r="A1417" s="1">
        <v>5.4143408E7</v>
      </c>
      <c r="B1417" s="2" t="s">
        <v>311</v>
      </c>
      <c r="C1417" s="19" t="s">
        <v>6848</v>
      </c>
      <c r="D1417" s="19"/>
      <c r="E1417" s="2"/>
      <c r="F1417" s="19"/>
    </row>
    <row r="1418" ht="15.75" customHeight="1">
      <c r="A1418" s="1">
        <v>5.4171073E7</v>
      </c>
      <c r="B1418" s="2" t="s">
        <v>1259</v>
      </c>
      <c r="C1418" s="19" t="s">
        <v>6849</v>
      </c>
      <c r="D1418" s="19"/>
      <c r="E1418" s="2"/>
      <c r="F1418" s="19"/>
    </row>
    <row r="1419" ht="15.75" customHeight="1">
      <c r="A1419" s="1">
        <v>5.4174575E7</v>
      </c>
      <c r="B1419" s="2" t="s">
        <v>1149</v>
      </c>
      <c r="C1419" s="19" t="s">
        <v>6850</v>
      </c>
      <c r="D1419" s="19"/>
      <c r="E1419" s="2"/>
      <c r="F1419" s="19"/>
    </row>
    <row r="1420" ht="15.75" customHeight="1">
      <c r="A1420" s="1">
        <v>5.4175015E7</v>
      </c>
      <c r="B1420" s="2" t="s">
        <v>949</v>
      </c>
      <c r="C1420" s="19" t="s">
        <v>6851</v>
      </c>
      <c r="D1420" s="19" t="s">
        <v>6852</v>
      </c>
      <c r="E1420" s="2"/>
      <c r="F1420" s="19"/>
    </row>
    <row r="1421" ht="15.75" customHeight="1">
      <c r="A1421" s="1">
        <v>5.4333889E7</v>
      </c>
      <c r="B1421" s="2" t="s">
        <v>517</v>
      </c>
      <c r="C1421" s="19" t="s">
        <v>6853</v>
      </c>
      <c r="D1421" s="19"/>
      <c r="E1421" s="2"/>
      <c r="F1421" s="19"/>
    </row>
    <row r="1422" ht="15.75" customHeight="1">
      <c r="A1422" s="1">
        <v>5.4557467E7</v>
      </c>
      <c r="B1422" s="2" t="s">
        <v>2575</v>
      </c>
      <c r="C1422" s="19" t="s">
        <v>6854</v>
      </c>
      <c r="D1422" s="19"/>
      <c r="E1422" s="2"/>
      <c r="F1422" s="19"/>
    </row>
    <row r="1423" ht="15.75" customHeight="1">
      <c r="A1423" s="1">
        <v>5.4744615E7</v>
      </c>
      <c r="B1423" s="2" t="s">
        <v>2823</v>
      </c>
      <c r="C1423" s="19" t="s">
        <v>6855</v>
      </c>
      <c r="D1423" s="19"/>
      <c r="E1423" s="2"/>
      <c r="F1423" s="19"/>
    </row>
    <row r="1424" ht="15.75" customHeight="1">
      <c r="A1424" s="1">
        <v>5.5117661E7</v>
      </c>
      <c r="B1424" s="2" t="s">
        <v>1430</v>
      </c>
      <c r="C1424" s="19" t="s">
        <v>6856</v>
      </c>
      <c r="D1424" s="19" t="s">
        <v>6857</v>
      </c>
      <c r="E1424" s="2"/>
      <c r="F1424" s="19"/>
    </row>
    <row r="1425" ht="15.75" customHeight="1">
      <c r="A1425" s="1">
        <v>5.5135069E7</v>
      </c>
      <c r="B1425" s="2" t="s">
        <v>201</v>
      </c>
      <c r="C1425" s="19" t="s">
        <v>6858</v>
      </c>
      <c r="D1425" s="19"/>
      <c r="E1425" s="2"/>
      <c r="F1425" s="19"/>
    </row>
    <row r="1426" ht="15.75" customHeight="1">
      <c r="A1426" s="1">
        <v>5.5224716E7</v>
      </c>
      <c r="B1426" s="2" t="s">
        <v>2039</v>
      </c>
      <c r="C1426" s="19" t="s">
        <v>6859</v>
      </c>
      <c r="D1426" s="19" t="s">
        <v>6860</v>
      </c>
      <c r="E1426" s="2"/>
      <c r="F1426" s="19"/>
    </row>
    <row r="1427" ht="15.75" customHeight="1">
      <c r="A1427" s="1">
        <v>5.5244842E7</v>
      </c>
      <c r="B1427" s="2" t="s">
        <v>2716</v>
      </c>
      <c r="C1427" s="19" t="s">
        <v>6861</v>
      </c>
      <c r="D1427" s="19"/>
      <c r="E1427" s="2"/>
      <c r="F1427" s="19"/>
    </row>
    <row r="1428" ht="15.75" customHeight="1">
      <c r="A1428" s="1">
        <v>5.5491667E7</v>
      </c>
      <c r="B1428" s="2" t="s">
        <v>1804</v>
      </c>
      <c r="C1428" s="19" t="s">
        <v>6862</v>
      </c>
      <c r="D1428" s="19"/>
      <c r="E1428" s="2"/>
      <c r="F1428" s="19"/>
    </row>
    <row r="1429" ht="15.75" customHeight="1">
      <c r="A1429" s="1">
        <v>5.559642E7</v>
      </c>
      <c r="B1429" s="2" t="s">
        <v>2861</v>
      </c>
      <c r="C1429" s="19" t="s">
        <v>6863</v>
      </c>
      <c r="D1429" s="19"/>
      <c r="E1429" s="2"/>
      <c r="F1429" s="19"/>
    </row>
    <row r="1430" ht="15.75" customHeight="1">
      <c r="A1430" s="1">
        <v>5.5614003E7</v>
      </c>
      <c r="B1430" s="2" t="s">
        <v>3193</v>
      </c>
      <c r="C1430" s="19" t="s">
        <v>6864</v>
      </c>
      <c r="D1430" s="19"/>
      <c r="E1430" s="2"/>
      <c r="F1430" s="19"/>
    </row>
    <row r="1431" ht="15.75" customHeight="1">
      <c r="A1431" s="1">
        <v>5.5614851E7</v>
      </c>
      <c r="B1431" s="2" t="s">
        <v>2227</v>
      </c>
      <c r="C1431" s="19" t="s">
        <v>6865</v>
      </c>
      <c r="D1431" s="19" t="s">
        <v>6866</v>
      </c>
      <c r="E1431" s="2"/>
      <c r="F1431" s="19"/>
    </row>
    <row r="1432" ht="15.75" customHeight="1">
      <c r="A1432" s="1">
        <v>5.5617E7</v>
      </c>
      <c r="B1432" s="2" t="s">
        <v>2533</v>
      </c>
      <c r="C1432" s="19" t="s">
        <v>6867</v>
      </c>
      <c r="D1432" s="19" t="s">
        <v>6868</v>
      </c>
      <c r="E1432" s="2"/>
      <c r="F1432" s="19"/>
    </row>
    <row r="1433" ht="15.75" customHeight="1">
      <c r="A1433" s="1">
        <v>5.5619739E7</v>
      </c>
      <c r="B1433" s="2" t="s">
        <v>2665</v>
      </c>
      <c r="C1433" s="19" t="s">
        <v>6869</v>
      </c>
      <c r="D1433" s="19"/>
      <c r="E1433" s="2"/>
      <c r="F1433" s="19"/>
    </row>
    <row r="1434" ht="15.75" customHeight="1">
      <c r="A1434" s="1">
        <v>5.5623926E7</v>
      </c>
      <c r="B1434" s="2" t="s">
        <v>1769</v>
      </c>
      <c r="C1434" s="19" t="s">
        <v>6870</v>
      </c>
      <c r="D1434" s="19"/>
      <c r="E1434" s="2"/>
      <c r="F1434" s="19"/>
    </row>
    <row r="1435" ht="15.75" customHeight="1">
      <c r="A1435" s="1">
        <v>5.5628468E7</v>
      </c>
      <c r="B1435" s="2" t="s">
        <v>1152</v>
      </c>
      <c r="C1435" s="19" t="s">
        <v>6871</v>
      </c>
      <c r="D1435" s="19"/>
      <c r="E1435" s="2"/>
      <c r="F1435" s="19"/>
    </row>
    <row r="1436" ht="15.75" customHeight="1">
      <c r="A1436" s="1">
        <v>5.5632717E7</v>
      </c>
      <c r="B1436" s="2" t="s">
        <v>1770</v>
      </c>
      <c r="C1436" s="19" t="s">
        <v>6872</v>
      </c>
      <c r="D1436" s="19"/>
      <c r="E1436" s="2"/>
      <c r="F1436" s="19"/>
    </row>
    <row r="1437" ht="15.75" customHeight="1">
      <c r="A1437" s="1">
        <v>5.5644204E7</v>
      </c>
      <c r="B1437" s="2" t="s">
        <v>2322</v>
      </c>
      <c r="C1437" s="19" t="s">
        <v>6873</v>
      </c>
      <c r="D1437" s="19"/>
      <c r="E1437" s="2"/>
      <c r="F1437" s="19"/>
    </row>
    <row r="1438" ht="15.75" customHeight="1">
      <c r="A1438" s="1">
        <v>5.5645981E7</v>
      </c>
      <c r="B1438" s="2" t="s">
        <v>2727</v>
      </c>
      <c r="C1438" s="19" t="s">
        <v>6874</v>
      </c>
      <c r="D1438" s="19" t="s">
        <v>6875</v>
      </c>
      <c r="E1438" s="2"/>
      <c r="F1438" s="19"/>
    </row>
    <row r="1439" ht="15.75" customHeight="1">
      <c r="A1439" s="1">
        <v>5.5647262E7</v>
      </c>
      <c r="B1439" s="2" t="s">
        <v>2040</v>
      </c>
      <c r="C1439" s="19" t="s">
        <v>6876</v>
      </c>
      <c r="D1439" s="19"/>
      <c r="E1439" s="2"/>
      <c r="F1439" s="19"/>
    </row>
    <row r="1440" ht="15.75" customHeight="1">
      <c r="A1440" s="1">
        <v>5.5647746E7</v>
      </c>
      <c r="B1440" s="2" t="s">
        <v>894</v>
      </c>
      <c r="C1440" s="19" t="s">
        <v>6877</v>
      </c>
      <c r="D1440" s="19"/>
      <c r="E1440" s="2"/>
      <c r="F1440" s="19"/>
    </row>
    <row r="1441" ht="15.75" customHeight="1">
      <c r="A1441" s="1">
        <v>5.5649403E7</v>
      </c>
      <c r="B1441" s="2" t="s">
        <v>799</v>
      </c>
      <c r="C1441" s="19" t="s">
        <v>6878</v>
      </c>
      <c r="D1441" s="19"/>
      <c r="E1441" s="2"/>
      <c r="F1441" s="19"/>
    </row>
    <row r="1442" ht="15.75" customHeight="1">
      <c r="A1442" s="1">
        <v>5.5684883E7</v>
      </c>
      <c r="B1442" s="2" t="s">
        <v>2123</v>
      </c>
      <c r="C1442" s="19" t="s">
        <v>6879</v>
      </c>
      <c r="D1442" s="19" t="s">
        <v>6880</v>
      </c>
      <c r="E1442" s="2"/>
      <c r="F1442" s="19"/>
    </row>
    <row r="1443" ht="15.75" customHeight="1">
      <c r="A1443" s="1">
        <v>5.5695608E7</v>
      </c>
      <c r="B1443" s="2" t="s">
        <v>2272</v>
      </c>
      <c r="C1443" s="19" t="s">
        <v>6881</v>
      </c>
      <c r="D1443" s="19"/>
      <c r="E1443" s="2"/>
      <c r="F1443" s="19"/>
    </row>
    <row r="1444" ht="15.75" customHeight="1">
      <c r="A1444" s="1">
        <v>5.5710608E7</v>
      </c>
      <c r="B1444" s="2" t="s">
        <v>1380</v>
      </c>
      <c r="C1444" s="19" t="s">
        <v>6882</v>
      </c>
      <c r="D1444" s="19"/>
      <c r="E1444" s="2"/>
      <c r="F1444" s="19"/>
    </row>
    <row r="1445" ht="15.75" customHeight="1">
      <c r="A1445" s="1">
        <v>5.5714301E7</v>
      </c>
      <c r="B1445" s="2" t="s">
        <v>1040</v>
      </c>
      <c r="C1445" s="19" t="s">
        <v>6883</v>
      </c>
      <c r="D1445" s="19"/>
      <c r="E1445" s="2"/>
      <c r="F1445" s="19"/>
    </row>
    <row r="1446" ht="15.75" customHeight="1">
      <c r="A1446" s="1">
        <v>5.5718762E7</v>
      </c>
      <c r="B1446" s="2" t="s">
        <v>2743</v>
      </c>
      <c r="C1446" s="19" t="s">
        <v>6884</v>
      </c>
      <c r="D1446" s="19"/>
      <c r="E1446" s="2"/>
      <c r="F1446" s="19"/>
    </row>
    <row r="1447" ht="15.75" customHeight="1">
      <c r="A1447" s="1">
        <v>5.5721339E7</v>
      </c>
      <c r="B1447" s="2" t="s">
        <v>2163</v>
      </c>
      <c r="C1447" s="19" t="s">
        <v>6885</v>
      </c>
      <c r="D1447" s="19" t="s">
        <v>6886</v>
      </c>
      <c r="E1447" s="2"/>
      <c r="F1447" s="19"/>
    </row>
    <row r="1448" ht="15.75" customHeight="1">
      <c r="A1448" s="1">
        <v>5.5726162E7</v>
      </c>
      <c r="B1448" s="2" t="s">
        <v>2587</v>
      </c>
      <c r="C1448" s="19" t="s">
        <v>6887</v>
      </c>
      <c r="D1448" s="19"/>
      <c r="E1448" s="2"/>
      <c r="F1448" s="19"/>
    </row>
    <row r="1449" ht="15.75" customHeight="1">
      <c r="A1449" s="1">
        <v>5.5726281E7</v>
      </c>
      <c r="B1449" s="2" t="s">
        <v>1655</v>
      </c>
      <c r="C1449" s="19" t="s">
        <v>6888</v>
      </c>
      <c r="D1449" s="19"/>
      <c r="E1449" s="2"/>
      <c r="F1449" s="19"/>
    </row>
    <row r="1450" ht="15.75" customHeight="1">
      <c r="A1450" s="1">
        <v>5.5726611E7</v>
      </c>
      <c r="B1450" s="2" t="s">
        <v>361</v>
      </c>
      <c r="C1450" s="19" t="s">
        <v>6889</v>
      </c>
      <c r="D1450" s="19"/>
      <c r="E1450" s="2"/>
      <c r="F1450" s="19"/>
    </row>
    <row r="1451" ht="15.75" customHeight="1">
      <c r="A1451" s="1">
        <v>5.5729338E7</v>
      </c>
      <c r="B1451" s="2" t="s">
        <v>1268</v>
      </c>
      <c r="C1451" s="19" t="s">
        <v>6890</v>
      </c>
      <c r="D1451" s="19"/>
      <c r="E1451" s="2"/>
      <c r="F1451" s="19"/>
    </row>
    <row r="1452" ht="15.75" customHeight="1">
      <c r="A1452" s="1">
        <v>5.573813E7</v>
      </c>
      <c r="B1452" s="2" t="s">
        <v>2273</v>
      </c>
      <c r="C1452" s="19" t="s">
        <v>6891</v>
      </c>
      <c r="D1452" s="19"/>
      <c r="E1452" s="2"/>
      <c r="F1452" s="19"/>
    </row>
    <row r="1453" ht="15.75" customHeight="1">
      <c r="A1453" s="1">
        <v>5.5740306E7</v>
      </c>
      <c r="B1453" s="2" t="s">
        <v>1976</v>
      </c>
      <c r="C1453" s="19" t="s">
        <v>6892</v>
      </c>
      <c r="D1453" s="19"/>
      <c r="E1453" s="2"/>
      <c r="F1453" s="19"/>
    </row>
    <row r="1454" ht="15.75" customHeight="1">
      <c r="A1454" s="1">
        <v>5.5745397E7</v>
      </c>
      <c r="B1454" s="2" t="s">
        <v>783</v>
      </c>
      <c r="C1454" s="19" t="s">
        <v>6893</v>
      </c>
      <c r="D1454" s="19"/>
      <c r="E1454" s="2"/>
      <c r="F1454" s="19"/>
    </row>
    <row r="1455" ht="15.75" customHeight="1">
      <c r="A1455" s="1">
        <v>5.5748694E7</v>
      </c>
      <c r="B1455" s="2" t="s">
        <v>2255</v>
      </c>
      <c r="C1455" s="19" t="s">
        <v>6894</v>
      </c>
      <c r="D1455" s="19"/>
      <c r="E1455" s="2"/>
      <c r="F1455" s="19"/>
    </row>
    <row r="1456" ht="15.75" customHeight="1">
      <c r="A1456" s="1">
        <v>5.5764425E7</v>
      </c>
      <c r="B1456" s="2" t="s">
        <v>2678</v>
      </c>
      <c r="C1456" s="19" t="s">
        <v>6895</v>
      </c>
      <c r="D1456" s="19"/>
      <c r="E1456" s="2"/>
      <c r="F1456" s="19"/>
    </row>
    <row r="1457" ht="15.75" customHeight="1">
      <c r="A1457" s="1">
        <v>5.577858E7</v>
      </c>
      <c r="B1457" s="2" t="s">
        <v>2438</v>
      </c>
      <c r="C1457" s="19" t="s">
        <v>6896</v>
      </c>
      <c r="D1457" s="19"/>
      <c r="E1457" s="2"/>
      <c r="F1457" s="19"/>
    </row>
    <row r="1458" ht="15.75" customHeight="1">
      <c r="A1458" s="1">
        <v>5.5781743E7</v>
      </c>
      <c r="B1458" s="2" t="s">
        <v>1643</v>
      </c>
      <c r="C1458" s="19" t="s">
        <v>6897</v>
      </c>
      <c r="D1458" s="19"/>
      <c r="E1458" s="2"/>
      <c r="F1458" s="19"/>
    </row>
    <row r="1459" ht="15.75" customHeight="1">
      <c r="A1459" s="1">
        <v>5.5791116E7</v>
      </c>
      <c r="B1459" s="2" t="s">
        <v>1777</v>
      </c>
      <c r="C1459" s="19" t="s">
        <v>6898</v>
      </c>
      <c r="D1459" s="19" t="s">
        <v>6899</v>
      </c>
      <c r="E1459" s="2"/>
      <c r="F1459" s="19"/>
    </row>
    <row r="1460" ht="15.75" customHeight="1">
      <c r="A1460" s="1">
        <v>5.579449E7</v>
      </c>
      <c r="B1460" s="2" t="s">
        <v>910</v>
      </c>
      <c r="C1460" s="19" t="s">
        <v>6900</v>
      </c>
      <c r="D1460" s="19" t="s">
        <v>6901</v>
      </c>
      <c r="E1460" s="2"/>
      <c r="F1460" s="19"/>
    </row>
    <row r="1461" ht="15.75" customHeight="1">
      <c r="A1461" s="1">
        <v>5.579552E7</v>
      </c>
      <c r="B1461" s="2" t="s">
        <v>3499</v>
      </c>
      <c r="C1461" s="19" t="s">
        <v>6902</v>
      </c>
      <c r="D1461" s="19"/>
      <c r="E1461" s="2"/>
      <c r="F1461" s="19"/>
    </row>
    <row r="1462" ht="15.75" customHeight="1">
      <c r="A1462" s="1">
        <v>5.5796166E7</v>
      </c>
      <c r="B1462" s="2" t="s">
        <v>1607</v>
      </c>
      <c r="C1462" s="19" t="s">
        <v>6903</v>
      </c>
      <c r="D1462" s="19"/>
      <c r="E1462" s="2"/>
      <c r="F1462" s="19"/>
    </row>
    <row r="1463" ht="15.75" customHeight="1">
      <c r="A1463" s="1">
        <v>5.580129E7</v>
      </c>
      <c r="B1463" s="2" t="s">
        <v>2103</v>
      </c>
      <c r="C1463" s="19" t="s">
        <v>6904</v>
      </c>
      <c r="D1463" s="19"/>
      <c r="E1463" s="2"/>
      <c r="F1463" s="19"/>
    </row>
    <row r="1464" ht="15.75" customHeight="1">
      <c r="A1464" s="1">
        <v>5.5803032E7</v>
      </c>
      <c r="B1464" s="2" t="s">
        <v>1821</v>
      </c>
      <c r="C1464" s="19" t="s">
        <v>6905</v>
      </c>
      <c r="D1464" s="19" t="s">
        <v>6906</v>
      </c>
      <c r="E1464" s="2"/>
      <c r="F1464" s="19"/>
    </row>
    <row r="1465" ht="15.75" customHeight="1">
      <c r="A1465" s="1">
        <v>5.5805996E7</v>
      </c>
      <c r="B1465" s="2" t="s">
        <v>144</v>
      </c>
      <c r="C1465" s="19" t="s">
        <v>6907</v>
      </c>
      <c r="D1465" s="19"/>
      <c r="E1465" s="2"/>
      <c r="F1465" s="19"/>
    </row>
    <row r="1466" ht="15.75" customHeight="1">
      <c r="A1466" s="1">
        <v>5.5807363E7</v>
      </c>
      <c r="B1466" s="2" t="s">
        <v>2632</v>
      </c>
      <c r="C1466" s="19" t="s">
        <v>6908</v>
      </c>
      <c r="D1466" s="19"/>
      <c r="E1466" s="2"/>
      <c r="F1466" s="19"/>
    </row>
    <row r="1467" ht="15.75" customHeight="1">
      <c r="A1467" s="1">
        <v>5.5827343E7</v>
      </c>
      <c r="B1467" s="2" t="s">
        <v>3194</v>
      </c>
      <c r="C1467" s="19" t="s">
        <v>6909</v>
      </c>
      <c r="D1467" s="19"/>
      <c r="E1467" s="2"/>
      <c r="F1467" s="19"/>
    </row>
    <row r="1468" ht="15.75" customHeight="1">
      <c r="A1468" s="1">
        <v>5.5832224E7</v>
      </c>
      <c r="B1468" s="2" t="s">
        <v>2323</v>
      </c>
      <c r="C1468" s="19" t="s">
        <v>6910</v>
      </c>
      <c r="D1468" s="19"/>
      <c r="E1468" s="2"/>
      <c r="F1468" s="19"/>
    </row>
    <row r="1469" ht="15.75" customHeight="1">
      <c r="A1469" s="1">
        <v>5.5835107E7</v>
      </c>
      <c r="B1469" s="2" t="s">
        <v>1895</v>
      </c>
      <c r="C1469" s="19" t="s">
        <v>6911</v>
      </c>
      <c r="D1469" s="19" t="s">
        <v>6912</v>
      </c>
      <c r="E1469" s="2"/>
      <c r="F1469" s="19"/>
    </row>
    <row r="1470" ht="15.75" customHeight="1">
      <c r="A1470" s="1">
        <v>5.583564E7</v>
      </c>
      <c r="B1470" s="2" t="s">
        <v>774</v>
      </c>
      <c r="C1470" s="19" t="s">
        <v>6913</v>
      </c>
      <c r="D1470" s="19" t="s">
        <v>6914</v>
      </c>
      <c r="E1470" s="2"/>
      <c r="F1470" s="19"/>
    </row>
    <row r="1471" ht="15.75" customHeight="1">
      <c r="A1471" s="1">
        <v>5.5847405E7</v>
      </c>
      <c r="B1471" s="2" t="s">
        <v>1881</v>
      </c>
      <c r="C1471" s="19" t="s">
        <v>6915</v>
      </c>
      <c r="D1471" s="19"/>
      <c r="E1471" s="2"/>
      <c r="F1471" s="19"/>
    </row>
    <row r="1472" ht="15.75" customHeight="1">
      <c r="A1472" s="1">
        <v>5.5851306E7</v>
      </c>
      <c r="B1472" s="2" t="s">
        <v>1217</v>
      </c>
      <c r="C1472" s="19" t="s">
        <v>6916</v>
      </c>
      <c r="D1472" s="19"/>
      <c r="E1472" s="2"/>
      <c r="F1472" s="19"/>
    </row>
    <row r="1473" ht="15.75" customHeight="1">
      <c r="A1473" s="1">
        <v>5.5853297E7</v>
      </c>
      <c r="B1473" s="2" t="s">
        <v>1700</v>
      </c>
      <c r="C1473" s="19" t="s">
        <v>6917</v>
      </c>
      <c r="D1473" s="19"/>
      <c r="E1473" s="2"/>
      <c r="F1473" s="19"/>
    </row>
    <row r="1474" ht="15.75" customHeight="1">
      <c r="A1474" s="1">
        <v>5.5853588E7</v>
      </c>
      <c r="B1474" s="2" t="s">
        <v>610</v>
      </c>
      <c r="C1474" s="19" t="s">
        <v>6918</v>
      </c>
      <c r="D1474" s="19"/>
      <c r="E1474" s="2"/>
      <c r="F1474" s="19"/>
    </row>
    <row r="1475" ht="15.75" customHeight="1">
      <c r="A1475" s="1">
        <v>5.5864354E7</v>
      </c>
      <c r="B1475" s="2" t="s">
        <v>2114</v>
      </c>
      <c r="C1475" s="19" t="s">
        <v>6919</v>
      </c>
      <c r="D1475" s="19" t="s">
        <v>6920</v>
      </c>
      <c r="E1475" s="2"/>
      <c r="F1475" s="19"/>
    </row>
    <row r="1476" ht="15.75" customHeight="1">
      <c r="A1476" s="1">
        <v>5.5866393E7</v>
      </c>
      <c r="B1476" s="2" t="s">
        <v>1707</v>
      </c>
      <c r="C1476" s="19" t="s">
        <v>6921</v>
      </c>
      <c r="D1476" s="19" t="s">
        <v>6922</v>
      </c>
      <c r="E1476" s="2"/>
      <c r="F1476" s="19"/>
    </row>
    <row r="1477" ht="15.75" customHeight="1">
      <c r="A1477" s="1">
        <v>5.5866962E7</v>
      </c>
      <c r="B1477" s="2" t="s">
        <v>2979</v>
      </c>
      <c r="C1477" s="19" t="s">
        <v>6923</v>
      </c>
      <c r="D1477" s="19"/>
      <c r="E1477" s="2"/>
      <c r="F1477" s="19"/>
    </row>
    <row r="1478" ht="15.75" customHeight="1">
      <c r="A1478" s="1">
        <v>5.5868931E7</v>
      </c>
      <c r="B1478" s="2" t="s">
        <v>969</v>
      </c>
      <c r="C1478" s="19" t="s">
        <v>6924</v>
      </c>
      <c r="D1478" s="19" t="s">
        <v>6925</v>
      </c>
      <c r="E1478" s="2"/>
      <c r="F1478" s="19"/>
    </row>
    <row r="1479" ht="15.75" customHeight="1">
      <c r="A1479" s="1">
        <v>5.5870883E7</v>
      </c>
      <c r="B1479" s="2" t="s">
        <v>2109</v>
      </c>
      <c r="C1479" s="19" t="s">
        <v>6926</v>
      </c>
      <c r="D1479" s="19" t="s">
        <v>6927</v>
      </c>
      <c r="E1479" s="2"/>
      <c r="F1479" s="19"/>
    </row>
    <row r="1480" ht="15.75" customHeight="1">
      <c r="A1480" s="1">
        <v>5.5873748E7</v>
      </c>
      <c r="B1480" s="2" t="s">
        <v>996</v>
      </c>
      <c r="C1480" s="19" t="s">
        <v>6928</v>
      </c>
      <c r="D1480" s="19" t="s">
        <v>6929</v>
      </c>
      <c r="E1480" s="2"/>
      <c r="F1480" s="19"/>
    </row>
    <row r="1481" ht="15.75" customHeight="1">
      <c r="A1481" s="1">
        <v>5.587549E7</v>
      </c>
      <c r="B1481" s="2" t="s">
        <v>2188</v>
      </c>
      <c r="C1481" s="19" t="s">
        <v>6930</v>
      </c>
      <c r="D1481" s="19"/>
      <c r="E1481" s="2"/>
      <c r="F1481" s="19"/>
    </row>
    <row r="1482" ht="15.75" customHeight="1">
      <c r="A1482" s="1">
        <v>5.5881794E7</v>
      </c>
      <c r="B1482" s="2" t="s">
        <v>2171</v>
      </c>
      <c r="C1482" s="19" t="s">
        <v>6931</v>
      </c>
      <c r="D1482" s="19"/>
      <c r="E1482" s="2"/>
      <c r="F1482" s="19"/>
    </row>
    <row r="1483" ht="15.75" customHeight="1">
      <c r="A1483" s="1">
        <v>5.5882359E7</v>
      </c>
      <c r="B1483" s="2" t="s">
        <v>1982</v>
      </c>
      <c r="C1483" s="19" t="s">
        <v>6932</v>
      </c>
      <c r="D1483" s="19"/>
      <c r="E1483" s="2"/>
      <c r="F1483" s="19"/>
    </row>
    <row r="1484" ht="15.75" customHeight="1">
      <c r="A1484" s="1">
        <v>5.58962E7</v>
      </c>
      <c r="B1484" s="2" t="s">
        <v>3040</v>
      </c>
      <c r="C1484" s="19" t="s">
        <v>6933</v>
      </c>
      <c r="D1484" s="19" t="s">
        <v>6934</v>
      </c>
      <c r="E1484" s="2"/>
      <c r="F1484" s="19"/>
    </row>
    <row r="1485" ht="15.75" customHeight="1">
      <c r="A1485" s="1">
        <v>5.5905651E7</v>
      </c>
      <c r="B1485" s="2" t="s">
        <v>907</v>
      </c>
      <c r="C1485" s="19" t="s">
        <v>6935</v>
      </c>
      <c r="D1485" s="19" t="s">
        <v>6936</v>
      </c>
      <c r="E1485" s="2"/>
      <c r="F1485" s="19"/>
    </row>
    <row r="1486" ht="15.75" customHeight="1">
      <c r="A1486" s="1">
        <v>5.5929236E7</v>
      </c>
      <c r="B1486" s="2" t="s">
        <v>1748</v>
      </c>
      <c r="C1486" s="19" t="s">
        <v>6937</v>
      </c>
      <c r="D1486" s="19" t="s">
        <v>6938</v>
      </c>
      <c r="E1486" s="2"/>
      <c r="F1486" s="19"/>
    </row>
    <row r="1487" ht="15.75" customHeight="1">
      <c r="A1487" s="1">
        <v>5.5938858E7</v>
      </c>
      <c r="B1487" s="2" t="s">
        <v>2679</v>
      </c>
      <c r="C1487" s="19" t="s">
        <v>6939</v>
      </c>
      <c r="D1487" s="19"/>
      <c r="E1487" s="2"/>
      <c r="F1487" s="19"/>
    </row>
    <row r="1488" ht="15.75" customHeight="1">
      <c r="A1488" s="1">
        <v>5.5945647E7</v>
      </c>
      <c r="B1488" s="2" t="s">
        <v>2274</v>
      </c>
      <c r="C1488" s="19" t="s">
        <v>6940</v>
      </c>
      <c r="D1488" s="19"/>
      <c r="E1488" s="2"/>
      <c r="F1488" s="19"/>
    </row>
    <row r="1489" ht="15.75" customHeight="1">
      <c r="A1489" s="1">
        <v>5.5958319E7</v>
      </c>
      <c r="B1489" s="2" t="s">
        <v>2576</v>
      </c>
      <c r="C1489" s="19" t="s">
        <v>6941</v>
      </c>
      <c r="D1489" s="19"/>
      <c r="E1489" s="2"/>
      <c r="F1489" s="19"/>
    </row>
    <row r="1490" ht="15.75" customHeight="1">
      <c r="A1490" s="1">
        <v>5.5967992E7</v>
      </c>
      <c r="B1490" s="2" t="s">
        <v>1407</v>
      </c>
      <c r="C1490" s="19" t="s">
        <v>6942</v>
      </c>
      <c r="D1490" s="19"/>
      <c r="E1490" s="2"/>
      <c r="F1490" s="19"/>
    </row>
    <row r="1491" ht="15.75" customHeight="1">
      <c r="A1491" s="1">
        <v>5.5971394E7</v>
      </c>
      <c r="B1491" s="2" t="s">
        <v>1915</v>
      </c>
      <c r="C1491" s="19" t="s">
        <v>6943</v>
      </c>
      <c r="D1491" s="19"/>
      <c r="E1491" s="2"/>
      <c r="F1491" s="19"/>
    </row>
    <row r="1492" ht="15.75" customHeight="1">
      <c r="A1492" s="1">
        <v>5.5991295E7</v>
      </c>
      <c r="B1492" s="2" t="s">
        <v>1876</v>
      </c>
      <c r="C1492" s="19" t="s">
        <v>6944</v>
      </c>
      <c r="D1492" s="19"/>
      <c r="E1492" s="2"/>
      <c r="F1492" s="19"/>
    </row>
    <row r="1493" ht="15.75" customHeight="1">
      <c r="A1493" s="1">
        <v>5.5999786E7</v>
      </c>
      <c r="B1493" s="2" t="s">
        <v>1864</v>
      </c>
      <c r="C1493" s="19" t="s">
        <v>6945</v>
      </c>
      <c r="D1493" s="19"/>
      <c r="E1493" s="2"/>
      <c r="F1493" s="19"/>
    </row>
    <row r="1494" ht="15.75" customHeight="1">
      <c r="A1494" s="1">
        <v>5.6001929E7</v>
      </c>
      <c r="B1494" s="2" t="s">
        <v>2862</v>
      </c>
      <c r="C1494" s="19" t="s">
        <v>6946</v>
      </c>
      <c r="D1494" s="19"/>
      <c r="E1494" s="2"/>
      <c r="F1494" s="19"/>
    </row>
    <row r="1495" ht="15.75" customHeight="1">
      <c r="A1495" s="1">
        <v>5.600219E7</v>
      </c>
      <c r="B1495" s="2" t="s">
        <v>3066</v>
      </c>
      <c r="C1495" s="19" t="s">
        <v>6947</v>
      </c>
      <c r="D1495" s="19"/>
      <c r="E1495" s="2"/>
      <c r="F1495" s="19"/>
    </row>
    <row r="1496" ht="15.75" customHeight="1">
      <c r="A1496" s="1">
        <v>5.6006287E7</v>
      </c>
      <c r="B1496" s="2" t="s">
        <v>2806</v>
      </c>
      <c r="C1496" s="19" t="s">
        <v>6948</v>
      </c>
      <c r="D1496" s="19"/>
      <c r="E1496" s="2"/>
      <c r="F1496" s="19"/>
    </row>
    <row r="1497" ht="15.75" customHeight="1">
      <c r="A1497" s="1">
        <v>5.6006399E7</v>
      </c>
      <c r="B1497" s="2" t="s">
        <v>2295</v>
      </c>
      <c r="C1497" s="19" t="s">
        <v>6949</v>
      </c>
      <c r="D1497" s="19"/>
      <c r="E1497" s="2"/>
      <c r="F1497" s="19"/>
    </row>
    <row r="1498" ht="15.75" customHeight="1">
      <c r="A1498" s="1">
        <v>5.600728E7</v>
      </c>
      <c r="B1498" s="2" t="s">
        <v>2633</v>
      </c>
      <c r="C1498" s="19" t="s">
        <v>6950</v>
      </c>
      <c r="D1498" s="19"/>
      <c r="E1498" s="2"/>
      <c r="F1498" s="19"/>
    </row>
    <row r="1499" ht="15.75" customHeight="1">
      <c r="A1499" s="1">
        <v>5.601351E7</v>
      </c>
      <c r="B1499" s="2" t="s">
        <v>2080</v>
      </c>
      <c r="C1499" s="19" t="s">
        <v>6951</v>
      </c>
      <c r="D1499" s="19"/>
      <c r="E1499" s="2"/>
      <c r="F1499" s="19"/>
    </row>
    <row r="1500" ht="15.75" customHeight="1">
      <c r="A1500" s="1">
        <v>5.6024475E7</v>
      </c>
      <c r="B1500" s="2" t="s">
        <v>1517</v>
      </c>
      <c r="C1500" s="19" t="s">
        <v>6952</v>
      </c>
      <c r="D1500" s="19" t="s">
        <v>6953</v>
      </c>
      <c r="E1500" s="2"/>
      <c r="F1500" s="19"/>
    </row>
    <row r="1501" ht="15.75" customHeight="1">
      <c r="A1501" s="1">
        <v>5.602478E7</v>
      </c>
      <c r="B1501" s="2" t="s">
        <v>2284</v>
      </c>
      <c r="C1501" s="19" t="s">
        <v>6954</v>
      </c>
      <c r="D1501" s="19"/>
      <c r="E1501" s="2"/>
      <c r="F1501" s="19"/>
    </row>
    <row r="1502" ht="15.75" customHeight="1">
      <c r="A1502" s="1">
        <v>5.602891E7</v>
      </c>
      <c r="B1502" s="2" t="s">
        <v>158</v>
      </c>
      <c r="C1502" s="19" t="s">
        <v>6955</v>
      </c>
      <c r="D1502" s="19"/>
      <c r="E1502" s="2"/>
      <c r="F1502" s="19"/>
    </row>
    <row r="1503" ht="15.75" customHeight="1">
      <c r="A1503" s="1">
        <v>5.6033799E7</v>
      </c>
      <c r="B1503" s="2" t="s">
        <v>2948</v>
      </c>
      <c r="C1503" s="19" t="s">
        <v>6956</v>
      </c>
      <c r="D1503" s="19" t="s">
        <v>6957</v>
      </c>
      <c r="E1503" s="2"/>
      <c r="F1503" s="19"/>
    </row>
    <row r="1504" ht="15.75" customHeight="1">
      <c r="A1504" s="1">
        <v>5.6042376E7</v>
      </c>
      <c r="B1504" s="2" t="s">
        <v>1644</v>
      </c>
      <c r="C1504" s="19" t="s">
        <v>6958</v>
      </c>
      <c r="D1504" s="19"/>
      <c r="E1504" s="2"/>
      <c r="F1504" s="19"/>
    </row>
    <row r="1505" ht="15.75" customHeight="1">
      <c r="A1505" s="1">
        <v>5.6043124E7</v>
      </c>
      <c r="B1505" s="2" t="s">
        <v>2933</v>
      </c>
      <c r="C1505" s="19" t="s">
        <v>6959</v>
      </c>
      <c r="D1505" s="19" t="s">
        <v>6960</v>
      </c>
      <c r="E1505" s="2"/>
      <c r="F1505" s="19"/>
    </row>
    <row r="1506" ht="15.75" customHeight="1">
      <c r="A1506" s="1">
        <v>5.6055688E7</v>
      </c>
      <c r="B1506" s="2" t="s">
        <v>1957</v>
      </c>
      <c r="C1506" s="19" t="s">
        <v>6961</v>
      </c>
      <c r="D1506" s="19"/>
      <c r="E1506" s="2"/>
      <c r="F1506" s="19"/>
    </row>
    <row r="1507" ht="15.75" customHeight="1">
      <c r="A1507" s="1">
        <v>5.6065738E7</v>
      </c>
      <c r="B1507" s="2" t="s">
        <v>2497</v>
      </c>
      <c r="C1507" s="19" t="s">
        <v>6962</v>
      </c>
      <c r="D1507" s="19" t="s">
        <v>6963</v>
      </c>
      <c r="E1507" s="2"/>
      <c r="F1507" s="19"/>
    </row>
    <row r="1508" ht="15.75" customHeight="1">
      <c r="A1508" s="1">
        <v>5.6069823E7</v>
      </c>
      <c r="B1508" s="2" t="s">
        <v>2847</v>
      </c>
      <c r="C1508" s="19" t="s">
        <v>6964</v>
      </c>
      <c r="D1508" s="19"/>
      <c r="E1508" s="2"/>
      <c r="F1508" s="19"/>
    </row>
    <row r="1509" ht="15.75" customHeight="1">
      <c r="A1509" s="1">
        <v>5.6072556E7</v>
      </c>
      <c r="B1509" s="2" t="s">
        <v>1527</v>
      </c>
      <c r="C1509" s="19" t="s">
        <v>6965</v>
      </c>
      <c r="D1509" s="19" t="s">
        <v>6966</v>
      </c>
      <c r="E1509" s="2"/>
      <c r="F1509" s="19"/>
    </row>
    <row r="1510" ht="15.75" customHeight="1">
      <c r="A1510" s="1">
        <v>5.6074106E7</v>
      </c>
      <c r="B1510" s="2" t="s">
        <v>2848</v>
      </c>
      <c r="C1510" s="19" t="s">
        <v>6967</v>
      </c>
      <c r="D1510" s="19"/>
      <c r="E1510" s="2"/>
      <c r="F1510" s="19"/>
    </row>
    <row r="1511" ht="15.75" customHeight="1">
      <c r="A1511" s="1">
        <v>5.6078834E7</v>
      </c>
      <c r="B1511" s="2" t="s">
        <v>2549</v>
      </c>
      <c r="C1511" s="19" t="s">
        <v>6968</v>
      </c>
      <c r="D1511" s="19" t="s">
        <v>6969</v>
      </c>
      <c r="E1511" s="2"/>
      <c r="F1511" s="19"/>
    </row>
    <row r="1512" ht="15.75" customHeight="1">
      <c r="A1512" s="1">
        <v>5.6080699E7</v>
      </c>
      <c r="B1512" s="2" t="s">
        <v>731</v>
      </c>
      <c r="C1512" s="19" t="s">
        <v>6970</v>
      </c>
      <c r="D1512" s="19"/>
      <c r="E1512" s="2"/>
      <c r="F1512" s="19"/>
    </row>
    <row r="1513" ht="15.75" customHeight="1">
      <c r="A1513" s="1">
        <v>5.6084123E7</v>
      </c>
      <c r="B1513" s="2" t="s">
        <v>3433</v>
      </c>
      <c r="C1513" s="19" t="s">
        <v>6971</v>
      </c>
      <c r="D1513" s="19" t="s">
        <v>6972</v>
      </c>
      <c r="E1513" s="2"/>
      <c r="F1513" s="19"/>
    </row>
    <row r="1514" ht="15.75" customHeight="1">
      <c r="A1514" s="1">
        <v>5.6104228E7</v>
      </c>
      <c r="B1514" s="2" t="s">
        <v>2245</v>
      </c>
      <c r="C1514" s="19" t="s">
        <v>6973</v>
      </c>
      <c r="D1514" s="19"/>
      <c r="E1514" s="2"/>
      <c r="F1514" s="19"/>
    </row>
    <row r="1515" ht="15.75" customHeight="1">
      <c r="A1515" s="1">
        <v>5.6111559E7</v>
      </c>
      <c r="B1515" s="2" t="s">
        <v>2849</v>
      </c>
      <c r="C1515" s="19" t="s">
        <v>6974</v>
      </c>
      <c r="D1515" s="19"/>
      <c r="E1515" s="2"/>
      <c r="F1515" s="19"/>
    </row>
    <row r="1516" ht="15.75" customHeight="1">
      <c r="A1516" s="1">
        <v>5.6116677E7</v>
      </c>
      <c r="B1516" s="2" t="s">
        <v>2783</v>
      </c>
      <c r="C1516" s="19" t="s">
        <v>6975</v>
      </c>
      <c r="D1516" s="19"/>
      <c r="E1516" s="2"/>
      <c r="F1516" s="19"/>
    </row>
    <row r="1517" ht="15.75" customHeight="1">
      <c r="A1517" s="1">
        <v>5.611808E7</v>
      </c>
      <c r="B1517" s="2" t="s">
        <v>347</v>
      </c>
      <c r="C1517" s="19" t="s">
        <v>6976</v>
      </c>
      <c r="D1517" s="19" t="s">
        <v>6977</v>
      </c>
      <c r="E1517" s="2"/>
      <c r="F1517" s="19"/>
    </row>
    <row r="1518" ht="15.75" customHeight="1">
      <c r="A1518" s="1">
        <v>5.6119353E7</v>
      </c>
      <c r="B1518" s="2" t="s">
        <v>3010</v>
      </c>
      <c r="C1518" s="19" t="s">
        <v>6978</v>
      </c>
      <c r="D1518" s="19"/>
      <c r="E1518" s="2"/>
      <c r="F1518" s="19"/>
    </row>
    <row r="1519" ht="15.75" customHeight="1">
      <c r="A1519" s="1">
        <v>5.6127535E7</v>
      </c>
      <c r="B1519" s="2" t="s">
        <v>1554</v>
      </c>
      <c r="C1519" s="19" t="s">
        <v>6979</v>
      </c>
      <c r="D1519" s="19"/>
      <c r="E1519" s="2"/>
      <c r="F1519" s="19"/>
    </row>
    <row r="1520" ht="15.75" customHeight="1">
      <c r="A1520" s="1">
        <v>5.6128042E7</v>
      </c>
      <c r="B1520" s="2" t="s">
        <v>2498</v>
      </c>
      <c r="C1520" s="19" t="s">
        <v>6980</v>
      </c>
      <c r="D1520" s="19"/>
      <c r="E1520" s="2"/>
      <c r="F1520" s="19"/>
    </row>
    <row r="1521" ht="15.75" customHeight="1">
      <c r="A1521" s="1">
        <v>5.6130522E7</v>
      </c>
      <c r="B1521" s="2" t="s">
        <v>528</v>
      </c>
      <c r="C1521" s="19" t="s">
        <v>6981</v>
      </c>
      <c r="D1521" s="19"/>
      <c r="E1521" s="2"/>
      <c r="F1521" s="19"/>
    </row>
    <row r="1522" ht="15.75" customHeight="1">
      <c r="A1522" s="1">
        <v>5.6139909E7</v>
      </c>
      <c r="B1522" s="2" t="s">
        <v>2588</v>
      </c>
      <c r="C1522" s="19" t="s">
        <v>6982</v>
      </c>
      <c r="D1522" s="19"/>
      <c r="E1522" s="2"/>
      <c r="F1522" s="19"/>
    </row>
    <row r="1523" ht="15.75" customHeight="1">
      <c r="A1523" s="1">
        <v>5.6140676E7</v>
      </c>
      <c r="B1523" s="2" t="s">
        <v>1466</v>
      </c>
      <c r="C1523" s="19" t="s">
        <v>6983</v>
      </c>
      <c r="D1523" s="19" t="s">
        <v>6984</v>
      </c>
      <c r="E1523" s="2"/>
      <c r="F1523" s="19"/>
    </row>
    <row r="1524" ht="15.75" customHeight="1">
      <c r="A1524" s="1">
        <v>5.6148445E7</v>
      </c>
      <c r="B1524" s="2" t="s">
        <v>1796</v>
      </c>
      <c r="C1524" s="19" t="s">
        <v>6985</v>
      </c>
      <c r="D1524" s="19" t="s">
        <v>6986</v>
      </c>
      <c r="E1524" s="2"/>
      <c r="F1524" s="19"/>
    </row>
    <row r="1525" ht="15.75" customHeight="1">
      <c r="A1525" s="1">
        <v>5.6154215E7</v>
      </c>
      <c r="B1525" s="2" t="s">
        <v>844</v>
      </c>
      <c r="C1525" s="19" t="s">
        <v>6987</v>
      </c>
      <c r="D1525" s="19" t="s">
        <v>6988</v>
      </c>
      <c r="E1525" s="2"/>
      <c r="F1525" s="19"/>
    </row>
    <row r="1526" ht="15.75" customHeight="1">
      <c r="A1526" s="1">
        <v>5.6154406E7</v>
      </c>
      <c r="B1526" s="2" t="s">
        <v>687</v>
      </c>
      <c r="C1526" s="19" t="s">
        <v>6989</v>
      </c>
      <c r="D1526" s="19"/>
      <c r="E1526" s="2"/>
      <c r="F1526" s="19"/>
    </row>
    <row r="1527" ht="15.75" customHeight="1">
      <c r="A1527" s="1">
        <v>5.6159484E7</v>
      </c>
      <c r="B1527" s="2" t="s">
        <v>2230</v>
      </c>
      <c r="C1527" s="19" t="s">
        <v>6990</v>
      </c>
      <c r="D1527" s="19"/>
      <c r="E1527" s="2"/>
      <c r="F1527" s="19"/>
    </row>
    <row r="1528" ht="15.75" customHeight="1">
      <c r="A1528" s="1">
        <v>5.6159595E7</v>
      </c>
      <c r="B1528" s="2" t="s">
        <v>349</v>
      </c>
      <c r="C1528" s="19" t="s">
        <v>6991</v>
      </c>
      <c r="D1528" s="19" t="s">
        <v>6992</v>
      </c>
      <c r="E1528" s="2"/>
      <c r="F1528" s="19"/>
    </row>
    <row r="1529" ht="15.75" customHeight="1">
      <c r="A1529" s="1">
        <v>5.6162698E7</v>
      </c>
      <c r="B1529" s="2" t="s">
        <v>1919</v>
      </c>
      <c r="C1529" s="19" t="s">
        <v>6993</v>
      </c>
      <c r="D1529" s="19"/>
      <c r="E1529" s="2"/>
      <c r="F1529" s="19"/>
    </row>
    <row r="1530" ht="15.75" customHeight="1">
      <c r="A1530" s="1">
        <v>5.6164428E7</v>
      </c>
      <c r="B1530" s="2" t="s">
        <v>2513</v>
      </c>
      <c r="C1530" s="19" t="s">
        <v>6994</v>
      </c>
      <c r="D1530" s="19" t="s">
        <v>6995</v>
      </c>
      <c r="E1530" s="2"/>
      <c r="F1530" s="19"/>
    </row>
    <row r="1531" ht="15.75" customHeight="1">
      <c r="A1531" s="1">
        <v>5.6165773E7</v>
      </c>
      <c r="B1531" s="2" t="s">
        <v>792</v>
      </c>
      <c r="C1531" s="19" t="s">
        <v>6996</v>
      </c>
      <c r="D1531" s="19"/>
      <c r="E1531" s="2"/>
      <c r="F1531" s="19"/>
    </row>
    <row r="1532" ht="15.75" customHeight="1">
      <c r="A1532" s="1">
        <v>5.6166973E7</v>
      </c>
      <c r="B1532" s="2" t="s">
        <v>322</v>
      </c>
      <c r="C1532" s="19" t="s">
        <v>6997</v>
      </c>
      <c r="D1532" s="19" t="s">
        <v>6998</v>
      </c>
      <c r="E1532" s="2"/>
      <c r="F1532" s="19"/>
    </row>
    <row r="1533" ht="15.75" customHeight="1">
      <c r="A1533" s="1">
        <v>5.6177386E7</v>
      </c>
      <c r="B1533" s="2" t="s">
        <v>2534</v>
      </c>
      <c r="C1533" s="19" t="s">
        <v>6999</v>
      </c>
      <c r="D1533" s="19"/>
      <c r="E1533" s="2"/>
      <c r="F1533" s="19"/>
    </row>
    <row r="1534" ht="15.75" customHeight="1">
      <c r="A1534" s="1">
        <v>5.617858E7</v>
      </c>
      <c r="B1534" s="2" t="s">
        <v>2457</v>
      </c>
      <c r="C1534" s="19" t="s">
        <v>7000</v>
      </c>
      <c r="D1534" s="19"/>
      <c r="E1534" s="2"/>
      <c r="F1534" s="19"/>
    </row>
    <row r="1535" ht="15.75" customHeight="1">
      <c r="A1535" s="1">
        <v>5.618034E7</v>
      </c>
      <c r="B1535" s="2" t="s">
        <v>2660</v>
      </c>
      <c r="C1535" s="19" t="s">
        <v>7001</v>
      </c>
      <c r="D1535" s="19"/>
      <c r="E1535" s="2"/>
      <c r="F1535" s="19"/>
    </row>
    <row r="1536" ht="15.75" customHeight="1">
      <c r="A1536" s="1">
        <v>5.6183981E7</v>
      </c>
      <c r="B1536" s="2" t="s">
        <v>310</v>
      </c>
      <c r="C1536" s="19" t="s">
        <v>7002</v>
      </c>
      <c r="D1536" s="19" t="s">
        <v>7003</v>
      </c>
      <c r="E1536" s="2"/>
      <c r="F1536" s="19"/>
    </row>
    <row r="1537" ht="15.75" customHeight="1">
      <c r="A1537" s="1">
        <v>5.6190648E7</v>
      </c>
      <c r="B1537" s="2" t="s">
        <v>371</v>
      </c>
      <c r="C1537" s="19" t="s">
        <v>7004</v>
      </c>
      <c r="D1537" s="19"/>
      <c r="E1537" s="2"/>
      <c r="F1537" s="19"/>
    </row>
    <row r="1538" ht="15.75" customHeight="1">
      <c r="A1538" s="1">
        <v>5.6205989E7</v>
      </c>
      <c r="B1538" s="2" t="s">
        <v>2762</v>
      </c>
      <c r="C1538" s="19" t="s">
        <v>7005</v>
      </c>
      <c r="D1538" s="19"/>
      <c r="E1538" s="2"/>
      <c r="F1538" s="19"/>
    </row>
    <row r="1539" ht="15.75" customHeight="1">
      <c r="A1539" s="1">
        <v>5.6213578E7</v>
      </c>
      <c r="B1539" s="2" t="s">
        <v>2898</v>
      </c>
      <c r="C1539" s="19" t="s">
        <v>7006</v>
      </c>
      <c r="D1539" s="19"/>
      <c r="E1539" s="2"/>
      <c r="F1539" s="19"/>
    </row>
    <row r="1540" ht="15.75" customHeight="1">
      <c r="A1540" s="1">
        <v>5.6215583E7</v>
      </c>
      <c r="B1540" s="2" t="s">
        <v>1084</v>
      </c>
      <c r="C1540" s="19" t="s">
        <v>7007</v>
      </c>
      <c r="D1540" s="19"/>
      <c r="E1540" s="2"/>
      <c r="F1540" s="19"/>
    </row>
    <row r="1541" ht="15.75" customHeight="1">
      <c r="A1541" s="1">
        <v>5.6227348E7</v>
      </c>
      <c r="B1541" s="2" t="s">
        <v>2180</v>
      </c>
      <c r="C1541" s="19" t="s">
        <v>7008</v>
      </c>
      <c r="D1541" s="19" t="s">
        <v>7009</v>
      </c>
      <c r="E1541" s="2"/>
      <c r="F1541" s="19"/>
    </row>
    <row r="1542" ht="15.75" customHeight="1">
      <c r="A1542" s="1">
        <v>5.6227556E7</v>
      </c>
      <c r="B1542" s="2" t="s">
        <v>2491</v>
      </c>
      <c r="C1542" s="19" t="s">
        <v>7010</v>
      </c>
      <c r="D1542" s="19"/>
      <c r="E1542" s="2"/>
      <c r="F1542" s="19"/>
    </row>
    <row r="1543" ht="15.75" customHeight="1">
      <c r="A1543" s="1">
        <v>5.6228164E7</v>
      </c>
      <c r="B1543" s="2" t="s">
        <v>1873</v>
      </c>
      <c r="C1543" s="19" t="s">
        <v>7011</v>
      </c>
      <c r="D1543" s="19"/>
      <c r="E1543" s="2"/>
      <c r="F1543" s="19"/>
    </row>
    <row r="1544" ht="15.75" customHeight="1">
      <c r="A1544" s="1">
        <v>5.6229332E7</v>
      </c>
      <c r="B1544" s="2" t="s">
        <v>634</v>
      </c>
      <c r="C1544" s="19" t="s">
        <v>7012</v>
      </c>
      <c r="D1544" s="19" t="s">
        <v>7013</v>
      </c>
      <c r="E1544" s="2"/>
      <c r="F1544" s="19"/>
    </row>
    <row r="1545" ht="15.75" customHeight="1">
      <c r="A1545" s="1">
        <v>5.623551E7</v>
      </c>
      <c r="B1545" s="2" t="s">
        <v>1531</v>
      </c>
      <c r="C1545" s="19" t="s">
        <v>7014</v>
      </c>
      <c r="D1545" s="19"/>
      <c r="E1545" s="2"/>
      <c r="F1545" s="19"/>
    </row>
    <row r="1546" ht="15.75" customHeight="1">
      <c r="A1546" s="1">
        <v>5.6239055E7</v>
      </c>
      <c r="B1546" s="2" t="s">
        <v>2314</v>
      </c>
      <c r="C1546" s="19" t="s">
        <v>7015</v>
      </c>
      <c r="D1546" s="19"/>
      <c r="E1546" s="2"/>
      <c r="F1546" s="19"/>
    </row>
    <row r="1547" ht="15.75" customHeight="1">
      <c r="A1547" s="1">
        <v>5.6243818E7</v>
      </c>
      <c r="B1547" s="2" t="s">
        <v>1874</v>
      </c>
      <c r="C1547" s="19" t="s">
        <v>7016</v>
      </c>
      <c r="D1547" s="19"/>
      <c r="E1547" s="2"/>
      <c r="F1547" s="19"/>
    </row>
    <row r="1548" ht="15.75" customHeight="1">
      <c r="A1548" s="1">
        <v>5.6257533E7</v>
      </c>
      <c r="B1548" s="2" t="s">
        <v>2990</v>
      </c>
      <c r="C1548" s="19" t="s">
        <v>7017</v>
      </c>
      <c r="D1548" s="19" t="s">
        <v>7018</v>
      </c>
      <c r="E1548" s="2"/>
      <c r="F1548" s="19"/>
    </row>
    <row r="1549" ht="15.75" customHeight="1">
      <c r="A1549" s="1">
        <v>5.6264042E7</v>
      </c>
      <c r="B1549" s="2" t="s">
        <v>2296</v>
      </c>
      <c r="C1549" s="19" t="s">
        <v>7019</v>
      </c>
      <c r="D1549" s="19"/>
      <c r="E1549" s="2"/>
      <c r="F1549" s="19"/>
    </row>
    <row r="1550" ht="15.75" customHeight="1">
      <c r="A1550" s="1">
        <v>5.6264549E7</v>
      </c>
      <c r="B1550" s="2" t="s">
        <v>1896</v>
      </c>
      <c r="C1550" s="19" t="s">
        <v>7020</v>
      </c>
      <c r="D1550" s="19"/>
      <c r="E1550" s="2"/>
      <c r="F1550" s="19"/>
    </row>
    <row r="1551" ht="15.75" customHeight="1">
      <c r="A1551" s="1">
        <v>5.6271708E7</v>
      </c>
      <c r="B1551" s="2" t="s">
        <v>2275</v>
      </c>
      <c r="C1551" s="19" t="s">
        <v>7021</v>
      </c>
      <c r="D1551" s="19" t="s">
        <v>7022</v>
      </c>
      <c r="E1551" s="2"/>
      <c r="F1551" s="19"/>
    </row>
    <row r="1552" ht="15.75" customHeight="1">
      <c r="A1552" s="1">
        <v>5.6276882E7</v>
      </c>
      <c r="B1552" s="2" t="s">
        <v>1891</v>
      </c>
      <c r="C1552" s="19" t="s">
        <v>7023</v>
      </c>
      <c r="D1552" s="19"/>
      <c r="E1552" s="2"/>
      <c r="F1552" s="19"/>
    </row>
    <row r="1553" ht="15.75" customHeight="1">
      <c r="A1553" s="1">
        <v>5.6280365E7</v>
      </c>
      <c r="B1553" s="2" t="s">
        <v>2680</v>
      </c>
      <c r="C1553" s="19" t="s">
        <v>7024</v>
      </c>
      <c r="D1553" s="19" t="s">
        <v>7025</v>
      </c>
      <c r="E1553" s="2"/>
      <c r="F1553" s="19"/>
    </row>
    <row r="1554" ht="15.75" customHeight="1">
      <c r="A1554" s="1">
        <v>5.6284033E7</v>
      </c>
      <c r="B1554" s="2" t="s">
        <v>863</v>
      </c>
      <c r="C1554" s="19" t="s">
        <v>7026</v>
      </c>
      <c r="D1554" s="19"/>
      <c r="E1554" s="2"/>
      <c r="F1554" s="19"/>
    </row>
    <row r="1555" ht="15.75" customHeight="1">
      <c r="A1555" s="1">
        <v>5.6284148E7</v>
      </c>
      <c r="B1555" s="2" t="s">
        <v>2605</v>
      </c>
      <c r="C1555" s="19" t="s">
        <v>7027</v>
      </c>
      <c r="D1555" s="19"/>
      <c r="E1555" s="2"/>
      <c r="F1555" s="19"/>
    </row>
    <row r="1556" ht="15.75" customHeight="1">
      <c r="A1556" s="1">
        <v>5.6295166E7</v>
      </c>
      <c r="B1556" s="2" t="s">
        <v>1784</v>
      </c>
      <c r="C1556" s="19" t="s">
        <v>7028</v>
      </c>
      <c r="D1556" s="19"/>
      <c r="E1556" s="2"/>
      <c r="F1556" s="19"/>
    </row>
    <row r="1557" ht="15.75" customHeight="1">
      <c r="A1557" s="1">
        <v>5.6298441E7</v>
      </c>
      <c r="B1557" s="2" t="s">
        <v>2863</v>
      </c>
      <c r="C1557" s="19" t="s">
        <v>7029</v>
      </c>
      <c r="D1557" s="19"/>
      <c r="E1557" s="2"/>
      <c r="F1557" s="19"/>
    </row>
    <row r="1558" ht="15.75" customHeight="1">
      <c r="A1558" s="1">
        <v>5.629898E7</v>
      </c>
      <c r="B1558" s="2" t="s">
        <v>2966</v>
      </c>
      <c r="C1558" s="19" t="s">
        <v>7030</v>
      </c>
      <c r="D1558" s="19"/>
      <c r="E1558" s="2"/>
      <c r="F1558" s="19"/>
    </row>
    <row r="1559" ht="15.75" customHeight="1">
      <c r="A1559" s="1">
        <v>5.6300833E7</v>
      </c>
      <c r="B1559" s="2" t="s">
        <v>1218</v>
      </c>
      <c r="C1559" s="19" t="s">
        <v>7031</v>
      </c>
      <c r="D1559" s="19"/>
      <c r="E1559" s="2"/>
      <c r="F1559" s="19"/>
    </row>
    <row r="1560" ht="15.75" customHeight="1">
      <c r="A1560" s="1">
        <v>5.6300912E7</v>
      </c>
      <c r="B1560" s="2" t="s">
        <v>1801</v>
      </c>
      <c r="C1560" s="19" t="s">
        <v>7032</v>
      </c>
      <c r="D1560" s="19"/>
      <c r="E1560" s="2"/>
      <c r="F1560" s="19"/>
    </row>
    <row r="1561" ht="15.75" customHeight="1">
      <c r="A1561" s="1">
        <v>5.6305835E7</v>
      </c>
      <c r="B1561" s="2" t="s">
        <v>1754</v>
      </c>
      <c r="C1561" s="19" t="s">
        <v>7033</v>
      </c>
      <c r="D1561" s="19"/>
      <c r="E1561" s="2"/>
      <c r="F1561" s="19"/>
    </row>
    <row r="1562" ht="15.75" customHeight="1">
      <c r="A1562" s="1">
        <v>5.6312879E7</v>
      </c>
      <c r="B1562" s="2" t="s">
        <v>1233</v>
      </c>
      <c r="C1562" s="19" t="s">
        <v>7034</v>
      </c>
      <c r="D1562" s="19"/>
      <c r="E1562" s="2"/>
      <c r="F1562" s="19"/>
    </row>
    <row r="1563" ht="15.75" customHeight="1">
      <c r="A1563" s="1">
        <v>5.6321389E7</v>
      </c>
      <c r="B1563" s="2" t="s">
        <v>1410</v>
      </c>
      <c r="C1563" s="19" t="s">
        <v>7035</v>
      </c>
      <c r="D1563" s="19"/>
      <c r="E1563" s="2"/>
      <c r="F1563" s="19"/>
    </row>
    <row r="1564" ht="15.75" customHeight="1">
      <c r="A1564" s="1">
        <v>5.6336076E7</v>
      </c>
      <c r="B1564" s="2" t="s">
        <v>2205</v>
      </c>
      <c r="C1564" s="19" t="s">
        <v>7036</v>
      </c>
      <c r="D1564" s="19"/>
      <c r="E1564" s="2"/>
      <c r="F1564" s="19"/>
    </row>
    <row r="1565" ht="15.75" customHeight="1">
      <c r="A1565" s="1">
        <v>5.6336917E7</v>
      </c>
      <c r="B1565" s="2" t="s">
        <v>3122</v>
      </c>
      <c r="C1565" s="19" t="s">
        <v>7037</v>
      </c>
      <c r="D1565" s="19"/>
      <c r="E1565" s="2"/>
      <c r="F1565" s="19"/>
    </row>
    <row r="1566" ht="15.75" customHeight="1">
      <c r="A1566" s="1">
        <v>5.6349526E7</v>
      </c>
      <c r="B1566" s="2" t="s">
        <v>2881</v>
      </c>
      <c r="C1566" s="19" t="s">
        <v>7038</v>
      </c>
      <c r="D1566" s="19"/>
      <c r="E1566" s="2"/>
      <c r="F1566" s="19"/>
    </row>
    <row r="1567" ht="15.75" customHeight="1">
      <c r="A1567" s="1">
        <v>5.6355331E7</v>
      </c>
      <c r="B1567" s="2" t="s">
        <v>1153</v>
      </c>
      <c r="C1567" s="19" t="s">
        <v>7039</v>
      </c>
      <c r="D1567" s="19"/>
      <c r="E1567" s="2"/>
      <c r="F1567" s="19"/>
    </row>
    <row r="1568" ht="15.75" customHeight="1">
      <c r="A1568" s="1">
        <v>5.6363028E7</v>
      </c>
      <c r="B1568" s="2" t="s">
        <v>2705</v>
      </c>
      <c r="C1568" s="19" t="s">
        <v>7040</v>
      </c>
      <c r="D1568" s="19"/>
      <c r="E1568" s="2"/>
      <c r="F1568" s="19"/>
    </row>
    <row r="1569" ht="15.75" customHeight="1">
      <c r="A1569" s="1">
        <v>5.6363143E7</v>
      </c>
      <c r="B1569" s="2" t="s">
        <v>2807</v>
      </c>
      <c r="C1569" s="19" t="s">
        <v>7041</v>
      </c>
      <c r="D1569" s="19"/>
      <c r="E1569" s="2"/>
      <c r="F1569" s="19"/>
    </row>
    <row r="1570" ht="15.75" customHeight="1">
      <c r="A1570" s="1">
        <v>5.6366496E7</v>
      </c>
      <c r="B1570" s="2" t="s">
        <v>3067</v>
      </c>
      <c r="C1570" s="19" t="s">
        <v>7042</v>
      </c>
      <c r="D1570" s="19"/>
      <c r="E1570" s="2"/>
      <c r="F1570" s="19"/>
    </row>
    <row r="1571" ht="15.75" customHeight="1">
      <c r="A1571" s="1">
        <v>5.6367478E7</v>
      </c>
      <c r="B1571" s="2" t="s">
        <v>3147</v>
      </c>
      <c r="C1571" s="19" t="s">
        <v>7043</v>
      </c>
      <c r="D1571" s="19"/>
      <c r="E1571" s="2"/>
      <c r="F1571" s="19"/>
    </row>
    <row r="1572" ht="15.75" customHeight="1">
      <c r="A1572" s="1">
        <v>5.637325E7</v>
      </c>
      <c r="B1572" s="2" t="s">
        <v>2142</v>
      </c>
      <c r="C1572" s="19" t="s">
        <v>7044</v>
      </c>
      <c r="D1572" s="19"/>
      <c r="E1572" s="2"/>
      <c r="F1572" s="19"/>
    </row>
    <row r="1573" ht="15.75" customHeight="1">
      <c r="A1573" s="1">
        <v>5.6377658E7</v>
      </c>
      <c r="B1573" s="2" t="s">
        <v>3068</v>
      </c>
      <c r="C1573" s="19" t="s">
        <v>7045</v>
      </c>
      <c r="D1573" s="19"/>
      <c r="E1573" s="2"/>
      <c r="F1573" s="19"/>
    </row>
    <row r="1574" ht="15.75" customHeight="1">
      <c r="A1574" s="1">
        <v>5.6380637E7</v>
      </c>
      <c r="B1574" s="2" t="s">
        <v>711</v>
      </c>
      <c r="C1574" s="19" t="s">
        <v>7046</v>
      </c>
      <c r="D1574" s="19" t="s">
        <v>7047</v>
      </c>
      <c r="E1574" s="2"/>
      <c r="F1574" s="19"/>
    </row>
    <row r="1575" ht="15.75" customHeight="1">
      <c r="A1575" s="1">
        <v>5.6380897E7</v>
      </c>
      <c r="B1575" s="2" t="s">
        <v>2346</v>
      </c>
      <c r="C1575" s="19" t="s">
        <v>7048</v>
      </c>
      <c r="D1575" s="19" t="s">
        <v>7049</v>
      </c>
      <c r="E1575" s="2"/>
      <c r="F1575" s="19"/>
    </row>
    <row r="1576" ht="15.75" customHeight="1">
      <c r="A1576" s="1">
        <v>5.6382577E7</v>
      </c>
      <c r="B1576" s="2" t="s">
        <v>3088</v>
      </c>
      <c r="C1576" s="19" t="s">
        <v>7050</v>
      </c>
      <c r="D1576" s="19"/>
      <c r="E1576" s="2"/>
      <c r="F1576" s="19"/>
    </row>
    <row r="1577" ht="15.75" customHeight="1">
      <c r="A1577" s="1">
        <v>5.6389333E7</v>
      </c>
      <c r="B1577" s="2" t="s">
        <v>1790</v>
      </c>
      <c r="C1577" s="19" t="s">
        <v>7051</v>
      </c>
      <c r="D1577" s="19" t="s">
        <v>7052</v>
      </c>
      <c r="E1577" s="2"/>
      <c r="F1577" s="19"/>
    </row>
    <row r="1578" ht="15.75" customHeight="1">
      <c r="A1578" s="1">
        <v>5.6389977E7</v>
      </c>
      <c r="B1578" s="2" t="s">
        <v>1877</v>
      </c>
      <c r="C1578" s="19" t="s">
        <v>7053</v>
      </c>
      <c r="D1578" s="19"/>
      <c r="E1578" s="2"/>
      <c r="F1578" s="19"/>
    </row>
    <row r="1579" ht="15.75" customHeight="1">
      <c r="A1579" s="1">
        <v>5.639471E7</v>
      </c>
      <c r="B1579" s="2" t="s">
        <v>1848</v>
      </c>
      <c r="C1579" s="19" t="s">
        <v>7054</v>
      </c>
      <c r="D1579" s="19"/>
      <c r="E1579" s="2"/>
      <c r="F1579" s="19"/>
    </row>
    <row r="1580" ht="15.75" customHeight="1">
      <c r="A1580" s="1">
        <v>5.6403311E7</v>
      </c>
      <c r="B1580" s="2" t="s">
        <v>2784</v>
      </c>
      <c r="C1580" s="19" t="s">
        <v>7055</v>
      </c>
      <c r="D1580" s="19"/>
      <c r="E1580" s="2"/>
      <c r="F1580" s="19"/>
    </row>
    <row r="1581" ht="15.75" customHeight="1">
      <c r="A1581" s="1">
        <v>5.6414466E7</v>
      </c>
      <c r="B1581" s="2" t="s">
        <v>3434</v>
      </c>
      <c r="C1581" s="19" t="s">
        <v>7056</v>
      </c>
      <c r="D1581" s="19"/>
      <c r="E1581" s="2"/>
      <c r="F1581" s="19"/>
    </row>
    <row r="1582" ht="15.75" customHeight="1">
      <c r="A1582" s="1">
        <v>5.6420263E7</v>
      </c>
      <c r="B1582" s="2" t="s">
        <v>1474</v>
      </c>
      <c r="C1582" s="19" t="s">
        <v>7057</v>
      </c>
      <c r="D1582" s="19"/>
      <c r="E1582" s="2"/>
      <c r="F1582" s="19"/>
    </row>
    <row r="1583" ht="15.75" customHeight="1">
      <c r="A1583" s="1">
        <v>5.642176E7</v>
      </c>
      <c r="B1583" s="2" t="s">
        <v>3517</v>
      </c>
      <c r="C1583" s="19" t="s">
        <v>7058</v>
      </c>
      <c r="D1583" s="19"/>
      <c r="E1583" s="2"/>
      <c r="F1583" s="19"/>
    </row>
    <row r="1584" ht="15.75" customHeight="1">
      <c r="A1584" s="1">
        <v>5.64294E7</v>
      </c>
      <c r="B1584" s="2" t="s">
        <v>500</v>
      </c>
      <c r="C1584" s="19" t="s">
        <v>7059</v>
      </c>
      <c r="D1584" s="19"/>
      <c r="E1584" s="2"/>
      <c r="F1584" s="19"/>
    </row>
    <row r="1585" ht="15.75" customHeight="1">
      <c r="A1585" s="1">
        <v>5.6430977E7</v>
      </c>
      <c r="B1585" s="2" t="s">
        <v>2850</v>
      </c>
      <c r="C1585" s="19" t="s">
        <v>7060</v>
      </c>
      <c r="D1585" s="19"/>
      <c r="E1585" s="2"/>
      <c r="F1585" s="19"/>
    </row>
    <row r="1586" ht="15.75" customHeight="1">
      <c r="A1586" s="1">
        <v>5.6440735E7</v>
      </c>
      <c r="B1586" s="2" t="s">
        <v>624</v>
      </c>
      <c r="C1586" s="19" t="s">
        <v>7061</v>
      </c>
      <c r="D1586" s="19" t="s">
        <v>7062</v>
      </c>
      <c r="E1586" s="2"/>
      <c r="F1586" s="19"/>
    </row>
    <row r="1587" ht="15.75" customHeight="1">
      <c r="A1587" s="1">
        <v>5.6444605E7</v>
      </c>
      <c r="B1587" s="2" t="s">
        <v>1702</v>
      </c>
      <c r="C1587" s="19" t="s">
        <v>7063</v>
      </c>
      <c r="D1587" s="19" t="s">
        <v>7064</v>
      </c>
      <c r="E1587" s="2"/>
      <c r="F1587" s="19"/>
    </row>
    <row r="1588" ht="15.75" customHeight="1">
      <c r="A1588" s="1">
        <v>5.6446803E7</v>
      </c>
      <c r="B1588" s="2" t="s">
        <v>3369</v>
      </c>
      <c r="C1588" s="19" t="s">
        <v>7065</v>
      </c>
      <c r="D1588" s="19"/>
      <c r="E1588" s="2"/>
      <c r="F1588" s="19"/>
    </row>
    <row r="1589" ht="15.75" customHeight="1">
      <c r="A1589" s="1">
        <v>5.6450083E7</v>
      </c>
      <c r="B1589" s="2" t="s">
        <v>3041</v>
      </c>
      <c r="C1589" s="19" t="s">
        <v>7066</v>
      </c>
      <c r="D1589" s="19"/>
      <c r="E1589" s="2"/>
      <c r="F1589" s="19"/>
    </row>
    <row r="1590" ht="15.75" customHeight="1">
      <c r="A1590" s="1">
        <v>5.6457283E7</v>
      </c>
      <c r="B1590" s="2" t="s">
        <v>1997</v>
      </c>
      <c r="C1590" s="19" t="s">
        <v>7067</v>
      </c>
      <c r="D1590" s="19"/>
      <c r="E1590" s="2"/>
      <c r="F1590" s="19"/>
    </row>
    <row r="1591" ht="15.75" customHeight="1">
      <c r="A1591" s="1">
        <v>5.6465E7</v>
      </c>
      <c r="B1591" s="2" t="s">
        <v>3123</v>
      </c>
      <c r="C1591" s="19" t="s">
        <v>7068</v>
      </c>
      <c r="D1591" s="19" t="s">
        <v>7069</v>
      </c>
      <c r="E1591" s="2"/>
      <c r="F1591" s="19"/>
    </row>
    <row r="1592" ht="15.75" customHeight="1">
      <c r="A1592" s="1">
        <v>5.6467589E7</v>
      </c>
      <c r="B1592" s="2" t="s">
        <v>1408</v>
      </c>
      <c r="C1592" s="19" t="s">
        <v>7070</v>
      </c>
      <c r="D1592" s="19" t="s">
        <v>7071</v>
      </c>
      <c r="E1592" s="2"/>
      <c r="F1592" s="19"/>
    </row>
    <row r="1593" ht="15.75" customHeight="1">
      <c r="A1593" s="1">
        <v>5.6469964E7</v>
      </c>
      <c r="B1593" s="2" t="s">
        <v>2967</v>
      </c>
      <c r="C1593" s="19" t="s">
        <v>7072</v>
      </c>
      <c r="D1593" s="19"/>
      <c r="E1593" s="2"/>
      <c r="F1593" s="19"/>
    </row>
    <row r="1594" ht="15.75" customHeight="1">
      <c r="A1594" s="1">
        <v>5.6481283E7</v>
      </c>
      <c r="B1594" s="2" t="s">
        <v>2339</v>
      </c>
      <c r="C1594" s="19" t="s">
        <v>7073</v>
      </c>
      <c r="D1594" s="19"/>
      <c r="E1594" s="2"/>
      <c r="F1594" s="19"/>
    </row>
    <row r="1595" ht="15.75" customHeight="1">
      <c r="A1595" s="1">
        <v>5.6498638E7</v>
      </c>
      <c r="B1595" s="2" t="s">
        <v>2646</v>
      </c>
      <c r="C1595" s="19" t="s">
        <v>7074</v>
      </c>
      <c r="D1595" s="19" t="s">
        <v>7075</v>
      </c>
      <c r="E1595" s="2"/>
      <c r="F1595" s="19"/>
    </row>
    <row r="1596" ht="15.75" customHeight="1">
      <c r="A1596" s="1">
        <v>5.650897E7</v>
      </c>
      <c r="B1596" s="2" t="s">
        <v>2124</v>
      </c>
      <c r="C1596" s="19" t="s">
        <v>7076</v>
      </c>
      <c r="D1596" s="19" t="s">
        <v>7077</v>
      </c>
      <c r="E1596" s="2"/>
      <c r="F1596" s="19"/>
    </row>
    <row r="1597" ht="15.75" customHeight="1">
      <c r="A1597" s="1">
        <v>5.6513338E7</v>
      </c>
      <c r="B1597" s="2" t="s">
        <v>1733</v>
      </c>
      <c r="C1597" s="19" t="s">
        <v>7078</v>
      </c>
      <c r="D1597" s="19"/>
      <c r="E1597" s="2"/>
      <c r="F1597" s="19"/>
    </row>
    <row r="1598" ht="15.75" customHeight="1">
      <c r="A1598" s="1">
        <v>5.6535605E7</v>
      </c>
      <c r="B1598" s="2" t="s">
        <v>2393</v>
      </c>
      <c r="C1598" s="19" t="s">
        <v>7079</v>
      </c>
      <c r="D1598" s="19"/>
      <c r="E1598" s="2"/>
      <c r="F1598" s="19"/>
    </row>
    <row r="1599" ht="15.75" customHeight="1">
      <c r="A1599" s="1">
        <v>5.6537526E7</v>
      </c>
      <c r="B1599" s="2" t="s">
        <v>2055</v>
      </c>
      <c r="C1599" s="19" t="s">
        <v>7080</v>
      </c>
      <c r="D1599" s="19"/>
      <c r="E1599" s="2"/>
      <c r="F1599" s="19"/>
    </row>
    <row r="1600" ht="15.75" customHeight="1">
      <c r="A1600" s="1">
        <v>5.6538252E7</v>
      </c>
      <c r="B1600" s="2" t="s">
        <v>3358</v>
      </c>
      <c r="C1600" s="19" t="s">
        <v>7081</v>
      </c>
      <c r="D1600" s="19"/>
      <c r="E1600" s="2"/>
      <c r="F1600" s="19"/>
    </row>
    <row r="1601" ht="15.75" customHeight="1">
      <c r="A1601" s="1">
        <v>5.6539668E7</v>
      </c>
      <c r="B1601" s="2" t="s">
        <v>2458</v>
      </c>
      <c r="C1601" s="19" t="s">
        <v>7082</v>
      </c>
      <c r="D1601" s="19"/>
      <c r="E1601" s="2"/>
      <c r="F1601" s="19"/>
    </row>
    <row r="1602" ht="15.75" customHeight="1">
      <c r="A1602" s="1">
        <v>5.6540608E7</v>
      </c>
      <c r="B1602" s="2" t="s">
        <v>1219</v>
      </c>
      <c r="C1602" s="19" t="s">
        <v>7083</v>
      </c>
      <c r="D1602" s="19"/>
      <c r="E1602" s="2"/>
      <c r="F1602" s="19"/>
    </row>
    <row r="1603" ht="15.75" customHeight="1">
      <c r="A1603" s="1">
        <v>5.6542464E7</v>
      </c>
      <c r="B1603" s="2" t="s">
        <v>1797</v>
      </c>
      <c r="C1603" s="19" t="s">
        <v>7084</v>
      </c>
      <c r="D1603" s="19" t="s">
        <v>7085</v>
      </c>
      <c r="E1603" s="2"/>
      <c r="F1603" s="19"/>
    </row>
    <row r="1604" ht="15.75" customHeight="1">
      <c r="A1604" s="1">
        <v>5.6548526E7</v>
      </c>
      <c r="B1604" s="2" t="s">
        <v>3216</v>
      </c>
      <c r="C1604" s="19" t="s">
        <v>7086</v>
      </c>
      <c r="D1604" s="19"/>
      <c r="E1604" s="2"/>
      <c r="F1604" s="19"/>
    </row>
    <row r="1605" ht="15.75" customHeight="1">
      <c r="A1605" s="1">
        <v>5.6551738E7</v>
      </c>
      <c r="B1605" s="2" t="s">
        <v>3518</v>
      </c>
      <c r="C1605" s="19" t="s">
        <v>7087</v>
      </c>
      <c r="D1605" s="19"/>
      <c r="E1605" s="2"/>
      <c r="F1605" s="19"/>
    </row>
    <row r="1606" ht="15.75" customHeight="1">
      <c r="A1606" s="1">
        <v>5.6556456E7</v>
      </c>
      <c r="B1606" s="2" t="s">
        <v>3148</v>
      </c>
      <c r="C1606" s="19" t="s">
        <v>7088</v>
      </c>
      <c r="D1606" s="19"/>
      <c r="E1606" s="2"/>
      <c r="F1606" s="19"/>
    </row>
    <row r="1607" ht="15.75" customHeight="1">
      <c r="A1607" s="1">
        <v>5.6561002E7</v>
      </c>
      <c r="B1607" s="2" t="s">
        <v>3639</v>
      </c>
      <c r="C1607" s="19" t="s">
        <v>7089</v>
      </c>
      <c r="D1607" s="19"/>
      <c r="E1607" s="2"/>
      <c r="F1607" s="19"/>
    </row>
    <row r="1608" ht="15.75" customHeight="1">
      <c r="A1608" s="1">
        <v>5.6564515E7</v>
      </c>
      <c r="B1608" s="2" t="s">
        <v>2445</v>
      </c>
      <c r="C1608" s="19" t="s">
        <v>7090</v>
      </c>
      <c r="D1608" s="19" t="s">
        <v>7091</v>
      </c>
      <c r="E1608" s="2"/>
      <c r="F1608" s="19"/>
    </row>
    <row r="1609" ht="15.75" customHeight="1">
      <c r="A1609" s="1">
        <v>5.6564738E7</v>
      </c>
      <c r="B1609" s="2" t="s">
        <v>2589</v>
      </c>
      <c r="C1609" s="19" t="s">
        <v>7092</v>
      </c>
      <c r="D1609" s="19" t="s">
        <v>7093</v>
      </c>
      <c r="E1609" s="2"/>
      <c r="F1609" s="19"/>
    </row>
    <row r="1610" ht="15.75" customHeight="1">
      <c r="A1610" s="1">
        <v>5.6570383E7</v>
      </c>
      <c r="B1610" s="2" t="s">
        <v>1826</v>
      </c>
      <c r="C1610" s="19" t="s">
        <v>7094</v>
      </c>
      <c r="D1610" s="19" t="s">
        <v>7095</v>
      </c>
      <c r="E1610" s="2"/>
      <c r="F1610" s="19"/>
    </row>
    <row r="1611" ht="15.75" customHeight="1">
      <c r="A1611" s="1">
        <v>5.6573602E7</v>
      </c>
      <c r="B1611" s="2" t="s">
        <v>2386</v>
      </c>
      <c r="C1611" s="19" t="s">
        <v>7096</v>
      </c>
      <c r="D1611" s="19"/>
      <c r="E1611" s="2"/>
      <c r="F1611" s="19"/>
    </row>
    <row r="1612" ht="15.75" customHeight="1">
      <c r="A1612" s="1">
        <v>5.6577667E7</v>
      </c>
      <c r="B1612" s="2" t="s">
        <v>2606</v>
      </c>
      <c r="C1612" s="19" t="s">
        <v>7097</v>
      </c>
      <c r="D1612" s="19" t="s">
        <v>7098</v>
      </c>
      <c r="E1612" s="2"/>
      <c r="F1612" s="19"/>
    </row>
    <row r="1613" ht="15.75" customHeight="1">
      <c r="A1613" s="1">
        <v>5.657871E7</v>
      </c>
      <c r="B1613" s="2" t="s">
        <v>3390</v>
      </c>
      <c r="C1613" s="19" t="s">
        <v>7099</v>
      </c>
      <c r="D1613" s="19"/>
      <c r="E1613" s="2"/>
      <c r="F1613" s="19"/>
    </row>
    <row r="1614" ht="15.75" customHeight="1">
      <c r="A1614" s="1">
        <v>5.6580338E7</v>
      </c>
      <c r="B1614" s="2" t="s">
        <v>357</v>
      </c>
      <c r="C1614" s="19" t="s">
        <v>7100</v>
      </c>
      <c r="D1614" s="19" t="s">
        <v>7101</v>
      </c>
      <c r="E1614" s="2"/>
      <c r="F1614" s="19"/>
    </row>
    <row r="1615" ht="15.75" customHeight="1">
      <c r="A1615" s="1">
        <v>5.6586268E7</v>
      </c>
      <c r="B1615" s="2" t="s">
        <v>759</v>
      </c>
      <c r="C1615" s="19" t="s">
        <v>7102</v>
      </c>
      <c r="D1615" s="19"/>
      <c r="E1615" s="2"/>
      <c r="F1615" s="19"/>
    </row>
    <row r="1616" ht="15.75" customHeight="1">
      <c r="A1616" s="1">
        <v>5.6587997E7</v>
      </c>
      <c r="B1616" s="2" t="s">
        <v>2824</v>
      </c>
      <c r="C1616" s="19" t="s">
        <v>7103</v>
      </c>
      <c r="D1616" s="19"/>
      <c r="E1616" s="2"/>
      <c r="F1616" s="19"/>
    </row>
    <row r="1617" ht="15.75" customHeight="1">
      <c r="A1617" s="1">
        <v>5.6595252E7</v>
      </c>
      <c r="B1617" s="2" t="s">
        <v>3042</v>
      </c>
      <c r="C1617" s="19" t="s">
        <v>7104</v>
      </c>
      <c r="D1617" s="19"/>
      <c r="E1617" s="2"/>
      <c r="F1617" s="19"/>
    </row>
    <row r="1618" ht="15.75" customHeight="1">
      <c r="A1618" s="1">
        <v>5.6596515E7</v>
      </c>
      <c r="B1618" s="2" t="s">
        <v>521</v>
      </c>
      <c r="C1618" s="19" t="s">
        <v>7105</v>
      </c>
      <c r="D1618" s="19"/>
      <c r="E1618" s="2"/>
      <c r="F1618" s="19"/>
    </row>
    <row r="1619" ht="15.75" customHeight="1">
      <c r="A1619" s="1">
        <v>5.6599145E7</v>
      </c>
      <c r="B1619" s="2" t="s">
        <v>3116</v>
      </c>
      <c r="C1619" s="19" t="s">
        <v>7106</v>
      </c>
      <c r="D1619" s="19"/>
      <c r="E1619" s="2"/>
      <c r="F1619" s="19"/>
    </row>
    <row r="1620" ht="15.75" customHeight="1">
      <c r="A1620" s="1">
        <v>5.6600624E7</v>
      </c>
      <c r="B1620" s="2" t="s">
        <v>3217</v>
      </c>
      <c r="C1620" s="19" t="s">
        <v>7107</v>
      </c>
      <c r="D1620" s="19"/>
      <c r="E1620" s="2"/>
      <c r="F1620" s="19"/>
    </row>
    <row r="1621" ht="15.75" customHeight="1">
      <c r="A1621" s="1">
        <v>5.6603377E7</v>
      </c>
      <c r="B1621" s="2" t="s">
        <v>2484</v>
      </c>
      <c r="C1621" s="19" t="s">
        <v>7108</v>
      </c>
      <c r="D1621" s="19"/>
      <c r="E1621" s="2"/>
      <c r="F1621" s="19"/>
    </row>
    <row r="1622" ht="15.75" customHeight="1">
      <c r="A1622" s="1">
        <v>5.6603585E7</v>
      </c>
      <c r="B1622" s="2" t="s">
        <v>2220</v>
      </c>
      <c r="C1622" s="19" t="s">
        <v>7109</v>
      </c>
      <c r="D1622" s="19" t="s">
        <v>7110</v>
      </c>
      <c r="E1622" s="2"/>
      <c r="F1622" s="19"/>
    </row>
    <row r="1623" ht="15.75" customHeight="1">
      <c r="A1623" s="1">
        <v>5.6612308E7</v>
      </c>
      <c r="B1623" s="2" t="s">
        <v>3099</v>
      </c>
      <c r="C1623" s="19" t="s">
        <v>7111</v>
      </c>
      <c r="D1623" s="19"/>
      <c r="E1623" s="2"/>
      <c r="F1623" s="19"/>
    </row>
    <row r="1624" ht="15.75" customHeight="1">
      <c r="A1624" s="1">
        <v>5.6615245E7</v>
      </c>
      <c r="B1624" s="2" t="s">
        <v>1883</v>
      </c>
      <c r="C1624" s="19" t="s">
        <v>7112</v>
      </c>
      <c r="D1624" s="19" t="s">
        <v>7113</v>
      </c>
      <c r="E1624" s="2"/>
      <c r="F1624" s="19"/>
    </row>
    <row r="1625" ht="15.75" customHeight="1">
      <c r="A1625" s="1">
        <v>5.6625748E7</v>
      </c>
      <c r="B1625" s="2" t="s">
        <v>3011</v>
      </c>
      <c r="C1625" s="19" t="s">
        <v>7114</v>
      </c>
      <c r="D1625" s="19"/>
      <c r="E1625" s="2"/>
      <c r="F1625" s="19"/>
    </row>
    <row r="1626" ht="15.75" customHeight="1">
      <c r="A1626" s="1">
        <v>5.6633307E7</v>
      </c>
      <c r="B1626" s="2" t="s">
        <v>998</v>
      </c>
      <c r="C1626" s="19" t="s">
        <v>7115</v>
      </c>
      <c r="D1626" s="19"/>
      <c r="E1626" s="2"/>
      <c r="F1626" s="19"/>
    </row>
    <row r="1627" ht="15.75" customHeight="1">
      <c r="A1627" s="1">
        <v>5.6635352E7</v>
      </c>
      <c r="B1627" s="2" t="s">
        <v>3500</v>
      </c>
      <c r="C1627" s="19" t="s">
        <v>7116</v>
      </c>
      <c r="D1627" s="19"/>
      <c r="E1627" s="2"/>
      <c r="F1627" s="19"/>
    </row>
    <row r="1628" ht="15.75" customHeight="1">
      <c r="A1628" s="1">
        <v>5.6637616E7</v>
      </c>
      <c r="B1628" s="2" t="s">
        <v>3300</v>
      </c>
      <c r="C1628" s="19" t="s">
        <v>7117</v>
      </c>
      <c r="D1628" s="19"/>
      <c r="E1628" s="2"/>
      <c r="F1628" s="19"/>
    </row>
    <row r="1629" ht="15.75" customHeight="1">
      <c r="A1629" s="1">
        <v>5.6646153E7</v>
      </c>
      <c r="B1629" s="2" t="s">
        <v>2324</v>
      </c>
      <c r="C1629" s="19" t="s">
        <v>7118</v>
      </c>
      <c r="D1629" s="19"/>
      <c r="E1629" s="2"/>
      <c r="F1629" s="19"/>
    </row>
    <row r="1630" ht="15.75" customHeight="1">
      <c r="A1630" s="1">
        <v>5.6649946E7</v>
      </c>
      <c r="B1630" s="2" t="s">
        <v>2825</v>
      </c>
      <c r="C1630" s="19" t="s">
        <v>7119</v>
      </c>
      <c r="D1630" s="19"/>
      <c r="E1630" s="2"/>
      <c r="F1630" s="19"/>
    </row>
    <row r="1631" ht="15.75" customHeight="1">
      <c r="A1631" s="1">
        <v>5.6650002E7</v>
      </c>
      <c r="B1631" s="2" t="s">
        <v>3321</v>
      </c>
      <c r="C1631" s="19" t="s">
        <v>7120</v>
      </c>
      <c r="D1631" s="19"/>
      <c r="E1631" s="2"/>
      <c r="F1631" s="19"/>
    </row>
    <row r="1632" ht="15.75" customHeight="1">
      <c r="A1632" s="1">
        <v>5.6650929E7</v>
      </c>
      <c r="B1632" s="2" t="s">
        <v>911</v>
      </c>
      <c r="C1632" s="19" t="s">
        <v>7121</v>
      </c>
      <c r="D1632" s="19"/>
      <c r="E1632" s="2"/>
      <c r="F1632" s="19"/>
    </row>
    <row r="1633" ht="15.75" customHeight="1">
      <c r="A1633" s="1">
        <v>5.6654096E7</v>
      </c>
      <c r="B1633" s="2" t="s">
        <v>1352</v>
      </c>
      <c r="C1633" s="19" t="s">
        <v>7122</v>
      </c>
      <c r="D1633" s="19"/>
      <c r="E1633" s="2"/>
      <c r="F1633" s="19"/>
    </row>
    <row r="1634" ht="15.75" customHeight="1">
      <c r="A1634" s="1">
        <v>5.6657103E7</v>
      </c>
      <c r="B1634" s="2" t="s">
        <v>3218</v>
      </c>
      <c r="C1634" s="19" t="s">
        <v>7123</v>
      </c>
      <c r="D1634" s="19"/>
      <c r="E1634" s="2"/>
      <c r="F1634" s="19"/>
    </row>
    <row r="1635" ht="15.75" customHeight="1">
      <c r="A1635" s="1">
        <v>5.6659832E7</v>
      </c>
      <c r="B1635" s="2" t="s">
        <v>212</v>
      </c>
      <c r="C1635" s="19" t="s">
        <v>7124</v>
      </c>
      <c r="D1635" s="19" t="s">
        <v>7125</v>
      </c>
      <c r="E1635" s="2"/>
      <c r="F1635" s="19"/>
    </row>
    <row r="1636" ht="15.75" customHeight="1">
      <c r="A1636" s="1">
        <v>5.6661461E7</v>
      </c>
      <c r="B1636" s="2" t="s">
        <v>2968</v>
      </c>
      <c r="C1636" s="19" t="s">
        <v>7126</v>
      </c>
      <c r="D1636" s="19" t="s">
        <v>7127</v>
      </c>
      <c r="E1636" s="2"/>
      <c r="F1636" s="19"/>
    </row>
    <row r="1637" ht="15.75" customHeight="1">
      <c r="A1637" s="1">
        <v>5.666234E7</v>
      </c>
      <c r="B1637" s="2" t="s">
        <v>2535</v>
      </c>
      <c r="C1637" s="19" t="s">
        <v>7128</v>
      </c>
      <c r="D1637" s="19" t="s">
        <v>7129</v>
      </c>
      <c r="E1637" s="2"/>
      <c r="F1637" s="19"/>
    </row>
    <row r="1638" ht="15.75" customHeight="1">
      <c r="A1638" s="1">
        <v>5.6669375E7</v>
      </c>
      <c r="B1638" s="2" t="s">
        <v>2899</v>
      </c>
      <c r="C1638" s="19" t="s">
        <v>7130</v>
      </c>
      <c r="D1638" s="19"/>
      <c r="E1638" s="2"/>
      <c r="F1638" s="19"/>
    </row>
    <row r="1639" ht="15.75" customHeight="1">
      <c r="A1639" s="1">
        <v>5.667448E7</v>
      </c>
      <c r="B1639" s="2" t="s">
        <v>3219</v>
      </c>
      <c r="C1639" s="19" t="s">
        <v>7131</v>
      </c>
      <c r="D1639" s="19"/>
      <c r="E1639" s="2"/>
      <c r="F1639" s="19"/>
    </row>
    <row r="1640" ht="15.75" customHeight="1">
      <c r="A1640" s="1">
        <v>5.6675025E7</v>
      </c>
      <c r="B1640" s="2" t="s">
        <v>2826</v>
      </c>
      <c r="C1640" s="19" t="s">
        <v>7132</v>
      </c>
      <c r="D1640" s="19"/>
      <c r="E1640" s="2"/>
      <c r="F1640" s="19"/>
    </row>
    <row r="1641" ht="15.75" customHeight="1">
      <c r="A1641" s="1">
        <v>5.6679178E7</v>
      </c>
      <c r="B1641" s="2" t="s">
        <v>2065</v>
      </c>
      <c r="C1641" s="19" t="s">
        <v>7133</v>
      </c>
      <c r="D1641" s="19"/>
      <c r="E1641" s="2"/>
      <c r="F1641" s="19"/>
    </row>
    <row r="1642" ht="15.75" customHeight="1">
      <c r="A1642" s="1">
        <v>5.6679749E7</v>
      </c>
      <c r="B1642" s="2" t="s">
        <v>2387</v>
      </c>
      <c r="C1642" s="19" t="s">
        <v>7134</v>
      </c>
      <c r="D1642" s="19"/>
      <c r="E1642" s="2"/>
      <c r="F1642" s="19"/>
    </row>
    <row r="1643" ht="15.75" customHeight="1">
      <c r="A1643" s="1">
        <v>5.6690282E7</v>
      </c>
      <c r="B1643" s="2" t="s">
        <v>1716</v>
      </c>
      <c r="C1643" s="19" t="s">
        <v>7135</v>
      </c>
      <c r="D1643" s="19"/>
      <c r="E1643" s="2"/>
      <c r="F1643" s="19"/>
    </row>
    <row r="1644" ht="15.75" customHeight="1">
      <c r="A1644" s="1">
        <v>5.6700759E7</v>
      </c>
      <c r="B1644" s="2" t="s">
        <v>302</v>
      </c>
      <c r="C1644" s="19" t="s">
        <v>7136</v>
      </c>
      <c r="D1644" s="19"/>
      <c r="E1644" s="2"/>
      <c r="F1644" s="19"/>
    </row>
    <row r="1645" ht="15.75" customHeight="1">
      <c r="A1645" s="1">
        <v>5.6701895E7</v>
      </c>
      <c r="B1645" s="2" t="s">
        <v>3322</v>
      </c>
      <c r="C1645" s="19" t="s">
        <v>7137</v>
      </c>
      <c r="D1645" s="19"/>
      <c r="E1645" s="2"/>
      <c r="F1645" s="19"/>
    </row>
    <row r="1646" ht="15.75" customHeight="1">
      <c r="A1646" s="1">
        <v>5.6709602E7</v>
      </c>
      <c r="B1646" s="2" t="s">
        <v>3479</v>
      </c>
      <c r="C1646" s="19" t="s">
        <v>7138</v>
      </c>
      <c r="D1646" s="19"/>
      <c r="E1646" s="2"/>
      <c r="F1646" s="19"/>
    </row>
    <row r="1647" ht="15.75" customHeight="1">
      <c r="A1647" s="1">
        <v>5.6716968E7</v>
      </c>
      <c r="B1647" s="2" t="s">
        <v>3435</v>
      </c>
      <c r="C1647" s="19" t="s">
        <v>7139</v>
      </c>
      <c r="D1647" s="19"/>
      <c r="E1647" s="2"/>
      <c r="F1647" s="19"/>
    </row>
    <row r="1648" ht="15.75" customHeight="1">
      <c r="A1648" s="1">
        <v>5.6722062E7</v>
      </c>
      <c r="B1648" s="2" t="s">
        <v>762</v>
      </c>
      <c r="C1648" s="19" t="s">
        <v>7140</v>
      </c>
      <c r="D1648" s="19"/>
      <c r="E1648" s="2"/>
      <c r="F1648" s="19"/>
    </row>
    <row r="1649" ht="15.75" customHeight="1">
      <c r="A1649" s="1">
        <v>5.6741525E7</v>
      </c>
      <c r="B1649" s="2" t="s">
        <v>1357</v>
      </c>
      <c r="C1649" s="19" t="s">
        <v>7141</v>
      </c>
      <c r="D1649" s="19"/>
      <c r="E1649" s="2"/>
      <c r="F1649" s="19"/>
    </row>
    <row r="1650" ht="15.75" customHeight="1">
      <c r="A1650" s="1">
        <v>5.6742705E7</v>
      </c>
      <c r="B1650" s="2" t="s">
        <v>1884</v>
      </c>
      <c r="C1650" s="19" t="s">
        <v>7142</v>
      </c>
      <c r="D1650" s="19" t="s">
        <v>7143</v>
      </c>
      <c r="E1650" s="2"/>
      <c r="F1650" s="19"/>
    </row>
    <row r="1651" ht="15.75" customHeight="1">
      <c r="A1651" s="1">
        <v>5.6744215E7</v>
      </c>
      <c r="B1651" s="2" t="s">
        <v>1924</v>
      </c>
      <c r="C1651" s="19" t="s">
        <v>7144</v>
      </c>
      <c r="D1651" s="19"/>
      <c r="E1651" s="2"/>
      <c r="F1651" s="19"/>
    </row>
    <row r="1652" ht="15.75" customHeight="1">
      <c r="A1652" s="1">
        <v>5.6746025E7</v>
      </c>
      <c r="B1652" s="2" t="s">
        <v>2164</v>
      </c>
      <c r="C1652" s="19" t="s">
        <v>7145</v>
      </c>
      <c r="D1652" s="19"/>
      <c r="E1652" s="2"/>
      <c r="F1652" s="19"/>
    </row>
    <row r="1653" ht="15.75" customHeight="1">
      <c r="A1653" s="1">
        <v>5.6748978E7</v>
      </c>
      <c r="B1653" s="2" t="s">
        <v>2325</v>
      </c>
      <c r="C1653" s="19" t="s">
        <v>7146</v>
      </c>
      <c r="D1653" s="19"/>
      <c r="E1653" s="2"/>
      <c r="F1653" s="19"/>
    </row>
    <row r="1654" ht="15.75" customHeight="1">
      <c r="A1654" s="1">
        <v>5.6750074E7</v>
      </c>
      <c r="B1654" s="2" t="s">
        <v>1744</v>
      </c>
      <c r="C1654" s="19" t="s">
        <v>7147</v>
      </c>
      <c r="D1654" s="19"/>
      <c r="E1654" s="2"/>
      <c r="F1654" s="19"/>
    </row>
    <row r="1655" ht="15.75" customHeight="1">
      <c r="A1655" s="1">
        <v>5.6751486E7</v>
      </c>
      <c r="B1655" s="2" t="s">
        <v>804</v>
      </c>
      <c r="C1655" s="19" t="s">
        <v>7148</v>
      </c>
      <c r="D1655" s="19" t="s">
        <v>7149</v>
      </c>
      <c r="E1655" s="2"/>
      <c r="F1655" s="19"/>
    </row>
    <row r="1656" ht="15.75" customHeight="1">
      <c r="A1656" s="1">
        <v>5.6756414E7</v>
      </c>
      <c r="B1656" s="2" t="s">
        <v>1694</v>
      </c>
      <c r="C1656" s="19" t="s">
        <v>7150</v>
      </c>
      <c r="D1656" s="19"/>
      <c r="E1656" s="2"/>
      <c r="F1656" s="19"/>
    </row>
    <row r="1657" ht="15.75" customHeight="1">
      <c r="A1657" s="1">
        <v>5.6757229E7</v>
      </c>
      <c r="B1657" s="2" t="s">
        <v>1859</v>
      </c>
      <c r="C1657" s="19" t="s">
        <v>7151</v>
      </c>
      <c r="D1657" s="19"/>
      <c r="E1657" s="2"/>
      <c r="F1657" s="19"/>
    </row>
    <row r="1658" ht="15.75" customHeight="1">
      <c r="A1658" s="1">
        <v>5.6772072E7</v>
      </c>
      <c r="B1658" s="2" t="s">
        <v>3195</v>
      </c>
      <c r="C1658" s="19" t="s">
        <v>7152</v>
      </c>
      <c r="D1658" s="19"/>
      <c r="E1658" s="2"/>
      <c r="F1658" s="19"/>
    </row>
    <row r="1659" ht="15.75" customHeight="1">
      <c r="A1659" s="1">
        <v>5.6774454E7</v>
      </c>
      <c r="B1659" s="2" t="s">
        <v>3480</v>
      </c>
      <c r="C1659" s="19" t="s">
        <v>7153</v>
      </c>
      <c r="D1659" s="19"/>
      <c r="E1659" s="2"/>
      <c r="F1659" s="19"/>
    </row>
    <row r="1660" ht="15.75" customHeight="1">
      <c r="A1660" s="1">
        <v>5.6777119E7</v>
      </c>
      <c r="B1660" s="2" t="s">
        <v>3276</v>
      </c>
      <c r="C1660" s="19" t="s">
        <v>7154</v>
      </c>
      <c r="D1660" s="19" t="s">
        <v>7155</v>
      </c>
      <c r="E1660" s="2"/>
      <c r="F1660" s="19"/>
    </row>
    <row r="1661" ht="15.75" customHeight="1">
      <c r="A1661" s="1">
        <v>5.6781139E7</v>
      </c>
      <c r="B1661" s="2" t="s">
        <v>2115</v>
      </c>
      <c r="C1661" s="19" t="s">
        <v>7156</v>
      </c>
      <c r="D1661" s="19" t="s">
        <v>7157</v>
      </c>
      <c r="E1661" s="2"/>
      <c r="F1661" s="19"/>
    </row>
    <row r="1662" ht="15.75" customHeight="1">
      <c r="A1662" s="1">
        <v>5.6781753E7</v>
      </c>
      <c r="B1662" s="2" t="s">
        <v>383</v>
      </c>
      <c r="C1662" s="19" t="s">
        <v>7158</v>
      </c>
      <c r="D1662" s="19"/>
      <c r="E1662" s="2"/>
      <c r="F1662" s="19"/>
    </row>
    <row r="1663" ht="15.75" customHeight="1">
      <c r="A1663" s="1">
        <v>5.6789911E7</v>
      </c>
      <c r="B1663" s="2" t="s">
        <v>1229</v>
      </c>
      <c r="C1663" s="19" t="s">
        <v>7159</v>
      </c>
      <c r="D1663" s="19"/>
      <c r="E1663" s="2"/>
      <c r="F1663" s="19"/>
    </row>
    <row r="1664" ht="15.75" customHeight="1">
      <c r="A1664" s="1">
        <v>5.6790149E7</v>
      </c>
      <c r="B1664" s="2" t="s">
        <v>2934</v>
      </c>
      <c r="C1664" s="19" t="s">
        <v>7160</v>
      </c>
      <c r="D1664" s="19" t="s">
        <v>7161</v>
      </c>
      <c r="E1664" s="2"/>
      <c r="F1664" s="19"/>
    </row>
    <row r="1665" ht="15.75" customHeight="1">
      <c r="A1665" s="1">
        <v>5.6794171E7</v>
      </c>
      <c r="B1665" s="2" t="s">
        <v>3032</v>
      </c>
      <c r="C1665" s="19" t="s">
        <v>7162</v>
      </c>
      <c r="D1665" s="19"/>
      <c r="E1665" s="2"/>
      <c r="F1665" s="19"/>
    </row>
    <row r="1666" ht="15.75" customHeight="1">
      <c r="A1666" s="1">
        <v>5.6797769E7</v>
      </c>
      <c r="B1666" s="2" t="s">
        <v>2763</v>
      </c>
      <c r="C1666" s="19" t="s">
        <v>7163</v>
      </c>
      <c r="D1666" s="19"/>
      <c r="E1666" s="2"/>
      <c r="F1666" s="19"/>
    </row>
    <row r="1667" ht="15.75" customHeight="1">
      <c r="A1667" s="1">
        <v>5.6809303E7</v>
      </c>
      <c r="B1667" s="2" t="s">
        <v>2935</v>
      </c>
      <c r="C1667" s="19" t="s">
        <v>7164</v>
      </c>
      <c r="D1667" s="19"/>
      <c r="E1667" s="2"/>
      <c r="F1667" s="19"/>
    </row>
    <row r="1668" ht="15.75" customHeight="1">
      <c r="A1668" s="1">
        <v>5.6815027E7</v>
      </c>
      <c r="B1668" s="2" t="s">
        <v>3149</v>
      </c>
      <c r="C1668" s="19" t="s">
        <v>7165</v>
      </c>
      <c r="D1668" s="19"/>
      <c r="E1668" s="2"/>
      <c r="F1668" s="19"/>
    </row>
    <row r="1669" ht="15.75" customHeight="1">
      <c r="A1669" s="1">
        <v>5.6816188E7</v>
      </c>
      <c r="B1669" s="2" t="s">
        <v>3171</v>
      </c>
      <c r="C1669" s="19" t="s">
        <v>7166</v>
      </c>
      <c r="D1669" s="19"/>
      <c r="E1669" s="2"/>
      <c r="F1669" s="19"/>
    </row>
    <row r="1670" ht="15.75" customHeight="1">
      <c r="A1670" s="1">
        <v>5.681627E7</v>
      </c>
      <c r="B1670" s="2" t="s">
        <v>2297</v>
      </c>
      <c r="C1670" s="19" t="s">
        <v>7167</v>
      </c>
      <c r="D1670" s="19"/>
      <c r="E1670" s="2"/>
      <c r="F1670" s="19"/>
    </row>
    <row r="1671" ht="15.75" customHeight="1">
      <c r="A1671" s="1">
        <v>5.6826366E7</v>
      </c>
      <c r="B1671" s="2" t="s">
        <v>700</v>
      </c>
      <c r="C1671" s="19" t="s">
        <v>7168</v>
      </c>
      <c r="D1671" s="19" t="s">
        <v>7169</v>
      </c>
      <c r="E1671" s="2"/>
      <c r="F1671" s="19"/>
    </row>
    <row r="1672" ht="15.75" customHeight="1">
      <c r="A1672" s="1">
        <v>5.6830039E7</v>
      </c>
      <c r="B1672" s="2" t="s">
        <v>1185</v>
      </c>
      <c r="C1672" s="19" t="s">
        <v>7170</v>
      </c>
      <c r="D1672" s="19"/>
      <c r="E1672" s="2"/>
      <c r="F1672" s="19"/>
    </row>
    <row r="1673" ht="15.75" customHeight="1">
      <c r="A1673" s="1">
        <v>5.6833949E7</v>
      </c>
      <c r="B1673" s="2" t="s">
        <v>1718</v>
      </c>
      <c r="C1673" s="19" t="s">
        <v>7171</v>
      </c>
      <c r="D1673" s="19"/>
      <c r="E1673" s="2"/>
      <c r="F1673" s="19"/>
    </row>
    <row r="1674" ht="15.75" customHeight="1">
      <c r="A1674" s="1">
        <v>5.6838816E7</v>
      </c>
      <c r="B1674" s="2" t="s">
        <v>1503</v>
      </c>
      <c r="C1674" s="19" t="s">
        <v>7172</v>
      </c>
      <c r="D1674" s="19"/>
      <c r="E1674" s="2"/>
      <c r="F1674" s="19"/>
    </row>
    <row r="1675" ht="15.75" customHeight="1">
      <c r="A1675" s="1">
        <v>5.6844066E7</v>
      </c>
      <c r="B1675" s="2" t="s">
        <v>2030</v>
      </c>
      <c r="C1675" s="19" t="s">
        <v>7173</v>
      </c>
      <c r="D1675" s="19"/>
      <c r="E1675" s="2"/>
      <c r="F1675" s="19"/>
    </row>
    <row r="1676" ht="15.75" customHeight="1">
      <c r="A1676" s="1">
        <v>5.6846426E7</v>
      </c>
      <c r="B1676" s="2" t="s">
        <v>2206</v>
      </c>
      <c r="C1676" s="19" t="s">
        <v>7174</v>
      </c>
      <c r="D1676" s="19" t="s">
        <v>7175</v>
      </c>
      <c r="E1676" s="2"/>
      <c r="F1676" s="19"/>
    </row>
    <row r="1677" ht="15.75" customHeight="1">
      <c r="A1677" s="1">
        <v>5.6852112E7</v>
      </c>
      <c r="B1677" s="2" t="s">
        <v>1990</v>
      </c>
      <c r="C1677" s="19" t="s">
        <v>7176</v>
      </c>
      <c r="D1677" s="19"/>
      <c r="E1677" s="2"/>
      <c r="F1677" s="19"/>
    </row>
    <row r="1678" ht="15.75" customHeight="1">
      <c r="A1678" s="1">
        <v>5.6854441E7</v>
      </c>
      <c r="B1678" s="2" t="s">
        <v>2991</v>
      </c>
      <c r="C1678" s="19" t="s">
        <v>7177</v>
      </c>
      <c r="D1678" s="19"/>
      <c r="E1678" s="2"/>
      <c r="F1678" s="19"/>
    </row>
    <row r="1679" ht="15.75" customHeight="1">
      <c r="A1679" s="1">
        <v>5.6859374E7</v>
      </c>
      <c r="B1679" s="2" t="s">
        <v>2305</v>
      </c>
      <c r="C1679" s="19" t="s">
        <v>7178</v>
      </c>
      <c r="D1679" s="19"/>
      <c r="E1679" s="2"/>
      <c r="F1679" s="19"/>
    </row>
    <row r="1680" ht="15.75" customHeight="1">
      <c r="A1680" s="1">
        <v>5.6860662E7</v>
      </c>
      <c r="B1680" s="2" t="s">
        <v>3344</v>
      </c>
      <c r="C1680" s="19" t="s">
        <v>7179</v>
      </c>
      <c r="D1680" s="19"/>
      <c r="E1680" s="2"/>
      <c r="F1680" s="19"/>
    </row>
    <row r="1681" ht="15.75" customHeight="1">
      <c r="A1681" s="1">
        <v>5.6860758E7</v>
      </c>
      <c r="B1681" s="2" t="s">
        <v>2693</v>
      </c>
      <c r="C1681" s="19" t="s">
        <v>7180</v>
      </c>
      <c r="D1681" s="19"/>
      <c r="E1681" s="2"/>
      <c r="F1681" s="19"/>
    </row>
    <row r="1682" ht="15.75" customHeight="1">
      <c r="A1682" s="1">
        <v>5.6861761E7</v>
      </c>
      <c r="B1682" s="2" t="s">
        <v>3069</v>
      </c>
      <c r="C1682" s="19" t="s">
        <v>7181</v>
      </c>
      <c r="D1682" s="19"/>
      <c r="E1682" s="2"/>
      <c r="F1682" s="19"/>
    </row>
    <row r="1683" ht="15.75" customHeight="1">
      <c r="A1683" s="1">
        <v>5.6873258E7</v>
      </c>
      <c r="B1683" s="2" t="s">
        <v>3172</v>
      </c>
      <c r="C1683" s="19" t="s">
        <v>7182</v>
      </c>
      <c r="D1683" s="19"/>
      <c r="E1683" s="2"/>
      <c r="F1683" s="19"/>
    </row>
    <row r="1684" ht="15.75" customHeight="1">
      <c r="A1684" s="1">
        <v>5.6875888E7</v>
      </c>
      <c r="B1684" s="2" t="s">
        <v>3591</v>
      </c>
      <c r="C1684" s="19" t="s">
        <v>7183</v>
      </c>
      <c r="D1684" s="19"/>
      <c r="E1684" s="2"/>
      <c r="F1684" s="19"/>
    </row>
    <row r="1685" ht="15.75" customHeight="1">
      <c r="A1685" s="1">
        <v>5.6876401E7</v>
      </c>
      <c r="B1685" s="2" t="s">
        <v>389</v>
      </c>
      <c r="C1685" s="19" t="s">
        <v>7184</v>
      </c>
      <c r="D1685" s="19"/>
      <c r="E1685" s="2"/>
      <c r="F1685" s="19"/>
    </row>
    <row r="1686" ht="15.75" customHeight="1">
      <c r="A1686" s="1">
        <v>5.6891544E7</v>
      </c>
      <c r="B1686" s="2" t="s">
        <v>2619</v>
      </c>
      <c r="C1686" s="19" t="s">
        <v>7185</v>
      </c>
      <c r="D1686" s="19" t="s">
        <v>7186</v>
      </c>
      <c r="E1686" s="2"/>
      <c r="F1686" s="19"/>
    </row>
    <row r="1687" ht="15.75" customHeight="1">
      <c r="A1687" s="1">
        <v>5.6892999E7</v>
      </c>
      <c r="B1687" s="2" t="s">
        <v>3592</v>
      </c>
      <c r="C1687" s="19" t="s">
        <v>7187</v>
      </c>
      <c r="D1687" s="19"/>
      <c r="E1687" s="2"/>
      <c r="F1687" s="19"/>
    </row>
    <row r="1688" ht="15.75" customHeight="1">
      <c r="A1688" s="1">
        <v>5.6896264E7</v>
      </c>
      <c r="B1688" s="2" t="s">
        <v>1952</v>
      </c>
      <c r="C1688" s="19" t="s">
        <v>7188</v>
      </c>
      <c r="D1688" s="19"/>
      <c r="E1688" s="2"/>
      <c r="F1688" s="19"/>
    </row>
    <row r="1689" ht="15.75" customHeight="1">
      <c r="A1689" s="1">
        <v>5.6896965E7</v>
      </c>
      <c r="B1689" s="2" t="s">
        <v>891</v>
      </c>
      <c r="C1689" s="19" t="s">
        <v>7189</v>
      </c>
      <c r="D1689" s="19"/>
      <c r="E1689" s="2"/>
      <c r="F1689" s="19"/>
    </row>
    <row r="1690" ht="15.75" customHeight="1">
      <c r="A1690" s="1">
        <v>5.6897283E7</v>
      </c>
      <c r="B1690" s="2" t="s">
        <v>2607</v>
      </c>
      <c r="C1690" s="19" t="s">
        <v>7190</v>
      </c>
      <c r="D1690" s="19"/>
      <c r="E1690" s="2"/>
      <c r="F1690" s="19"/>
    </row>
    <row r="1691" ht="15.75" customHeight="1">
      <c r="A1691" s="1">
        <v>5.6900896E7</v>
      </c>
      <c r="B1691" s="2" t="s">
        <v>2238</v>
      </c>
      <c r="C1691" s="19" t="s">
        <v>7191</v>
      </c>
      <c r="D1691" s="19"/>
      <c r="E1691" s="2"/>
      <c r="F1691" s="19"/>
    </row>
    <row r="1692" ht="15.75" customHeight="1">
      <c r="A1692" s="1">
        <v>5.6900955E7</v>
      </c>
      <c r="B1692" s="2" t="s">
        <v>1592</v>
      </c>
      <c r="C1692" s="19" t="s">
        <v>7192</v>
      </c>
      <c r="D1692" s="19"/>
      <c r="E1692" s="2"/>
      <c r="F1692" s="19"/>
    </row>
    <row r="1693" ht="15.75" customHeight="1">
      <c r="A1693" s="1">
        <v>5.6903025E7</v>
      </c>
      <c r="B1693" s="2" t="s">
        <v>1843</v>
      </c>
      <c r="C1693" s="19" t="s">
        <v>7193</v>
      </c>
      <c r="D1693" s="19"/>
      <c r="E1693" s="2"/>
      <c r="F1693" s="19"/>
    </row>
    <row r="1694" ht="15.75" customHeight="1">
      <c r="A1694" s="1">
        <v>5.6907474E7</v>
      </c>
      <c r="B1694" s="2" t="s">
        <v>3501</v>
      </c>
      <c r="C1694" s="19" t="s">
        <v>7194</v>
      </c>
      <c r="D1694" s="19"/>
      <c r="E1694" s="2"/>
      <c r="F1694" s="19"/>
    </row>
    <row r="1695" ht="15.75" customHeight="1">
      <c r="A1695" s="1">
        <v>5.6914312E7</v>
      </c>
      <c r="B1695" s="2" t="s">
        <v>1724</v>
      </c>
      <c r="C1695" s="19" t="s">
        <v>7195</v>
      </c>
      <c r="D1695" s="19"/>
      <c r="E1695" s="2"/>
      <c r="F1695" s="19"/>
    </row>
    <row r="1696" ht="15.75" customHeight="1">
      <c r="A1696" s="1">
        <v>5.6915601E7</v>
      </c>
      <c r="B1696" s="2" t="s">
        <v>984</v>
      </c>
      <c r="C1696" s="19" t="s">
        <v>7196</v>
      </c>
      <c r="D1696" s="19"/>
      <c r="E1696" s="2"/>
      <c r="F1696" s="19"/>
    </row>
    <row r="1697" ht="15.75" customHeight="1">
      <c r="A1697" s="1">
        <v>5.6920479E7</v>
      </c>
      <c r="B1697" s="2" t="s">
        <v>1248</v>
      </c>
      <c r="C1697" s="19" t="s">
        <v>7197</v>
      </c>
      <c r="D1697" s="19"/>
      <c r="E1697" s="2"/>
      <c r="F1697" s="19"/>
    </row>
    <row r="1698" ht="15.75" customHeight="1">
      <c r="A1698" s="1">
        <v>5.6921005E7</v>
      </c>
      <c r="B1698" s="2" t="s">
        <v>2315</v>
      </c>
      <c r="C1698" s="19" t="s">
        <v>7198</v>
      </c>
      <c r="D1698" s="19"/>
      <c r="E1698" s="2"/>
      <c r="F1698" s="19"/>
    </row>
    <row r="1699" ht="15.75" customHeight="1">
      <c r="A1699" s="1">
        <v>5.6924243E7</v>
      </c>
      <c r="B1699" s="2" t="s">
        <v>1117</v>
      </c>
      <c r="C1699" s="19" t="s">
        <v>7199</v>
      </c>
      <c r="D1699" s="19"/>
      <c r="E1699" s="2"/>
      <c r="F1699" s="19"/>
    </row>
    <row r="1700" ht="15.75" customHeight="1">
      <c r="A1700" s="1">
        <v>5.6929036E7</v>
      </c>
      <c r="B1700" s="2" t="s">
        <v>3220</v>
      </c>
      <c r="C1700" s="19" t="s">
        <v>7200</v>
      </c>
      <c r="D1700" s="19"/>
      <c r="E1700" s="2"/>
      <c r="F1700" s="19"/>
    </row>
    <row r="1701" ht="15.75" customHeight="1">
      <c r="A1701" s="1">
        <v>5.6935694E7</v>
      </c>
      <c r="B1701" s="2" t="s">
        <v>572</v>
      </c>
      <c r="C1701" s="19" t="s">
        <v>7201</v>
      </c>
      <c r="D1701" s="19"/>
      <c r="E1701" s="2"/>
      <c r="F1701" s="19"/>
    </row>
    <row r="1702" ht="15.75" customHeight="1">
      <c r="A1702" s="1">
        <v>5.6937207E7</v>
      </c>
      <c r="B1702" s="2" t="s">
        <v>2915</v>
      </c>
      <c r="C1702" s="19" t="s">
        <v>7202</v>
      </c>
      <c r="D1702" s="19"/>
      <c r="E1702" s="2"/>
      <c r="F1702" s="19"/>
    </row>
    <row r="1703" ht="15.75" customHeight="1">
      <c r="A1703" s="1">
        <v>5.6937356E7</v>
      </c>
      <c r="B1703" s="2" t="s">
        <v>1525</v>
      </c>
      <c r="C1703" s="19" t="s">
        <v>7203</v>
      </c>
      <c r="D1703" s="19"/>
      <c r="E1703" s="2"/>
      <c r="F1703" s="19"/>
    </row>
    <row r="1704" ht="15.75" customHeight="1">
      <c r="A1704" s="1">
        <v>5.6938161E7</v>
      </c>
      <c r="B1704" s="2" t="s">
        <v>2900</v>
      </c>
      <c r="C1704" s="19" t="s">
        <v>7204</v>
      </c>
      <c r="D1704" s="19"/>
      <c r="E1704" s="2"/>
      <c r="F1704" s="19"/>
    </row>
    <row r="1705" ht="15.75" customHeight="1">
      <c r="A1705" s="1">
        <v>5.6941817E7</v>
      </c>
      <c r="B1705" s="2" t="s">
        <v>1075</v>
      </c>
      <c r="C1705" s="19" t="s">
        <v>7205</v>
      </c>
      <c r="D1705" s="19"/>
      <c r="E1705" s="2"/>
      <c r="F1705" s="19"/>
    </row>
    <row r="1706" ht="15.75" customHeight="1">
      <c r="A1706" s="1">
        <v>5.694346E7</v>
      </c>
      <c r="B1706" s="2" t="s">
        <v>2864</v>
      </c>
      <c r="C1706" s="19" t="s">
        <v>7206</v>
      </c>
      <c r="D1706" s="19"/>
      <c r="E1706" s="2"/>
      <c r="F1706" s="19"/>
    </row>
    <row r="1707" ht="15.75" customHeight="1">
      <c r="A1707" s="1">
        <v>5.695256E7</v>
      </c>
      <c r="B1707" s="2" t="s">
        <v>3578</v>
      </c>
      <c r="C1707" s="19" t="s">
        <v>7207</v>
      </c>
      <c r="D1707" s="19"/>
      <c r="E1707" s="2"/>
      <c r="F1707" s="19"/>
    </row>
    <row r="1708" ht="15.75" customHeight="1">
      <c r="A1708" s="1">
        <v>5.6953869E7</v>
      </c>
      <c r="B1708" s="2" t="s">
        <v>2340</v>
      </c>
      <c r="C1708" s="19" t="s">
        <v>7208</v>
      </c>
      <c r="D1708" s="19" t="s">
        <v>7209</v>
      </c>
      <c r="E1708" s="2"/>
      <c r="F1708" s="19"/>
    </row>
    <row r="1709" ht="15.75" customHeight="1">
      <c r="A1709" s="1">
        <v>5.6958117E7</v>
      </c>
      <c r="B1709" s="2" t="s">
        <v>3221</v>
      </c>
      <c r="C1709" s="19" t="s">
        <v>7210</v>
      </c>
      <c r="D1709" s="19"/>
      <c r="E1709" s="2"/>
      <c r="F1709" s="19"/>
    </row>
    <row r="1710" ht="15.75" customHeight="1">
      <c r="A1710" s="1">
        <v>5.6958594E7</v>
      </c>
      <c r="B1710" s="2" t="s">
        <v>2344</v>
      </c>
      <c r="C1710" s="19" t="s">
        <v>7211</v>
      </c>
      <c r="D1710" s="19"/>
      <c r="E1710" s="2"/>
      <c r="F1710" s="19"/>
    </row>
    <row r="1711" ht="15.75" customHeight="1">
      <c r="A1711" s="1">
        <v>5.6958772E7</v>
      </c>
      <c r="B1711" s="2" t="s">
        <v>352</v>
      </c>
      <c r="C1711" s="19" t="s">
        <v>7212</v>
      </c>
      <c r="D1711" s="19" t="s">
        <v>7213</v>
      </c>
      <c r="E1711" s="2"/>
      <c r="F1711" s="19"/>
    </row>
    <row r="1712" ht="15.75" customHeight="1">
      <c r="A1712" s="1">
        <v>5.6961193E7</v>
      </c>
      <c r="B1712" s="2" t="s">
        <v>1438</v>
      </c>
      <c r="C1712" s="19" t="s">
        <v>7214</v>
      </c>
      <c r="D1712" s="19" t="s">
        <v>7215</v>
      </c>
      <c r="E1712" s="2"/>
      <c r="F1712" s="19"/>
    </row>
    <row r="1713" ht="15.75" customHeight="1">
      <c r="A1713" s="1">
        <v>5.6962875E7</v>
      </c>
      <c r="B1713" s="2" t="s">
        <v>3012</v>
      </c>
      <c r="C1713" s="19" t="s">
        <v>7216</v>
      </c>
      <c r="D1713" s="19"/>
      <c r="E1713" s="2"/>
      <c r="F1713" s="19"/>
    </row>
    <row r="1714" ht="15.75" customHeight="1">
      <c r="A1714" s="1">
        <v>5.6969396E7</v>
      </c>
      <c r="B1714" s="2" t="s">
        <v>869</v>
      </c>
      <c r="C1714" s="19" t="s">
        <v>7217</v>
      </c>
      <c r="D1714" s="19"/>
      <c r="E1714" s="2"/>
      <c r="F1714" s="19"/>
    </row>
    <row r="1715" ht="15.75" customHeight="1">
      <c r="A1715" s="1">
        <v>5.6970311E7</v>
      </c>
      <c r="B1715" s="2" t="s">
        <v>2072</v>
      </c>
      <c r="C1715" s="19" t="s">
        <v>7218</v>
      </c>
      <c r="D1715" s="19" t="s">
        <v>7219</v>
      </c>
      <c r="E1715" s="2"/>
      <c r="F1715" s="19"/>
    </row>
    <row r="1716" ht="15.75" customHeight="1">
      <c r="A1716" s="1">
        <v>5.6981588E7</v>
      </c>
      <c r="B1716" s="2" t="s">
        <v>1897</v>
      </c>
      <c r="C1716" s="19" t="s">
        <v>7220</v>
      </c>
      <c r="D1716" s="19" t="s">
        <v>7221</v>
      </c>
      <c r="E1716" s="2"/>
      <c r="F1716" s="19"/>
    </row>
    <row r="1717" ht="15.75" customHeight="1">
      <c r="A1717" s="1">
        <v>5.6983444E7</v>
      </c>
      <c r="B1717" s="2" t="s">
        <v>2143</v>
      </c>
      <c r="C1717" s="19" t="s">
        <v>7222</v>
      </c>
      <c r="D1717" s="19"/>
      <c r="E1717" s="2"/>
      <c r="F1717" s="19"/>
    </row>
    <row r="1718" ht="15.75" customHeight="1">
      <c r="A1718" s="1">
        <v>5.6988325E7</v>
      </c>
      <c r="B1718" s="2" t="s">
        <v>3314</v>
      </c>
      <c r="C1718" s="19" t="s">
        <v>7223</v>
      </c>
      <c r="D1718" s="19"/>
      <c r="E1718" s="2"/>
      <c r="F1718" s="19"/>
    </row>
    <row r="1719" ht="15.75" customHeight="1">
      <c r="A1719" s="1">
        <v>5.699021E7</v>
      </c>
      <c r="B1719" s="2" t="s">
        <v>1284</v>
      </c>
      <c r="C1719" s="19" t="s">
        <v>7224</v>
      </c>
      <c r="D1719" s="19" t="s">
        <v>7225</v>
      </c>
      <c r="E1719" s="2"/>
      <c r="F1719" s="19"/>
    </row>
    <row r="1720" ht="15.75" customHeight="1">
      <c r="A1720" s="1">
        <v>5.6991934E7</v>
      </c>
      <c r="B1720" s="2" t="s">
        <v>3222</v>
      </c>
      <c r="C1720" s="19" t="s">
        <v>7226</v>
      </c>
      <c r="D1720" s="19"/>
      <c r="E1720" s="2"/>
      <c r="F1720" s="19"/>
    </row>
    <row r="1721" ht="15.75" customHeight="1">
      <c r="A1721" s="1">
        <v>5.699315E7</v>
      </c>
      <c r="B1721" s="2" t="s">
        <v>2459</v>
      </c>
      <c r="C1721" s="19" t="s">
        <v>7227</v>
      </c>
      <c r="D1721" s="19"/>
      <c r="E1721" s="2"/>
      <c r="F1721" s="19"/>
    </row>
    <row r="1722" ht="15.75" customHeight="1">
      <c r="A1722" s="1">
        <v>5.6995364E7</v>
      </c>
      <c r="B1722" s="2" t="s">
        <v>1089</v>
      </c>
      <c r="C1722" s="19" t="s">
        <v>7228</v>
      </c>
      <c r="D1722" s="19" t="s">
        <v>7229</v>
      </c>
      <c r="E1722" s="2"/>
      <c r="F1722" s="19"/>
    </row>
    <row r="1723" ht="15.75" customHeight="1">
      <c r="A1723" s="1">
        <v>5.7000159E7</v>
      </c>
      <c r="B1723" s="2" t="s">
        <v>1629</v>
      </c>
      <c r="C1723" s="19" t="s">
        <v>7230</v>
      </c>
      <c r="D1723" s="19" t="s">
        <v>7231</v>
      </c>
      <c r="E1723" s="2"/>
      <c r="F1723" s="19"/>
    </row>
    <row r="1724" ht="15.75" customHeight="1">
      <c r="A1724" s="1">
        <v>5.7006123E7</v>
      </c>
      <c r="B1724" s="2" t="s">
        <v>1598</v>
      </c>
      <c r="C1724" s="19" t="s">
        <v>7232</v>
      </c>
      <c r="D1724" s="19"/>
      <c r="E1724" s="2"/>
      <c r="F1724" s="19"/>
    </row>
    <row r="1725" ht="15.75" customHeight="1">
      <c r="A1725" s="1">
        <v>5.7007183E7</v>
      </c>
      <c r="B1725" s="2" t="s">
        <v>3100</v>
      </c>
      <c r="C1725" s="19" t="s">
        <v>7233</v>
      </c>
      <c r="D1725" s="19"/>
      <c r="E1725" s="2"/>
      <c r="F1725" s="19"/>
    </row>
    <row r="1726" ht="15.75" customHeight="1">
      <c r="A1726" s="1">
        <v>5.7008985E7</v>
      </c>
      <c r="B1726" s="2" t="s">
        <v>140</v>
      </c>
      <c r="C1726" s="19" t="s">
        <v>7234</v>
      </c>
      <c r="D1726" s="19" t="s">
        <v>7235</v>
      </c>
      <c r="E1726" s="2"/>
      <c r="F1726" s="19"/>
    </row>
    <row r="1727" ht="15.75" customHeight="1">
      <c r="A1727" s="1">
        <v>5.7012762E7</v>
      </c>
      <c r="B1727" s="2" t="s">
        <v>2785</v>
      </c>
      <c r="C1727" s="19" t="s">
        <v>7236</v>
      </c>
      <c r="D1727" s="19"/>
      <c r="E1727" s="2"/>
      <c r="F1727" s="19"/>
    </row>
    <row r="1728" ht="15.75" customHeight="1">
      <c r="A1728" s="1">
        <v>5.701637E7</v>
      </c>
      <c r="B1728" s="2" t="s">
        <v>2851</v>
      </c>
      <c r="C1728" s="19" t="s">
        <v>7237</v>
      </c>
      <c r="D1728" s="19" t="s">
        <v>7238</v>
      </c>
      <c r="E1728" s="2"/>
      <c r="F1728" s="19"/>
    </row>
    <row r="1729" ht="15.75" customHeight="1">
      <c r="A1729" s="1">
        <v>5.7016969E7</v>
      </c>
      <c r="B1729" s="2" t="s">
        <v>1058</v>
      </c>
      <c r="C1729" s="19" t="s">
        <v>7239</v>
      </c>
      <c r="D1729" s="19" t="s">
        <v>7240</v>
      </c>
      <c r="E1729" s="2"/>
      <c r="F1729" s="19"/>
    </row>
    <row r="1730" ht="15.75" customHeight="1">
      <c r="A1730" s="1">
        <v>5.701712E7</v>
      </c>
      <c r="B1730" s="2" t="s">
        <v>2514</v>
      </c>
      <c r="C1730" s="19" t="s">
        <v>7241</v>
      </c>
      <c r="D1730" s="19" t="s">
        <v>7242</v>
      </c>
      <c r="E1730" s="2"/>
      <c r="F1730" s="19"/>
    </row>
    <row r="1731" ht="15.75" customHeight="1">
      <c r="A1731" s="1">
        <v>5.703434E7</v>
      </c>
      <c r="B1731" s="2" t="s">
        <v>1249</v>
      </c>
      <c r="C1731" s="19" t="s">
        <v>7243</v>
      </c>
      <c r="D1731" s="19"/>
      <c r="E1731" s="2"/>
      <c r="F1731" s="19"/>
    </row>
    <row r="1732" ht="15.75" customHeight="1">
      <c r="A1732" s="1">
        <v>5.7035108E7</v>
      </c>
      <c r="B1732" s="2" t="s">
        <v>1370</v>
      </c>
      <c r="C1732" s="19" t="s">
        <v>7244</v>
      </c>
      <c r="D1732" s="19" t="s">
        <v>7245</v>
      </c>
      <c r="E1732" s="2"/>
      <c r="F1732" s="19"/>
    </row>
    <row r="1733" ht="15.75" customHeight="1">
      <c r="A1733" s="1">
        <v>5.7040864E7</v>
      </c>
      <c r="B1733" s="2" t="s">
        <v>3173</v>
      </c>
      <c r="C1733" s="19" t="s">
        <v>7246</v>
      </c>
      <c r="D1733" s="19"/>
      <c r="E1733" s="2"/>
      <c r="F1733" s="19"/>
    </row>
    <row r="1734" ht="15.75" customHeight="1">
      <c r="A1734" s="1">
        <v>5.7043373E7</v>
      </c>
      <c r="B1734" s="2" t="s">
        <v>2865</v>
      </c>
      <c r="C1734" s="19" t="s">
        <v>7247</v>
      </c>
      <c r="D1734" s="19" t="s">
        <v>7248</v>
      </c>
      <c r="E1734" s="2"/>
      <c r="F1734" s="19"/>
    </row>
    <row r="1735" ht="15.75" customHeight="1">
      <c r="A1735" s="1">
        <v>5.7046996E7</v>
      </c>
      <c r="B1735" s="2" t="s">
        <v>2017</v>
      </c>
      <c r="C1735" s="19" t="s">
        <v>7249</v>
      </c>
      <c r="D1735" s="19" t="s">
        <v>7250</v>
      </c>
      <c r="E1735" s="2"/>
      <c r="F1735" s="19"/>
    </row>
    <row r="1736" ht="15.75" customHeight="1">
      <c r="A1736" s="1">
        <v>5.7061468E7</v>
      </c>
      <c r="B1736" s="2" t="s">
        <v>1998</v>
      </c>
      <c r="C1736" s="19" t="s">
        <v>7251</v>
      </c>
      <c r="D1736" s="19"/>
      <c r="E1736" s="2"/>
      <c r="F1736" s="19"/>
    </row>
    <row r="1737" ht="15.75" customHeight="1">
      <c r="A1737" s="1">
        <v>5.7062051E7</v>
      </c>
      <c r="B1737" s="2" t="s">
        <v>2316</v>
      </c>
      <c r="C1737" s="19" t="s">
        <v>7252</v>
      </c>
      <c r="D1737" s="19"/>
      <c r="E1737" s="2"/>
      <c r="F1737" s="19"/>
    </row>
    <row r="1738" ht="15.75" customHeight="1">
      <c r="A1738" s="1">
        <v>5.7072506E7</v>
      </c>
      <c r="B1738" s="2" t="s">
        <v>2647</v>
      </c>
      <c r="C1738" s="19" t="s">
        <v>7253</v>
      </c>
      <c r="D1738" s="19"/>
      <c r="E1738" s="2"/>
      <c r="F1738" s="19"/>
    </row>
    <row r="1739" ht="15.75" customHeight="1">
      <c r="A1739" s="1">
        <v>5.7076871E7</v>
      </c>
      <c r="B1739" s="2" t="s">
        <v>3174</v>
      </c>
      <c r="C1739" s="19" t="s">
        <v>7254</v>
      </c>
      <c r="D1739" s="19"/>
      <c r="E1739" s="2"/>
      <c r="F1739" s="19"/>
    </row>
    <row r="1740" ht="15.75" customHeight="1">
      <c r="A1740" s="1">
        <v>5.7085012E7</v>
      </c>
      <c r="B1740" s="2" t="s">
        <v>2409</v>
      </c>
      <c r="C1740" s="19" t="s">
        <v>7255</v>
      </c>
      <c r="D1740" s="19"/>
      <c r="E1740" s="2"/>
      <c r="F1740" s="19"/>
    </row>
    <row r="1741" ht="15.75" customHeight="1">
      <c r="A1741" s="1">
        <v>5.7089313E7</v>
      </c>
      <c r="B1741" s="2" t="s">
        <v>2298</v>
      </c>
      <c r="C1741" s="19" t="s">
        <v>7256</v>
      </c>
      <c r="D1741" s="19" t="s">
        <v>7257</v>
      </c>
      <c r="E1741" s="2"/>
      <c r="F1741" s="19"/>
    </row>
    <row r="1742" ht="15.75" customHeight="1">
      <c r="A1742" s="1">
        <v>5.7097533E7</v>
      </c>
      <c r="B1742" s="2" t="s">
        <v>3013</v>
      </c>
      <c r="C1742" s="19" t="s">
        <v>7258</v>
      </c>
      <c r="D1742" s="19"/>
      <c r="E1742" s="2"/>
      <c r="F1742" s="19"/>
    </row>
    <row r="1743" ht="15.75" customHeight="1">
      <c r="A1743" s="1">
        <v>5.7098814E7</v>
      </c>
      <c r="B1743" s="2" t="s">
        <v>2285</v>
      </c>
      <c r="C1743" s="19" t="s">
        <v>7259</v>
      </c>
      <c r="D1743" s="19"/>
      <c r="E1743" s="2"/>
      <c r="F1743" s="19"/>
    </row>
    <row r="1744" ht="15.75" customHeight="1">
      <c r="A1744" s="1">
        <v>5.7115085E7</v>
      </c>
      <c r="B1744" s="2" t="s">
        <v>1725</v>
      </c>
      <c r="C1744" s="19" t="s">
        <v>7260</v>
      </c>
      <c r="D1744" s="19"/>
      <c r="E1744" s="2"/>
      <c r="F1744" s="19"/>
    </row>
    <row r="1745" ht="15.75" customHeight="1">
      <c r="A1745" s="1">
        <v>5.7124843E7</v>
      </c>
      <c r="B1745" s="2" t="s">
        <v>3196</v>
      </c>
      <c r="C1745" s="19" t="s">
        <v>7261</v>
      </c>
      <c r="D1745" s="19"/>
      <c r="E1745" s="2"/>
      <c r="F1745" s="19"/>
    </row>
    <row r="1746" ht="15.75" customHeight="1">
      <c r="A1746" s="1">
        <v>5.7126292E7</v>
      </c>
      <c r="B1746" s="2" t="s">
        <v>1047</v>
      </c>
      <c r="C1746" s="19" t="s">
        <v>7262</v>
      </c>
      <c r="D1746" s="19" t="s">
        <v>7263</v>
      </c>
      <c r="E1746" s="2"/>
      <c r="F1746" s="19"/>
    </row>
    <row r="1747" ht="15.75" customHeight="1">
      <c r="A1747" s="1">
        <v>5.7127349E7</v>
      </c>
      <c r="B1747" s="2" t="s">
        <v>1939</v>
      </c>
      <c r="C1747" s="19" t="s">
        <v>7264</v>
      </c>
      <c r="D1747" s="19" t="s">
        <v>7265</v>
      </c>
      <c r="E1747" s="2"/>
      <c r="F1747" s="19"/>
    </row>
    <row r="1748" ht="15.75" customHeight="1">
      <c r="A1748" s="1">
        <v>5.7129117E7</v>
      </c>
      <c r="B1748" s="2" t="s">
        <v>2852</v>
      </c>
      <c r="C1748" s="19" t="s">
        <v>7266</v>
      </c>
      <c r="D1748" s="19"/>
      <c r="E1748" s="2"/>
      <c r="F1748" s="19"/>
    </row>
    <row r="1749" ht="15.75" customHeight="1">
      <c r="A1749" s="1">
        <v>5.7131917E7</v>
      </c>
      <c r="B1749" s="2" t="s">
        <v>2047</v>
      </c>
      <c r="C1749" s="19" t="s">
        <v>7267</v>
      </c>
      <c r="D1749" s="19" t="s">
        <v>7268</v>
      </c>
      <c r="E1749" s="2"/>
      <c r="F1749" s="19"/>
    </row>
    <row r="1750" ht="15.75" customHeight="1">
      <c r="A1750" s="1">
        <v>5.713361E7</v>
      </c>
      <c r="B1750" s="2" t="s">
        <v>3101</v>
      </c>
      <c r="C1750" s="19" t="s">
        <v>7269</v>
      </c>
      <c r="D1750" s="19" t="s">
        <v>7270</v>
      </c>
      <c r="E1750" s="2"/>
      <c r="F1750" s="19"/>
    </row>
    <row r="1751" ht="15.75" customHeight="1">
      <c r="A1751" s="1">
        <v>5.7139722E7</v>
      </c>
      <c r="B1751" s="2" t="s">
        <v>3223</v>
      </c>
      <c r="C1751" s="19" t="s">
        <v>7271</v>
      </c>
      <c r="D1751" s="19"/>
      <c r="E1751" s="2"/>
      <c r="F1751" s="19"/>
    </row>
    <row r="1752" ht="15.75" customHeight="1">
      <c r="A1752" s="1">
        <v>5.7143256E7</v>
      </c>
      <c r="B1752" s="2" t="s">
        <v>3424</v>
      </c>
      <c r="C1752" s="19" t="s">
        <v>7272</v>
      </c>
      <c r="D1752" s="19"/>
      <c r="E1752" s="2"/>
      <c r="F1752" s="19"/>
    </row>
    <row r="1753" ht="15.75" customHeight="1">
      <c r="A1753" s="1">
        <v>5.7146989E7</v>
      </c>
      <c r="B1753" s="2" t="s">
        <v>1811</v>
      </c>
      <c r="C1753" s="19" t="s">
        <v>7273</v>
      </c>
      <c r="D1753" s="19"/>
      <c r="E1753" s="2"/>
      <c r="F1753" s="19"/>
    </row>
    <row r="1754" ht="15.75" customHeight="1">
      <c r="A1754" s="1">
        <v>5.7151076E7</v>
      </c>
      <c r="B1754" s="2" t="s">
        <v>1094</v>
      </c>
      <c r="C1754" s="19" t="s">
        <v>7274</v>
      </c>
      <c r="D1754" s="19"/>
      <c r="E1754" s="2"/>
      <c r="F1754" s="19"/>
    </row>
    <row r="1755" ht="15.75" customHeight="1">
      <c r="A1755" s="1">
        <v>5.7156494E7</v>
      </c>
      <c r="B1755" s="2" t="s">
        <v>1549</v>
      </c>
      <c r="C1755" s="19" t="s">
        <v>7275</v>
      </c>
      <c r="D1755" s="19"/>
      <c r="E1755" s="2"/>
      <c r="F1755" s="19"/>
    </row>
    <row r="1756" ht="15.75" customHeight="1">
      <c r="A1756" s="1">
        <v>5.716E7</v>
      </c>
      <c r="B1756" s="2" t="s">
        <v>3628</v>
      </c>
      <c r="C1756" s="19" t="s">
        <v>7276</v>
      </c>
      <c r="D1756" s="19"/>
      <c r="E1756" s="2"/>
      <c r="F1756" s="19"/>
    </row>
    <row r="1757" ht="15.75" customHeight="1">
      <c r="A1757" s="1">
        <v>5.7161753E7</v>
      </c>
      <c r="B1757" s="2" t="s">
        <v>2681</v>
      </c>
      <c r="C1757" s="19" t="s">
        <v>7277</v>
      </c>
      <c r="D1757" s="19"/>
      <c r="E1757" s="2"/>
      <c r="F1757" s="19"/>
    </row>
    <row r="1758" ht="15.75" customHeight="1">
      <c r="A1758" s="1">
        <v>5.7163127E7</v>
      </c>
      <c r="B1758" s="2" t="s">
        <v>1494</v>
      </c>
      <c r="C1758" s="19" t="s">
        <v>7278</v>
      </c>
      <c r="D1758" s="19"/>
      <c r="E1758" s="2"/>
      <c r="F1758" s="19"/>
    </row>
    <row r="1759" ht="15.75" customHeight="1">
      <c r="A1759" s="1">
        <v>5.7164103E7</v>
      </c>
      <c r="B1759" s="2" t="s">
        <v>1832</v>
      </c>
      <c r="C1759" s="19" t="s">
        <v>7279</v>
      </c>
      <c r="D1759" s="19"/>
      <c r="E1759" s="2"/>
      <c r="F1759" s="19"/>
    </row>
    <row r="1760" ht="15.75" customHeight="1">
      <c r="A1760" s="1">
        <v>5.7167951E7</v>
      </c>
      <c r="B1760" s="2" t="s">
        <v>3070</v>
      </c>
      <c r="C1760" s="19" t="s">
        <v>7280</v>
      </c>
      <c r="D1760" s="19"/>
      <c r="E1760" s="2"/>
      <c r="F1760" s="19"/>
    </row>
    <row r="1761" ht="15.75" customHeight="1">
      <c r="A1761" s="1">
        <v>5.7169785E7</v>
      </c>
      <c r="B1761" s="2" t="s">
        <v>3519</v>
      </c>
      <c r="C1761" s="19" t="s">
        <v>7281</v>
      </c>
      <c r="D1761" s="19"/>
      <c r="E1761" s="2"/>
      <c r="F1761" s="19"/>
    </row>
    <row r="1762" ht="15.75" customHeight="1">
      <c r="A1762" s="1">
        <v>5.7170075E7</v>
      </c>
      <c r="B1762" s="2" t="s">
        <v>2005</v>
      </c>
      <c r="C1762" s="19" t="s">
        <v>7282</v>
      </c>
      <c r="D1762" s="19"/>
      <c r="E1762" s="2"/>
      <c r="F1762" s="19"/>
    </row>
    <row r="1763" ht="15.75" customHeight="1">
      <c r="A1763" s="1">
        <v>5.7170193E7</v>
      </c>
      <c r="B1763" s="2" t="s">
        <v>2246</v>
      </c>
      <c r="C1763" s="19" t="s">
        <v>7283</v>
      </c>
      <c r="D1763" s="19"/>
      <c r="E1763" s="2"/>
      <c r="F1763" s="19"/>
    </row>
    <row r="1764" ht="15.75" customHeight="1">
      <c r="A1764" s="1">
        <v>5.7171261E7</v>
      </c>
      <c r="B1764" s="2" t="s">
        <v>2561</v>
      </c>
      <c r="C1764" s="19" t="s">
        <v>7284</v>
      </c>
      <c r="D1764" s="19"/>
      <c r="E1764" s="2"/>
      <c r="F1764" s="19"/>
    </row>
    <row r="1765" ht="15.75" customHeight="1">
      <c r="A1765" s="1">
        <v>5.7172082E7</v>
      </c>
      <c r="B1765" s="2" t="s">
        <v>3345</v>
      </c>
      <c r="C1765" s="19" t="s">
        <v>7285</v>
      </c>
      <c r="D1765" s="19"/>
      <c r="E1765" s="2"/>
      <c r="F1765" s="19"/>
    </row>
    <row r="1766" ht="15.75" customHeight="1">
      <c r="A1766" s="1">
        <v>5.7172673E7</v>
      </c>
      <c r="B1766" s="2" t="s">
        <v>2648</v>
      </c>
      <c r="C1766" s="19" t="s">
        <v>7286</v>
      </c>
      <c r="D1766" s="19" t="s">
        <v>7287</v>
      </c>
      <c r="E1766" s="2"/>
      <c r="F1766" s="19"/>
    </row>
    <row r="1767" ht="15.75" customHeight="1">
      <c r="A1767" s="1">
        <v>5.7185134E7</v>
      </c>
      <c r="B1767" s="2" t="s">
        <v>3301</v>
      </c>
      <c r="C1767" s="19" t="s">
        <v>7288</v>
      </c>
      <c r="D1767" s="19"/>
      <c r="E1767" s="2"/>
      <c r="F1767" s="19"/>
    </row>
    <row r="1768" ht="15.75" customHeight="1">
      <c r="A1768" s="1">
        <v>5.7191507E7</v>
      </c>
      <c r="B1768" s="2" t="s">
        <v>3302</v>
      </c>
      <c r="C1768" s="19" t="s">
        <v>7289</v>
      </c>
      <c r="D1768" s="19"/>
      <c r="E1768" s="2"/>
      <c r="F1768" s="19"/>
    </row>
    <row r="1769" ht="15.75" customHeight="1">
      <c r="A1769" s="1">
        <v>5.7193206E7</v>
      </c>
      <c r="B1769" s="2" t="s">
        <v>2485</v>
      </c>
      <c r="C1769" s="19" t="s">
        <v>7290</v>
      </c>
      <c r="D1769" s="19"/>
      <c r="E1769" s="2"/>
      <c r="F1769" s="19"/>
    </row>
    <row r="1770" ht="15.75" customHeight="1">
      <c r="A1770" s="1">
        <v>5.7193594E7</v>
      </c>
      <c r="B1770" s="2" t="s">
        <v>3071</v>
      </c>
      <c r="C1770" s="19" t="s">
        <v>7291</v>
      </c>
      <c r="D1770" s="19"/>
      <c r="E1770" s="2"/>
      <c r="F1770" s="19"/>
    </row>
    <row r="1771" ht="15.75" customHeight="1">
      <c r="A1771" s="1">
        <v>5.719378E7</v>
      </c>
      <c r="B1771" s="2" t="s">
        <v>3277</v>
      </c>
      <c r="C1771" s="19" t="s">
        <v>7292</v>
      </c>
      <c r="D1771" s="19"/>
      <c r="E1771" s="2"/>
      <c r="F1771" s="19"/>
    </row>
    <row r="1772" ht="15.75" customHeight="1">
      <c r="A1772" s="1">
        <v>5.7193893E7</v>
      </c>
      <c r="B1772" s="2" t="s">
        <v>2515</v>
      </c>
      <c r="C1772" s="19" t="s">
        <v>7293</v>
      </c>
      <c r="D1772" s="19"/>
      <c r="E1772" s="2"/>
      <c r="F1772" s="19"/>
    </row>
    <row r="1773" ht="15.75" customHeight="1">
      <c r="A1773" s="1">
        <v>5.719779E7</v>
      </c>
      <c r="B1773" s="2" t="s">
        <v>1309</v>
      </c>
      <c r="C1773" s="19" t="s">
        <v>7294</v>
      </c>
      <c r="D1773" s="19"/>
      <c r="E1773" s="2"/>
      <c r="F1773" s="19"/>
    </row>
    <row r="1774" ht="15.75" customHeight="1">
      <c r="A1774" s="1">
        <v>5.7201832E7</v>
      </c>
      <c r="B1774" s="2" t="s">
        <v>712</v>
      </c>
      <c r="C1774" s="19" t="s">
        <v>7295</v>
      </c>
      <c r="D1774" s="19"/>
      <c r="E1774" s="2"/>
      <c r="F1774" s="19"/>
    </row>
    <row r="1775" ht="15.75" customHeight="1">
      <c r="A1775" s="1">
        <v>5.7204867E7</v>
      </c>
      <c r="B1775" s="2" t="s">
        <v>3520</v>
      </c>
      <c r="C1775" s="19" t="s">
        <v>7296</v>
      </c>
      <c r="D1775" s="19"/>
      <c r="E1775" s="2"/>
      <c r="F1775" s="19"/>
    </row>
    <row r="1776" ht="15.75" customHeight="1">
      <c r="A1776" s="1">
        <v>5.7205404E7</v>
      </c>
      <c r="B1776" s="2" t="s">
        <v>3197</v>
      </c>
      <c r="C1776" s="19" t="s">
        <v>7297</v>
      </c>
      <c r="D1776" s="19" t="s">
        <v>7298</v>
      </c>
      <c r="E1776" s="2"/>
      <c r="F1776" s="19"/>
    </row>
    <row r="1777" ht="15.75" customHeight="1">
      <c r="A1777" s="1">
        <v>5.7205632E7</v>
      </c>
      <c r="B1777" s="2" t="s">
        <v>3102</v>
      </c>
      <c r="C1777" s="19" t="s">
        <v>7299</v>
      </c>
      <c r="D1777" s="19"/>
      <c r="E1777" s="2"/>
      <c r="F1777" s="19"/>
    </row>
    <row r="1778" ht="15.75" customHeight="1">
      <c r="A1778" s="1">
        <v>5.7205735E7</v>
      </c>
      <c r="B1778" s="2" t="s">
        <v>3346</v>
      </c>
      <c r="C1778" s="19" t="s">
        <v>7300</v>
      </c>
      <c r="D1778" s="19" t="s">
        <v>7301</v>
      </c>
      <c r="E1778" s="2"/>
      <c r="F1778" s="19"/>
    </row>
    <row r="1779" ht="15.75" customHeight="1">
      <c r="A1779" s="1">
        <v>5.720712E7</v>
      </c>
      <c r="B1779" s="2" t="s">
        <v>2499</v>
      </c>
      <c r="C1779" s="19" t="s">
        <v>7302</v>
      </c>
      <c r="D1779" s="19"/>
      <c r="E1779" s="2"/>
      <c r="F1779" s="19"/>
    </row>
    <row r="1780" ht="15.75" customHeight="1">
      <c r="A1780" s="1">
        <v>5.7211188E7</v>
      </c>
      <c r="B1780" s="2" t="s">
        <v>2866</v>
      </c>
      <c r="C1780" s="19" t="s">
        <v>7303</v>
      </c>
      <c r="D1780" s="19"/>
      <c r="E1780" s="2"/>
      <c r="F1780" s="19"/>
    </row>
    <row r="1781" ht="15.75" customHeight="1">
      <c r="A1781" s="1">
        <v>5.7212629E7</v>
      </c>
      <c r="B1781" s="2" t="s">
        <v>2901</v>
      </c>
      <c r="C1781" s="19" t="s">
        <v>7304</v>
      </c>
      <c r="D1781" s="19"/>
      <c r="E1781" s="2"/>
      <c r="F1781" s="19"/>
    </row>
    <row r="1782" ht="15.75" customHeight="1">
      <c r="A1782" s="1">
        <v>5.7216381E7</v>
      </c>
      <c r="B1782" s="2" t="s">
        <v>1436</v>
      </c>
      <c r="C1782" s="19" t="s">
        <v>7305</v>
      </c>
      <c r="D1782" s="19" t="s">
        <v>7306</v>
      </c>
      <c r="E1782" s="2"/>
      <c r="F1782" s="19"/>
    </row>
    <row r="1783" ht="15.75" customHeight="1">
      <c r="A1783" s="1">
        <v>5.7218185E7</v>
      </c>
      <c r="B1783" s="2" t="s">
        <v>2764</v>
      </c>
      <c r="C1783" s="19" t="s">
        <v>7307</v>
      </c>
      <c r="D1783" s="19"/>
      <c r="E1783" s="2"/>
      <c r="F1783" s="19"/>
    </row>
    <row r="1784" ht="15.75" customHeight="1">
      <c r="A1784" s="1">
        <v>5.721962E7</v>
      </c>
      <c r="B1784" s="2" t="s">
        <v>840</v>
      </c>
      <c r="C1784" s="19" t="s">
        <v>7308</v>
      </c>
      <c r="D1784" s="19"/>
      <c r="E1784" s="2"/>
      <c r="F1784" s="19"/>
    </row>
    <row r="1785" ht="15.75" customHeight="1">
      <c r="A1785" s="1">
        <v>5.7223376E7</v>
      </c>
      <c r="B1785" s="2" t="s">
        <v>458</v>
      </c>
      <c r="C1785" s="19" t="s">
        <v>7309</v>
      </c>
      <c r="D1785" s="19"/>
      <c r="E1785" s="2"/>
      <c r="F1785" s="19"/>
    </row>
    <row r="1786" ht="15.75" customHeight="1">
      <c r="A1786" s="1">
        <v>5.7228609E7</v>
      </c>
      <c r="B1786" s="2" t="s">
        <v>3391</v>
      </c>
      <c r="C1786" s="19" t="s">
        <v>7310</v>
      </c>
      <c r="D1786" s="19"/>
      <c r="E1786" s="2"/>
      <c r="F1786" s="19"/>
    </row>
    <row r="1787" ht="15.75" customHeight="1">
      <c r="A1787" s="1">
        <v>5.7233121E7</v>
      </c>
      <c r="B1787" s="2" t="s">
        <v>2110</v>
      </c>
      <c r="C1787" s="19" t="s">
        <v>7311</v>
      </c>
      <c r="D1787" s="19"/>
      <c r="E1787" s="2"/>
      <c r="F1787" s="19"/>
    </row>
    <row r="1788" ht="15.75" customHeight="1">
      <c r="A1788" s="1">
        <v>5.7235975E7</v>
      </c>
      <c r="B1788" s="2" t="s">
        <v>2670</v>
      </c>
      <c r="C1788" s="19" t="s">
        <v>7312</v>
      </c>
      <c r="D1788" s="19"/>
      <c r="E1788" s="2"/>
      <c r="F1788" s="19"/>
    </row>
    <row r="1789" ht="15.75" customHeight="1">
      <c r="A1789" s="1">
        <v>5.7248253E7</v>
      </c>
      <c r="B1789" s="2" t="s">
        <v>3224</v>
      </c>
      <c r="C1789" s="19" t="s">
        <v>7313</v>
      </c>
      <c r="D1789" s="19" t="s">
        <v>7314</v>
      </c>
      <c r="E1789" s="2"/>
      <c r="F1789" s="19"/>
    </row>
    <row r="1790" ht="15.75" customHeight="1">
      <c r="A1790" s="1">
        <v>5.725035E7</v>
      </c>
      <c r="B1790" s="2" t="s">
        <v>3409</v>
      </c>
      <c r="C1790" s="19" t="s">
        <v>7315</v>
      </c>
      <c r="D1790" s="19"/>
      <c r="E1790" s="2"/>
      <c r="F1790" s="19"/>
    </row>
    <row r="1791" ht="15.75" customHeight="1">
      <c r="A1791" s="1">
        <v>5.7250709E7</v>
      </c>
      <c r="B1791" s="2" t="s">
        <v>2299</v>
      </c>
      <c r="C1791" s="19" t="s">
        <v>7316</v>
      </c>
      <c r="D1791" s="19"/>
      <c r="E1791" s="2"/>
      <c r="F1791" s="19"/>
    </row>
    <row r="1792" ht="15.75" customHeight="1">
      <c r="A1792" s="1">
        <v>5.7255303E7</v>
      </c>
      <c r="B1792" s="2" t="s">
        <v>2073</v>
      </c>
      <c r="C1792" s="19" t="s">
        <v>7317</v>
      </c>
      <c r="D1792" s="19"/>
      <c r="E1792" s="2"/>
      <c r="F1792" s="19"/>
    </row>
    <row r="1793" ht="15.75" customHeight="1">
      <c r="A1793" s="1">
        <v>5.7256084E7</v>
      </c>
      <c r="B1793" s="2" t="s">
        <v>3014</v>
      </c>
      <c r="C1793" s="19" t="s">
        <v>7318</v>
      </c>
      <c r="D1793" s="19"/>
      <c r="E1793" s="2"/>
      <c r="F1793" s="19"/>
    </row>
    <row r="1794" ht="15.75" customHeight="1">
      <c r="A1794" s="1">
        <v>5.7261342E7</v>
      </c>
      <c r="B1794" s="2" t="s">
        <v>109</v>
      </c>
      <c r="C1794" s="19" t="s">
        <v>7319</v>
      </c>
      <c r="D1794" s="19" t="s">
        <v>7320</v>
      </c>
      <c r="E1794" s="2"/>
      <c r="F1794" s="19"/>
    </row>
    <row r="1795" ht="15.75" customHeight="1">
      <c r="A1795" s="1">
        <v>5.7262448E7</v>
      </c>
      <c r="B1795" s="2" t="s">
        <v>3251</v>
      </c>
      <c r="C1795" s="19" t="s">
        <v>7321</v>
      </c>
      <c r="D1795" s="19"/>
      <c r="E1795" s="2"/>
      <c r="F1795" s="19"/>
    </row>
    <row r="1796" ht="15.75" customHeight="1">
      <c r="A1796" s="1">
        <v>5.7264711E7</v>
      </c>
      <c r="B1796" s="2" t="s">
        <v>2992</v>
      </c>
      <c r="C1796" s="19" t="s">
        <v>7322</v>
      </c>
      <c r="D1796" s="19"/>
      <c r="E1796" s="2"/>
      <c r="F1796" s="19"/>
    </row>
    <row r="1797" ht="15.75" customHeight="1">
      <c r="A1797" s="1">
        <v>5.7265782E7</v>
      </c>
      <c r="B1797" s="2" t="s">
        <v>2562</v>
      </c>
      <c r="C1797" s="19" t="s">
        <v>7323</v>
      </c>
      <c r="D1797" s="19"/>
      <c r="E1797" s="2"/>
      <c r="F1797" s="19"/>
    </row>
    <row r="1798" ht="15.75" customHeight="1">
      <c r="A1798" s="1">
        <v>5.7271657E7</v>
      </c>
      <c r="B1798" s="2" t="s">
        <v>2031</v>
      </c>
      <c r="C1798" s="19" t="s">
        <v>7324</v>
      </c>
      <c r="D1798" s="19"/>
      <c r="E1798" s="2"/>
      <c r="F1798" s="19"/>
    </row>
    <row r="1799" ht="15.75" customHeight="1">
      <c r="A1799" s="1">
        <v>5.7278489E7</v>
      </c>
      <c r="B1799" s="2" t="s">
        <v>2694</v>
      </c>
      <c r="C1799" s="19" t="s">
        <v>7325</v>
      </c>
      <c r="D1799" s="19"/>
      <c r="E1799" s="2"/>
      <c r="F1799" s="19"/>
    </row>
    <row r="1800" ht="15.75" customHeight="1">
      <c r="A1800" s="1">
        <v>5.727945E7</v>
      </c>
      <c r="B1800" s="2" t="s">
        <v>3502</v>
      </c>
      <c r="C1800" s="19" t="s">
        <v>7326</v>
      </c>
      <c r="D1800" s="19"/>
      <c r="E1800" s="2"/>
      <c r="F1800" s="19"/>
    </row>
    <row r="1801" ht="15.75" customHeight="1">
      <c r="A1801" s="1">
        <v>5.7282075E7</v>
      </c>
      <c r="B1801" s="2" t="s">
        <v>2051</v>
      </c>
      <c r="C1801" s="19" t="s">
        <v>7327</v>
      </c>
      <c r="D1801" s="19"/>
      <c r="E1801" s="2"/>
      <c r="F1801" s="19"/>
    </row>
    <row r="1802" ht="15.75" customHeight="1">
      <c r="A1802" s="1">
        <v>5.7289721E7</v>
      </c>
      <c r="B1802" s="2" t="s">
        <v>1968</v>
      </c>
      <c r="C1802" s="19" t="s">
        <v>7328</v>
      </c>
      <c r="D1802" s="19" t="s">
        <v>7329</v>
      </c>
      <c r="E1802" s="2"/>
      <c r="F1802" s="19"/>
    </row>
    <row r="1803" ht="15.75" customHeight="1">
      <c r="A1803" s="1">
        <v>5.7290189E7</v>
      </c>
      <c r="B1803" s="2" t="s">
        <v>2731</v>
      </c>
      <c r="C1803" s="19" t="s">
        <v>7330</v>
      </c>
      <c r="D1803" s="19"/>
      <c r="E1803" s="2"/>
      <c r="F1803" s="19"/>
    </row>
    <row r="1804" ht="15.75" customHeight="1">
      <c r="A1804" s="1">
        <v>5.7293526E7</v>
      </c>
      <c r="B1804" s="2" t="s">
        <v>1269</v>
      </c>
      <c r="C1804" s="19" t="s">
        <v>7331</v>
      </c>
      <c r="D1804" s="19" t="s">
        <v>7332</v>
      </c>
      <c r="E1804" s="2"/>
      <c r="F1804" s="19"/>
    </row>
    <row r="1805" ht="15.75" customHeight="1">
      <c r="A1805" s="1">
        <v>5.7293755E7</v>
      </c>
      <c r="B1805" s="2" t="s">
        <v>2018</v>
      </c>
      <c r="C1805" s="19" t="s">
        <v>7333</v>
      </c>
      <c r="D1805" s="19"/>
      <c r="E1805" s="2"/>
      <c r="F1805" s="19"/>
    </row>
    <row r="1806" ht="15.75" customHeight="1">
      <c r="A1806" s="1">
        <v>5.7297387E7</v>
      </c>
      <c r="B1806" s="2" t="s">
        <v>3252</v>
      </c>
      <c r="C1806" s="19" t="s">
        <v>7334</v>
      </c>
      <c r="D1806" s="19"/>
      <c r="E1806" s="2"/>
      <c r="F1806" s="19"/>
    </row>
    <row r="1807" ht="15.75" customHeight="1">
      <c r="A1807" s="1">
        <v>5.7303807E7</v>
      </c>
      <c r="B1807" s="2" t="s">
        <v>1813</v>
      </c>
      <c r="C1807" s="19" t="s">
        <v>7335</v>
      </c>
      <c r="D1807" s="19"/>
      <c r="E1807" s="2"/>
      <c r="F1807" s="19"/>
    </row>
    <row r="1808" ht="15.75" customHeight="1">
      <c r="A1808" s="1">
        <v>5.7304116E7</v>
      </c>
      <c r="B1808" s="2" t="s">
        <v>1476</v>
      </c>
      <c r="C1808" s="19" t="s">
        <v>7336</v>
      </c>
      <c r="D1808" s="19"/>
      <c r="E1808" s="2"/>
      <c r="F1808" s="19"/>
    </row>
    <row r="1809" ht="15.75" customHeight="1">
      <c r="A1809" s="1">
        <v>5.7306224E7</v>
      </c>
      <c r="B1809" s="2" t="s">
        <v>1532</v>
      </c>
      <c r="C1809" s="19" t="s">
        <v>7337</v>
      </c>
      <c r="D1809" s="19"/>
      <c r="E1809" s="2"/>
      <c r="F1809" s="19"/>
    </row>
    <row r="1810" ht="15.75" customHeight="1">
      <c r="A1810" s="1">
        <v>5.7309184E7</v>
      </c>
      <c r="B1810" s="2" t="s">
        <v>3392</v>
      </c>
      <c r="C1810" s="19" t="s">
        <v>7338</v>
      </c>
      <c r="D1810" s="19"/>
      <c r="E1810" s="2"/>
      <c r="F1810" s="19"/>
    </row>
    <row r="1811" ht="15.75" customHeight="1">
      <c r="A1811" s="1">
        <v>5.7310081E7</v>
      </c>
      <c r="B1811" s="2" t="s">
        <v>1981</v>
      </c>
      <c r="C1811" s="19" t="s">
        <v>7339</v>
      </c>
      <c r="D1811" s="19"/>
      <c r="E1811" s="2"/>
      <c r="F1811" s="19"/>
    </row>
    <row r="1812" ht="15.75" customHeight="1">
      <c r="A1812" s="1">
        <v>5.7312847E7</v>
      </c>
      <c r="B1812" s="2" t="s">
        <v>3225</v>
      </c>
      <c r="C1812" s="19" t="s">
        <v>7340</v>
      </c>
      <c r="D1812" s="19"/>
      <c r="E1812" s="2"/>
      <c r="F1812" s="19"/>
    </row>
    <row r="1813" ht="15.75" customHeight="1">
      <c r="A1813" s="1">
        <v>5.7314923E7</v>
      </c>
      <c r="B1813" s="2" t="s">
        <v>2041</v>
      </c>
      <c r="C1813" s="19" t="s">
        <v>7341</v>
      </c>
      <c r="D1813" s="19"/>
      <c r="E1813" s="2"/>
      <c r="F1813" s="19"/>
    </row>
    <row r="1814" ht="15.75" customHeight="1">
      <c r="A1814" s="1">
        <v>5.7315003E7</v>
      </c>
      <c r="B1814" s="2" t="s">
        <v>2744</v>
      </c>
      <c r="C1814" s="19" t="s">
        <v>7342</v>
      </c>
      <c r="D1814" s="19"/>
      <c r="E1814" s="2"/>
      <c r="F1814" s="19"/>
    </row>
    <row r="1815" ht="15.75" customHeight="1">
      <c r="A1815" s="1">
        <v>5.7316012E7</v>
      </c>
      <c r="B1815" s="2" t="s">
        <v>1561</v>
      </c>
      <c r="C1815" s="19" t="s">
        <v>7343</v>
      </c>
      <c r="D1815" s="19" t="s">
        <v>7344</v>
      </c>
      <c r="E1815" s="2"/>
      <c r="F1815" s="19"/>
    </row>
    <row r="1816" ht="15.75" customHeight="1">
      <c r="A1816" s="1">
        <v>5.7316318E7</v>
      </c>
      <c r="B1816" s="2" t="s">
        <v>2969</v>
      </c>
      <c r="C1816" s="19" t="s">
        <v>7345</v>
      </c>
      <c r="D1816" s="19" t="s">
        <v>7346</v>
      </c>
      <c r="E1816" s="2"/>
      <c r="F1816" s="19"/>
    </row>
    <row r="1817" ht="15.75" customHeight="1">
      <c r="A1817" s="1">
        <v>5.7322919E7</v>
      </c>
      <c r="B1817" s="2" t="s">
        <v>2341</v>
      </c>
      <c r="C1817" s="19" t="s">
        <v>7347</v>
      </c>
      <c r="D1817" s="19" t="s">
        <v>7348</v>
      </c>
      <c r="E1817" s="2"/>
      <c r="F1817" s="19"/>
    </row>
    <row r="1818" ht="15.75" customHeight="1">
      <c r="A1818" s="1">
        <v>5.7325266E7</v>
      </c>
      <c r="B1818" s="2" t="s">
        <v>2286</v>
      </c>
      <c r="C1818" s="19" t="s">
        <v>7349</v>
      </c>
      <c r="D1818" s="19" t="s">
        <v>7350</v>
      </c>
      <c r="E1818" s="2"/>
      <c r="F1818" s="19"/>
    </row>
    <row r="1819" ht="15.75" customHeight="1">
      <c r="A1819" s="1">
        <v>5.7325762E7</v>
      </c>
      <c r="B1819" s="2" t="s">
        <v>943</v>
      </c>
      <c r="C1819" s="19" t="s">
        <v>7351</v>
      </c>
      <c r="D1819" s="19"/>
      <c r="E1819" s="2"/>
      <c r="F1819" s="19"/>
    </row>
    <row r="1820" ht="15.75" customHeight="1">
      <c r="A1820" s="1">
        <v>5.7355228E7</v>
      </c>
      <c r="B1820" s="2" t="s">
        <v>2717</v>
      </c>
      <c r="C1820" s="19" t="s">
        <v>7352</v>
      </c>
      <c r="D1820" s="19"/>
      <c r="E1820" s="2"/>
      <c r="F1820" s="19"/>
    </row>
    <row r="1821" ht="15.75" customHeight="1">
      <c r="A1821" s="1">
        <v>5.7357758E7</v>
      </c>
      <c r="B1821" s="2" t="s">
        <v>1708</v>
      </c>
      <c r="C1821" s="19" t="s">
        <v>7353</v>
      </c>
      <c r="D1821" s="19"/>
      <c r="E1821" s="2"/>
      <c r="F1821" s="19"/>
    </row>
    <row r="1822" ht="15.75" customHeight="1">
      <c r="A1822" s="1">
        <v>5.7359844E7</v>
      </c>
      <c r="B1822" s="2" t="s">
        <v>2394</v>
      </c>
      <c r="C1822" s="19" t="s">
        <v>7354</v>
      </c>
      <c r="D1822" s="19" t="s">
        <v>7355</v>
      </c>
      <c r="E1822" s="2"/>
      <c r="F1822" s="19"/>
    </row>
    <row r="1823" ht="15.75" customHeight="1">
      <c r="A1823" s="1">
        <v>5.7359876E7</v>
      </c>
      <c r="B1823" s="2" t="s">
        <v>1536</v>
      </c>
      <c r="C1823" s="19" t="s">
        <v>7356</v>
      </c>
      <c r="D1823" s="19" t="s">
        <v>7357</v>
      </c>
      <c r="E1823" s="2"/>
      <c r="F1823" s="19"/>
    </row>
    <row r="1824" ht="15.75" customHeight="1">
      <c r="A1824" s="1">
        <v>5.7363284E7</v>
      </c>
      <c r="B1824" s="2" t="s">
        <v>2949</v>
      </c>
      <c r="C1824" s="19" t="s">
        <v>7358</v>
      </c>
      <c r="D1824" s="19"/>
      <c r="E1824" s="2"/>
      <c r="F1824" s="19"/>
    </row>
    <row r="1825" ht="15.75" customHeight="1">
      <c r="A1825" s="1">
        <v>5.7366982E7</v>
      </c>
      <c r="B1825" s="2" t="s">
        <v>2516</v>
      </c>
      <c r="C1825" s="19" t="s">
        <v>7359</v>
      </c>
      <c r="D1825" s="19" t="s">
        <v>7360</v>
      </c>
      <c r="E1825" s="2"/>
      <c r="F1825" s="19"/>
    </row>
    <row r="1826" ht="15.75" customHeight="1">
      <c r="A1826" s="1">
        <v>5.7368043E7</v>
      </c>
      <c r="B1826" s="2" t="s">
        <v>3124</v>
      </c>
      <c r="C1826" s="19" t="s">
        <v>7361</v>
      </c>
      <c r="D1826" s="19"/>
      <c r="E1826" s="2"/>
      <c r="F1826" s="19"/>
    </row>
    <row r="1827" ht="15.75" customHeight="1">
      <c r="A1827" s="1">
        <v>5.7369751E7</v>
      </c>
      <c r="B1827" s="2" t="s">
        <v>2732</v>
      </c>
      <c r="C1827" s="19" t="s">
        <v>7362</v>
      </c>
      <c r="D1827" s="19" t="s">
        <v>7363</v>
      </c>
      <c r="E1827" s="2"/>
      <c r="F1827" s="19"/>
    </row>
    <row r="1828" ht="15.75" customHeight="1">
      <c r="A1828" s="1">
        <v>5.7372691E7</v>
      </c>
      <c r="B1828" s="2" t="s">
        <v>1045</v>
      </c>
      <c r="C1828" s="19" t="s">
        <v>7364</v>
      </c>
      <c r="D1828" s="19"/>
      <c r="E1828" s="2"/>
      <c r="F1828" s="19"/>
    </row>
    <row r="1829" ht="15.75" customHeight="1">
      <c r="A1829" s="1">
        <v>5.7382016E7</v>
      </c>
      <c r="B1829" s="2" t="s">
        <v>3125</v>
      </c>
      <c r="C1829" s="19" t="s">
        <v>7365</v>
      </c>
      <c r="D1829" s="19"/>
      <c r="E1829" s="2"/>
      <c r="F1829" s="19"/>
    </row>
    <row r="1830" ht="15.75" customHeight="1">
      <c r="A1830" s="1">
        <v>5.7398849E7</v>
      </c>
      <c r="B1830" s="2" t="s">
        <v>2590</v>
      </c>
      <c r="C1830" s="19" t="s">
        <v>7366</v>
      </c>
      <c r="D1830" s="19"/>
      <c r="E1830" s="2"/>
      <c r="F1830" s="19"/>
    </row>
    <row r="1831" ht="15.75" customHeight="1">
      <c r="A1831" s="1">
        <v>5.7403551E7</v>
      </c>
      <c r="B1831" s="2" t="s">
        <v>2066</v>
      </c>
      <c r="C1831" s="19" t="s">
        <v>7367</v>
      </c>
      <c r="D1831" s="19"/>
      <c r="E1831" s="2"/>
      <c r="F1831" s="19"/>
    </row>
    <row r="1832" ht="15.75" customHeight="1">
      <c r="A1832" s="1">
        <v>5.740428E7</v>
      </c>
      <c r="B1832" s="2" t="s">
        <v>2376</v>
      </c>
      <c r="C1832" s="19" t="s">
        <v>7368</v>
      </c>
      <c r="D1832" s="19"/>
      <c r="E1832" s="2"/>
      <c r="F1832" s="19"/>
    </row>
    <row r="1833" ht="15.75" customHeight="1">
      <c r="A1833" s="1">
        <v>5.741042E7</v>
      </c>
      <c r="B1833" s="2" t="s">
        <v>3072</v>
      </c>
      <c r="C1833" s="19" t="s">
        <v>7369</v>
      </c>
      <c r="D1833" s="19" t="s">
        <v>7370</v>
      </c>
      <c r="E1833" s="2"/>
      <c r="F1833" s="19"/>
    </row>
    <row r="1834" ht="15.75" customHeight="1">
      <c r="A1834" s="1">
        <v>5.7416596E7</v>
      </c>
      <c r="B1834" s="2" t="s">
        <v>2429</v>
      </c>
      <c r="C1834" s="19" t="s">
        <v>7371</v>
      </c>
      <c r="D1834" s="19"/>
      <c r="E1834" s="2"/>
      <c r="F1834" s="19"/>
    </row>
    <row r="1835" ht="15.75" customHeight="1">
      <c r="A1835" s="1">
        <v>5.7417867E7</v>
      </c>
      <c r="B1835" s="2" t="s">
        <v>3278</v>
      </c>
      <c r="C1835" s="19" t="s">
        <v>7372</v>
      </c>
      <c r="D1835" s="19" t="s">
        <v>7373</v>
      </c>
      <c r="E1835" s="2"/>
      <c r="F1835" s="19"/>
    </row>
    <row r="1836" ht="15.75" customHeight="1">
      <c r="A1836" s="1">
        <v>5.7419147E7</v>
      </c>
      <c r="B1836" s="2" t="s">
        <v>2786</v>
      </c>
      <c r="C1836" s="19" t="s">
        <v>7374</v>
      </c>
      <c r="D1836" s="19"/>
      <c r="E1836" s="2"/>
      <c r="F1836" s="19"/>
    </row>
    <row r="1837" ht="15.75" customHeight="1">
      <c r="A1837" s="1">
        <v>5.7420814E7</v>
      </c>
      <c r="B1837" s="2" t="s">
        <v>3436</v>
      </c>
      <c r="C1837" s="19" t="s">
        <v>7375</v>
      </c>
      <c r="D1837" s="19"/>
      <c r="E1837" s="2"/>
      <c r="F1837" s="19"/>
    </row>
    <row r="1838" ht="15.75" customHeight="1">
      <c r="A1838" s="1">
        <v>5.7422643E7</v>
      </c>
      <c r="B1838" s="2" t="s">
        <v>2808</v>
      </c>
      <c r="C1838" s="19" t="s">
        <v>7376</v>
      </c>
      <c r="D1838" s="19"/>
      <c r="E1838" s="2"/>
      <c r="F1838" s="19"/>
    </row>
    <row r="1839" ht="15.75" customHeight="1">
      <c r="A1839" s="1">
        <v>5.742546E7</v>
      </c>
      <c r="B1839" s="2" t="s">
        <v>2276</v>
      </c>
      <c r="C1839" s="19" t="s">
        <v>7377</v>
      </c>
      <c r="D1839" s="19" t="s">
        <v>7378</v>
      </c>
      <c r="E1839" s="2"/>
      <c r="F1839" s="19"/>
    </row>
    <row r="1840" ht="15.75" customHeight="1">
      <c r="A1840" s="1">
        <v>5.7428689E7</v>
      </c>
      <c r="B1840" s="2" t="s">
        <v>2517</v>
      </c>
      <c r="C1840" s="19" t="s">
        <v>7379</v>
      </c>
      <c r="D1840" s="19"/>
      <c r="E1840" s="2"/>
      <c r="F1840" s="19"/>
    </row>
    <row r="1841" ht="15.75" customHeight="1">
      <c r="A1841" s="1">
        <v>5.7430121E7</v>
      </c>
      <c r="B1841" s="2" t="s">
        <v>2500</v>
      </c>
      <c r="C1841" s="19" t="s">
        <v>7380</v>
      </c>
      <c r="D1841" s="19"/>
      <c r="E1841" s="2"/>
      <c r="F1841" s="19"/>
    </row>
    <row r="1842" ht="15.75" customHeight="1">
      <c r="A1842" s="1">
        <v>5.7430993E7</v>
      </c>
      <c r="B1842" s="2" t="s">
        <v>2201</v>
      </c>
      <c r="C1842" s="19" t="s">
        <v>7381</v>
      </c>
      <c r="D1842" s="19" t="s">
        <v>7382</v>
      </c>
      <c r="E1842" s="2"/>
      <c r="F1842" s="19"/>
    </row>
    <row r="1843" ht="15.75" customHeight="1">
      <c r="A1843" s="1">
        <v>5.7432558E7</v>
      </c>
      <c r="B1843" s="2" t="s">
        <v>638</v>
      </c>
      <c r="C1843" s="19" t="s">
        <v>7383</v>
      </c>
      <c r="D1843" s="19" t="s">
        <v>7384</v>
      </c>
      <c r="E1843" s="2"/>
      <c r="F1843" s="19"/>
    </row>
    <row r="1844" ht="15.75" customHeight="1">
      <c r="A1844" s="1">
        <v>5.7436043E7</v>
      </c>
      <c r="B1844" s="2" t="s">
        <v>2718</v>
      </c>
      <c r="C1844" s="19" t="s">
        <v>7385</v>
      </c>
      <c r="D1844" s="19" t="s">
        <v>7386</v>
      </c>
      <c r="E1844" s="2"/>
      <c r="F1844" s="19"/>
    </row>
    <row r="1845" ht="15.75" customHeight="1">
      <c r="A1845" s="1">
        <v>5.7461595E7</v>
      </c>
      <c r="B1845" s="2" t="s">
        <v>2425</v>
      </c>
      <c r="C1845" s="19" t="s">
        <v>7387</v>
      </c>
      <c r="D1845" s="19"/>
      <c r="E1845" s="2"/>
      <c r="F1845" s="19"/>
    </row>
    <row r="1846" ht="15.75" customHeight="1">
      <c r="A1846" s="1">
        <v>5.7466993E7</v>
      </c>
      <c r="B1846" s="2" t="s">
        <v>2023</v>
      </c>
      <c r="C1846" s="19" t="s">
        <v>7388</v>
      </c>
      <c r="D1846" s="19" t="s">
        <v>7389</v>
      </c>
      <c r="E1846" s="2"/>
      <c r="F1846" s="19"/>
    </row>
    <row r="1847" ht="15.75" customHeight="1">
      <c r="A1847" s="1">
        <v>5.7474055E7</v>
      </c>
      <c r="B1847" s="2" t="s">
        <v>1018</v>
      </c>
      <c r="C1847" s="19" t="s">
        <v>7390</v>
      </c>
      <c r="D1847" s="19" t="s">
        <v>7391</v>
      </c>
      <c r="E1847" s="2"/>
      <c r="F1847" s="19"/>
    </row>
    <row r="1848" ht="15.75" customHeight="1">
      <c r="A1848" s="1">
        <v>5.747739E7</v>
      </c>
      <c r="B1848" s="2" t="s">
        <v>2196</v>
      </c>
      <c r="C1848" s="19" t="s">
        <v>7392</v>
      </c>
      <c r="D1848" s="19"/>
      <c r="E1848" s="2"/>
      <c r="F1848" s="19"/>
    </row>
    <row r="1849" ht="15.75" customHeight="1">
      <c r="A1849" s="1">
        <v>5.7482737E7</v>
      </c>
      <c r="B1849" s="2" t="s">
        <v>2614</v>
      </c>
      <c r="C1849" s="19" t="s">
        <v>7393</v>
      </c>
      <c r="D1849" s="19"/>
      <c r="E1849" s="2"/>
      <c r="F1849" s="19"/>
    </row>
    <row r="1850" ht="15.75" customHeight="1">
      <c r="A1850" s="1">
        <v>5.748316E7</v>
      </c>
      <c r="B1850" s="2" t="s">
        <v>2221</v>
      </c>
      <c r="C1850" s="19" t="s">
        <v>7394</v>
      </c>
      <c r="D1850" s="19" t="s">
        <v>7395</v>
      </c>
      <c r="E1850" s="2"/>
      <c r="F1850" s="19"/>
    </row>
    <row r="1851" ht="15.75" customHeight="1">
      <c r="A1851" s="1">
        <v>5.7493498E7</v>
      </c>
      <c r="B1851" s="2" t="s">
        <v>2501</v>
      </c>
      <c r="C1851" s="19" t="s">
        <v>7396</v>
      </c>
      <c r="D1851" s="19"/>
      <c r="E1851" s="2"/>
      <c r="F1851" s="19"/>
    </row>
    <row r="1852" ht="15.75" customHeight="1">
      <c r="A1852" s="1">
        <v>5.7494649E7</v>
      </c>
      <c r="B1852" s="2" t="s">
        <v>1495</v>
      </c>
      <c r="C1852" s="19" t="s">
        <v>7397</v>
      </c>
      <c r="D1852" s="19" t="s">
        <v>7398</v>
      </c>
      <c r="E1852" s="2"/>
      <c r="F1852" s="19"/>
    </row>
    <row r="1853" ht="15.75" customHeight="1">
      <c r="A1853" s="1">
        <v>5.7496839E7</v>
      </c>
      <c r="B1853" s="2" t="s">
        <v>2719</v>
      </c>
      <c r="C1853" s="19" t="s">
        <v>7399</v>
      </c>
      <c r="D1853" s="19"/>
      <c r="E1853" s="2"/>
      <c r="F1853" s="19"/>
    </row>
    <row r="1854" ht="15.75" customHeight="1">
      <c r="A1854" s="1">
        <v>5.7500473E7</v>
      </c>
      <c r="B1854" s="2" t="s">
        <v>3226</v>
      </c>
      <c r="C1854" s="19" t="s">
        <v>7400</v>
      </c>
      <c r="D1854" s="19"/>
      <c r="E1854" s="2"/>
      <c r="F1854" s="19"/>
    </row>
    <row r="1855" ht="15.75" customHeight="1">
      <c r="A1855" s="1">
        <v>5.7502125E7</v>
      </c>
      <c r="B1855" s="2" t="s">
        <v>3303</v>
      </c>
      <c r="C1855" s="19" t="s">
        <v>7401</v>
      </c>
      <c r="D1855" s="19"/>
      <c r="E1855" s="2"/>
      <c r="F1855" s="19"/>
    </row>
    <row r="1856" ht="15.75" customHeight="1">
      <c r="A1856" s="1">
        <v>5.7516377E7</v>
      </c>
      <c r="B1856" s="2" t="s">
        <v>2745</v>
      </c>
      <c r="C1856" s="19" t="s">
        <v>7402</v>
      </c>
      <c r="D1856" s="19"/>
      <c r="E1856" s="2"/>
      <c r="F1856" s="19"/>
    </row>
    <row r="1857" ht="15.75" customHeight="1">
      <c r="A1857" s="1">
        <v>5.7516603E7</v>
      </c>
      <c r="B1857" s="2" t="s">
        <v>2181</v>
      </c>
      <c r="C1857" s="19" t="s">
        <v>7403</v>
      </c>
      <c r="D1857" s="19"/>
      <c r="E1857" s="2"/>
      <c r="F1857" s="19"/>
    </row>
    <row r="1858" ht="15.75" customHeight="1">
      <c r="A1858" s="1">
        <v>5.7519657E7</v>
      </c>
      <c r="B1858" s="2" t="s">
        <v>1955</v>
      </c>
      <c r="C1858" s="19" t="s">
        <v>7404</v>
      </c>
      <c r="D1858" s="19"/>
      <c r="E1858" s="2"/>
      <c r="F1858" s="19"/>
    </row>
    <row r="1859" ht="15.75" customHeight="1">
      <c r="A1859" s="1">
        <v>5.7523091E7</v>
      </c>
      <c r="B1859" s="2" t="s">
        <v>2165</v>
      </c>
      <c r="C1859" s="19" t="s">
        <v>7405</v>
      </c>
      <c r="D1859" s="19"/>
      <c r="E1859" s="2"/>
      <c r="F1859" s="19"/>
    </row>
    <row r="1860" ht="15.75" customHeight="1">
      <c r="A1860" s="1">
        <v>5.7523759E7</v>
      </c>
      <c r="B1860" s="2" t="s">
        <v>2168</v>
      </c>
      <c r="C1860" s="19" t="s">
        <v>7406</v>
      </c>
      <c r="D1860" s="19"/>
      <c r="E1860" s="2"/>
      <c r="F1860" s="19"/>
    </row>
    <row r="1861" ht="15.75" customHeight="1">
      <c r="A1861" s="1">
        <v>5.7523823E7</v>
      </c>
      <c r="B1861" s="2" t="s">
        <v>261</v>
      </c>
      <c r="C1861" s="19" t="s">
        <v>7407</v>
      </c>
      <c r="D1861" s="19"/>
      <c r="E1861" s="2"/>
      <c r="F1861" s="19"/>
    </row>
    <row r="1862" ht="15.75" customHeight="1">
      <c r="A1862" s="1">
        <v>5.7528695E7</v>
      </c>
      <c r="B1862" s="2" t="s">
        <v>151</v>
      </c>
      <c r="C1862" s="19" t="s">
        <v>7408</v>
      </c>
      <c r="D1862" s="19"/>
      <c r="E1862" s="2"/>
      <c r="F1862" s="19"/>
    </row>
    <row r="1863" ht="15.75" customHeight="1">
      <c r="A1863" s="1">
        <v>5.7535384E7</v>
      </c>
      <c r="B1863" s="2" t="s">
        <v>3521</v>
      </c>
      <c r="C1863" s="19" t="s">
        <v>7409</v>
      </c>
      <c r="D1863" s="19"/>
      <c r="E1863" s="2"/>
      <c r="F1863" s="19"/>
    </row>
    <row r="1864" ht="15.75" customHeight="1">
      <c r="A1864" s="1">
        <v>5.7557137E7</v>
      </c>
      <c r="B1864" s="2" t="s">
        <v>3548</v>
      </c>
      <c r="C1864" s="19" t="s">
        <v>7410</v>
      </c>
      <c r="D1864" s="19"/>
      <c r="E1864" s="2"/>
      <c r="F1864" s="19"/>
    </row>
    <row r="1865" ht="15.75" customHeight="1">
      <c r="A1865" s="1">
        <v>5.7558625E7</v>
      </c>
      <c r="B1865" s="2" t="s">
        <v>392</v>
      </c>
      <c r="C1865" s="19" t="s">
        <v>7411</v>
      </c>
      <c r="D1865" s="19" t="s">
        <v>7412</v>
      </c>
      <c r="E1865" s="2"/>
      <c r="F1865" s="19"/>
    </row>
    <row r="1866" ht="15.75" customHeight="1">
      <c r="A1866" s="1">
        <v>5.7563207E7</v>
      </c>
      <c r="B1866" s="2" t="s">
        <v>2502</v>
      </c>
      <c r="C1866" s="19" t="s">
        <v>7413</v>
      </c>
      <c r="D1866" s="19"/>
      <c r="E1866" s="2"/>
      <c r="F1866" s="19"/>
    </row>
    <row r="1867" ht="15.75" customHeight="1">
      <c r="A1867" s="1">
        <v>5.75644E7</v>
      </c>
      <c r="B1867" s="2" t="s">
        <v>2189</v>
      </c>
      <c r="C1867" s="19" t="s">
        <v>7414</v>
      </c>
      <c r="D1867" s="19" t="s">
        <v>7415</v>
      </c>
      <c r="E1867" s="2"/>
      <c r="F1867" s="19"/>
    </row>
    <row r="1868" ht="15.75" customHeight="1">
      <c r="A1868" s="1">
        <v>5.7574048E7</v>
      </c>
      <c r="B1868" s="2" t="s">
        <v>2486</v>
      </c>
      <c r="C1868" s="19" t="s">
        <v>7416</v>
      </c>
      <c r="D1868" s="19"/>
      <c r="E1868" s="2"/>
      <c r="F1868" s="19"/>
    </row>
    <row r="1869" ht="15.75" customHeight="1">
      <c r="A1869" s="1">
        <v>5.7575852E7</v>
      </c>
      <c r="B1869" s="2" t="s">
        <v>1085</v>
      </c>
      <c r="C1869" s="19" t="s">
        <v>7417</v>
      </c>
      <c r="D1869" s="19" t="s">
        <v>7418</v>
      </c>
      <c r="E1869" s="2"/>
      <c r="F1869" s="19"/>
    </row>
    <row r="1870" ht="15.75" customHeight="1">
      <c r="A1870" s="1">
        <v>5.7579133E7</v>
      </c>
      <c r="B1870" s="2" t="s">
        <v>2765</v>
      </c>
      <c r="C1870" s="19" t="s">
        <v>7419</v>
      </c>
      <c r="D1870" s="19" t="s">
        <v>7420</v>
      </c>
      <c r="E1870" s="2"/>
      <c r="F1870" s="19"/>
    </row>
    <row r="1871" ht="15.75" customHeight="1">
      <c r="A1871" s="1">
        <v>5.7580329E7</v>
      </c>
      <c r="B1871" s="2" t="s">
        <v>2993</v>
      </c>
      <c r="C1871" s="19" t="s">
        <v>7421</v>
      </c>
      <c r="D1871" s="19"/>
      <c r="E1871" s="2"/>
      <c r="F1871" s="19"/>
    </row>
    <row r="1872" ht="15.75" customHeight="1">
      <c r="A1872" s="1">
        <v>5.7584402E7</v>
      </c>
      <c r="B1872" s="2" t="s">
        <v>2649</v>
      </c>
      <c r="C1872" s="19" t="s">
        <v>7422</v>
      </c>
      <c r="D1872" s="19"/>
      <c r="E1872" s="2"/>
      <c r="F1872" s="19"/>
    </row>
    <row r="1873" ht="15.75" customHeight="1">
      <c r="A1873" s="1">
        <v>5.7594014E7</v>
      </c>
      <c r="B1873" s="2" t="s">
        <v>775</v>
      </c>
      <c r="C1873" s="19" t="s">
        <v>7423</v>
      </c>
      <c r="D1873" s="19"/>
      <c r="E1873" s="2"/>
      <c r="F1873" s="19"/>
    </row>
    <row r="1874" ht="15.75" customHeight="1">
      <c r="A1874" s="1">
        <v>5.7599366E7</v>
      </c>
      <c r="B1874" s="2" t="s">
        <v>2081</v>
      </c>
      <c r="C1874" s="19" t="s">
        <v>7424</v>
      </c>
      <c r="D1874" s="19"/>
      <c r="E1874" s="2"/>
      <c r="F1874" s="19"/>
    </row>
    <row r="1875" ht="15.75" customHeight="1">
      <c r="A1875" s="1">
        <v>5.759978E7</v>
      </c>
      <c r="B1875" s="2" t="s">
        <v>2766</v>
      </c>
      <c r="C1875" s="19" t="s">
        <v>7425</v>
      </c>
      <c r="D1875" s="19"/>
      <c r="E1875" s="2"/>
      <c r="F1875" s="19"/>
    </row>
    <row r="1876" ht="15.75" customHeight="1">
      <c r="A1876" s="1">
        <v>5.7602539E7</v>
      </c>
      <c r="B1876" s="2" t="s">
        <v>2950</v>
      </c>
      <c r="C1876" s="19" t="s">
        <v>7426</v>
      </c>
      <c r="D1876" s="19"/>
      <c r="E1876" s="2"/>
      <c r="F1876" s="19"/>
    </row>
    <row r="1877" ht="15.75" customHeight="1">
      <c r="A1877" s="1">
        <v>5.7607021E7</v>
      </c>
      <c r="B1877" s="2" t="s">
        <v>2634</v>
      </c>
      <c r="C1877" s="19" t="s">
        <v>7427</v>
      </c>
      <c r="D1877" s="19"/>
      <c r="E1877" s="2"/>
      <c r="F1877" s="19"/>
    </row>
    <row r="1878" ht="15.75" customHeight="1">
      <c r="A1878" s="1">
        <v>5.7609094E7</v>
      </c>
      <c r="B1878" s="2" t="s">
        <v>2144</v>
      </c>
      <c r="C1878" s="19" t="s">
        <v>7428</v>
      </c>
      <c r="D1878" s="19"/>
      <c r="E1878" s="2"/>
      <c r="F1878" s="19"/>
    </row>
    <row r="1879" ht="15.75" customHeight="1">
      <c r="A1879" s="1">
        <v>5.7613671E7</v>
      </c>
      <c r="B1879" s="2" t="s">
        <v>2695</v>
      </c>
      <c r="C1879" s="19" t="s">
        <v>7429</v>
      </c>
      <c r="D1879" s="19"/>
      <c r="E1879" s="2"/>
      <c r="F1879" s="19"/>
    </row>
    <row r="1880" ht="15.75" customHeight="1">
      <c r="A1880" s="1">
        <v>5.761752E7</v>
      </c>
      <c r="B1880" s="2" t="s">
        <v>3437</v>
      </c>
      <c r="C1880" s="19" t="s">
        <v>7430</v>
      </c>
      <c r="D1880" s="19"/>
      <c r="E1880" s="2"/>
      <c r="F1880" s="19"/>
    </row>
    <row r="1881" ht="15.75" customHeight="1">
      <c r="A1881" s="1">
        <v>5.7620833E7</v>
      </c>
      <c r="B1881" s="2" t="s">
        <v>2487</v>
      </c>
      <c r="C1881" s="19" t="s">
        <v>7431</v>
      </c>
      <c r="D1881" s="19"/>
      <c r="E1881" s="2"/>
      <c r="F1881" s="19"/>
    </row>
    <row r="1882" ht="15.75" customHeight="1">
      <c r="A1882" s="1">
        <v>5.7623152E7</v>
      </c>
      <c r="B1882" s="2" t="s">
        <v>2262</v>
      </c>
      <c r="C1882" s="19" t="s">
        <v>7432</v>
      </c>
      <c r="D1882" s="19"/>
      <c r="E1882" s="2"/>
      <c r="F1882" s="19"/>
    </row>
    <row r="1883" ht="15.75" customHeight="1">
      <c r="A1883" s="1">
        <v>5.7624459E7</v>
      </c>
      <c r="B1883" s="2" t="s">
        <v>2650</v>
      </c>
      <c r="C1883" s="19" t="s">
        <v>7433</v>
      </c>
      <c r="D1883" s="19"/>
      <c r="E1883" s="2"/>
      <c r="F1883" s="19"/>
    </row>
    <row r="1884" ht="15.75" customHeight="1">
      <c r="A1884" s="1">
        <v>5.7626023E7</v>
      </c>
      <c r="B1884" s="2" t="s">
        <v>3579</v>
      </c>
      <c r="C1884" s="19" t="s">
        <v>7434</v>
      </c>
      <c r="D1884" s="19"/>
      <c r="E1884" s="2"/>
      <c r="F1884" s="19"/>
    </row>
    <row r="1885" ht="15.75" customHeight="1">
      <c r="A1885" s="1">
        <v>5.7647663E7</v>
      </c>
      <c r="B1885" s="2" t="s">
        <v>2300</v>
      </c>
      <c r="C1885" s="19" t="s">
        <v>7435</v>
      </c>
      <c r="D1885" s="19"/>
      <c r="E1885" s="2"/>
      <c r="F1885" s="19"/>
    </row>
    <row r="1886" ht="15.75" customHeight="1">
      <c r="A1886" s="1">
        <v>5.7652832E7</v>
      </c>
      <c r="B1886" s="2" t="s">
        <v>2827</v>
      </c>
      <c r="C1886" s="19" t="s">
        <v>7436</v>
      </c>
      <c r="D1886" s="19" t="s">
        <v>7437</v>
      </c>
      <c r="E1886" s="2"/>
      <c r="F1886" s="19"/>
    </row>
    <row r="1887" ht="15.75" customHeight="1">
      <c r="A1887" s="1">
        <v>5.7654496E7</v>
      </c>
      <c r="B1887" s="2" t="s">
        <v>2696</v>
      </c>
      <c r="C1887" s="19" t="s">
        <v>7438</v>
      </c>
      <c r="D1887" s="19"/>
      <c r="E1887" s="2"/>
      <c r="F1887" s="19"/>
    </row>
    <row r="1888" ht="15.75" customHeight="1">
      <c r="A1888" s="1">
        <v>5.7676928E7</v>
      </c>
      <c r="B1888" s="2" t="s">
        <v>2326</v>
      </c>
      <c r="C1888" s="19" t="s">
        <v>7439</v>
      </c>
      <c r="D1888" s="19"/>
      <c r="E1888" s="2"/>
      <c r="F1888" s="19"/>
    </row>
    <row r="1889" ht="15.75" customHeight="1">
      <c r="A1889" s="1">
        <v>5.7677076E7</v>
      </c>
      <c r="B1889" s="2" t="s">
        <v>2329</v>
      </c>
      <c r="C1889" s="19" t="s">
        <v>7440</v>
      </c>
      <c r="D1889" s="19" t="s">
        <v>7441</v>
      </c>
      <c r="E1889" s="2"/>
      <c r="F1889" s="19"/>
    </row>
    <row r="1890" ht="15.75" customHeight="1">
      <c r="A1890" s="1">
        <v>5.7685832E7</v>
      </c>
      <c r="B1890" s="2" t="s">
        <v>3481</v>
      </c>
      <c r="C1890" s="19" t="s">
        <v>7442</v>
      </c>
      <c r="D1890" s="19"/>
      <c r="E1890" s="2"/>
      <c r="F1890" s="19"/>
    </row>
    <row r="1891" ht="15.75" customHeight="1">
      <c r="A1891" s="1">
        <v>5.7686877E7</v>
      </c>
      <c r="B1891" s="2" t="s">
        <v>1772</v>
      </c>
      <c r="C1891" s="19" t="s">
        <v>7443</v>
      </c>
      <c r="D1891" s="19" t="s">
        <v>7444</v>
      </c>
      <c r="E1891" s="2"/>
      <c r="F1891" s="19"/>
    </row>
    <row r="1892" ht="15.75" customHeight="1">
      <c r="A1892" s="1">
        <v>5.7687014E7</v>
      </c>
      <c r="B1892" s="2" t="s">
        <v>1711</v>
      </c>
      <c r="C1892" s="19" t="s">
        <v>7445</v>
      </c>
      <c r="D1892" s="19"/>
      <c r="E1892" s="2"/>
      <c r="F1892" s="19"/>
    </row>
    <row r="1893" ht="15.75" customHeight="1">
      <c r="A1893" s="1">
        <v>5.7710817E7</v>
      </c>
      <c r="B1893" s="2" t="s">
        <v>2172</v>
      </c>
      <c r="C1893" s="19" t="s">
        <v>7446</v>
      </c>
      <c r="D1893" s="19"/>
      <c r="E1893" s="2"/>
      <c r="F1893" s="19"/>
    </row>
    <row r="1894" ht="15.75" customHeight="1">
      <c r="A1894" s="1">
        <v>5.7711779E7</v>
      </c>
      <c r="B1894" s="2" t="s">
        <v>1645</v>
      </c>
      <c r="C1894" s="19" t="s">
        <v>7447</v>
      </c>
      <c r="D1894" s="19"/>
      <c r="E1894" s="2"/>
      <c r="F1894" s="19"/>
    </row>
    <row r="1895" ht="15.75" customHeight="1">
      <c r="A1895" s="1">
        <v>5.7713713E7</v>
      </c>
      <c r="B1895" s="2" t="s">
        <v>2809</v>
      </c>
      <c r="C1895" s="19" t="s">
        <v>7448</v>
      </c>
      <c r="D1895" s="19"/>
      <c r="E1895" s="2"/>
      <c r="F1895" s="19"/>
    </row>
    <row r="1896" ht="15.75" customHeight="1">
      <c r="A1896" s="1">
        <v>5.7714229E7</v>
      </c>
      <c r="B1896" s="2" t="s">
        <v>2697</v>
      </c>
      <c r="C1896" s="19" t="s">
        <v>7449</v>
      </c>
      <c r="D1896" s="19" t="s">
        <v>7450</v>
      </c>
      <c r="E1896" s="2"/>
      <c r="F1896" s="19"/>
    </row>
    <row r="1897" ht="15.75" customHeight="1">
      <c r="A1897" s="1">
        <v>5.7731105E7</v>
      </c>
      <c r="B1897" s="2" t="s">
        <v>2129</v>
      </c>
      <c r="C1897" s="19" t="s">
        <v>7451</v>
      </c>
      <c r="D1897" s="19" t="s">
        <v>7452</v>
      </c>
      <c r="E1897" s="2"/>
      <c r="F1897" s="19"/>
    </row>
    <row r="1898" ht="15.75" customHeight="1">
      <c r="A1898" s="1">
        <v>5.7750105E7</v>
      </c>
      <c r="B1898" s="2" t="s">
        <v>2426</v>
      </c>
      <c r="C1898" s="19" t="s">
        <v>7453</v>
      </c>
      <c r="D1898" s="19"/>
      <c r="E1898" s="2"/>
      <c r="F1898" s="19"/>
    </row>
    <row r="1899" ht="15.75" customHeight="1">
      <c r="A1899" s="1">
        <v>5.7754071E7</v>
      </c>
      <c r="B1899" s="2" t="s">
        <v>2635</v>
      </c>
      <c r="C1899" s="19" t="s">
        <v>7454</v>
      </c>
      <c r="D1899" s="19" t="s">
        <v>7455</v>
      </c>
      <c r="E1899" s="2"/>
      <c r="F1899" s="19"/>
    </row>
    <row r="1900" ht="15.75" customHeight="1">
      <c r="A1900" s="1">
        <v>5.7755093E7</v>
      </c>
      <c r="B1900" s="2" t="s">
        <v>1622</v>
      </c>
      <c r="C1900" s="19" t="s">
        <v>7456</v>
      </c>
      <c r="D1900" s="19"/>
      <c r="E1900" s="2"/>
      <c r="F1900" s="19"/>
    </row>
    <row r="1901" ht="15.75" customHeight="1">
      <c r="A1901" s="1">
        <v>5.7762017E7</v>
      </c>
      <c r="B1901" s="2" t="s">
        <v>1458</v>
      </c>
      <c r="C1901" s="19" t="s">
        <v>7457</v>
      </c>
      <c r="D1901" s="19" t="s">
        <v>7458</v>
      </c>
      <c r="E1901" s="2"/>
      <c r="F1901" s="19"/>
    </row>
    <row r="1902" ht="15.75" customHeight="1">
      <c r="A1902" s="1">
        <v>5.7775247E7</v>
      </c>
      <c r="B1902" s="2" t="s">
        <v>1504</v>
      </c>
      <c r="C1902" s="19" t="s">
        <v>7459</v>
      </c>
      <c r="D1902" s="19" t="s">
        <v>7460</v>
      </c>
      <c r="E1902" s="2"/>
      <c r="F1902" s="19"/>
    </row>
    <row r="1903" ht="15.75" customHeight="1">
      <c r="A1903" s="1">
        <v>5.7775673E7</v>
      </c>
      <c r="B1903" s="2" t="s">
        <v>3323</v>
      </c>
      <c r="C1903" s="19" t="s">
        <v>7461</v>
      </c>
      <c r="D1903" s="19"/>
      <c r="E1903" s="2"/>
      <c r="F1903" s="19"/>
    </row>
    <row r="1904" ht="15.75" customHeight="1">
      <c r="A1904" s="1">
        <v>5.7787836E7</v>
      </c>
      <c r="B1904" s="2" t="s">
        <v>3241</v>
      </c>
      <c r="C1904" s="19" t="s">
        <v>7462</v>
      </c>
      <c r="D1904" s="19"/>
      <c r="E1904" s="2"/>
      <c r="F1904" s="19"/>
    </row>
    <row r="1905" ht="15.75" customHeight="1">
      <c r="A1905" s="1">
        <v>5.7794087E7</v>
      </c>
      <c r="B1905" s="2" t="s">
        <v>2137</v>
      </c>
      <c r="C1905" s="19" t="s">
        <v>7463</v>
      </c>
      <c r="D1905" s="19" t="s">
        <v>7464</v>
      </c>
      <c r="E1905" s="2"/>
      <c r="F1905" s="19"/>
    </row>
    <row r="1906" ht="15.75" customHeight="1">
      <c r="A1906" s="1">
        <v>5.7794437E7</v>
      </c>
      <c r="B1906" s="2" t="s">
        <v>2902</v>
      </c>
      <c r="C1906" s="19" t="s">
        <v>7465</v>
      </c>
      <c r="D1906" s="19" t="s">
        <v>7466</v>
      </c>
      <c r="E1906" s="2"/>
      <c r="F1906" s="19"/>
    </row>
    <row r="1907" ht="15.75" customHeight="1">
      <c r="A1907" s="1">
        <v>5.7795677E7</v>
      </c>
      <c r="B1907" s="2" t="s">
        <v>918</v>
      </c>
      <c r="C1907" s="19" t="s">
        <v>7467</v>
      </c>
      <c r="D1907" s="19"/>
      <c r="E1907" s="2"/>
      <c r="F1907" s="19"/>
    </row>
    <row r="1908" ht="15.75" customHeight="1">
      <c r="A1908" s="1">
        <v>5.7795979E7</v>
      </c>
      <c r="B1908" s="2" t="s">
        <v>3393</v>
      </c>
      <c r="C1908" s="19" t="s">
        <v>7468</v>
      </c>
      <c r="D1908" s="19"/>
      <c r="E1908" s="2"/>
      <c r="F1908" s="19"/>
    </row>
    <row r="1909" ht="15.75" customHeight="1">
      <c r="A1909" s="1">
        <v>5.7802832E7</v>
      </c>
      <c r="B1909" s="2" t="s">
        <v>388</v>
      </c>
      <c r="C1909" s="19" t="s">
        <v>7469</v>
      </c>
      <c r="D1909" s="19"/>
      <c r="E1909" s="2"/>
      <c r="F1909" s="19"/>
    </row>
    <row r="1910" ht="15.75" customHeight="1">
      <c r="A1910" s="1">
        <v>5.7806521E7</v>
      </c>
      <c r="B1910" s="2" t="s">
        <v>2828</v>
      </c>
      <c r="C1910" s="19" t="s">
        <v>7470</v>
      </c>
      <c r="D1910" s="19"/>
      <c r="E1910" s="2"/>
      <c r="F1910" s="19"/>
    </row>
    <row r="1911" ht="15.75" customHeight="1">
      <c r="A1911" s="1">
        <v>5.7810467E7</v>
      </c>
      <c r="B1911" s="2" t="s">
        <v>3033</v>
      </c>
      <c r="C1911" s="19" t="s">
        <v>7471</v>
      </c>
      <c r="D1911" s="19" t="s">
        <v>7472</v>
      </c>
      <c r="E1911" s="2"/>
      <c r="F1911" s="19"/>
    </row>
    <row r="1912" ht="15.75" customHeight="1">
      <c r="A1912" s="1">
        <v>5.7810829E7</v>
      </c>
      <c r="B1912" s="2" t="s">
        <v>2970</v>
      </c>
      <c r="C1912" s="19" t="s">
        <v>7473</v>
      </c>
      <c r="D1912" s="19"/>
      <c r="E1912" s="2"/>
      <c r="F1912" s="19"/>
    </row>
    <row r="1913" ht="15.75" customHeight="1">
      <c r="A1913" s="1">
        <v>5.7811097E7</v>
      </c>
      <c r="B1913" s="2" t="s">
        <v>2767</v>
      </c>
      <c r="C1913" s="19" t="s">
        <v>7474</v>
      </c>
      <c r="D1913" s="19"/>
      <c r="E1913" s="2"/>
      <c r="F1913" s="19"/>
    </row>
    <row r="1914" ht="15.75" customHeight="1">
      <c r="A1914" s="1">
        <v>5.7814318E7</v>
      </c>
      <c r="B1914" s="2" t="s">
        <v>2608</v>
      </c>
      <c r="C1914" s="19" t="s">
        <v>7475</v>
      </c>
      <c r="D1914" s="19"/>
      <c r="E1914" s="2"/>
      <c r="F1914" s="19"/>
    </row>
    <row r="1915" ht="15.75" customHeight="1">
      <c r="A1915" s="1">
        <v>5.7820524E7</v>
      </c>
      <c r="B1915" s="2" t="s">
        <v>2471</v>
      </c>
      <c r="C1915" s="19" t="s">
        <v>7476</v>
      </c>
      <c r="D1915" s="19"/>
      <c r="E1915" s="2"/>
      <c r="F1915" s="19"/>
    </row>
    <row r="1916" ht="15.75" customHeight="1">
      <c r="A1916" s="1">
        <v>5.7825022E7</v>
      </c>
      <c r="B1916" s="2" t="s">
        <v>3126</v>
      </c>
      <c r="C1916" s="19" t="s">
        <v>7477</v>
      </c>
      <c r="D1916" s="19" t="s">
        <v>7478</v>
      </c>
      <c r="E1916" s="2"/>
      <c r="F1916" s="19"/>
    </row>
    <row r="1917" ht="15.75" customHeight="1">
      <c r="A1917" s="1">
        <v>5.782508E7</v>
      </c>
      <c r="B1917" s="2" t="s">
        <v>3324</v>
      </c>
      <c r="C1917" s="19" t="s">
        <v>7479</v>
      </c>
      <c r="D1917" s="19"/>
      <c r="E1917" s="2"/>
      <c r="F1917" s="19"/>
    </row>
    <row r="1918" ht="15.75" customHeight="1">
      <c r="A1918" s="1">
        <v>5.7827537E7</v>
      </c>
      <c r="B1918" s="2" t="s">
        <v>2951</v>
      </c>
      <c r="C1918" s="19" t="s">
        <v>7480</v>
      </c>
      <c r="D1918" s="19" t="s">
        <v>7481</v>
      </c>
      <c r="E1918" s="2"/>
      <c r="F1918" s="19"/>
    </row>
    <row r="1919" ht="15.75" customHeight="1">
      <c r="A1919" s="1">
        <v>5.7828966E7</v>
      </c>
      <c r="B1919" s="2" t="s">
        <v>1948</v>
      </c>
      <c r="C1919" s="19" t="s">
        <v>7482</v>
      </c>
      <c r="D1919" s="19"/>
      <c r="E1919" s="2"/>
      <c r="F1919" s="19"/>
    </row>
    <row r="1920" ht="15.75" customHeight="1">
      <c r="A1920" s="1">
        <v>5.7831723E7</v>
      </c>
      <c r="B1920" s="2" t="s">
        <v>1758</v>
      </c>
      <c r="C1920" s="19" t="s">
        <v>7483</v>
      </c>
      <c r="D1920" s="19"/>
      <c r="E1920" s="2"/>
      <c r="F1920" s="19"/>
    </row>
    <row r="1921" ht="15.75" customHeight="1">
      <c r="A1921" s="1">
        <v>5.7832672E7</v>
      </c>
      <c r="B1921" s="2" t="s">
        <v>3370</v>
      </c>
      <c r="C1921" s="19" t="s">
        <v>7484</v>
      </c>
      <c r="D1921" s="19"/>
      <c r="E1921" s="2"/>
      <c r="F1921" s="19"/>
    </row>
    <row r="1922" ht="15.75" customHeight="1">
      <c r="A1922" s="1">
        <v>5.7833839E7</v>
      </c>
      <c r="B1922" s="2" t="s">
        <v>3227</v>
      </c>
      <c r="C1922" s="19" t="s">
        <v>7485</v>
      </c>
      <c r="D1922" s="19" t="s">
        <v>7486</v>
      </c>
      <c r="E1922" s="2"/>
      <c r="F1922" s="19"/>
    </row>
    <row r="1923" ht="15.75" customHeight="1">
      <c r="A1923" s="1">
        <v>5.7836593E7</v>
      </c>
      <c r="B1923" s="2" t="s">
        <v>2111</v>
      </c>
      <c r="C1923" s="19" t="s">
        <v>7487</v>
      </c>
      <c r="D1923" s="19"/>
      <c r="E1923" s="2"/>
      <c r="F1923" s="19"/>
    </row>
    <row r="1924" ht="15.75" customHeight="1">
      <c r="A1924" s="1">
        <v>5.7848501E7</v>
      </c>
      <c r="B1924" s="2" t="s">
        <v>2342</v>
      </c>
      <c r="C1924" s="19" t="s">
        <v>7488</v>
      </c>
      <c r="D1924" s="19" t="s">
        <v>7489</v>
      </c>
      <c r="E1924" s="2"/>
      <c r="F1924" s="19"/>
    </row>
    <row r="1925" ht="15.75" customHeight="1">
      <c r="A1925" s="1">
        <v>5.7849964E7</v>
      </c>
      <c r="B1925" s="2" t="s">
        <v>3371</v>
      </c>
      <c r="C1925" s="19" t="s">
        <v>7490</v>
      </c>
      <c r="D1925" s="19"/>
      <c r="E1925" s="2"/>
      <c r="F1925" s="19"/>
    </row>
    <row r="1926" ht="15.75" customHeight="1">
      <c r="A1926" s="1">
        <v>5.7850922E7</v>
      </c>
      <c r="B1926" s="2" t="s">
        <v>3175</v>
      </c>
      <c r="C1926" s="19" t="s">
        <v>7491</v>
      </c>
      <c r="D1926" s="19" t="s">
        <v>7492</v>
      </c>
      <c r="E1926" s="2"/>
      <c r="F1926" s="19"/>
    </row>
    <row r="1927" ht="15.75" customHeight="1">
      <c r="A1927" s="1">
        <v>5.7858132E7</v>
      </c>
      <c r="B1927" s="2" t="s">
        <v>3176</v>
      </c>
      <c r="C1927" s="19" t="s">
        <v>7493</v>
      </c>
      <c r="D1927" s="19" t="s">
        <v>7494</v>
      </c>
      <c r="E1927" s="2"/>
      <c r="F1927" s="19"/>
    </row>
    <row r="1928" ht="15.75" customHeight="1">
      <c r="A1928" s="1">
        <v>5.785925E7</v>
      </c>
      <c r="B1928" s="2" t="s">
        <v>2636</v>
      </c>
      <c r="C1928" s="19" t="s">
        <v>7495</v>
      </c>
      <c r="D1928" s="19"/>
      <c r="E1928" s="2"/>
      <c r="F1928" s="19"/>
    </row>
    <row r="1929" ht="15.75" customHeight="1">
      <c r="A1929" s="1">
        <v>5.7861623E7</v>
      </c>
      <c r="B1929" s="2" t="s">
        <v>3073</v>
      </c>
      <c r="C1929" s="19" t="s">
        <v>7496</v>
      </c>
      <c r="D1929" s="19"/>
      <c r="E1929" s="2"/>
      <c r="F1929" s="19"/>
    </row>
    <row r="1930" ht="15.75" customHeight="1">
      <c r="A1930" s="1">
        <v>5.7864148E7</v>
      </c>
      <c r="B1930" s="2" t="s">
        <v>2994</v>
      </c>
      <c r="C1930" s="19" t="s">
        <v>7497</v>
      </c>
      <c r="D1930" s="19"/>
      <c r="E1930" s="2"/>
      <c r="F1930" s="19"/>
    </row>
    <row r="1931" ht="15.75" customHeight="1">
      <c r="A1931" s="1">
        <v>5.7867919E7</v>
      </c>
      <c r="B1931" s="2" t="s">
        <v>2971</v>
      </c>
      <c r="C1931" s="19" t="s">
        <v>7498</v>
      </c>
      <c r="D1931" s="19"/>
      <c r="E1931" s="2"/>
      <c r="F1931" s="19"/>
    </row>
    <row r="1932" ht="15.75" customHeight="1">
      <c r="A1932" s="1">
        <v>5.7873246E7</v>
      </c>
      <c r="B1932" s="2" t="s">
        <v>2936</v>
      </c>
      <c r="C1932" s="19" t="s">
        <v>7499</v>
      </c>
      <c r="D1932" s="19"/>
      <c r="E1932" s="2"/>
      <c r="F1932" s="19"/>
    </row>
    <row r="1933" ht="15.75" customHeight="1">
      <c r="A1933" s="1">
        <v>5.7879053E7</v>
      </c>
      <c r="B1933" s="2" t="s">
        <v>2207</v>
      </c>
      <c r="C1933" s="19" t="s">
        <v>7500</v>
      </c>
      <c r="D1933" s="19"/>
      <c r="E1933" s="2"/>
      <c r="F1933" s="19"/>
    </row>
    <row r="1934" ht="15.75" customHeight="1">
      <c r="A1934" s="1">
        <v>5.7885314E7</v>
      </c>
      <c r="B1934" s="2" t="s">
        <v>2671</v>
      </c>
      <c r="C1934" s="19" t="s">
        <v>7501</v>
      </c>
      <c r="D1934" s="19"/>
      <c r="E1934" s="2"/>
      <c r="F1934" s="19"/>
    </row>
    <row r="1935" ht="15.75" customHeight="1">
      <c r="A1935" s="1">
        <v>5.7885877E7</v>
      </c>
      <c r="B1935" s="2" t="s">
        <v>2903</v>
      </c>
      <c r="C1935" s="19" t="s">
        <v>7502</v>
      </c>
      <c r="D1935" s="19"/>
      <c r="E1935" s="2"/>
      <c r="F1935" s="19"/>
    </row>
    <row r="1936" ht="15.75" customHeight="1">
      <c r="A1936" s="1">
        <v>5.7887686E7</v>
      </c>
      <c r="B1936" s="2" t="s">
        <v>1953</v>
      </c>
      <c r="C1936" s="19" t="s">
        <v>7503</v>
      </c>
      <c r="D1936" s="19"/>
      <c r="E1936" s="2"/>
      <c r="F1936" s="19"/>
    </row>
    <row r="1937" ht="15.75" customHeight="1">
      <c r="A1937" s="1">
        <v>5.7891475E7</v>
      </c>
      <c r="B1937" s="2" t="s">
        <v>2972</v>
      </c>
      <c r="C1937" s="19" t="s">
        <v>7504</v>
      </c>
      <c r="D1937" s="19"/>
      <c r="E1937" s="2"/>
      <c r="F1937" s="19"/>
    </row>
    <row r="1938" ht="15.75" customHeight="1">
      <c r="A1938" s="1">
        <v>5.7892682E7</v>
      </c>
      <c r="B1938" s="2" t="s">
        <v>3565</v>
      </c>
      <c r="C1938" s="19" t="s">
        <v>7505</v>
      </c>
      <c r="D1938" s="19"/>
      <c r="E1938" s="2"/>
      <c r="F1938" s="19"/>
    </row>
    <row r="1939" ht="15.75" customHeight="1">
      <c r="A1939" s="1">
        <v>5.7892931E7</v>
      </c>
      <c r="B1939" s="2" t="s">
        <v>3253</v>
      </c>
      <c r="C1939" s="19" t="s">
        <v>7506</v>
      </c>
      <c r="D1939" s="19" t="s">
        <v>7507</v>
      </c>
      <c r="E1939" s="2"/>
      <c r="F1939" s="19"/>
    </row>
    <row r="1940" ht="15.75" customHeight="1">
      <c r="A1940" s="1">
        <v>5.7894957E7</v>
      </c>
      <c r="B1940" s="2" t="s">
        <v>3372</v>
      </c>
      <c r="C1940" s="19" t="s">
        <v>7508</v>
      </c>
      <c r="D1940" s="19"/>
      <c r="E1940" s="2"/>
      <c r="F1940" s="19"/>
    </row>
    <row r="1941" ht="15.75" customHeight="1">
      <c r="A1941" s="1">
        <v>5.7895035E7</v>
      </c>
      <c r="B1941" s="2" t="s">
        <v>2395</v>
      </c>
      <c r="C1941" s="19" t="s">
        <v>7509</v>
      </c>
      <c r="D1941" s="19"/>
      <c r="E1941" s="2"/>
      <c r="F1941" s="19"/>
    </row>
    <row r="1942" ht="15.75" customHeight="1">
      <c r="A1942" s="1">
        <v>5.7895348E7</v>
      </c>
      <c r="B1942" s="2" t="s">
        <v>3103</v>
      </c>
      <c r="C1942" s="19" t="s">
        <v>7510</v>
      </c>
      <c r="D1942" s="19" t="s">
        <v>7511</v>
      </c>
      <c r="E1942" s="2"/>
      <c r="F1942" s="19"/>
    </row>
    <row r="1943" ht="15.75" customHeight="1">
      <c r="A1943" s="1">
        <v>5.7897359E7</v>
      </c>
      <c r="B1943" s="2" t="s">
        <v>2952</v>
      </c>
      <c r="C1943" s="19" t="s">
        <v>7512</v>
      </c>
      <c r="D1943" s="19"/>
      <c r="E1943" s="2"/>
      <c r="F1943" s="19"/>
    </row>
    <row r="1944" ht="15.75" customHeight="1">
      <c r="A1944" s="1">
        <v>5.7900028E7</v>
      </c>
      <c r="B1944" s="2" t="s">
        <v>2550</v>
      </c>
      <c r="C1944" s="19" t="s">
        <v>7513</v>
      </c>
      <c r="D1944" s="19" t="s">
        <v>7514</v>
      </c>
      <c r="E1944" s="2"/>
      <c r="F1944" s="19"/>
    </row>
    <row r="1945" ht="15.75" customHeight="1">
      <c r="A1945" s="1">
        <v>5.7901336E7</v>
      </c>
      <c r="B1945" s="2" t="s">
        <v>2973</v>
      </c>
      <c r="C1945" s="19" t="s">
        <v>7515</v>
      </c>
      <c r="D1945" s="19"/>
      <c r="E1945" s="2"/>
      <c r="F1945" s="19"/>
    </row>
    <row r="1946" ht="15.75" customHeight="1">
      <c r="A1946" s="1">
        <v>5.7909595E7</v>
      </c>
      <c r="B1946" s="2" t="s">
        <v>1868</v>
      </c>
      <c r="C1946" s="19" t="s">
        <v>7516</v>
      </c>
      <c r="D1946" s="19" t="s">
        <v>7517</v>
      </c>
      <c r="E1946" s="2"/>
      <c r="F1946" s="19"/>
    </row>
    <row r="1947" ht="15.75" customHeight="1">
      <c r="A1947" s="1">
        <v>5.7910501E7</v>
      </c>
      <c r="B1947" s="2" t="s">
        <v>1902</v>
      </c>
      <c r="C1947" s="19" t="s">
        <v>7518</v>
      </c>
      <c r="D1947" s="19" t="s">
        <v>7519</v>
      </c>
      <c r="E1947" s="2"/>
      <c r="F1947" s="19"/>
    </row>
    <row r="1948" ht="15.75" customHeight="1">
      <c r="A1948" s="1">
        <v>5.7916211E7</v>
      </c>
      <c r="B1948" s="2" t="s">
        <v>2706</v>
      </c>
      <c r="C1948" s="19" t="s">
        <v>7520</v>
      </c>
      <c r="D1948" s="19"/>
      <c r="E1948" s="2"/>
      <c r="F1948" s="19"/>
    </row>
    <row r="1949" ht="15.75" customHeight="1">
      <c r="A1949" s="1">
        <v>5.7918783E7</v>
      </c>
      <c r="B1949" s="2" t="s">
        <v>2733</v>
      </c>
      <c r="C1949" s="19" t="s">
        <v>7521</v>
      </c>
      <c r="D1949" s="19"/>
      <c r="E1949" s="2"/>
      <c r="F1949" s="19"/>
    </row>
    <row r="1950" ht="15.75" customHeight="1">
      <c r="A1950" s="1">
        <v>5.7927698E7</v>
      </c>
      <c r="B1950" s="2" t="s">
        <v>373</v>
      </c>
      <c r="C1950" s="19" t="s">
        <v>7522</v>
      </c>
      <c r="D1950" s="19"/>
      <c r="E1950" s="2"/>
      <c r="F1950" s="19"/>
    </row>
    <row r="1951" ht="15.75" customHeight="1">
      <c r="A1951" s="1">
        <v>5.7928329E7</v>
      </c>
      <c r="B1951" s="2" t="s">
        <v>3292</v>
      </c>
      <c r="C1951" s="19" t="s">
        <v>7523</v>
      </c>
      <c r="D1951" s="19" t="s">
        <v>7524</v>
      </c>
      <c r="E1951" s="2"/>
      <c r="F1951" s="19"/>
    </row>
    <row r="1952" ht="15.75" customHeight="1">
      <c r="A1952" s="1">
        <v>5.7931047E7</v>
      </c>
      <c r="B1952" s="2" t="s">
        <v>2746</v>
      </c>
      <c r="C1952" s="19" t="s">
        <v>7525</v>
      </c>
      <c r="D1952" s="19" t="s">
        <v>7526</v>
      </c>
      <c r="E1952" s="2"/>
      <c r="F1952" s="19"/>
    </row>
    <row r="1953" ht="15.75" customHeight="1">
      <c r="A1953" s="1">
        <v>5.7941287E7</v>
      </c>
      <c r="B1953" s="2" t="s">
        <v>2787</v>
      </c>
      <c r="C1953" s="19" t="s">
        <v>7527</v>
      </c>
      <c r="D1953" s="19" t="s">
        <v>7528</v>
      </c>
      <c r="E1953" s="2"/>
      <c r="F1953" s="19"/>
    </row>
    <row r="1954" ht="15.75" customHeight="1">
      <c r="A1954" s="1">
        <v>5.7944759E7</v>
      </c>
      <c r="B1954" s="2" t="s">
        <v>2892</v>
      </c>
      <c r="C1954" s="19" t="s">
        <v>7529</v>
      </c>
      <c r="D1954" s="19"/>
      <c r="E1954" s="2"/>
      <c r="F1954" s="19"/>
    </row>
    <row r="1955" ht="15.75" customHeight="1">
      <c r="A1955" s="1">
        <v>5.7958985E7</v>
      </c>
      <c r="B1955" s="2" t="s">
        <v>3015</v>
      </c>
      <c r="C1955" s="19" t="s">
        <v>7530</v>
      </c>
      <c r="D1955" s="19"/>
      <c r="E1955" s="2"/>
      <c r="F1955" s="19"/>
    </row>
    <row r="1956" ht="15.75" customHeight="1">
      <c r="A1956" s="1">
        <v>5.7963215E7</v>
      </c>
      <c r="B1956" s="2" t="s">
        <v>3394</v>
      </c>
      <c r="C1956" s="19" t="s">
        <v>7531</v>
      </c>
      <c r="D1956" s="19"/>
      <c r="E1956" s="2"/>
      <c r="F1956" s="19"/>
    </row>
    <row r="1957" ht="15.75" customHeight="1">
      <c r="A1957" s="1">
        <v>5.7969107E7</v>
      </c>
      <c r="B1957" s="2" t="s">
        <v>2508</v>
      </c>
      <c r="C1957" s="19" t="s">
        <v>7532</v>
      </c>
      <c r="D1957" s="19"/>
      <c r="E1957" s="2"/>
      <c r="F1957" s="19"/>
    </row>
    <row r="1958" ht="15.75" customHeight="1">
      <c r="A1958" s="1">
        <v>5.797156E7</v>
      </c>
      <c r="B1958" s="2" t="s">
        <v>2974</v>
      </c>
      <c r="C1958" s="19" t="s">
        <v>7533</v>
      </c>
      <c r="D1958" s="19"/>
      <c r="E1958" s="2"/>
      <c r="F1958" s="19"/>
    </row>
    <row r="1959" ht="15.75" customHeight="1">
      <c r="A1959" s="1">
        <v>5.7977027E7</v>
      </c>
      <c r="B1959" s="2" t="s">
        <v>1805</v>
      </c>
      <c r="C1959" s="19" t="s">
        <v>7534</v>
      </c>
      <c r="D1959" s="19" t="s">
        <v>7535</v>
      </c>
      <c r="E1959" s="2"/>
      <c r="F1959" s="19"/>
    </row>
    <row r="1960" ht="15.75" customHeight="1">
      <c r="A1960" s="1">
        <v>5.7978754E7</v>
      </c>
      <c r="B1960" s="2" t="s">
        <v>3104</v>
      </c>
      <c r="C1960" s="19" t="s">
        <v>7536</v>
      </c>
      <c r="D1960" s="19" t="s">
        <v>7537</v>
      </c>
      <c r="E1960" s="2"/>
      <c r="F1960" s="19"/>
    </row>
    <row r="1961" ht="15.75" customHeight="1">
      <c r="A1961" s="1">
        <v>5.7982913E7</v>
      </c>
      <c r="B1961" s="2" t="s">
        <v>1595</v>
      </c>
      <c r="C1961" s="19" t="s">
        <v>7538</v>
      </c>
      <c r="D1961" s="19"/>
      <c r="E1961" s="2"/>
      <c r="F1961" s="19"/>
    </row>
    <row r="1962" ht="15.75" customHeight="1">
      <c r="A1962" s="1">
        <v>5.7984097E7</v>
      </c>
      <c r="B1962" s="2" t="s">
        <v>228</v>
      </c>
      <c r="C1962" s="19" t="s">
        <v>7539</v>
      </c>
      <c r="D1962" s="19"/>
      <c r="E1962" s="2"/>
      <c r="F1962" s="19"/>
    </row>
    <row r="1963" ht="15.75" customHeight="1">
      <c r="A1963" s="1">
        <v>5.7996119E7</v>
      </c>
      <c r="B1963" s="2" t="s">
        <v>2620</v>
      </c>
      <c r="C1963" s="19" t="s">
        <v>7540</v>
      </c>
      <c r="D1963" s="19" t="s">
        <v>7541</v>
      </c>
      <c r="E1963" s="2"/>
      <c r="F1963" s="19"/>
    </row>
    <row r="1964" ht="15.75" customHeight="1">
      <c r="A1964" s="1">
        <v>5.7996398E7</v>
      </c>
      <c r="B1964" s="2" t="s">
        <v>3177</v>
      </c>
      <c r="C1964" s="19" t="s">
        <v>7542</v>
      </c>
      <c r="D1964" s="19"/>
      <c r="E1964" s="2"/>
      <c r="F1964" s="19"/>
    </row>
    <row r="1965" ht="15.75" customHeight="1">
      <c r="A1965" s="1">
        <v>5.8004108E7</v>
      </c>
      <c r="B1965" s="2" t="s">
        <v>2810</v>
      </c>
      <c r="C1965" s="19" t="s">
        <v>7543</v>
      </c>
      <c r="D1965" s="19"/>
      <c r="E1965" s="2"/>
      <c r="F1965" s="19"/>
    </row>
    <row r="1966" ht="15.75" customHeight="1">
      <c r="A1966" s="1">
        <v>5.8004855E7</v>
      </c>
      <c r="B1966" s="2" t="s">
        <v>3522</v>
      </c>
      <c r="C1966" s="19" t="s">
        <v>7544</v>
      </c>
      <c r="D1966" s="19"/>
      <c r="E1966" s="2"/>
      <c r="F1966" s="19"/>
    </row>
    <row r="1967" ht="15.75" customHeight="1">
      <c r="A1967" s="1">
        <v>5.8010768E7</v>
      </c>
      <c r="B1967" s="2" t="s">
        <v>1121</v>
      </c>
      <c r="C1967" s="19" t="s">
        <v>7545</v>
      </c>
      <c r="D1967" s="19"/>
      <c r="E1967" s="2"/>
      <c r="F1967" s="19"/>
    </row>
    <row r="1968" ht="15.75" customHeight="1">
      <c r="A1968" s="1">
        <v>5.8011656E7</v>
      </c>
      <c r="B1968" s="2" t="s">
        <v>2396</v>
      </c>
      <c r="C1968" s="19" t="s">
        <v>7546</v>
      </c>
      <c r="D1968" s="19" t="s">
        <v>7547</v>
      </c>
      <c r="E1968" s="2"/>
      <c r="F1968" s="19"/>
    </row>
    <row r="1969" ht="15.75" customHeight="1">
      <c r="A1969" s="1">
        <v>5.8018611E7</v>
      </c>
      <c r="B1969" s="2" t="s">
        <v>3119</v>
      </c>
      <c r="C1969" s="19" t="s">
        <v>7548</v>
      </c>
      <c r="D1969" s="19"/>
      <c r="E1969" s="2"/>
      <c r="F1969" s="19"/>
    </row>
    <row r="1970" ht="15.75" customHeight="1">
      <c r="A1970" s="1">
        <v>5.8018964E7</v>
      </c>
      <c r="B1970" s="2" t="s">
        <v>573</v>
      </c>
      <c r="C1970" s="19" t="s">
        <v>7549</v>
      </c>
      <c r="D1970" s="19"/>
      <c r="E1970" s="2"/>
      <c r="F1970" s="19"/>
    </row>
    <row r="1971" ht="15.75" customHeight="1">
      <c r="A1971" s="1">
        <v>5.8020564E7</v>
      </c>
      <c r="B1971" s="2" t="s">
        <v>1865</v>
      </c>
      <c r="C1971" s="19" t="s">
        <v>7550</v>
      </c>
      <c r="D1971" s="19"/>
      <c r="E1971" s="2"/>
      <c r="F1971" s="19"/>
    </row>
    <row r="1972" ht="15.75" customHeight="1">
      <c r="A1972" s="1">
        <v>5.8025822E7</v>
      </c>
      <c r="B1972" s="2" t="s">
        <v>2768</v>
      </c>
      <c r="C1972" s="19" t="s">
        <v>7551</v>
      </c>
      <c r="D1972" s="19" t="s">
        <v>7552</v>
      </c>
      <c r="E1972" s="2"/>
      <c r="F1972" s="19"/>
    </row>
    <row r="1973" ht="15.75" customHeight="1">
      <c r="A1973" s="1">
        <v>5.8028882E7</v>
      </c>
      <c r="B1973" s="2" t="s">
        <v>1155</v>
      </c>
      <c r="C1973" s="19" t="s">
        <v>7553</v>
      </c>
      <c r="D1973" s="19"/>
      <c r="E1973" s="2"/>
      <c r="F1973" s="19"/>
    </row>
    <row r="1974" ht="15.75" customHeight="1">
      <c r="A1974" s="1">
        <v>5.8030372E7</v>
      </c>
      <c r="B1974" s="2" t="s">
        <v>3593</v>
      </c>
      <c r="C1974" s="19" t="s">
        <v>7554</v>
      </c>
      <c r="D1974" s="19"/>
      <c r="E1974" s="2"/>
      <c r="F1974" s="19"/>
    </row>
    <row r="1975" ht="15.75" customHeight="1">
      <c r="A1975" s="1">
        <v>5.8031932E7</v>
      </c>
      <c r="B1975" s="2" t="s">
        <v>2953</v>
      </c>
      <c r="C1975" s="19" t="s">
        <v>7555</v>
      </c>
      <c r="D1975" s="19"/>
      <c r="E1975" s="2"/>
      <c r="F1975" s="19"/>
    </row>
    <row r="1976" ht="15.75" customHeight="1">
      <c r="A1976" s="1">
        <v>5.8032332E7</v>
      </c>
      <c r="B1976" s="2" t="s">
        <v>1518</v>
      </c>
      <c r="C1976" s="19" t="s">
        <v>7556</v>
      </c>
      <c r="D1976" s="19" t="s">
        <v>7557</v>
      </c>
      <c r="E1976" s="2"/>
      <c r="F1976" s="19"/>
    </row>
    <row r="1977" ht="15.75" customHeight="1">
      <c r="A1977" s="1">
        <v>5.8036007E7</v>
      </c>
      <c r="B1977" s="2" t="s">
        <v>1312</v>
      </c>
      <c r="C1977" s="19" t="s">
        <v>7558</v>
      </c>
      <c r="D1977" s="19"/>
      <c r="E1977" s="2"/>
      <c r="F1977" s="19"/>
    </row>
    <row r="1978" ht="15.75" customHeight="1">
      <c r="A1978" s="1">
        <v>5.8039038E7</v>
      </c>
      <c r="B1978" s="2" t="s">
        <v>1513</v>
      </c>
      <c r="C1978" s="19" t="s">
        <v>7559</v>
      </c>
      <c r="D1978" s="19" t="s">
        <v>7560</v>
      </c>
      <c r="E1978" s="2"/>
      <c r="F1978" s="19"/>
    </row>
    <row r="1979" ht="15.75" customHeight="1">
      <c r="A1979" s="1">
        <v>5.8041573E7</v>
      </c>
      <c r="B1979" s="2" t="s">
        <v>2199</v>
      </c>
      <c r="C1979" s="19" t="s">
        <v>7561</v>
      </c>
      <c r="D1979" s="19"/>
      <c r="E1979" s="2"/>
      <c r="F1979" s="19"/>
    </row>
    <row r="1980" ht="15.75" customHeight="1">
      <c r="A1980" s="1">
        <v>5.8053093E7</v>
      </c>
      <c r="B1980" s="2" t="s">
        <v>1579</v>
      </c>
      <c r="C1980" s="19" t="s">
        <v>7562</v>
      </c>
      <c r="D1980" s="19" t="s">
        <v>7563</v>
      </c>
      <c r="E1980" s="2"/>
      <c r="F1980" s="19"/>
    </row>
    <row r="1981" ht="15.75" customHeight="1">
      <c r="A1981" s="1">
        <v>5.8054024E7</v>
      </c>
      <c r="B1981" s="2" t="s">
        <v>2551</v>
      </c>
      <c r="C1981" s="19" t="s">
        <v>7564</v>
      </c>
      <c r="D1981" s="19" t="s">
        <v>7565</v>
      </c>
      <c r="E1981" s="2"/>
      <c r="F1981" s="19"/>
    </row>
    <row r="1982" ht="15.75" customHeight="1">
      <c r="A1982" s="1">
        <v>5.8054575E7</v>
      </c>
      <c r="B1982" s="2" t="s">
        <v>1533</v>
      </c>
      <c r="C1982" s="19" t="s">
        <v>7566</v>
      </c>
      <c r="D1982" s="19" t="s">
        <v>7567</v>
      </c>
      <c r="E1982" s="2"/>
      <c r="F1982" s="19"/>
    </row>
    <row r="1983" ht="15.75" customHeight="1">
      <c r="A1983" s="1">
        <v>5.8058193E7</v>
      </c>
      <c r="B1983" s="2" t="s">
        <v>3549</v>
      </c>
      <c r="C1983" s="19" t="s">
        <v>7568</v>
      </c>
      <c r="D1983" s="19"/>
      <c r="E1983" s="2"/>
      <c r="F1983" s="19"/>
    </row>
    <row r="1984" ht="15.75" customHeight="1">
      <c r="A1984" s="1">
        <v>5.8059973E7</v>
      </c>
      <c r="B1984" s="2" t="s">
        <v>3105</v>
      </c>
      <c r="C1984" s="19" t="s">
        <v>7569</v>
      </c>
      <c r="D1984" s="19"/>
      <c r="E1984" s="2"/>
      <c r="F1984" s="19"/>
    </row>
    <row r="1985" ht="15.75" customHeight="1">
      <c r="A1985" s="1">
        <v>5.807271E7</v>
      </c>
      <c r="B1985" s="2" t="s">
        <v>1211</v>
      </c>
      <c r="C1985" s="19" t="s">
        <v>7570</v>
      </c>
      <c r="D1985" s="19"/>
      <c r="E1985" s="2"/>
      <c r="F1985" s="19"/>
    </row>
    <row r="1986" ht="15.75" customHeight="1">
      <c r="A1986" s="1">
        <v>5.8074597E7</v>
      </c>
      <c r="B1986" s="2" t="s">
        <v>2263</v>
      </c>
      <c r="C1986" s="19" t="s">
        <v>7571</v>
      </c>
      <c r="D1986" s="19"/>
      <c r="E1986" s="2"/>
      <c r="F1986" s="19"/>
    </row>
    <row r="1987" ht="15.75" customHeight="1">
      <c r="A1987" s="1">
        <v>5.808121E7</v>
      </c>
      <c r="B1987" s="2" t="s">
        <v>522</v>
      </c>
      <c r="C1987" s="19" t="s">
        <v>7572</v>
      </c>
      <c r="D1987" s="19"/>
      <c r="E1987" s="2"/>
      <c r="F1987" s="19"/>
    </row>
    <row r="1988" ht="15.75" customHeight="1">
      <c r="A1988" s="1">
        <v>5.8081651E7</v>
      </c>
      <c r="B1988" s="2" t="s">
        <v>3198</v>
      </c>
      <c r="C1988" s="19" t="s">
        <v>7573</v>
      </c>
      <c r="D1988" s="19"/>
      <c r="E1988" s="2"/>
      <c r="F1988" s="19"/>
    </row>
    <row r="1989" ht="15.75" customHeight="1">
      <c r="A1989" s="1">
        <v>5.8082775E7</v>
      </c>
      <c r="B1989" s="2" t="s">
        <v>2597</v>
      </c>
      <c r="C1989" s="19" t="s">
        <v>7574</v>
      </c>
      <c r="D1989" s="19"/>
      <c r="E1989" s="2"/>
      <c r="F1989" s="19"/>
    </row>
    <row r="1990" ht="15.75" customHeight="1">
      <c r="A1990" s="1">
        <v>5.8083482E7</v>
      </c>
      <c r="B1990" s="2" t="s">
        <v>1414</v>
      </c>
      <c r="C1990" s="19" t="s">
        <v>7575</v>
      </c>
      <c r="D1990" s="19" t="s">
        <v>7576</v>
      </c>
      <c r="E1990" s="2"/>
      <c r="F1990" s="19"/>
    </row>
    <row r="1991" ht="15.75" customHeight="1">
      <c r="A1991" s="1">
        <v>5.8090624E7</v>
      </c>
      <c r="B1991" s="2" t="s">
        <v>2239</v>
      </c>
      <c r="C1991" s="19" t="s">
        <v>7577</v>
      </c>
      <c r="D1991" s="19"/>
      <c r="E1991" s="2"/>
      <c r="F1991" s="19"/>
    </row>
    <row r="1992" ht="15.75" customHeight="1">
      <c r="A1992" s="1">
        <v>5.8090993E7</v>
      </c>
      <c r="B1992" s="2" t="s">
        <v>3566</v>
      </c>
      <c r="C1992" s="19" t="s">
        <v>7578</v>
      </c>
      <c r="D1992" s="19"/>
      <c r="E1992" s="2"/>
      <c r="F1992" s="19"/>
    </row>
    <row r="1993" ht="15.75" customHeight="1">
      <c r="A1993" s="1">
        <v>5.8091962E7</v>
      </c>
      <c r="B1993" s="2" t="s">
        <v>2371</v>
      </c>
      <c r="C1993" s="19" t="s">
        <v>7579</v>
      </c>
      <c r="D1993" s="19"/>
      <c r="E1993" s="2"/>
      <c r="F1993" s="19"/>
    </row>
    <row r="1994" ht="15.75" customHeight="1">
      <c r="A1994" s="1">
        <v>5.8094733E7</v>
      </c>
      <c r="B1994" s="2" t="s">
        <v>2637</v>
      </c>
      <c r="C1994" s="19" t="s">
        <v>7580</v>
      </c>
      <c r="D1994" s="19"/>
      <c r="E1994" s="2"/>
      <c r="F1994" s="19"/>
    </row>
    <row r="1995" ht="15.75" customHeight="1">
      <c r="A1995" s="1">
        <v>5.80972E7</v>
      </c>
      <c r="B1995" s="2" t="s">
        <v>2208</v>
      </c>
      <c r="C1995" s="19" t="s">
        <v>7581</v>
      </c>
      <c r="D1995" s="19" t="s">
        <v>7582</v>
      </c>
      <c r="E1995" s="2"/>
      <c r="F1995" s="19"/>
    </row>
    <row r="1996" ht="15.75" customHeight="1">
      <c r="A1996" s="1">
        <v>5.8101336E7</v>
      </c>
      <c r="B1996" s="2" t="s">
        <v>1420</v>
      </c>
      <c r="C1996" s="19" t="s">
        <v>7583</v>
      </c>
      <c r="D1996" s="19" t="s">
        <v>7584</v>
      </c>
      <c r="E1996" s="2"/>
      <c r="F1996" s="19"/>
    </row>
    <row r="1997" ht="15.75" customHeight="1">
      <c r="A1997" s="1">
        <v>5.810172E7</v>
      </c>
      <c r="B1997" s="2" t="s">
        <v>1972</v>
      </c>
      <c r="C1997" s="19" t="s">
        <v>7585</v>
      </c>
      <c r="D1997" s="19" t="s">
        <v>7586</v>
      </c>
      <c r="E1997" s="2"/>
      <c r="F1997" s="19"/>
    </row>
    <row r="1998" ht="15.75" customHeight="1">
      <c r="A1998" s="1">
        <v>5.8101949E7</v>
      </c>
      <c r="B1998" s="2" t="s">
        <v>2995</v>
      </c>
      <c r="C1998" s="19" t="s">
        <v>7587</v>
      </c>
      <c r="D1998" s="19"/>
      <c r="E1998" s="2"/>
      <c r="F1998" s="19"/>
    </row>
    <row r="1999" ht="15.75" customHeight="1">
      <c r="A1999" s="1">
        <v>5.8102357E7</v>
      </c>
      <c r="B1999" s="2" t="s">
        <v>2591</v>
      </c>
      <c r="C1999" s="19" t="s">
        <v>7588</v>
      </c>
      <c r="D1999" s="19"/>
      <c r="E1999" s="2"/>
      <c r="F1999" s="19"/>
    </row>
    <row r="2000" ht="15.75" customHeight="1">
      <c r="A2000" s="1">
        <v>5.8102675E7</v>
      </c>
      <c r="B2000" s="2" t="s">
        <v>2231</v>
      </c>
      <c r="C2000" s="19" t="s">
        <v>7589</v>
      </c>
      <c r="D2000" s="19"/>
      <c r="E2000" s="2"/>
      <c r="F2000" s="19"/>
    </row>
    <row r="2001" ht="15.75" customHeight="1">
      <c r="A2001" s="1">
        <v>5.8109112E7</v>
      </c>
      <c r="B2001" s="2" t="s">
        <v>3178</v>
      </c>
      <c r="C2001" s="19" t="s">
        <v>7590</v>
      </c>
      <c r="D2001" s="19"/>
      <c r="E2001" s="2"/>
      <c r="F2001" s="19"/>
    </row>
    <row r="2002" ht="15.75" customHeight="1">
      <c r="A2002" s="1">
        <v>5.8111227E7</v>
      </c>
      <c r="B2002" s="2" t="s">
        <v>1656</v>
      </c>
      <c r="C2002" s="19" t="s">
        <v>7591</v>
      </c>
      <c r="D2002" s="19"/>
      <c r="E2002" s="2"/>
      <c r="F2002" s="19"/>
    </row>
    <row r="2003" ht="15.75" customHeight="1">
      <c r="A2003" s="1">
        <v>5.8112894E7</v>
      </c>
      <c r="B2003" s="2" t="s">
        <v>1580</v>
      </c>
      <c r="C2003" s="19" t="s">
        <v>7592</v>
      </c>
      <c r="D2003" s="19" t="s">
        <v>7593</v>
      </c>
      <c r="E2003" s="2"/>
      <c r="F2003" s="19"/>
    </row>
    <row r="2004" ht="15.75" customHeight="1">
      <c r="A2004" s="1">
        <v>5.811459E7</v>
      </c>
      <c r="B2004" s="2" t="s">
        <v>1941</v>
      </c>
      <c r="C2004" s="19" t="s">
        <v>7594</v>
      </c>
      <c r="D2004" s="19"/>
      <c r="E2004" s="2"/>
      <c r="F2004" s="19"/>
    </row>
    <row r="2005" ht="15.75" customHeight="1">
      <c r="A2005" s="1">
        <v>5.8115925E7</v>
      </c>
      <c r="B2005" s="2" t="s">
        <v>2472</v>
      </c>
      <c r="C2005" s="19" t="s">
        <v>7595</v>
      </c>
      <c r="D2005" s="19"/>
      <c r="E2005" s="2"/>
      <c r="F2005" s="19"/>
    </row>
    <row r="2006" ht="15.75" customHeight="1">
      <c r="A2006" s="1">
        <v>5.81168E7</v>
      </c>
      <c r="B2006" s="2" t="s">
        <v>750</v>
      </c>
      <c r="C2006" s="19" t="s">
        <v>7596</v>
      </c>
      <c r="D2006" s="19" t="s">
        <v>7597</v>
      </c>
      <c r="E2006" s="2"/>
      <c r="F2006" s="19"/>
    </row>
    <row r="2007" ht="15.75" customHeight="1">
      <c r="A2007" s="1">
        <v>5.811821E7</v>
      </c>
      <c r="B2007" s="2" t="s">
        <v>1958</v>
      </c>
      <c r="C2007" s="19" t="s">
        <v>7598</v>
      </c>
      <c r="D2007" s="19"/>
      <c r="E2007" s="2"/>
      <c r="F2007" s="19"/>
    </row>
    <row r="2008" ht="15.75" customHeight="1">
      <c r="A2008" s="1">
        <v>5.8118966E7</v>
      </c>
      <c r="B2008" s="2" t="s">
        <v>2209</v>
      </c>
      <c r="C2008" s="19" t="s">
        <v>7599</v>
      </c>
      <c r="D2008" s="19" t="s">
        <v>7600</v>
      </c>
      <c r="E2008" s="2"/>
      <c r="F2008" s="19"/>
    </row>
    <row r="2009" ht="15.75" customHeight="1">
      <c r="A2009" s="1">
        <v>5.8124237E7</v>
      </c>
      <c r="B2009" s="2" t="s">
        <v>2643</v>
      </c>
      <c r="C2009" s="19" t="s">
        <v>7601</v>
      </c>
      <c r="D2009" s="19" t="s">
        <v>7602</v>
      </c>
      <c r="E2009" s="2"/>
      <c r="F2009" s="19"/>
    </row>
    <row r="2010" ht="15.75" customHeight="1">
      <c r="A2010" s="1">
        <v>5.8134573E7</v>
      </c>
      <c r="B2010" s="2" t="s">
        <v>2184</v>
      </c>
      <c r="C2010" s="19" t="s">
        <v>7603</v>
      </c>
      <c r="D2010" s="19"/>
      <c r="E2010" s="2"/>
      <c r="F2010" s="19"/>
    </row>
    <row r="2011" ht="15.75" customHeight="1">
      <c r="A2011" s="1">
        <v>5.814316E7</v>
      </c>
      <c r="B2011" s="2" t="s">
        <v>2416</v>
      </c>
      <c r="C2011" s="19" t="s">
        <v>7604</v>
      </c>
      <c r="D2011" s="19"/>
      <c r="E2011" s="2"/>
      <c r="F2011" s="19"/>
    </row>
    <row r="2012" ht="15.75" customHeight="1">
      <c r="A2012" s="1">
        <v>5.814339E7</v>
      </c>
      <c r="B2012" s="2" t="s">
        <v>877</v>
      </c>
      <c r="C2012" s="19" t="s">
        <v>7605</v>
      </c>
      <c r="D2012" s="19"/>
      <c r="E2012" s="2"/>
      <c r="F2012" s="19"/>
    </row>
    <row r="2013" ht="15.75" customHeight="1">
      <c r="A2013" s="1">
        <v>5.8144437E7</v>
      </c>
      <c r="B2013" s="2" t="s">
        <v>2609</v>
      </c>
      <c r="C2013" s="19" t="s">
        <v>7606</v>
      </c>
      <c r="D2013" s="19"/>
      <c r="E2013" s="2"/>
      <c r="F2013" s="19"/>
    </row>
    <row r="2014" ht="15.75" customHeight="1">
      <c r="A2014" s="1">
        <v>5.8148161E7</v>
      </c>
      <c r="B2014" s="2" t="s">
        <v>2488</v>
      </c>
      <c r="C2014" s="19" t="s">
        <v>7607</v>
      </c>
      <c r="D2014" s="19"/>
      <c r="E2014" s="2"/>
      <c r="F2014" s="19"/>
    </row>
    <row r="2015" ht="15.75" customHeight="1">
      <c r="A2015" s="1">
        <v>5.8148729E7</v>
      </c>
      <c r="B2015" s="2" t="s">
        <v>3347</v>
      </c>
      <c r="C2015" s="19" t="s">
        <v>7608</v>
      </c>
      <c r="D2015" s="19"/>
      <c r="E2015" s="2"/>
      <c r="F2015" s="19"/>
    </row>
    <row r="2016" ht="15.75" customHeight="1">
      <c r="A2016" s="1">
        <v>5.8151144E7</v>
      </c>
      <c r="B2016" s="2" t="s">
        <v>2256</v>
      </c>
      <c r="C2016" s="19" t="s">
        <v>7609</v>
      </c>
      <c r="D2016" s="19" t="s">
        <v>7610</v>
      </c>
      <c r="E2016" s="2"/>
      <c r="F2016" s="19"/>
    </row>
    <row r="2017" ht="15.75" customHeight="1">
      <c r="A2017" s="1">
        <v>5.8155631E7</v>
      </c>
      <c r="B2017" s="2" t="s">
        <v>1752</v>
      </c>
      <c r="C2017" s="19" t="s">
        <v>7611</v>
      </c>
      <c r="D2017" s="19"/>
      <c r="E2017" s="2"/>
      <c r="F2017" s="19"/>
    </row>
    <row r="2018" ht="15.75" customHeight="1">
      <c r="A2018" s="1">
        <v>5.8161171E7</v>
      </c>
      <c r="B2018" s="2" t="s">
        <v>1208</v>
      </c>
      <c r="C2018" s="19" t="s">
        <v>7612</v>
      </c>
      <c r="D2018" s="19" t="s">
        <v>7613</v>
      </c>
      <c r="E2018" s="2"/>
      <c r="F2018" s="19"/>
    </row>
    <row r="2019" ht="15.75" customHeight="1">
      <c r="A2019" s="1">
        <v>5.8163017E7</v>
      </c>
      <c r="B2019" s="2" t="s">
        <v>1849</v>
      </c>
      <c r="C2019" s="19" t="s">
        <v>7614</v>
      </c>
      <c r="D2019" s="19"/>
      <c r="E2019" s="2"/>
      <c r="F2019" s="19"/>
    </row>
    <row r="2020" ht="15.75" customHeight="1">
      <c r="A2020" s="1">
        <v>5.817014E7</v>
      </c>
      <c r="B2020" s="2" t="s">
        <v>2190</v>
      </c>
      <c r="C2020" s="19" t="s">
        <v>7615</v>
      </c>
      <c r="D2020" s="19"/>
      <c r="E2020" s="2"/>
      <c r="F2020" s="19"/>
    </row>
    <row r="2021" ht="15.75" customHeight="1">
      <c r="A2021" s="1">
        <v>5.8172015E7</v>
      </c>
      <c r="B2021" s="2" t="s">
        <v>2056</v>
      </c>
      <c r="C2021" s="19" t="s">
        <v>7616</v>
      </c>
      <c r="D2021" s="19"/>
      <c r="E2021" s="2"/>
      <c r="F2021" s="19"/>
    </row>
    <row r="2022" ht="15.75" customHeight="1">
      <c r="A2022" s="1">
        <v>5.8174411E7</v>
      </c>
      <c r="B2022" s="2" t="s">
        <v>2004</v>
      </c>
      <c r="C2022" s="19" t="s">
        <v>7617</v>
      </c>
      <c r="D2022" s="19" t="s">
        <v>7618</v>
      </c>
      <c r="E2022" s="2"/>
      <c r="F2022" s="19"/>
    </row>
    <row r="2023" ht="15.75" customHeight="1">
      <c r="A2023" s="1">
        <v>5.8177425E7</v>
      </c>
      <c r="B2023" s="2" t="s">
        <v>2916</v>
      </c>
      <c r="C2023" s="19" t="s">
        <v>7619</v>
      </c>
      <c r="D2023" s="19"/>
      <c r="E2023" s="2"/>
      <c r="F2023" s="19"/>
    </row>
    <row r="2024" ht="15.75" customHeight="1">
      <c r="A2024" s="1">
        <v>5.8181033E7</v>
      </c>
      <c r="B2024" s="2" t="s">
        <v>2996</v>
      </c>
      <c r="C2024" s="19" t="s">
        <v>7620</v>
      </c>
      <c r="D2024" s="19"/>
      <c r="E2024" s="2"/>
      <c r="F2024" s="19"/>
    </row>
    <row r="2025" ht="15.75" customHeight="1">
      <c r="A2025" s="1">
        <v>5.8182689E7</v>
      </c>
      <c r="B2025" s="2" t="s">
        <v>2577</v>
      </c>
      <c r="C2025" s="19" t="s">
        <v>7621</v>
      </c>
      <c r="D2025" s="19"/>
      <c r="E2025" s="2"/>
      <c r="F2025" s="19"/>
    </row>
    <row r="2026" ht="15.75" customHeight="1">
      <c r="A2026" s="1">
        <v>5.8184044E7</v>
      </c>
      <c r="B2026" s="2" t="s">
        <v>1791</v>
      </c>
      <c r="C2026" s="19" t="s">
        <v>7622</v>
      </c>
      <c r="D2026" s="19"/>
      <c r="E2026" s="2"/>
      <c r="F2026" s="19"/>
    </row>
    <row r="2027" ht="15.75" customHeight="1">
      <c r="A2027" s="1">
        <v>5.8185005E7</v>
      </c>
      <c r="B2027" s="2" t="s">
        <v>1926</v>
      </c>
      <c r="C2027" s="19" t="s">
        <v>7623</v>
      </c>
      <c r="D2027" s="19"/>
      <c r="E2027" s="2"/>
      <c r="F2027" s="19"/>
    </row>
    <row r="2028" ht="15.75" customHeight="1">
      <c r="A2028" s="1">
        <v>5.8200678E7</v>
      </c>
      <c r="B2028" s="2" t="s">
        <v>2867</v>
      </c>
      <c r="C2028" s="19" t="s">
        <v>7624</v>
      </c>
      <c r="D2028" s="19" t="s">
        <v>7625</v>
      </c>
      <c r="E2028" s="2"/>
      <c r="F2028" s="19"/>
    </row>
    <row r="2029" ht="15.75" customHeight="1">
      <c r="A2029" s="1">
        <v>5.8205324E7</v>
      </c>
      <c r="B2029" s="2" t="s">
        <v>2592</v>
      </c>
      <c r="C2029" s="19" t="s">
        <v>7626</v>
      </c>
      <c r="D2029" s="19"/>
      <c r="E2029" s="2"/>
      <c r="F2029" s="19"/>
    </row>
    <row r="2030" ht="15.75" customHeight="1">
      <c r="A2030" s="1">
        <v>5.8205707E7</v>
      </c>
      <c r="B2030" s="2" t="s">
        <v>3150</v>
      </c>
      <c r="C2030" s="19" t="s">
        <v>7627</v>
      </c>
      <c r="D2030" s="19"/>
      <c r="E2030" s="2"/>
      <c r="F2030" s="19"/>
    </row>
    <row r="2031" ht="15.75" customHeight="1">
      <c r="A2031" s="1">
        <v>5.8207245E7</v>
      </c>
      <c r="B2031" s="2" t="s">
        <v>1209</v>
      </c>
      <c r="C2031" s="19" t="s">
        <v>7628</v>
      </c>
      <c r="D2031" s="19"/>
      <c r="E2031" s="2"/>
      <c r="F2031" s="19"/>
    </row>
    <row r="2032" ht="15.75" customHeight="1">
      <c r="A2032" s="1">
        <v>5.8218403E7</v>
      </c>
      <c r="B2032" s="2" t="s">
        <v>2301</v>
      </c>
      <c r="C2032" s="19" t="s">
        <v>7629</v>
      </c>
      <c r="D2032" s="19"/>
      <c r="E2032" s="2"/>
      <c r="F2032" s="19"/>
    </row>
    <row r="2033" ht="15.75" customHeight="1">
      <c r="A2033" s="1">
        <v>5.8221451E7</v>
      </c>
      <c r="B2033" s="2" t="s">
        <v>2593</v>
      </c>
      <c r="C2033" s="19" t="s">
        <v>7630</v>
      </c>
      <c r="D2033" s="19" t="s">
        <v>7631</v>
      </c>
      <c r="E2033" s="2"/>
      <c r="F2033" s="19"/>
    </row>
    <row r="2034" ht="15.75" customHeight="1">
      <c r="A2034" s="1">
        <v>5.8221749E7</v>
      </c>
      <c r="B2034" s="2" t="s">
        <v>2345</v>
      </c>
      <c r="C2034" s="19" t="s">
        <v>7632</v>
      </c>
      <c r="D2034" s="19" t="s">
        <v>7633</v>
      </c>
      <c r="E2034" s="2"/>
      <c r="F2034" s="19"/>
    </row>
    <row r="2035" ht="15.75" customHeight="1">
      <c r="A2035" s="1">
        <v>5.8222198E7</v>
      </c>
      <c r="B2035" s="2" t="s">
        <v>1241</v>
      </c>
      <c r="C2035" s="19" t="s">
        <v>7634</v>
      </c>
      <c r="D2035" s="19" t="s">
        <v>7635</v>
      </c>
      <c r="E2035" s="2"/>
      <c r="F2035" s="19"/>
    </row>
    <row r="2036" ht="15.75" customHeight="1">
      <c r="A2036" s="1">
        <v>5.8224388E7</v>
      </c>
      <c r="B2036" s="2" t="s">
        <v>2264</v>
      </c>
      <c r="C2036" s="19" t="s">
        <v>7636</v>
      </c>
      <c r="D2036" s="19"/>
      <c r="E2036" s="2"/>
      <c r="F2036" s="19"/>
    </row>
    <row r="2037" ht="15.75" customHeight="1">
      <c r="A2037" s="1">
        <v>5.8227669E7</v>
      </c>
      <c r="B2037" s="2" t="s">
        <v>3199</v>
      </c>
      <c r="C2037" s="19" t="s">
        <v>7637</v>
      </c>
      <c r="D2037" s="19"/>
      <c r="E2037" s="2"/>
      <c r="F2037" s="19"/>
    </row>
    <row r="2038" ht="15.75" customHeight="1">
      <c r="A2038" s="1">
        <v>5.8229641E7</v>
      </c>
      <c r="B2038" s="2" t="s">
        <v>3571</v>
      </c>
      <c r="C2038" s="19" t="s">
        <v>7638</v>
      </c>
      <c r="D2038" s="19"/>
      <c r="E2038" s="2"/>
      <c r="F2038" s="19"/>
    </row>
    <row r="2039" ht="15.75" customHeight="1">
      <c r="A2039" s="1">
        <v>5.8232113E7</v>
      </c>
      <c r="B2039" s="2" t="s">
        <v>2868</v>
      </c>
      <c r="C2039" s="19" t="s">
        <v>7639</v>
      </c>
      <c r="D2039" s="19"/>
      <c r="E2039" s="2"/>
      <c r="F2039" s="19"/>
    </row>
    <row r="2040" ht="15.75" customHeight="1">
      <c r="A2040" s="1">
        <v>5.824864E7</v>
      </c>
      <c r="B2040" s="2" t="s">
        <v>3279</v>
      </c>
      <c r="C2040" s="19" t="s">
        <v>7640</v>
      </c>
      <c r="D2040" s="19"/>
      <c r="E2040" s="2"/>
      <c r="F2040" s="19"/>
    </row>
    <row r="2041" ht="15.75" customHeight="1">
      <c r="A2041" s="1">
        <v>5.8249552E7</v>
      </c>
      <c r="B2041" s="2" t="s">
        <v>2904</v>
      </c>
      <c r="C2041" s="19" t="s">
        <v>7641</v>
      </c>
      <c r="D2041" s="19"/>
      <c r="E2041" s="2"/>
      <c r="F2041" s="19"/>
    </row>
    <row r="2042" ht="15.75" customHeight="1">
      <c r="A2042" s="1">
        <v>5.8251535E7</v>
      </c>
      <c r="B2042" s="2" t="s">
        <v>2839</v>
      </c>
      <c r="C2042" s="19" t="s">
        <v>7642</v>
      </c>
      <c r="D2042" s="19" t="s">
        <v>7643</v>
      </c>
      <c r="E2042" s="2"/>
      <c r="F2042" s="19"/>
    </row>
    <row r="2043" ht="15.75" customHeight="1">
      <c r="A2043" s="1">
        <v>5.8251999E7</v>
      </c>
      <c r="B2043" s="2" t="s">
        <v>2661</v>
      </c>
      <c r="C2043" s="19" t="s">
        <v>7644</v>
      </c>
      <c r="D2043" s="19"/>
      <c r="E2043" s="2"/>
      <c r="F2043" s="19"/>
    </row>
    <row r="2044" ht="15.75" customHeight="1">
      <c r="A2044" s="1">
        <v>5.8252971E7</v>
      </c>
      <c r="B2044" s="2" t="s">
        <v>2651</v>
      </c>
      <c r="C2044" s="19" t="s">
        <v>7645</v>
      </c>
      <c r="D2044" s="19"/>
      <c r="E2044" s="2"/>
      <c r="F2044" s="19"/>
    </row>
    <row r="2045" ht="15.75" customHeight="1">
      <c r="A2045" s="1">
        <v>5.8255162E7</v>
      </c>
      <c r="B2045" s="2" t="s">
        <v>2214</v>
      </c>
      <c r="C2045" s="19" t="s">
        <v>7646</v>
      </c>
      <c r="D2045" s="19"/>
      <c r="E2045" s="2"/>
      <c r="F2045" s="19"/>
    </row>
    <row r="2046" ht="15.75" customHeight="1">
      <c r="A2046" s="1">
        <v>5.8264615E7</v>
      </c>
      <c r="B2046" s="2" t="s">
        <v>3359</v>
      </c>
      <c r="C2046" s="19" t="s">
        <v>7647</v>
      </c>
      <c r="D2046" s="19"/>
      <c r="E2046" s="2"/>
      <c r="F2046" s="19"/>
    </row>
    <row r="2047" ht="15.75" customHeight="1">
      <c r="A2047" s="1">
        <v>5.8270907E7</v>
      </c>
      <c r="B2047" s="2" t="s">
        <v>3074</v>
      </c>
      <c r="C2047" s="19" t="s">
        <v>7648</v>
      </c>
      <c r="D2047" s="19"/>
      <c r="E2047" s="2"/>
      <c r="F2047" s="19"/>
    </row>
    <row r="2048" ht="15.75" customHeight="1">
      <c r="A2048" s="1">
        <v>5.8273933E7</v>
      </c>
      <c r="B2048" s="2" t="s">
        <v>3089</v>
      </c>
      <c r="C2048" s="19" t="s">
        <v>7649</v>
      </c>
      <c r="D2048" s="19"/>
      <c r="E2048" s="2"/>
      <c r="F2048" s="19"/>
    </row>
    <row r="2049" ht="15.75" customHeight="1">
      <c r="A2049" s="1">
        <v>5.8275712E7</v>
      </c>
      <c r="B2049" s="2" t="s">
        <v>3461</v>
      </c>
      <c r="C2049" s="19" t="s">
        <v>7650</v>
      </c>
      <c r="D2049" s="19"/>
      <c r="E2049" s="2"/>
      <c r="F2049" s="19"/>
    </row>
    <row r="2050" ht="15.75" customHeight="1">
      <c r="A2050" s="1">
        <v>5.8281244E7</v>
      </c>
      <c r="B2050" s="2" t="s">
        <v>2417</v>
      </c>
      <c r="C2050" s="19" t="s">
        <v>7651</v>
      </c>
      <c r="D2050" s="19" t="s">
        <v>7652</v>
      </c>
      <c r="E2050" s="2"/>
      <c r="F2050" s="19"/>
    </row>
    <row r="2051" ht="15.75" customHeight="1">
      <c r="A2051" s="1">
        <v>5.828943E7</v>
      </c>
      <c r="B2051" s="2" t="s">
        <v>423</v>
      </c>
      <c r="C2051" s="19" t="s">
        <v>7653</v>
      </c>
      <c r="D2051" s="19"/>
      <c r="E2051" s="2"/>
      <c r="F2051" s="19"/>
    </row>
    <row r="2052" ht="15.75" customHeight="1">
      <c r="A2052" s="1">
        <v>5.828956E7</v>
      </c>
      <c r="B2052" s="2" t="s">
        <v>3043</v>
      </c>
      <c r="C2052" s="19" t="s">
        <v>7654</v>
      </c>
      <c r="D2052" s="19"/>
      <c r="E2052" s="2"/>
      <c r="F2052" s="19"/>
    </row>
    <row r="2053" ht="15.75" customHeight="1">
      <c r="A2053" s="1">
        <v>5.8292569E7</v>
      </c>
      <c r="B2053" s="2" t="s">
        <v>988</v>
      </c>
      <c r="C2053" s="19" t="s">
        <v>7655</v>
      </c>
      <c r="D2053" s="19" t="s">
        <v>7656</v>
      </c>
      <c r="E2053" s="2"/>
      <c r="F2053" s="19"/>
    </row>
    <row r="2054" ht="15.75" customHeight="1">
      <c r="A2054" s="1">
        <v>5.8293197E7</v>
      </c>
      <c r="B2054" s="2" t="s">
        <v>631</v>
      </c>
      <c r="C2054" s="19" t="s">
        <v>7657</v>
      </c>
      <c r="D2054" s="19" t="s">
        <v>7658</v>
      </c>
      <c r="E2054" s="2"/>
      <c r="F2054" s="19"/>
    </row>
    <row r="2055" ht="15.75" customHeight="1">
      <c r="A2055" s="1">
        <v>5.8294034E7</v>
      </c>
      <c r="B2055" s="2" t="s">
        <v>2769</v>
      </c>
      <c r="C2055" s="19" t="s">
        <v>7659</v>
      </c>
      <c r="D2055" s="19"/>
      <c r="E2055" s="2"/>
      <c r="F2055" s="19"/>
    </row>
    <row r="2056" ht="15.75" customHeight="1">
      <c r="A2056" s="1">
        <v>5.8296033E7</v>
      </c>
      <c r="B2056" s="2" t="s">
        <v>3151</v>
      </c>
      <c r="C2056" s="19" t="s">
        <v>7660</v>
      </c>
      <c r="D2056" s="19" t="s">
        <v>7661</v>
      </c>
      <c r="E2056" s="2"/>
      <c r="F2056" s="19"/>
    </row>
    <row r="2057" ht="15.75" customHeight="1">
      <c r="A2057" s="1">
        <v>5.8297072E7</v>
      </c>
      <c r="B2057" s="2" t="s">
        <v>2365</v>
      </c>
      <c r="C2057" s="19" t="s">
        <v>7662</v>
      </c>
      <c r="D2057" s="19"/>
      <c r="E2057" s="2"/>
      <c r="F2057" s="19"/>
    </row>
    <row r="2058" ht="15.75" customHeight="1">
      <c r="A2058" s="1">
        <v>5.8300168E7</v>
      </c>
      <c r="B2058" s="2" t="s">
        <v>3044</v>
      </c>
      <c r="C2058" s="19" t="s">
        <v>7663</v>
      </c>
      <c r="D2058" s="19"/>
      <c r="E2058" s="2"/>
      <c r="F2058" s="19"/>
    </row>
    <row r="2059" ht="15.75" customHeight="1">
      <c r="A2059" s="1">
        <v>5.8302431E7</v>
      </c>
      <c r="B2059" s="2" t="s">
        <v>3594</v>
      </c>
      <c r="C2059" s="19" t="s">
        <v>7664</v>
      </c>
      <c r="D2059" s="19"/>
      <c r="E2059" s="2"/>
      <c r="F2059" s="19"/>
    </row>
    <row r="2060" ht="15.75" customHeight="1">
      <c r="A2060" s="1">
        <v>5.8303923E7</v>
      </c>
      <c r="B2060" s="2" t="s">
        <v>2720</v>
      </c>
      <c r="C2060" s="19" t="s">
        <v>7665</v>
      </c>
      <c r="D2060" s="19"/>
      <c r="E2060" s="2"/>
      <c r="F2060" s="19"/>
    </row>
    <row r="2061" ht="15.75" customHeight="1">
      <c r="A2061" s="1">
        <v>5.8307208E7</v>
      </c>
      <c r="B2061" s="2" t="s">
        <v>1464</v>
      </c>
      <c r="C2061" s="19" t="s">
        <v>7666</v>
      </c>
      <c r="D2061" s="19"/>
      <c r="E2061" s="2"/>
      <c r="F2061" s="19"/>
    </row>
    <row r="2062" ht="15.75" customHeight="1">
      <c r="A2062" s="1">
        <v>5.8316719E7</v>
      </c>
      <c r="B2062" s="2" t="s">
        <v>3325</v>
      </c>
      <c r="C2062" s="19" t="s">
        <v>7667</v>
      </c>
      <c r="D2062" s="19"/>
      <c r="E2062" s="2"/>
      <c r="F2062" s="19"/>
    </row>
    <row r="2063" ht="15.75" customHeight="1">
      <c r="A2063" s="1">
        <v>5.8317425E7</v>
      </c>
      <c r="B2063" s="2" t="s">
        <v>3045</v>
      </c>
      <c r="C2063" s="19" t="s">
        <v>7668</v>
      </c>
      <c r="D2063" s="19"/>
      <c r="E2063" s="2"/>
      <c r="F2063" s="19"/>
    </row>
    <row r="2064" ht="15.75" customHeight="1">
      <c r="A2064" s="1">
        <v>5.832373E7</v>
      </c>
      <c r="B2064" s="2" t="s">
        <v>3127</v>
      </c>
      <c r="C2064" s="19" t="s">
        <v>7669</v>
      </c>
      <c r="D2064" s="19"/>
      <c r="E2064" s="2"/>
      <c r="F2064" s="19"/>
    </row>
    <row r="2065" ht="15.75" customHeight="1">
      <c r="A2065" s="1">
        <v>5.832553E7</v>
      </c>
      <c r="B2065" s="2" t="s">
        <v>2811</v>
      </c>
      <c r="C2065" s="19" t="s">
        <v>7670</v>
      </c>
      <c r="D2065" s="19"/>
      <c r="E2065" s="2"/>
      <c r="F2065" s="19"/>
    </row>
    <row r="2066" ht="15.75" customHeight="1">
      <c r="A2066" s="1">
        <v>5.8325798E7</v>
      </c>
      <c r="B2066" s="2" t="s">
        <v>1187</v>
      </c>
      <c r="C2066" s="19" t="s">
        <v>7671</v>
      </c>
      <c r="D2066" s="19"/>
      <c r="E2066" s="2"/>
      <c r="F2066" s="19"/>
    </row>
    <row r="2067" ht="15.75" customHeight="1">
      <c r="A2067" s="1">
        <v>5.8328684E7</v>
      </c>
      <c r="B2067" s="2" t="s">
        <v>3567</v>
      </c>
      <c r="C2067" s="19" t="s">
        <v>7672</v>
      </c>
      <c r="D2067" s="19"/>
      <c r="E2067" s="2"/>
      <c r="F2067" s="19"/>
    </row>
    <row r="2068" ht="15.75" customHeight="1">
      <c r="A2068" s="1">
        <v>5.8333964E7</v>
      </c>
      <c r="B2068" s="2" t="s">
        <v>2788</v>
      </c>
      <c r="C2068" s="19" t="s">
        <v>7673</v>
      </c>
      <c r="D2068" s="19"/>
      <c r="E2068" s="2"/>
      <c r="F2068" s="19"/>
    </row>
    <row r="2069" ht="15.75" customHeight="1">
      <c r="A2069" s="1">
        <v>5.8337924E7</v>
      </c>
      <c r="B2069" s="2" t="s">
        <v>1445</v>
      </c>
      <c r="C2069" s="19" t="s">
        <v>7674</v>
      </c>
      <c r="D2069" s="19" t="s">
        <v>7675</v>
      </c>
      <c r="E2069" s="2"/>
      <c r="F2069" s="19"/>
    </row>
    <row r="2070" ht="15.75" customHeight="1">
      <c r="A2070" s="1">
        <v>5.8339319E7</v>
      </c>
      <c r="B2070" s="2" t="s">
        <v>2882</v>
      </c>
      <c r="C2070" s="19" t="s">
        <v>7676</v>
      </c>
      <c r="D2070" s="19" t="s">
        <v>7677</v>
      </c>
      <c r="E2070" s="2"/>
      <c r="F2070" s="19"/>
    </row>
    <row r="2071" ht="15.75" customHeight="1">
      <c r="A2071" s="1">
        <v>5.8340827E7</v>
      </c>
      <c r="B2071" s="2" t="s">
        <v>3580</v>
      </c>
      <c r="C2071" s="19" t="s">
        <v>7678</v>
      </c>
      <c r="D2071" s="19"/>
      <c r="E2071" s="2"/>
      <c r="F2071" s="19"/>
    </row>
    <row r="2072" ht="15.75" customHeight="1">
      <c r="A2072" s="1">
        <v>5.8344651E7</v>
      </c>
      <c r="B2072" s="2" t="s">
        <v>439</v>
      </c>
      <c r="C2072" s="19" t="s">
        <v>7679</v>
      </c>
      <c r="D2072" s="19"/>
      <c r="E2072" s="2"/>
      <c r="F2072" s="19"/>
    </row>
    <row r="2073" ht="15.75" customHeight="1">
      <c r="A2073" s="1">
        <v>5.8344741E7</v>
      </c>
      <c r="B2073" s="2" t="s">
        <v>3438</v>
      </c>
      <c r="C2073" s="19" t="s">
        <v>7680</v>
      </c>
      <c r="D2073" s="19"/>
      <c r="E2073" s="2"/>
      <c r="F2073" s="19"/>
    </row>
    <row r="2074" ht="15.75" customHeight="1">
      <c r="A2074" s="1">
        <v>5.8345697E7</v>
      </c>
      <c r="B2074" s="2" t="s">
        <v>1822</v>
      </c>
      <c r="C2074" s="19" t="s">
        <v>7681</v>
      </c>
      <c r="D2074" s="19"/>
      <c r="E2074" s="2"/>
      <c r="F2074" s="19"/>
    </row>
    <row r="2075" ht="15.75" customHeight="1">
      <c r="A2075" s="1">
        <v>5.834658E7</v>
      </c>
      <c r="B2075" s="2" t="s">
        <v>2427</v>
      </c>
      <c r="C2075" s="19" t="s">
        <v>7682</v>
      </c>
      <c r="D2075" s="19"/>
      <c r="E2075" s="2"/>
      <c r="F2075" s="19"/>
    </row>
    <row r="2076" ht="15.75" customHeight="1">
      <c r="A2076" s="1">
        <v>5.836016E7</v>
      </c>
      <c r="B2076" s="2" t="s">
        <v>2770</v>
      </c>
      <c r="C2076" s="19" t="s">
        <v>7683</v>
      </c>
      <c r="D2076" s="19"/>
      <c r="E2076" s="2"/>
      <c r="F2076" s="19"/>
    </row>
    <row r="2077" ht="15.75" customHeight="1">
      <c r="A2077" s="1">
        <v>5.8362057E7</v>
      </c>
      <c r="B2077" s="2" t="s">
        <v>3200</v>
      </c>
      <c r="C2077" s="19" t="s">
        <v>7684</v>
      </c>
      <c r="D2077" s="19"/>
      <c r="E2077" s="2"/>
      <c r="F2077" s="19"/>
    </row>
    <row r="2078" ht="15.75" customHeight="1">
      <c r="A2078" s="1">
        <v>5.837151E7</v>
      </c>
      <c r="B2078" s="2" t="s">
        <v>1728</v>
      </c>
      <c r="C2078" s="19" t="s">
        <v>7685</v>
      </c>
      <c r="D2078" s="19"/>
      <c r="E2078" s="2"/>
      <c r="F2078" s="19"/>
    </row>
    <row r="2079" ht="15.75" customHeight="1">
      <c r="A2079" s="1">
        <v>5.8372218E7</v>
      </c>
      <c r="B2079" s="2" t="s">
        <v>2503</v>
      </c>
      <c r="C2079" s="19" t="s">
        <v>7686</v>
      </c>
      <c r="D2079" s="19"/>
      <c r="E2079" s="2"/>
      <c r="F2079" s="19"/>
    </row>
    <row r="2080" ht="15.75" customHeight="1">
      <c r="A2080" s="1">
        <v>5.8372921E7</v>
      </c>
      <c r="B2080" s="2" t="s">
        <v>2997</v>
      </c>
      <c r="C2080" s="19" t="s">
        <v>7687</v>
      </c>
      <c r="D2080" s="19" t="s">
        <v>7688</v>
      </c>
      <c r="E2080" s="2"/>
      <c r="F2080" s="19"/>
    </row>
    <row r="2081" ht="15.75" customHeight="1">
      <c r="A2081" s="1">
        <v>5.8374422E7</v>
      </c>
      <c r="B2081" s="2" t="s">
        <v>1907</v>
      </c>
      <c r="C2081" s="19" t="s">
        <v>7689</v>
      </c>
      <c r="D2081" s="19"/>
      <c r="E2081" s="2"/>
      <c r="F2081" s="19"/>
    </row>
    <row r="2082" ht="15.75" customHeight="1">
      <c r="A2082" s="1">
        <v>5.8376301E7</v>
      </c>
      <c r="B2082" s="2" t="s">
        <v>2222</v>
      </c>
      <c r="C2082" s="19" t="s">
        <v>7690</v>
      </c>
      <c r="D2082" s="19" t="s">
        <v>7691</v>
      </c>
      <c r="E2082" s="2"/>
      <c r="F2082" s="19"/>
    </row>
    <row r="2083" ht="15.75" customHeight="1">
      <c r="A2083" s="1">
        <v>5.8378119E7</v>
      </c>
      <c r="B2083" s="2" t="s">
        <v>2789</v>
      </c>
      <c r="C2083" s="19" t="s">
        <v>7692</v>
      </c>
      <c r="D2083" s="19" t="s">
        <v>7693</v>
      </c>
      <c r="E2083" s="2"/>
      <c r="F2083" s="19"/>
    </row>
    <row r="2084" ht="15.75" customHeight="1">
      <c r="A2084" s="1">
        <v>5.8379764E7</v>
      </c>
      <c r="B2084" s="2" t="s">
        <v>2446</v>
      </c>
      <c r="C2084" s="19" t="s">
        <v>7694</v>
      </c>
      <c r="D2084" s="19"/>
      <c r="E2084" s="2"/>
      <c r="F2084" s="19"/>
    </row>
    <row r="2085" ht="15.75" customHeight="1">
      <c r="A2085" s="1">
        <v>5.8382314E7</v>
      </c>
      <c r="B2085" s="2" t="s">
        <v>1600</v>
      </c>
      <c r="C2085" s="19" t="s">
        <v>7695</v>
      </c>
      <c r="D2085" s="19"/>
      <c r="E2085" s="2"/>
      <c r="F2085" s="19"/>
    </row>
    <row r="2086" ht="15.75" customHeight="1">
      <c r="A2086" s="1">
        <v>5.8384037E7</v>
      </c>
      <c r="B2086" s="2" t="s">
        <v>2954</v>
      </c>
      <c r="C2086" s="19" t="s">
        <v>7696</v>
      </c>
      <c r="D2086" s="19"/>
      <c r="E2086" s="2"/>
      <c r="F2086" s="19"/>
    </row>
    <row r="2087" ht="15.75" customHeight="1">
      <c r="A2087" s="1">
        <v>5.8384749E7</v>
      </c>
      <c r="B2087" s="2" t="s">
        <v>3016</v>
      </c>
      <c r="C2087" s="19" t="s">
        <v>7697</v>
      </c>
      <c r="D2087" s="19"/>
      <c r="E2087" s="2"/>
      <c r="F2087" s="19"/>
    </row>
    <row r="2088" ht="15.75" customHeight="1">
      <c r="A2088" s="1">
        <v>5.8394762E7</v>
      </c>
      <c r="B2088" s="2" t="s">
        <v>2707</v>
      </c>
      <c r="C2088" s="19" t="s">
        <v>7698</v>
      </c>
      <c r="D2088" s="19"/>
      <c r="E2088" s="2"/>
      <c r="F2088" s="19"/>
    </row>
    <row r="2089" ht="15.75" customHeight="1">
      <c r="A2089" s="1">
        <v>5.8400948E7</v>
      </c>
      <c r="B2089" s="2" t="s">
        <v>1137</v>
      </c>
      <c r="C2089" s="19" t="s">
        <v>7699</v>
      </c>
      <c r="D2089" s="19"/>
      <c r="E2089" s="2"/>
      <c r="F2089" s="19"/>
    </row>
    <row r="2090" ht="15.75" customHeight="1">
      <c r="A2090" s="1">
        <v>5.8401391E7</v>
      </c>
      <c r="B2090" s="2" t="s">
        <v>2610</v>
      </c>
      <c r="C2090" s="19" t="s">
        <v>7700</v>
      </c>
      <c r="D2090" s="19"/>
      <c r="E2090" s="2"/>
      <c r="F2090" s="19"/>
    </row>
    <row r="2091" ht="15.75" customHeight="1">
      <c r="A2091" s="1">
        <v>5.8405973E7</v>
      </c>
      <c r="B2091" s="2" t="s">
        <v>1049</v>
      </c>
      <c r="C2091" s="19" t="s">
        <v>7701</v>
      </c>
      <c r="D2091" s="19" t="s">
        <v>7702</v>
      </c>
      <c r="E2091" s="2"/>
      <c r="F2091" s="19"/>
    </row>
    <row r="2092" ht="15.75" customHeight="1">
      <c r="A2092" s="1">
        <v>5.841628E7</v>
      </c>
      <c r="B2092" s="2" t="s">
        <v>860</v>
      </c>
      <c r="C2092" s="19" t="s">
        <v>7703</v>
      </c>
      <c r="D2092" s="19" t="s">
        <v>7704</v>
      </c>
      <c r="E2092" s="2"/>
      <c r="F2092" s="19"/>
    </row>
    <row r="2093" ht="15.75" customHeight="1">
      <c r="A2093" s="1">
        <v>5.8416726E7</v>
      </c>
      <c r="B2093" s="2" t="s">
        <v>2372</v>
      </c>
      <c r="C2093" s="19" t="s">
        <v>7705</v>
      </c>
      <c r="D2093" s="19"/>
      <c r="E2093" s="2"/>
      <c r="F2093" s="19"/>
    </row>
    <row r="2094" ht="15.75" customHeight="1">
      <c r="A2094" s="1">
        <v>5.8416987E7</v>
      </c>
      <c r="B2094" s="2" t="s">
        <v>2594</v>
      </c>
      <c r="C2094" s="19" t="s">
        <v>7706</v>
      </c>
      <c r="D2094" s="19"/>
      <c r="E2094" s="2"/>
      <c r="F2094" s="19"/>
    </row>
    <row r="2095" ht="15.75" customHeight="1">
      <c r="A2095" s="1">
        <v>5.8418959E7</v>
      </c>
      <c r="B2095" s="2" t="s">
        <v>2638</v>
      </c>
      <c r="C2095" s="19" t="s">
        <v>7707</v>
      </c>
      <c r="D2095" s="19" t="s">
        <v>7708</v>
      </c>
      <c r="E2095" s="2"/>
      <c r="F2095" s="19"/>
    </row>
    <row r="2096" ht="15.75" customHeight="1">
      <c r="A2096" s="1">
        <v>5.8422656E7</v>
      </c>
      <c r="B2096" s="2" t="s">
        <v>3179</v>
      </c>
      <c r="C2096" s="19" t="s">
        <v>7709</v>
      </c>
      <c r="D2096" s="19"/>
      <c r="E2096" s="2"/>
      <c r="F2096" s="19"/>
    </row>
    <row r="2097" ht="15.75" customHeight="1">
      <c r="A2097" s="1">
        <v>5.842894E7</v>
      </c>
      <c r="B2097" s="2" t="s">
        <v>2662</v>
      </c>
      <c r="C2097" s="19" t="s">
        <v>7710</v>
      </c>
      <c r="D2097" s="19"/>
      <c r="E2097" s="2"/>
      <c r="F2097" s="19"/>
    </row>
    <row r="2098" ht="15.75" customHeight="1">
      <c r="A2098" s="1">
        <v>5.8430408E7</v>
      </c>
      <c r="B2098" s="2" t="s">
        <v>2621</v>
      </c>
      <c r="C2098" s="19" t="s">
        <v>7711</v>
      </c>
      <c r="D2098" s="19"/>
      <c r="E2098" s="2"/>
      <c r="F2098" s="19"/>
    </row>
    <row r="2099" ht="15.75" customHeight="1">
      <c r="A2099" s="1">
        <v>5.8432441E7</v>
      </c>
      <c r="B2099" s="2" t="s">
        <v>3326</v>
      </c>
      <c r="C2099" s="19" t="s">
        <v>7712</v>
      </c>
      <c r="D2099" s="19"/>
      <c r="E2099" s="2"/>
      <c r="F2099" s="19"/>
    </row>
    <row r="2100" ht="15.75" customHeight="1">
      <c r="A2100" s="1">
        <v>5.8435535E7</v>
      </c>
      <c r="B2100" s="2" t="s">
        <v>2373</v>
      </c>
      <c r="C2100" s="19" t="s">
        <v>7713</v>
      </c>
      <c r="D2100" s="19" t="s">
        <v>7714</v>
      </c>
      <c r="E2100" s="2"/>
      <c r="F2100" s="19"/>
    </row>
    <row r="2101" ht="15.75" customHeight="1">
      <c r="A2101" s="1">
        <v>5.843827E7</v>
      </c>
      <c r="B2101" s="2" t="s">
        <v>2504</v>
      </c>
      <c r="C2101" s="19" t="s">
        <v>7715</v>
      </c>
      <c r="D2101" s="19"/>
      <c r="E2101" s="2"/>
      <c r="F2101" s="19"/>
    </row>
    <row r="2102" ht="15.75" customHeight="1">
      <c r="A2102" s="1">
        <v>5.8439034E7</v>
      </c>
      <c r="B2102" s="2" t="s">
        <v>2955</v>
      </c>
      <c r="C2102" s="19" t="s">
        <v>7716</v>
      </c>
      <c r="D2102" s="19"/>
      <c r="E2102" s="2"/>
      <c r="F2102" s="19"/>
    </row>
    <row r="2103" ht="15.75" customHeight="1">
      <c r="A2103" s="1">
        <v>5.8447864E7</v>
      </c>
      <c r="B2103" s="2" t="s">
        <v>2552</v>
      </c>
      <c r="C2103" s="19" t="s">
        <v>7717</v>
      </c>
      <c r="D2103" s="19" t="s">
        <v>7718</v>
      </c>
      <c r="E2103" s="2"/>
      <c r="F2103" s="19"/>
    </row>
    <row r="2104" ht="15.75" customHeight="1">
      <c r="A2104" s="1">
        <v>5.8449923E7</v>
      </c>
      <c r="B2104" s="2" t="s">
        <v>2956</v>
      </c>
      <c r="C2104" s="19" t="s">
        <v>7719</v>
      </c>
      <c r="D2104" s="19"/>
      <c r="E2104" s="2"/>
      <c r="F2104" s="19"/>
    </row>
    <row r="2105" ht="15.75" customHeight="1">
      <c r="A2105" s="1">
        <v>5.8452561E7</v>
      </c>
      <c r="B2105" s="2" t="s">
        <v>2518</v>
      </c>
      <c r="C2105" s="19" t="s">
        <v>7720</v>
      </c>
      <c r="D2105" s="19" t="s">
        <v>7721</v>
      </c>
      <c r="E2105" s="2"/>
      <c r="F2105" s="19"/>
    </row>
    <row r="2106" ht="15.75" customHeight="1">
      <c r="A2106" s="1">
        <v>5.845415E7</v>
      </c>
      <c r="B2106" s="2" t="s">
        <v>3462</v>
      </c>
      <c r="C2106" s="19" t="s">
        <v>7722</v>
      </c>
      <c r="D2106" s="19"/>
      <c r="E2106" s="2"/>
      <c r="F2106" s="19"/>
    </row>
    <row r="2107" ht="15.75" customHeight="1">
      <c r="A2107" s="1">
        <v>5.8457054E7</v>
      </c>
      <c r="B2107" s="2" t="s">
        <v>488</v>
      </c>
      <c r="C2107" s="19" t="s">
        <v>7723</v>
      </c>
      <c r="D2107" s="19" t="s">
        <v>7724</v>
      </c>
      <c r="E2107" s="2"/>
      <c r="F2107" s="19"/>
    </row>
    <row r="2108" ht="15.75" customHeight="1">
      <c r="A2108" s="1">
        <v>5.8463784E7</v>
      </c>
      <c r="B2108" s="2" t="s">
        <v>2905</v>
      </c>
      <c r="C2108" s="19" t="s">
        <v>7725</v>
      </c>
      <c r="D2108" s="19"/>
      <c r="E2108" s="2"/>
      <c r="F2108" s="19"/>
    </row>
    <row r="2109" ht="15.75" customHeight="1">
      <c r="A2109" s="1">
        <v>5.8467091E7</v>
      </c>
      <c r="B2109" s="2" t="s">
        <v>1882</v>
      </c>
      <c r="C2109" s="19" t="s">
        <v>7726</v>
      </c>
      <c r="D2109" s="19" t="s">
        <v>7727</v>
      </c>
      <c r="E2109" s="2"/>
      <c r="F2109" s="19"/>
    </row>
    <row r="2110" ht="15.75" customHeight="1">
      <c r="A2110" s="1">
        <v>5.8468165E7</v>
      </c>
      <c r="B2110" s="2" t="s">
        <v>2223</v>
      </c>
      <c r="C2110" s="19" t="s">
        <v>7728</v>
      </c>
      <c r="D2110" s="19"/>
      <c r="E2110" s="2"/>
      <c r="F2110" s="19"/>
    </row>
    <row r="2111" ht="15.75" customHeight="1">
      <c r="A2111" s="1">
        <v>5.847046E7</v>
      </c>
      <c r="B2111" s="2" t="s">
        <v>2166</v>
      </c>
      <c r="C2111" s="19" t="s">
        <v>7729</v>
      </c>
      <c r="D2111" s="19" t="s">
        <v>7730</v>
      </c>
      <c r="E2111" s="2"/>
      <c r="F2111" s="19"/>
    </row>
    <row r="2112" ht="15.75" customHeight="1">
      <c r="A2112" s="1">
        <v>5.847318E7</v>
      </c>
      <c r="B2112" s="2" t="s">
        <v>3581</v>
      </c>
      <c r="C2112" s="19" t="s">
        <v>7731</v>
      </c>
      <c r="D2112" s="19"/>
      <c r="E2112" s="2"/>
      <c r="F2112" s="19"/>
    </row>
    <row r="2113" ht="15.75" customHeight="1">
      <c r="A2113" s="1">
        <v>5.8473686E7</v>
      </c>
      <c r="B2113" s="2" t="s">
        <v>421</v>
      </c>
      <c r="C2113" s="19" t="s">
        <v>7732</v>
      </c>
      <c r="D2113" s="19"/>
      <c r="E2113" s="2"/>
      <c r="F2113" s="19"/>
    </row>
    <row r="2114" ht="15.75" customHeight="1">
      <c r="A2114" s="1">
        <v>5.84817E7</v>
      </c>
      <c r="B2114" s="2" t="s">
        <v>2553</v>
      </c>
      <c r="C2114" s="19" t="s">
        <v>7733</v>
      </c>
      <c r="D2114" s="19"/>
      <c r="E2114" s="2"/>
      <c r="F2114" s="19"/>
    </row>
    <row r="2115" ht="15.75" customHeight="1">
      <c r="A2115" s="1">
        <v>5.8483028E7</v>
      </c>
      <c r="B2115" s="2" t="s">
        <v>3425</v>
      </c>
      <c r="C2115" s="19" t="s">
        <v>7734</v>
      </c>
      <c r="D2115" s="19"/>
      <c r="E2115" s="2"/>
      <c r="F2115" s="19"/>
    </row>
    <row r="2116" ht="15.75" customHeight="1">
      <c r="A2116" s="1">
        <v>5.8488107E7</v>
      </c>
      <c r="B2116" s="2" t="s">
        <v>1623</v>
      </c>
      <c r="C2116" s="19" t="s">
        <v>7735</v>
      </c>
      <c r="D2116" s="19" t="s">
        <v>7736</v>
      </c>
      <c r="E2116" s="2"/>
      <c r="F2116" s="19"/>
    </row>
    <row r="2117" ht="15.75" customHeight="1">
      <c r="A2117" s="1">
        <v>5.8488121E7</v>
      </c>
      <c r="B2117" s="2" t="s">
        <v>3463</v>
      </c>
      <c r="C2117" s="19" t="s">
        <v>7737</v>
      </c>
      <c r="D2117" s="19"/>
      <c r="E2117" s="2"/>
      <c r="F2117" s="19"/>
    </row>
    <row r="2118" ht="15.75" customHeight="1">
      <c r="A2118" s="1">
        <v>5.8488958E7</v>
      </c>
      <c r="B2118" s="2" t="s">
        <v>3395</v>
      </c>
      <c r="C2118" s="19" t="s">
        <v>7738</v>
      </c>
      <c r="D2118" s="19"/>
      <c r="E2118" s="2"/>
      <c r="F2118" s="19"/>
    </row>
    <row r="2119" ht="15.75" customHeight="1">
      <c r="A2119" s="1">
        <v>5.849231E7</v>
      </c>
      <c r="B2119" s="2" t="s">
        <v>2906</v>
      </c>
      <c r="C2119" s="19" t="s">
        <v>7739</v>
      </c>
      <c r="D2119" s="19" t="s">
        <v>7740</v>
      </c>
      <c r="E2119" s="2"/>
      <c r="F2119" s="19"/>
    </row>
    <row r="2120" ht="15.75" customHeight="1">
      <c r="A2120" s="1">
        <v>5.8496141E7</v>
      </c>
      <c r="B2120" s="2" t="s">
        <v>3017</v>
      </c>
      <c r="C2120" s="19" t="s">
        <v>7741</v>
      </c>
      <c r="D2120" s="19" t="s">
        <v>7742</v>
      </c>
      <c r="E2120" s="2"/>
      <c r="F2120" s="19"/>
    </row>
    <row r="2121" ht="15.75" customHeight="1">
      <c r="A2121" s="1">
        <v>5.8496748E7</v>
      </c>
      <c r="B2121" s="2" t="s">
        <v>2519</v>
      </c>
      <c r="C2121" s="19" t="s">
        <v>7743</v>
      </c>
      <c r="D2121" s="19"/>
      <c r="E2121" s="2"/>
      <c r="F2121" s="19"/>
    </row>
    <row r="2122" ht="15.75" customHeight="1">
      <c r="A2122" s="1">
        <v>5.8510336E7</v>
      </c>
      <c r="B2122" s="2" t="s">
        <v>1840</v>
      </c>
      <c r="C2122" s="19" t="s">
        <v>7744</v>
      </c>
      <c r="D2122" s="19" t="s">
        <v>7745</v>
      </c>
      <c r="E2122" s="2"/>
      <c r="F2122" s="19"/>
    </row>
    <row r="2123" ht="15.75" customHeight="1">
      <c r="A2123" s="1">
        <v>5.8511291E7</v>
      </c>
      <c r="B2123" s="2" t="s">
        <v>2907</v>
      </c>
      <c r="C2123" s="19" t="s">
        <v>7746</v>
      </c>
      <c r="D2123" s="19" t="s">
        <v>7747</v>
      </c>
      <c r="E2123" s="2"/>
      <c r="F2123" s="19"/>
    </row>
    <row r="2124" ht="15.75" customHeight="1">
      <c r="A2124" s="1">
        <v>5.8511704E7</v>
      </c>
      <c r="B2124" s="2" t="s">
        <v>3304</v>
      </c>
      <c r="C2124" s="19" t="s">
        <v>7748</v>
      </c>
      <c r="D2124" s="19"/>
      <c r="E2124" s="2"/>
      <c r="F2124" s="19"/>
    </row>
    <row r="2125" ht="15.75" customHeight="1">
      <c r="A2125" s="1">
        <v>5.8512106E7</v>
      </c>
      <c r="B2125" s="2" t="s">
        <v>2975</v>
      </c>
      <c r="C2125" s="19" t="s">
        <v>7749</v>
      </c>
      <c r="D2125" s="19" t="s">
        <v>7750</v>
      </c>
      <c r="E2125" s="2"/>
      <c r="F2125" s="19"/>
    </row>
    <row r="2126" ht="15.75" customHeight="1">
      <c r="A2126" s="1">
        <v>5.851304E7</v>
      </c>
      <c r="B2126" s="2" t="s">
        <v>3034</v>
      </c>
      <c r="C2126" s="19" t="s">
        <v>7751</v>
      </c>
      <c r="D2126" s="19"/>
      <c r="E2126" s="2"/>
      <c r="F2126" s="19"/>
    </row>
    <row r="2127" ht="15.75" customHeight="1">
      <c r="A2127" s="1">
        <v>5.8513216E7</v>
      </c>
      <c r="B2127" s="2" t="s">
        <v>1546</v>
      </c>
      <c r="C2127" s="19" t="s">
        <v>7752</v>
      </c>
      <c r="D2127" s="19"/>
      <c r="E2127" s="2"/>
      <c r="F2127" s="19"/>
    </row>
    <row r="2128" ht="15.75" customHeight="1">
      <c r="A2128" s="1">
        <v>5.8521055E7</v>
      </c>
      <c r="B2128" s="2" t="s">
        <v>1340</v>
      </c>
      <c r="C2128" s="19" t="s">
        <v>7753</v>
      </c>
      <c r="D2128" s="19"/>
      <c r="E2128" s="2"/>
      <c r="F2128" s="19"/>
    </row>
    <row r="2129" ht="15.75" customHeight="1">
      <c r="A2129" s="1">
        <v>5.8526738E7</v>
      </c>
      <c r="B2129" s="2" t="s">
        <v>2520</v>
      </c>
      <c r="C2129" s="19" t="s">
        <v>7754</v>
      </c>
      <c r="D2129" s="19"/>
      <c r="E2129" s="2"/>
      <c r="F2129" s="19"/>
    </row>
    <row r="2130" ht="15.75" customHeight="1">
      <c r="A2130" s="1">
        <v>5.8528431E7</v>
      </c>
      <c r="B2130" s="2" t="s">
        <v>2838</v>
      </c>
      <c r="C2130" s="19" t="s">
        <v>7755</v>
      </c>
      <c r="D2130" s="19" t="s">
        <v>7756</v>
      </c>
      <c r="E2130" s="2"/>
      <c r="F2130" s="19"/>
    </row>
    <row r="2131" ht="15.75" customHeight="1">
      <c r="A2131" s="1">
        <v>5.8530732E7</v>
      </c>
      <c r="B2131" s="2" t="s">
        <v>2145</v>
      </c>
      <c r="C2131" s="19" t="s">
        <v>7757</v>
      </c>
      <c r="D2131" s="19"/>
      <c r="E2131" s="2"/>
      <c r="F2131" s="19"/>
    </row>
    <row r="2132" ht="15.75" customHeight="1">
      <c r="A2132" s="1">
        <v>5.8538753E7</v>
      </c>
      <c r="B2132" s="2" t="s">
        <v>2829</v>
      </c>
      <c r="C2132" s="19" t="s">
        <v>7758</v>
      </c>
      <c r="D2132" s="19"/>
      <c r="E2132" s="2"/>
      <c r="F2132" s="19"/>
    </row>
    <row r="2133" ht="15.75" customHeight="1">
      <c r="A2133" s="1">
        <v>5.8542085E7</v>
      </c>
      <c r="B2133" s="2" t="s">
        <v>1332</v>
      </c>
      <c r="C2133" s="19" t="s">
        <v>7759</v>
      </c>
      <c r="D2133" s="19"/>
      <c r="E2133" s="2"/>
      <c r="F2133" s="19"/>
    </row>
    <row r="2134" ht="15.75" customHeight="1">
      <c r="A2134" s="1">
        <v>5.854652E7</v>
      </c>
      <c r="B2134" s="2" t="s">
        <v>2883</v>
      </c>
      <c r="C2134" s="19" t="s">
        <v>7760</v>
      </c>
      <c r="D2134" s="19" t="s">
        <v>7761</v>
      </c>
      <c r="E2134" s="2"/>
      <c r="F2134" s="19"/>
    </row>
    <row r="2135" ht="15.75" customHeight="1">
      <c r="A2135" s="1">
        <v>5.8547437E7</v>
      </c>
      <c r="B2135" s="2" t="s">
        <v>3128</v>
      </c>
      <c r="C2135" s="19" t="s">
        <v>7762</v>
      </c>
      <c r="D2135" s="19"/>
      <c r="E2135" s="2"/>
      <c r="F2135" s="19"/>
    </row>
    <row r="2136" ht="15.75" customHeight="1">
      <c r="A2136" s="1">
        <v>5.8561304E7</v>
      </c>
      <c r="B2136" s="2" t="s">
        <v>3482</v>
      </c>
      <c r="C2136" s="19" t="s">
        <v>7763</v>
      </c>
      <c r="D2136" s="19"/>
      <c r="E2136" s="2"/>
      <c r="F2136" s="19"/>
    </row>
    <row r="2137" ht="15.75" customHeight="1">
      <c r="A2137" s="1">
        <v>5.8572685E7</v>
      </c>
      <c r="B2137" s="2" t="s">
        <v>1850</v>
      </c>
      <c r="C2137" s="19" t="s">
        <v>7764</v>
      </c>
      <c r="D2137" s="19" t="s">
        <v>7765</v>
      </c>
      <c r="E2137" s="2"/>
      <c r="F2137" s="19"/>
    </row>
    <row r="2138" ht="15.75" customHeight="1">
      <c r="A2138" s="1">
        <v>5.8573319E7</v>
      </c>
      <c r="B2138" s="2" t="s">
        <v>2265</v>
      </c>
      <c r="C2138" s="19" t="s">
        <v>7766</v>
      </c>
      <c r="D2138" s="19"/>
      <c r="E2138" s="2"/>
      <c r="F2138" s="19"/>
    </row>
    <row r="2139" ht="15.75" customHeight="1">
      <c r="A2139" s="1">
        <v>5.8575034E7</v>
      </c>
      <c r="B2139" s="2" t="s">
        <v>3180</v>
      </c>
      <c r="C2139" s="19" t="s">
        <v>7767</v>
      </c>
      <c r="D2139" s="19"/>
      <c r="E2139" s="2"/>
      <c r="F2139" s="19"/>
    </row>
    <row r="2140" ht="15.75" customHeight="1">
      <c r="A2140" s="1">
        <v>5.8580506E7</v>
      </c>
      <c r="B2140" s="2" t="s">
        <v>2812</v>
      </c>
      <c r="C2140" s="19" t="s">
        <v>7768</v>
      </c>
      <c r="D2140" s="19"/>
      <c r="E2140" s="2"/>
      <c r="F2140" s="19"/>
    </row>
    <row r="2141" ht="15.75" customHeight="1">
      <c r="A2141" s="1">
        <v>5.8593985E7</v>
      </c>
      <c r="B2141" s="2" t="s">
        <v>3075</v>
      </c>
      <c r="C2141" s="19" t="s">
        <v>7769</v>
      </c>
      <c r="D2141" s="19"/>
      <c r="E2141" s="2"/>
      <c r="F2141" s="19"/>
    </row>
    <row r="2142" ht="15.75" customHeight="1">
      <c r="A2142" s="1">
        <v>5.8594685E7</v>
      </c>
      <c r="B2142" s="2" t="s">
        <v>2439</v>
      </c>
      <c r="C2142" s="19" t="s">
        <v>7770</v>
      </c>
      <c r="D2142" s="19"/>
      <c r="E2142" s="2"/>
      <c r="F2142" s="19"/>
    </row>
    <row r="2143" ht="15.75" customHeight="1">
      <c r="A2143" s="1">
        <v>5.8596586E7</v>
      </c>
      <c r="B2143" s="2" t="s">
        <v>3228</v>
      </c>
      <c r="C2143" s="19" t="s">
        <v>7771</v>
      </c>
      <c r="D2143" s="19"/>
      <c r="E2143" s="2"/>
      <c r="F2143" s="19"/>
    </row>
    <row r="2144" ht="15.75" customHeight="1">
      <c r="A2144" s="1">
        <v>5.8598442E7</v>
      </c>
      <c r="B2144" s="2" t="s">
        <v>2578</v>
      </c>
      <c r="C2144" s="19" t="s">
        <v>7772</v>
      </c>
      <c r="D2144" s="19"/>
      <c r="E2144" s="2"/>
      <c r="F2144" s="19"/>
    </row>
    <row r="2145" ht="15.75" customHeight="1">
      <c r="A2145" s="1">
        <v>5.8602509E7</v>
      </c>
      <c r="B2145" s="2" t="s">
        <v>3076</v>
      </c>
      <c r="C2145" s="19" t="s">
        <v>7773</v>
      </c>
      <c r="D2145" s="19"/>
      <c r="E2145" s="2"/>
      <c r="F2145" s="19"/>
    </row>
    <row r="2146" ht="15.75" customHeight="1">
      <c r="A2146" s="1">
        <v>5.8609888E7</v>
      </c>
      <c r="B2146" s="2" t="s">
        <v>3046</v>
      </c>
      <c r="C2146" s="19" t="s">
        <v>7774</v>
      </c>
      <c r="D2146" s="19"/>
      <c r="E2146" s="2"/>
      <c r="F2146" s="19"/>
    </row>
    <row r="2147" ht="15.75" customHeight="1">
      <c r="A2147" s="1">
        <v>5.8613452E7</v>
      </c>
      <c r="B2147" s="2" t="s">
        <v>3410</v>
      </c>
      <c r="C2147" s="19" t="s">
        <v>7775</v>
      </c>
      <c r="D2147" s="19"/>
      <c r="E2147" s="2"/>
      <c r="F2147" s="19"/>
    </row>
    <row r="2148" ht="15.75" customHeight="1">
      <c r="A2148" s="1">
        <v>5.8626811E7</v>
      </c>
      <c r="B2148" s="2" t="s">
        <v>2998</v>
      </c>
      <c r="C2148" s="19" t="s">
        <v>7776</v>
      </c>
      <c r="D2148" s="19" t="s">
        <v>7777</v>
      </c>
      <c r="E2148" s="2"/>
      <c r="F2148" s="19"/>
    </row>
    <row r="2149" ht="15.75" customHeight="1">
      <c r="A2149" s="1">
        <v>5.8628659E7</v>
      </c>
      <c r="B2149" s="2" t="s">
        <v>3106</v>
      </c>
      <c r="C2149" s="19" t="s">
        <v>7778</v>
      </c>
      <c r="D2149" s="19"/>
      <c r="E2149" s="2"/>
      <c r="F2149" s="19"/>
    </row>
    <row r="2150" ht="15.75" customHeight="1">
      <c r="A2150" s="1">
        <v>5.8629272E7</v>
      </c>
      <c r="B2150" s="2" t="s">
        <v>3305</v>
      </c>
      <c r="C2150" s="19" t="s">
        <v>7779</v>
      </c>
      <c r="D2150" s="19" t="s">
        <v>7780</v>
      </c>
      <c r="E2150" s="2"/>
      <c r="F2150" s="19"/>
    </row>
    <row r="2151" ht="15.75" customHeight="1">
      <c r="A2151" s="1">
        <v>5.8631966E7</v>
      </c>
      <c r="B2151" s="2" t="s">
        <v>3254</v>
      </c>
      <c r="C2151" s="19" t="s">
        <v>7781</v>
      </c>
      <c r="D2151" s="19"/>
      <c r="E2151" s="2"/>
      <c r="F2151" s="19"/>
    </row>
    <row r="2152" ht="15.75" customHeight="1">
      <c r="A2152" s="1">
        <v>5.8632538E7</v>
      </c>
      <c r="B2152" s="2" t="s">
        <v>2464</v>
      </c>
      <c r="C2152" s="19" t="s">
        <v>7782</v>
      </c>
      <c r="D2152" s="19"/>
      <c r="E2152" s="2"/>
      <c r="F2152" s="19"/>
    </row>
    <row r="2153" ht="15.75" customHeight="1">
      <c r="A2153" s="1">
        <v>5.8632765E7</v>
      </c>
      <c r="B2153" s="2" t="s">
        <v>2869</v>
      </c>
      <c r="C2153" s="19" t="s">
        <v>7783</v>
      </c>
      <c r="D2153" s="19" t="s">
        <v>7784</v>
      </c>
      <c r="E2153" s="2"/>
      <c r="F2153" s="19"/>
    </row>
    <row r="2154" ht="15.75" customHeight="1">
      <c r="A2154" s="1">
        <v>5.8639195E7</v>
      </c>
      <c r="B2154" s="2" t="s">
        <v>1006</v>
      </c>
      <c r="C2154" s="19" t="s">
        <v>7785</v>
      </c>
      <c r="D2154" s="19"/>
      <c r="E2154" s="2"/>
      <c r="F2154" s="19"/>
    </row>
    <row r="2155" ht="15.75" customHeight="1">
      <c r="A2155" s="1">
        <v>5.864406E7</v>
      </c>
      <c r="B2155" s="2" t="s">
        <v>1467</v>
      </c>
      <c r="C2155" s="19" t="s">
        <v>7786</v>
      </c>
      <c r="D2155" s="19"/>
      <c r="E2155" s="2"/>
      <c r="F2155" s="19"/>
    </row>
    <row r="2156" ht="15.75" customHeight="1">
      <c r="A2156" s="1">
        <v>5.8646976E7</v>
      </c>
      <c r="B2156" s="2" t="s">
        <v>2019</v>
      </c>
      <c r="C2156" s="19" t="s">
        <v>7787</v>
      </c>
      <c r="D2156" s="19" t="s">
        <v>7788</v>
      </c>
      <c r="E2156" s="2"/>
      <c r="F2156" s="19"/>
    </row>
    <row r="2157" ht="15.75" customHeight="1">
      <c r="A2157" s="1">
        <v>5.864718E7</v>
      </c>
      <c r="B2157" s="2" t="s">
        <v>2625</v>
      </c>
      <c r="C2157" s="19" t="s">
        <v>7789</v>
      </c>
      <c r="D2157" s="19" t="s">
        <v>7790</v>
      </c>
      <c r="E2157" s="2"/>
      <c r="F2157" s="19"/>
    </row>
    <row r="2158" ht="15.75" customHeight="1">
      <c r="A2158" s="1">
        <v>5.864938E7</v>
      </c>
      <c r="B2158" s="2" t="s">
        <v>2554</v>
      </c>
      <c r="C2158" s="19" t="s">
        <v>7791</v>
      </c>
      <c r="D2158" s="19"/>
      <c r="E2158" s="2"/>
      <c r="F2158" s="19"/>
    </row>
    <row r="2159" ht="15.75" customHeight="1">
      <c r="A2159" s="1">
        <v>5.8649436E7</v>
      </c>
      <c r="B2159" s="2" t="s">
        <v>2917</v>
      </c>
      <c r="C2159" s="19" t="s">
        <v>7792</v>
      </c>
      <c r="D2159" s="19"/>
      <c r="E2159" s="2"/>
      <c r="F2159" s="19"/>
    </row>
    <row r="2160" ht="15.75" customHeight="1">
      <c r="A2160" s="1">
        <v>5.8657618E7</v>
      </c>
      <c r="B2160" s="2" t="s">
        <v>2999</v>
      </c>
      <c r="C2160" s="19" t="s">
        <v>7793</v>
      </c>
      <c r="D2160" s="19" t="s">
        <v>7794</v>
      </c>
      <c r="E2160" s="2"/>
      <c r="F2160" s="19"/>
    </row>
    <row r="2161" ht="15.75" customHeight="1">
      <c r="A2161" s="1">
        <v>5.8660181E7</v>
      </c>
      <c r="B2161" s="2" t="s">
        <v>2908</v>
      </c>
      <c r="C2161" s="19" t="s">
        <v>7795</v>
      </c>
      <c r="D2161" s="19"/>
      <c r="E2161" s="2"/>
      <c r="F2161" s="19"/>
    </row>
    <row r="2162" ht="15.75" customHeight="1">
      <c r="A2162" s="1">
        <v>5.8675434E7</v>
      </c>
      <c r="B2162" s="2" t="s">
        <v>3373</v>
      </c>
      <c r="C2162" s="19" t="s">
        <v>7796</v>
      </c>
      <c r="D2162" s="19"/>
      <c r="E2162" s="2"/>
      <c r="F2162" s="19"/>
    </row>
    <row r="2163" ht="15.75" customHeight="1">
      <c r="A2163" s="1">
        <v>5.8677883E7</v>
      </c>
      <c r="B2163" s="2" t="s">
        <v>2397</v>
      </c>
      <c r="C2163" s="19" t="s">
        <v>7797</v>
      </c>
      <c r="D2163" s="19"/>
      <c r="E2163" s="2"/>
      <c r="F2163" s="19"/>
    </row>
    <row r="2164" ht="15.75" customHeight="1">
      <c r="A2164" s="1">
        <v>5.8682411E7</v>
      </c>
      <c r="B2164" s="2" t="s">
        <v>2146</v>
      </c>
      <c r="C2164" s="19" t="s">
        <v>7798</v>
      </c>
      <c r="D2164" s="19"/>
      <c r="E2164" s="2"/>
      <c r="F2164" s="19"/>
    </row>
    <row r="2165" ht="15.75" customHeight="1">
      <c r="A2165" s="1">
        <v>5.8687783E7</v>
      </c>
      <c r="B2165" s="2" t="s">
        <v>902</v>
      </c>
      <c r="C2165" s="19" t="s">
        <v>7799</v>
      </c>
      <c r="D2165" s="19" t="s">
        <v>7800</v>
      </c>
      <c r="E2165" s="2"/>
      <c r="F2165" s="19"/>
    </row>
    <row r="2166" ht="15.75" customHeight="1">
      <c r="A2166" s="1">
        <v>5.8696023E7</v>
      </c>
      <c r="B2166" s="2" t="s">
        <v>3229</v>
      </c>
      <c r="C2166" s="19" t="s">
        <v>7801</v>
      </c>
      <c r="D2166" s="19"/>
      <c r="E2166" s="2"/>
      <c r="F2166" s="19"/>
    </row>
    <row r="2167" ht="15.75" customHeight="1">
      <c r="A2167" s="1">
        <v>5.8698121E7</v>
      </c>
      <c r="B2167" s="2" t="s">
        <v>1186</v>
      </c>
      <c r="C2167" s="19" t="s">
        <v>7802</v>
      </c>
      <c r="D2167" s="19" t="s">
        <v>7803</v>
      </c>
      <c r="E2167" s="2"/>
      <c r="F2167" s="19"/>
    </row>
    <row r="2168" ht="15.75" customHeight="1">
      <c r="A2168" s="1">
        <v>5.8698789E7</v>
      </c>
      <c r="B2168" s="2" t="s">
        <v>2460</v>
      </c>
      <c r="C2168" s="19" t="s">
        <v>7804</v>
      </c>
      <c r="D2168" s="19" t="s">
        <v>7805</v>
      </c>
      <c r="E2168" s="2"/>
      <c r="F2168" s="19"/>
    </row>
    <row r="2169" ht="15.75" customHeight="1">
      <c r="A2169" s="1">
        <v>5.870103E7</v>
      </c>
      <c r="B2169" s="2" t="s">
        <v>1343</v>
      </c>
      <c r="C2169" s="19" t="s">
        <v>7806</v>
      </c>
      <c r="D2169" s="19"/>
      <c r="E2169" s="2"/>
      <c r="F2169" s="19"/>
    </row>
    <row r="2170" ht="15.75" customHeight="1">
      <c r="A2170" s="1">
        <v>5.8701204E7</v>
      </c>
      <c r="B2170" s="2" t="s">
        <v>3152</v>
      </c>
      <c r="C2170" s="19" t="s">
        <v>7807</v>
      </c>
      <c r="D2170" s="19" t="s">
        <v>7808</v>
      </c>
      <c r="E2170" s="2"/>
      <c r="F2170" s="19"/>
    </row>
    <row r="2171" ht="15.75" customHeight="1">
      <c r="A2171" s="1">
        <v>5.8703729E7</v>
      </c>
      <c r="B2171" s="2" t="s">
        <v>3327</v>
      </c>
      <c r="C2171" s="19" t="s">
        <v>7809</v>
      </c>
      <c r="D2171" s="19"/>
      <c r="E2171" s="2"/>
      <c r="F2171" s="19"/>
    </row>
    <row r="2172" ht="15.75" customHeight="1">
      <c r="A2172" s="1">
        <v>5.8703762E7</v>
      </c>
      <c r="B2172" s="2" t="s">
        <v>3000</v>
      </c>
      <c r="C2172" s="19" t="s">
        <v>7810</v>
      </c>
      <c r="D2172" s="19"/>
      <c r="E2172" s="2"/>
      <c r="F2172" s="19"/>
    </row>
    <row r="2173" ht="15.75" customHeight="1">
      <c r="A2173" s="1">
        <v>5.8711935E7</v>
      </c>
      <c r="B2173" s="2" t="s">
        <v>887</v>
      </c>
      <c r="C2173" s="19" t="s">
        <v>7811</v>
      </c>
      <c r="D2173" s="19"/>
      <c r="E2173" s="2"/>
      <c r="F2173" s="19"/>
    </row>
    <row r="2174" ht="15.75" customHeight="1">
      <c r="A2174" s="1">
        <v>5.8712399E7</v>
      </c>
      <c r="B2174" s="2" t="s">
        <v>1800</v>
      </c>
      <c r="C2174" s="19" t="s">
        <v>7812</v>
      </c>
      <c r="D2174" s="19"/>
      <c r="E2174" s="2"/>
      <c r="F2174" s="19"/>
    </row>
    <row r="2175" ht="15.75" customHeight="1">
      <c r="A2175" s="1">
        <v>5.8712877E7</v>
      </c>
      <c r="B2175" s="2" t="s">
        <v>2790</v>
      </c>
      <c r="C2175" s="19" t="s">
        <v>7813</v>
      </c>
      <c r="D2175" s="19" t="s">
        <v>7814</v>
      </c>
      <c r="E2175" s="2"/>
      <c r="F2175" s="19"/>
    </row>
    <row r="2176" ht="15.75" customHeight="1">
      <c r="A2176" s="1">
        <v>5.8715146E7</v>
      </c>
      <c r="B2176" s="2" t="s">
        <v>2020</v>
      </c>
      <c r="C2176" s="19" t="s">
        <v>7815</v>
      </c>
      <c r="D2176" s="19"/>
      <c r="E2176" s="2"/>
      <c r="F2176" s="19"/>
    </row>
    <row r="2177" ht="15.75" customHeight="1">
      <c r="A2177" s="1">
        <v>5.8719818E7</v>
      </c>
      <c r="B2177" s="2" t="s">
        <v>3181</v>
      </c>
      <c r="C2177" s="19" t="s">
        <v>7816</v>
      </c>
      <c r="D2177" s="19"/>
      <c r="E2177" s="2"/>
      <c r="F2177" s="19"/>
    </row>
    <row r="2178" ht="15.75" customHeight="1">
      <c r="A2178" s="1">
        <v>5.8720305E7</v>
      </c>
      <c r="B2178" s="2" t="s">
        <v>2563</v>
      </c>
      <c r="C2178" s="19" t="s">
        <v>7817</v>
      </c>
      <c r="D2178" s="19"/>
      <c r="E2178" s="2"/>
      <c r="F2178" s="19"/>
    </row>
    <row r="2179" ht="15.75" customHeight="1">
      <c r="A2179" s="1">
        <v>5.8726753E7</v>
      </c>
      <c r="B2179" s="2" t="s">
        <v>2302</v>
      </c>
      <c r="C2179" s="19" t="s">
        <v>7818</v>
      </c>
      <c r="D2179" s="19"/>
      <c r="E2179" s="2"/>
      <c r="F2179" s="19"/>
    </row>
    <row r="2180" ht="15.75" customHeight="1">
      <c r="A2180" s="1">
        <v>5.8730516E7</v>
      </c>
      <c r="B2180" s="2" t="s">
        <v>3018</v>
      </c>
      <c r="C2180" s="19" t="s">
        <v>7819</v>
      </c>
      <c r="D2180" s="19"/>
      <c r="E2180" s="2"/>
      <c r="F2180" s="19"/>
    </row>
    <row r="2181" ht="15.75" customHeight="1">
      <c r="A2181" s="1">
        <v>5.8730563E7</v>
      </c>
      <c r="B2181" s="2" t="s">
        <v>2252</v>
      </c>
      <c r="C2181" s="19" t="s">
        <v>7820</v>
      </c>
      <c r="D2181" s="19"/>
      <c r="E2181" s="2"/>
      <c r="F2181" s="19"/>
    </row>
    <row r="2182" ht="15.75" customHeight="1">
      <c r="A2182" s="1">
        <v>5.873662E7</v>
      </c>
      <c r="B2182" s="2" t="s">
        <v>2747</v>
      </c>
      <c r="C2182" s="19" t="s">
        <v>7821</v>
      </c>
      <c r="D2182" s="19"/>
      <c r="E2182" s="2"/>
      <c r="F2182" s="19"/>
    </row>
    <row r="2183" ht="15.75" customHeight="1">
      <c r="A2183" s="1">
        <v>5.8738924E7</v>
      </c>
      <c r="B2183" s="2" t="s">
        <v>1404</v>
      </c>
      <c r="C2183" s="19" t="s">
        <v>7822</v>
      </c>
      <c r="D2183" s="19"/>
      <c r="E2183" s="2"/>
      <c r="F2183" s="19"/>
    </row>
    <row r="2184" ht="15.75" customHeight="1">
      <c r="A2184" s="1">
        <v>5.8739353E7</v>
      </c>
      <c r="B2184" s="2" t="s">
        <v>968</v>
      </c>
      <c r="C2184" s="19" t="s">
        <v>7823</v>
      </c>
      <c r="D2184" s="19"/>
      <c r="E2184" s="2"/>
      <c r="F2184" s="19"/>
    </row>
    <row r="2185" ht="15.75" customHeight="1">
      <c r="A2185" s="1">
        <v>5.8742822E7</v>
      </c>
      <c r="B2185" s="2" t="s">
        <v>2666</v>
      </c>
      <c r="C2185" s="19" t="s">
        <v>7824</v>
      </c>
      <c r="D2185" s="19"/>
      <c r="E2185" s="2"/>
      <c r="F2185" s="19"/>
    </row>
    <row r="2186" ht="15.75" customHeight="1">
      <c r="A2186" s="1">
        <v>5.8746612E7</v>
      </c>
      <c r="B2186" s="2" t="s">
        <v>3503</v>
      </c>
      <c r="C2186" s="19" t="s">
        <v>7825</v>
      </c>
      <c r="D2186" s="19"/>
      <c r="E2186" s="2"/>
      <c r="F2186" s="19"/>
    </row>
    <row r="2187" ht="15.75" customHeight="1">
      <c r="A2187" s="1">
        <v>5.8746868E7</v>
      </c>
      <c r="B2187" s="2" t="s">
        <v>2918</v>
      </c>
      <c r="C2187" s="19" t="s">
        <v>7826</v>
      </c>
      <c r="D2187" s="19"/>
      <c r="E2187" s="2"/>
      <c r="F2187" s="19"/>
    </row>
    <row r="2188" ht="15.75" customHeight="1">
      <c r="A2188" s="1">
        <v>5.8748928E7</v>
      </c>
      <c r="B2188" s="2" t="s">
        <v>3230</v>
      </c>
      <c r="C2188" s="19" t="s">
        <v>7827</v>
      </c>
      <c r="D2188" s="19"/>
      <c r="E2188" s="2"/>
      <c r="F2188" s="19"/>
    </row>
    <row r="2189" ht="15.75" customHeight="1">
      <c r="A2189" s="1">
        <v>5.8759042E7</v>
      </c>
      <c r="B2189" s="2" t="s">
        <v>2048</v>
      </c>
      <c r="C2189" s="19" t="s">
        <v>7828</v>
      </c>
      <c r="D2189" s="19"/>
      <c r="E2189" s="2"/>
      <c r="F2189" s="19"/>
    </row>
    <row r="2190" ht="15.75" customHeight="1">
      <c r="A2190" s="1">
        <v>5.8769667E7</v>
      </c>
      <c r="B2190" s="2" t="s">
        <v>2976</v>
      </c>
      <c r="C2190" s="19" t="s">
        <v>7829</v>
      </c>
      <c r="D2190" s="19"/>
      <c r="E2190" s="2"/>
      <c r="F2190" s="19"/>
    </row>
    <row r="2191" ht="15.75" customHeight="1">
      <c r="A2191" s="1">
        <v>5.8769776E7</v>
      </c>
      <c r="B2191" s="2" t="s">
        <v>2598</v>
      </c>
      <c r="C2191" s="19" t="s">
        <v>7830</v>
      </c>
      <c r="D2191" s="19" t="s">
        <v>7831</v>
      </c>
      <c r="E2191" s="2"/>
      <c r="F2191" s="19"/>
    </row>
    <row r="2192" ht="15.75" customHeight="1">
      <c r="A2192" s="1">
        <v>5.8771272E7</v>
      </c>
      <c r="B2192" s="2" t="s">
        <v>2748</v>
      </c>
      <c r="C2192" s="19" t="s">
        <v>7832</v>
      </c>
      <c r="D2192" s="19"/>
      <c r="E2192" s="2"/>
      <c r="F2192" s="19"/>
    </row>
    <row r="2193" ht="15.75" customHeight="1">
      <c r="A2193" s="1">
        <v>5.8773119E7</v>
      </c>
      <c r="B2193" s="2" t="s">
        <v>3280</v>
      </c>
      <c r="C2193" s="19" t="s">
        <v>7833</v>
      </c>
      <c r="D2193" s="19"/>
      <c r="E2193" s="2"/>
      <c r="F2193" s="19"/>
    </row>
    <row r="2194" ht="15.75" customHeight="1">
      <c r="A2194" s="1">
        <v>5.8776201E7</v>
      </c>
      <c r="B2194" s="2" t="s">
        <v>2112</v>
      </c>
      <c r="C2194" s="19" t="s">
        <v>7834</v>
      </c>
      <c r="D2194" s="19"/>
      <c r="E2194" s="2"/>
      <c r="F2194" s="19"/>
    </row>
    <row r="2195" ht="15.75" customHeight="1">
      <c r="A2195" s="1">
        <v>5.878361E7</v>
      </c>
      <c r="B2195" s="2" t="s">
        <v>2505</v>
      </c>
      <c r="C2195" s="19" t="s">
        <v>7835</v>
      </c>
      <c r="D2195" s="19" t="s">
        <v>7836</v>
      </c>
      <c r="E2195" s="2"/>
      <c r="F2195" s="19"/>
    </row>
    <row r="2196" ht="15.75" customHeight="1">
      <c r="A2196" s="1">
        <v>5.8790918E7</v>
      </c>
      <c r="B2196" s="2" t="s">
        <v>3129</v>
      </c>
      <c r="C2196" s="19" t="s">
        <v>7837</v>
      </c>
      <c r="D2196" s="19" t="s">
        <v>7838</v>
      </c>
      <c r="E2196" s="2"/>
      <c r="F2196" s="19"/>
    </row>
    <row r="2197" ht="15.75" customHeight="1">
      <c r="A2197" s="1">
        <v>5.8794905E7</v>
      </c>
      <c r="B2197" s="2" t="s">
        <v>3629</v>
      </c>
      <c r="C2197" s="19" t="s">
        <v>7839</v>
      </c>
      <c r="D2197" s="19"/>
      <c r="E2197" s="2"/>
      <c r="F2197" s="19"/>
    </row>
    <row r="2198" ht="15.75" customHeight="1">
      <c r="A2198" s="1">
        <v>5.8796302E7</v>
      </c>
      <c r="B2198" s="2" t="s">
        <v>3630</v>
      </c>
      <c r="C2198" s="19" t="s">
        <v>7840</v>
      </c>
      <c r="D2198" s="19"/>
      <c r="E2198" s="2"/>
      <c r="F2198" s="19"/>
    </row>
    <row r="2199" ht="15.75" customHeight="1">
      <c r="A2199" s="1">
        <v>5.8798429E7</v>
      </c>
      <c r="B2199" s="2" t="s">
        <v>1908</v>
      </c>
      <c r="C2199" s="19" t="s">
        <v>7841</v>
      </c>
      <c r="D2199" s="19"/>
      <c r="E2199" s="2"/>
      <c r="F2199" s="19"/>
    </row>
    <row r="2200" ht="15.75" customHeight="1">
      <c r="A2200" s="1">
        <v>5.8799098E7</v>
      </c>
      <c r="B2200" s="2" t="s">
        <v>1659</v>
      </c>
      <c r="C2200" s="19" t="s">
        <v>7842</v>
      </c>
      <c r="D2200" s="19"/>
      <c r="E2200" s="2"/>
      <c r="F2200" s="19"/>
    </row>
    <row r="2201" ht="15.75" customHeight="1">
      <c r="A2201" s="1">
        <v>5.8802352E7</v>
      </c>
      <c r="B2201" s="2" t="s">
        <v>3439</v>
      </c>
      <c r="C2201" s="19" t="s">
        <v>7843</v>
      </c>
      <c r="D2201" s="19"/>
      <c r="E2201" s="2"/>
      <c r="F2201" s="19"/>
    </row>
    <row r="2202" ht="15.75" customHeight="1">
      <c r="A2202" s="1">
        <v>5.8802554E7</v>
      </c>
      <c r="B2202" s="2" t="s">
        <v>2473</v>
      </c>
      <c r="C2202" s="19" t="s">
        <v>7844</v>
      </c>
      <c r="D2202" s="19"/>
      <c r="E2202" s="2"/>
      <c r="F2202" s="19"/>
    </row>
    <row r="2203" ht="15.75" customHeight="1">
      <c r="A2203" s="1">
        <v>5.8804457E7</v>
      </c>
      <c r="B2203" s="2" t="s">
        <v>3107</v>
      </c>
      <c r="C2203" s="19" t="s">
        <v>7845</v>
      </c>
      <c r="D2203" s="19"/>
      <c r="E2203" s="2"/>
      <c r="F2203" s="19"/>
    </row>
    <row r="2204" ht="15.75" customHeight="1">
      <c r="A2204" s="1">
        <v>5.8804879E7</v>
      </c>
      <c r="B2204" s="2" t="s">
        <v>1485</v>
      </c>
      <c r="C2204" s="19" t="s">
        <v>7846</v>
      </c>
      <c r="D2204" s="19"/>
      <c r="E2204" s="2"/>
      <c r="F2204" s="19"/>
    </row>
    <row r="2205" ht="15.75" customHeight="1">
      <c r="A2205" s="1">
        <v>5.8812003E7</v>
      </c>
      <c r="B2205" s="2" t="s">
        <v>2853</v>
      </c>
      <c r="C2205" s="19" t="s">
        <v>7847</v>
      </c>
      <c r="D2205" s="19"/>
      <c r="E2205" s="2"/>
      <c r="F2205" s="19"/>
    </row>
    <row r="2206" ht="15.75" customHeight="1">
      <c r="A2206" s="1">
        <v>5.8819021E7</v>
      </c>
      <c r="B2206" s="2" t="s">
        <v>3328</v>
      </c>
      <c r="C2206" s="19" t="s">
        <v>7848</v>
      </c>
      <c r="D2206" s="19"/>
      <c r="E2206" s="2"/>
      <c r="F2206" s="19"/>
    </row>
    <row r="2207" ht="15.75" customHeight="1">
      <c r="A2207" s="1">
        <v>5.8821575E7</v>
      </c>
      <c r="B2207" s="2" t="s">
        <v>2957</v>
      </c>
      <c r="C2207" s="19" t="s">
        <v>7849</v>
      </c>
      <c r="D2207" s="19"/>
      <c r="E2207" s="2"/>
      <c r="F2207" s="19"/>
    </row>
    <row r="2208" ht="15.75" customHeight="1">
      <c r="A2208" s="1">
        <v>5.8822568E7</v>
      </c>
      <c r="B2208" s="2" t="s">
        <v>3329</v>
      </c>
      <c r="C2208" s="19" t="s">
        <v>7850</v>
      </c>
      <c r="D2208" s="19"/>
      <c r="E2208" s="2"/>
      <c r="F2208" s="19"/>
    </row>
    <row r="2209" ht="15.75" customHeight="1">
      <c r="A2209" s="1">
        <v>5.8824579E7</v>
      </c>
      <c r="B2209" s="2" t="s">
        <v>2447</v>
      </c>
      <c r="C2209" s="19" t="s">
        <v>7851</v>
      </c>
      <c r="D2209" s="19"/>
      <c r="E2209" s="2"/>
      <c r="F2209" s="19"/>
    </row>
    <row r="2210" ht="15.75" customHeight="1">
      <c r="A2210" s="1">
        <v>5.8832168E7</v>
      </c>
      <c r="B2210" s="2" t="s">
        <v>2354</v>
      </c>
      <c r="C2210" s="19" t="s">
        <v>7852</v>
      </c>
      <c r="D2210" s="19"/>
      <c r="E2210" s="2"/>
      <c r="F2210" s="19"/>
    </row>
    <row r="2211" ht="15.75" customHeight="1">
      <c r="A2211" s="1">
        <v>5.8832626E7</v>
      </c>
      <c r="B2211" s="2" t="s">
        <v>1443</v>
      </c>
      <c r="C2211" s="19" t="s">
        <v>7853</v>
      </c>
      <c r="D2211" s="19"/>
      <c r="E2211" s="2"/>
      <c r="F2211" s="19"/>
    </row>
    <row r="2212" ht="15.75" customHeight="1">
      <c r="A2212" s="1">
        <v>5.8839197E7</v>
      </c>
      <c r="B2212" s="2" t="s">
        <v>398</v>
      </c>
      <c r="C2212" s="19" t="s">
        <v>7854</v>
      </c>
      <c r="D2212" s="19"/>
      <c r="E2212" s="2"/>
      <c r="F2212" s="19"/>
    </row>
    <row r="2213" ht="15.75" customHeight="1">
      <c r="A2213" s="1">
        <v>5.8840472E7</v>
      </c>
      <c r="B2213" s="2" t="s">
        <v>2791</v>
      </c>
      <c r="C2213" s="19" t="s">
        <v>7855</v>
      </c>
      <c r="D2213" s="19"/>
      <c r="E2213" s="2"/>
      <c r="F2213" s="19"/>
    </row>
    <row r="2214" ht="15.75" customHeight="1">
      <c r="A2214" s="1">
        <v>5.8841047E7</v>
      </c>
      <c r="B2214" s="2" t="s">
        <v>2428</v>
      </c>
      <c r="C2214" s="19" t="s">
        <v>7856</v>
      </c>
      <c r="D2214" s="19"/>
      <c r="E2214" s="2"/>
      <c r="F2214" s="19"/>
    </row>
    <row r="2215" ht="15.75" customHeight="1">
      <c r="A2215" s="1">
        <v>5.8844302E7</v>
      </c>
      <c r="B2215" s="2" t="s">
        <v>2461</v>
      </c>
      <c r="C2215" s="19" t="s">
        <v>7857</v>
      </c>
      <c r="D2215" s="19" t="s">
        <v>7858</v>
      </c>
      <c r="E2215" s="2"/>
      <c r="F2215" s="19"/>
    </row>
    <row r="2216" ht="15.75" customHeight="1">
      <c r="A2216" s="1">
        <v>5.8846662E7</v>
      </c>
      <c r="B2216" s="2" t="s">
        <v>3077</v>
      </c>
      <c r="C2216" s="19" t="s">
        <v>7859</v>
      </c>
      <c r="D2216" s="19" t="s">
        <v>7860</v>
      </c>
      <c r="E2216" s="2"/>
      <c r="F2216" s="19"/>
    </row>
    <row r="2217" ht="15.75" customHeight="1">
      <c r="A2217" s="1">
        <v>5.8858248E7</v>
      </c>
      <c r="B2217" s="2" t="s">
        <v>3001</v>
      </c>
      <c r="C2217" s="19" t="s">
        <v>7861</v>
      </c>
      <c r="D2217" s="19"/>
      <c r="E2217" s="2"/>
      <c r="F2217" s="19"/>
    </row>
    <row r="2218" ht="15.75" customHeight="1">
      <c r="A2218" s="1">
        <v>5.8861074E7</v>
      </c>
      <c r="B2218" s="2" t="s">
        <v>2489</v>
      </c>
      <c r="C2218" s="19" t="s">
        <v>7862</v>
      </c>
      <c r="D2218" s="19"/>
      <c r="E2218" s="2"/>
      <c r="F2218" s="19"/>
    </row>
    <row r="2219" ht="15.75" customHeight="1">
      <c r="A2219" s="1">
        <v>5.8861624E7</v>
      </c>
      <c r="B2219" s="2" t="s">
        <v>1041</v>
      </c>
      <c r="C2219" s="19" t="s">
        <v>7863</v>
      </c>
      <c r="D2219" s="19" t="s">
        <v>7864</v>
      </c>
      <c r="E2219" s="2"/>
      <c r="F2219" s="19"/>
    </row>
    <row r="2220" ht="15.75" customHeight="1">
      <c r="A2220" s="1">
        <v>5.8867149E7</v>
      </c>
      <c r="B2220" s="2" t="s">
        <v>2253</v>
      </c>
      <c r="C2220" s="19" t="s">
        <v>7865</v>
      </c>
      <c r="D2220" s="19" t="s">
        <v>7866</v>
      </c>
      <c r="E2220" s="2"/>
      <c r="F2220" s="19"/>
    </row>
    <row r="2221" ht="15.75" customHeight="1">
      <c r="A2221" s="1">
        <v>5.8867261E7</v>
      </c>
      <c r="B2221" s="2" t="s">
        <v>3201</v>
      </c>
      <c r="C2221" s="19" t="s">
        <v>7867</v>
      </c>
      <c r="D2221" s="19"/>
      <c r="E2221" s="2"/>
      <c r="F2221" s="19"/>
    </row>
    <row r="2222" ht="15.75" customHeight="1">
      <c r="A2222" s="1">
        <v>5.8869893E7</v>
      </c>
      <c r="B2222" s="2" t="s">
        <v>3130</v>
      </c>
      <c r="C2222" s="19" t="s">
        <v>7868</v>
      </c>
      <c r="D2222" s="19"/>
      <c r="E2222" s="2"/>
      <c r="F2222" s="19"/>
    </row>
    <row r="2223" ht="15.75" customHeight="1">
      <c r="A2223" s="1">
        <v>5.8874315E7</v>
      </c>
      <c r="B2223" s="2" t="s">
        <v>2254</v>
      </c>
      <c r="C2223" s="19" t="s">
        <v>7869</v>
      </c>
      <c r="D2223" s="19"/>
      <c r="E2223" s="2"/>
      <c r="F2223" s="19"/>
    </row>
    <row r="2224" ht="15.75" customHeight="1">
      <c r="A2224" s="1">
        <v>5.8876011E7</v>
      </c>
      <c r="B2224" s="2" t="s">
        <v>2197</v>
      </c>
      <c r="C2224" s="19" t="s">
        <v>7870</v>
      </c>
      <c r="D2224" s="19"/>
      <c r="E2224" s="2"/>
      <c r="F2224" s="19"/>
    </row>
    <row r="2225" ht="15.75" customHeight="1">
      <c r="A2225" s="1">
        <v>5.8877222E7</v>
      </c>
      <c r="B2225" s="2" t="s">
        <v>2074</v>
      </c>
      <c r="C2225" s="19" t="s">
        <v>7871</v>
      </c>
      <c r="D2225" s="19" t="s">
        <v>7872</v>
      </c>
      <c r="E2225" s="2"/>
      <c r="F2225" s="19"/>
    </row>
    <row r="2226" ht="15.75" customHeight="1">
      <c r="A2226" s="1">
        <v>5.8885227E7</v>
      </c>
      <c r="B2226" s="2" t="s">
        <v>2021</v>
      </c>
      <c r="C2226" s="19" t="s">
        <v>7873</v>
      </c>
      <c r="D2226" s="19"/>
      <c r="E2226" s="2"/>
      <c r="F2226" s="19"/>
    </row>
    <row r="2227" ht="15.75" customHeight="1">
      <c r="A2227" s="1">
        <v>5.888548E7</v>
      </c>
      <c r="B2227" s="2" t="s">
        <v>3182</v>
      </c>
      <c r="C2227" s="19" t="s">
        <v>7874</v>
      </c>
      <c r="D2227" s="19"/>
      <c r="E2227" s="2"/>
      <c r="F2227" s="19"/>
    </row>
    <row r="2228" ht="15.75" customHeight="1">
      <c r="A2228" s="1">
        <v>5.8885774E7</v>
      </c>
      <c r="B2228" s="2" t="s">
        <v>3306</v>
      </c>
      <c r="C2228" s="19" t="s">
        <v>7875</v>
      </c>
      <c r="D2228" s="19" t="s">
        <v>7876</v>
      </c>
      <c r="E2228" s="2"/>
      <c r="F2228" s="19"/>
    </row>
    <row r="2229" ht="15.75" customHeight="1">
      <c r="A2229" s="1">
        <v>5.8887435E7</v>
      </c>
      <c r="B2229" s="2" t="s">
        <v>3205</v>
      </c>
      <c r="C2229" s="19" t="s">
        <v>7877</v>
      </c>
      <c r="D2229" s="19"/>
      <c r="E2229" s="2"/>
      <c r="F2229" s="19"/>
    </row>
    <row r="2230" ht="15.75" customHeight="1">
      <c r="A2230" s="1">
        <v>5.8904486E7</v>
      </c>
      <c r="B2230" s="2" t="s">
        <v>2870</v>
      </c>
      <c r="C2230" s="19" t="s">
        <v>7878</v>
      </c>
      <c r="D2230" s="19"/>
      <c r="E2230" s="2"/>
      <c r="F2230" s="19"/>
    </row>
    <row r="2231" ht="15.75" customHeight="1">
      <c r="A2231" s="1">
        <v>5.8913715E7</v>
      </c>
      <c r="B2231" s="2" t="s">
        <v>3440</v>
      </c>
      <c r="C2231" s="19" t="s">
        <v>7879</v>
      </c>
      <c r="D2231" s="19"/>
      <c r="E2231" s="2"/>
      <c r="F2231" s="19"/>
    </row>
    <row r="2232" ht="15.75" customHeight="1">
      <c r="A2232" s="1">
        <v>5.891433E7</v>
      </c>
      <c r="B2232" s="2" t="s">
        <v>1759</v>
      </c>
      <c r="C2232" s="19" t="s">
        <v>7880</v>
      </c>
      <c r="D2232" s="19"/>
      <c r="E2232" s="2"/>
      <c r="F2232" s="19"/>
    </row>
    <row r="2233" ht="15.75" customHeight="1">
      <c r="A2233" s="1">
        <v>5.8924846E7</v>
      </c>
      <c r="B2233" s="2" t="s">
        <v>2937</v>
      </c>
      <c r="C2233" s="19" t="s">
        <v>7881</v>
      </c>
      <c r="D2233" s="19" t="s">
        <v>7882</v>
      </c>
      <c r="E2233" s="2"/>
      <c r="F2233" s="19"/>
    </row>
    <row r="2234" ht="15.75" customHeight="1">
      <c r="A2234" s="1">
        <v>5.8927398E7</v>
      </c>
      <c r="B2234" s="2" t="s">
        <v>2792</v>
      </c>
      <c r="C2234" s="19" t="s">
        <v>7883</v>
      </c>
      <c r="D2234" s="19" t="s">
        <v>7884</v>
      </c>
      <c r="E2234" s="2"/>
      <c r="F2234" s="19"/>
    </row>
    <row r="2235" ht="15.75" customHeight="1">
      <c r="A2235" s="1">
        <v>5.8927482E7</v>
      </c>
      <c r="B2235" s="2" t="s">
        <v>3550</v>
      </c>
      <c r="C2235" s="19" t="s">
        <v>7885</v>
      </c>
      <c r="D2235" s="19"/>
      <c r="E2235" s="2"/>
      <c r="F2235" s="19"/>
    </row>
    <row r="2236" ht="15.75" customHeight="1">
      <c r="A2236" s="1">
        <v>5.8933463E7</v>
      </c>
      <c r="B2236" s="2" t="s">
        <v>2639</v>
      </c>
      <c r="C2236" s="19" t="s">
        <v>7886</v>
      </c>
      <c r="D2236" s="19"/>
      <c r="E2236" s="2"/>
      <c r="F2236" s="19"/>
    </row>
    <row r="2237" ht="15.75" customHeight="1">
      <c r="A2237" s="1">
        <v>5.8935331E7</v>
      </c>
      <c r="B2237" s="2" t="s">
        <v>2210</v>
      </c>
      <c r="C2237" s="19" t="s">
        <v>7887</v>
      </c>
      <c r="D2237" s="19"/>
      <c r="E2237" s="2"/>
      <c r="F2237" s="19"/>
    </row>
    <row r="2238" ht="15.75" customHeight="1">
      <c r="A2238" s="1">
        <v>5.8937485E7</v>
      </c>
      <c r="B2238" s="2" t="s">
        <v>3255</v>
      </c>
      <c r="C2238" s="19" t="s">
        <v>7888</v>
      </c>
      <c r="D2238" s="19"/>
      <c r="E2238" s="2"/>
      <c r="F2238" s="19"/>
    </row>
    <row r="2239" ht="15.75" customHeight="1">
      <c r="A2239" s="1">
        <v>5.8940439E7</v>
      </c>
      <c r="B2239" s="2" t="s">
        <v>3307</v>
      </c>
      <c r="C2239" s="19" t="s">
        <v>7889</v>
      </c>
      <c r="D2239" s="19"/>
      <c r="E2239" s="2"/>
      <c r="F2239" s="19"/>
    </row>
    <row r="2240" ht="15.75" customHeight="1">
      <c r="A2240" s="1">
        <v>5.8941104E7</v>
      </c>
      <c r="B2240" s="2" t="s">
        <v>2698</v>
      </c>
      <c r="C2240" s="19" t="s">
        <v>7890</v>
      </c>
      <c r="D2240" s="19"/>
      <c r="E2240" s="2"/>
      <c r="F2240" s="19"/>
    </row>
    <row r="2241" ht="15.75" customHeight="1">
      <c r="A2241" s="1">
        <v>5.8942442E7</v>
      </c>
      <c r="B2241" s="2" t="s">
        <v>424</v>
      </c>
      <c r="C2241" s="19" t="s">
        <v>7891</v>
      </c>
      <c r="D2241" s="19"/>
      <c r="E2241" s="2"/>
      <c r="F2241" s="19"/>
    </row>
    <row r="2242" ht="15.75" customHeight="1">
      <c r="A2242" s="1">
        <v>5.8944331E7</v>
      </c>
      <c r="B2242" s="2" t="s">
        <v>3411</v>
      </c>
      <c r="C2242" s="19" t="s">
        <v>7892</v>
      </c>
      <c r="D2242" s="19"/>
      <c r="E2242" s="2"/>
      <c r="F2242" s="19"/>
    </row>
    <row r="2243" ht="15.75" customHeight="1">
      <c r="A2243" s="1">
        <v>5.894557E7</v>
      </c>
      <c r="B2243" s="2" t="s">
        <v>2240</v>
      </c>
      <c r="C2243" s="19" t="s">
        <v>7893</v>
      </c>
      <c r="D2243" s="19" t="s">
        <v>7894</v>
      </c>
      <c r="E2243" s="2"/>
      <c r="F2243" s="19"/>
    </row>
    <row r="2244" ht="15.75" customHeight="1">
      <c r="A2244" s="1">
        <v>5.8949589E7</v>
      </c>
      <c r="B2244" s="2" t="s">
        <v>3108</v>
      </c>
      <c r="C2244" s="19" t="s">
        <v>7895</v>
      </c>
      <c r="D2244" s="19"/>
      <c r="E2244" s="2"/>
      <c r="F2244" s="19"/>
    </row>
    <row r="2245" ht="15.75" customHeight="1">
      <c r="A2245" s="1">
        <v>5.8952758E7</v>
      </c>
      <c r="B2245" s="2" t="s">
        <v>2327</v>
      </c>
      <c r="C2245" s="19" t="s">
        <v>7896</v>
      </c>
      <c r="D2245" s="19"/>
      <c r="E2245" s="2"/>
      <c r="F2245" s="19"/>
    </row>
    <row r="2246" ht="15.75" customHeight="1">
      <c r="A2246" s="1">
        <v>5.8956948E7</v>
      </c>
      <c r="B2246" s="2" t="s">
        <v>2813</v>
      </c>
      <c r="C2246" s="19" t="s">
        <v>7897</v>
      </c>
      <c r="D2246" s="19"/>
      <c r="E2246" s="2"/>
      <c r="F2246" s="19"/>
    </row>
    <row r="2247" ht="15.75" customHeight="1">
      <c r="A2247" s="1">
        <v>5.8959973E7</v>
      </c>
      <c r="B2247" s="2" t="s">
        <v>2474</v>
      </c>
      <c r="C2247" s="19" t="s">
        <v>7898</v>
      </c>
      <c r="D2247" s="19"/>
      <c r="E2247" s="2"/>
      <c r="F2247" s="19"/>
    </row>
    <row r="2248" ht="15.75" customHeight="1">
      <c r="A2248" s="1">
        <v>5.8965067E7</v>
      </c>
      <c r="B2248" s="2" t="s">
        <v>3019</v>
      </c>
      <c r="C2248" s="19" t="s">
        <v>7899</v>
      </c>
      <c r="D2248" s="19"/>
      <c r="E2248" s="2"/>
      <c r="F2248" s="19"/>
    </row>
    <row r="2249" ht="15.75" customHeight="1">
      <c r="A2249" s="1">
        <v>5.8973104E7</v>
      </c>
      <c r="B2249" s="2" t="s">
        <v>3523</v>
      </c>
      <c r="C2249" s="19" t="s">
        <v>7900</v>
      </c>
      <c r="D2249" s="19"/>
      <c r="E2249" s="2"/>
      <c r="F2249" s="19"/>
    </row>
    <row r="2250" ht="15.75" customHeight="1">
      <c r="A2250" s="1">
        <v>5.8976356E7</v>
      </c>
      <c r="B2250" s="2" t="s">
        <v>2191</v>
      </c>
      <c r="C2250" s="19" t="s">
        <v>7901</v>
      </c>
      <c r="D2250" s="19"/>
      <c r="E2250" s="2"/>
      <c r="F2250" s="19"/>
    </row>
    <row r="2251" ht="15.75" customHeight="1">
      <c r="A2251" s="1">
        <v>5.8982487E7</v>
      </c>
      <c r="B2251" s="2" t="s">
        <v>1242</v>
      </c>
      <c r="C2251" s="19" t="s">
        <v>7902</v>
      </c>
      <c r="D2251" s="19"/>
      <c r="E2251" s="2"/>
      <c r="F2251" s="19"/>
    </row>
    <row r="2252" ht="15.75" customHeight="1">
      <c r="A2252" s="1">
        <v>5.8993188E7</v>
      </c>
      <c r="B2252" s="2" t="s">
        <v>3606</v>
      </c>
      <c r="C2252" s="19" t="s">
        <v>7903</v>
      </c>
      <c r="D2252" s="19"/>
      <c r="E2252" s="2"/>
      <c r="F2252" s="19"/>
    </row>
    <row r="2253" ht="15.75" customHeight="1">
      <c r="A2253" s="1">
        <v>5.9005965E7</v>
      </c>
      <c r="B2253" s="2" t="s">
        <v>2734</v>
      </c>
      <c r="C2253" s="19" t="s">
        <v>7904</v>
      </c>
      <c r="D2253" s="19"/>
      <c r="E2253" s="2"/>
      <c r="F2253" s="19"/>
    </row>
    <row r="2254" ht="15.75" customHeight="1">
      <c r="A2254" s="1">
        <v>5.9018968E7</v>
      </c>
      <c r="B2254" s="2" t="s">
        <v>3020</v>
      </c>
      <c r="C2254" s="19" t="s">
        <v>7905</v>
      </c>
      <c r="D2254" s="19"/>
      <c r="E2254" s="2"/>
      <c r="F2254" s="19"/>
    </row>
    <row r="2255" ht="15.75" customHeight="1">
      <c r="A2255" s="1">
        <v>5.9022984E7</v>
      </c>
      <c r="B2255" s="2" t="s">
        <v>2173</v>
      </c>
      <c r="C2255" s="19" t="s">
        <v>7906</v>
      </c>
      <c r="D2255" s="19"/>
      <c r="E2255" s="2"/>
      <c r="F2255" s="19"/>
    </row>
    <row r="2256" ht="15.75" customHeight="1">
      <c r="A2256" s="1">
        <v>5.9027006E7</v>
      </c>
      <c r="B2256" s="2" t="s">
        <v>3131</v>
      </c>
      <c r="C2256" s="19" t="s">
        <v>7907</v>
      </c>
      <c r="D2256" s="19"/>
      <c r="E2256" s="2"/>
      <c r="F2256" s="19"/>
    </row>
    <row r="2257" ht="15.75" customHeight="1">
      <c r="A2257" s="1">
        <v>5.9029108E7</v>
      </c>
      <c r="B2257" s="2" t="s">
        <v>2884</v>
      </c>
      <c r="C2257" s="19" t="s">
        <v>7908</v>
      </c>
      <c r="D2257" s="19"/>
      <c r="E2257" s="2"/>
      <c r="F2257" s="19"/>
    </row>
    <row r="2258" ht="15.75" customHeight="1">
      <c r="A2258" s="1">
        <v>5.9029392E7</v>
      </c>
      <c r="B2258" s="2" t="s">
        <v>2611</v>
      </c>
      <c r="C2258" s="19" t="s">
        <v>7909</v>
      </c>
      <c r="D2258" s="19"/>
      <c r="E2258" s="2"/>
      <c r="F2258" s="19"/>
    </row>
    <row r="2259" ht="15.75" customHeight="1">
      <c r="A2259" s="1">
        <v>5.9043054E7</v>
      </c>
      <c r="B2259" s="2" t="s">
        <v>1417</v>
      </c>
      <c r="C2259" s="19" t="s">
        <v>7910</v>
      </c>
      <c r="D2259" s="19"/>
      <c r="E2259" s="2"/>
      <c r="F2259" s="19"/>
    </row>
    <row r="2260" ht="15.75" customHeight="1">
      <c r="A2260" s="1">
        <v>5.9044506E7</v>
      </c>
      <c r="B2260" s="2" t="s">
        <v>2663</v>
      </c>
      <c r="C2260" s="19" t="s">
        <v>7911</v>
      </c>
      <c r="D2260" s="19"/>
      <c r="E2260" s="2"/>
      <c r="F2260" s="19"/>
    </row>
    <row r="2261" ht="15.75" customHeight="1">
      <c r="A2261" s="1">
        <v>5.9046675E7</v>
      </c>
      <c r="B2261" s="2" t="s">
        <v>3231</v>
      </c>
      <c r="C2261" s="19" t="s">
        <v>7912</v>
      </c>
      <c r="D2261" s="19"/>
      <c r="E2261" s="2"/>
      <c r="F2261" s="19"/>
    </row>
    <row r="2262" ht="15.75" customHeight="1">
      <c r="A2262" s="1">
        <v>5.9050535E7</v>
      </c>
      <c r="B2262" s="2" t="s">
        <v>2521</v>
      </c>
      <c r="C2262" s="19" t="s">
        <v>7913</v>
      </c>
      <c r="D2262" s="19" t="s">
        <v>7914</v>
      </c>
      <c r="E2262" s="2"/>
      <c r="F2262" s="19"/>
    </row>
    <row r="2263" ht="15.75" customHeight="1">
      <c r="A2263" s="1">
        <v>5.9053286E7</v>
      </c>
      <c r="B2263" s="2" t="s">
        <v>2871</v>
      </c>
      <c r="C2263" s="19" t="s">
        <v>7915</v>
      </c>
      <c r="D2263" s="19" t="s">
        <v>7916</v>
      </c>
      <c r="E2263" s="2"/>
      <c r="F2263" s="19"/>
    </row>
    <row r="2264" ht="15.75" customHeight="1">
      <c r="A2264" s="1">
        <v>5.9053329E7</v>
      </c>
      <c r="B2264" s="2" t="s">
        <v>3206</v>
      </c>
      <c r="C2264" s="19" t="s">
        <v>7917</v>
      </c>
      <c r="D2264" s="19"/>
      <c r="E2264" s="2"/>
      <c r="F2264" s="19"/>
    </row>
    <row r="2265" ht="15.75" customHeight="1">
      <c r="A2265" s="1">
        <v>5.9056956E7</v>
      </c>
      <c r="B2265" s="2" t="s">
        <v>2885</v>
      </c>
      <c r="C2265" s="19" t="s">
        <v>7918</v>
      </c>
      <c r="D2265" s="19"/>
      <c r="E2265" s="2"/>
      <c r="F2265" s="19"/>
    </row>
    <row r="2266" ht="15.75" customHeight="1">
      <c r="A2266" s="1">
        <v>5.9058293E7</v>
      </c>
      <c r="B2266" s="2" t="s">
        <v>2771</v>
      </c>
      <c r="C2266" s="19" t="s">
        <v>7919</v>
      </c>
      <c r="D2266" s="19"/>
      <c r="E2266" s="2"/>
      <c r="F2266" s="19"/>
    </row>
    <row r="2267" ht="15.75" customHeight="1">
      <c r="A2267" s="1">
        <v>5.9061893E7</v>
      </c>
      <c r="B2267" s="2" t="s">
        <v>2886</v>
      </c>
      <c r="C2267" s="19" t="s">
        <v>7920</v>
      </c>
      <c r="D2267" s="19" t="s">
        <v>7921</v>
      </c>
      <c r="E2267" s="2"/>
      <c r="F2267" s="19"/>
    </row>
    <row r="2268" ht="15.75" customHeight="1">
      <c r="A2268" s="1">
        <v>5.9062331E7</v>
      </c>
      <c r="B2268" s="2" t="s">
        <v>1069</v>
      </c>
      <c r="C2268" s="19" t="s">
        <v>7922</v>
      </c>
      <c r="D2268" s="19"/>
      <c r="E2268" s="2"/>
      <c r="F2268" s="19"/>
    </row>
    <row r="2269" ht="15.75" customHeight="1">
      <c r="A2269" s="1">
        <v>5.9062489E7</v>
      </c>
      <c r="B2269" s="2" t="s">
        <v>2330</v>
      </c>
      <c r="C2269" s="19" t="s">
        <v>7923</v>
      </c>
      <c r="D2269" s="19"/>
      <c r="E2269" s="2"/>
      <c r="F2269" s="19"/>
    </row>
    <row r="2270" ht="15.75" customHeight="1">
      <c r="A2270" s="1">
        <v>5.9063029E7</v>
      </c>
      <c r="B2270" s="2" t="s">
        <v>3002</v>
      </c>
      <c r="C2270" s="19" t="s">
        <v>7924</v>
      </c>
      <c r="D2270" s="19"/>
      <c r="E2270" s="2"/>
      <c r="F2270" s="19"/>
    </row>
    <row r="2271" ht="15.75" customHeight="1">
      <c r="A2271" s="1">
        <v>5.9074292E7</v>
      </c>
      <c r="B2271" s="2" t="s">
        <v>2749</v>
      </c>
      <c r="C2271" s="19" t="s">
        <v>7925</v>
      </c>
      <c r="D2271" s="19" t="s">
        <v>7926</v>
      </c>
      <c r="E2271" s="2"/>
      <c r="F2271" s="19"/>
    </row>
    <row r="2272" ht="15.75" customHeight="1">
      <c r="A2272" s="1">
        <v>5.9075582E7</v>
      </c>
      <c r="B2272" s="2" t="s">
        <v>2612</v>
      </c>
      <c r="C2272" s="19" t="s">
        <v>7927</v>
      </c>
      <c r="D2272" s="19"/>
      <c r="E2272" s="2"/>
      <c r="F2272" s="19"/>
    </row>
    <row r="2273" ht="15.75" customHeight="1">
      <c r="A2273" s="1">
        <v>5.9082961E7</v>
      </c>
      <c r="B2273" s="2" t="s">
        <v>3616</v>
      </c>
      <c r="C2273" s="19" t="s">
        <v>7928</v>
      </c>
      <c r="D2273" s="19"/>
      <c r="E2273" s="2"/>
      <c r="F2273" s="19"/>
    </row>
    <row r="2274" ht="15.75" customHeight="1">
      <c r="A2274" s="1">
        <v>5.9085464E7</v>
      </c>
      <c r="B2274" s="2" t="s">
        <v>2355</v>
      </c>
      <c r="C2274" s="19" t="s">
        <v>7929</v>
      </c>
      <c r="D2274" s="19"/>
      <c r="E2274" s="2"/>
      <c r="F2274" s="19"/>
    </row>
    <row r="2275" ht="15.75" customHeight="1">
      <c r="A2275" s="1">
        <v>5.9089647E7</v>
      </c>
      <c r="B2275" s="2" t="s">
        <v>1571</v>
      </c>
      <c r="C2275" s="19" t="s">
        <v>7930</v>
      </c>
      <c r="D2275" s="19" t="s">
        <v>7931</v>
      </c>
      <c r="E2275" s="2"/>
      <c r="F2275" s="19"/>
    </row>
    <row r="2276" ht="15.75" customHeight="1">
      <c r="A2276" s="1">
        <v>5.9094028E7</v>
      </c>
      <c r="B2276" s="2" t="s">
        <v>3232</v>
      </c>
      <c r="C2276" s="19" t="s">
        <v>7932</v>
      </c>
      <c r="D2276" s="19"/>
      <c r="E2276" s="2"/>
      <c r="F2276" s="19"/>
    </row>
    <row r="2277" ht="15.75" customHeight="1">
      <c r="A2277" s="1">
        <v>5.9098983E7</v>
      </c>
      <c r="B2277" s="2" t="s">
        <v>2830</v>
      </c>
      <c r="C2277" s="19" t="s">
        <v>7933</v>
      </c>
      <c r="D2277" s="19"/>
      <c r="E2277" s="2"/>
      <c r="F2277" s="19"/>
    </row>
    <row r="2278" ht="15.75" customHeight="1">
      <c r="A2278" s="1">
        <v>5.9103273E7</v>
      </c>
      <c r="B2278" s="2" t="s">
        <v>2303</v>
      </c>
      <c r="C2278" s="19" t="s">
        <v>7934</v>
      </c>
      <c r="D2278" s="19" t="s">
        <v>7935</v>
      </c>
      <c r="E2278" s="2"/>
      <c r="F2278" s="19"/>
    </row>
    <row r="2279" ht="15.75" customHeight="1">
      <c r="A2279" s="1">
        <v>5.9110327E7</v>
      </c>
      <c r="B2279" s="2" t="s">
        <v>3348</v>
      </c>
      <c r="C2279" s="19" t="s">
        <v>7936</v>
      </c>
      <c r="D2279" s="19"/>
      <c r="E2279" s="2"/>
      <c r="F2279" s="19"/>
    </row>
    <row r="2280" ht="15.75" customHeight="1">
      <c r="A2280" s="1">
        <v>5.9118573E7</v>
      </c>
      <c r="B2280" s="2" t="s">
        <v>2522</v>
      </c>
      <c r="C2280" s="19" t="s">
        <v>7937</v>
      </c>
      <c r="D2280" s="19" t="s">
        <v>7938</v>
      </c>
      <c r="E2280" s="2"/>
      <c r="F2280" s="19"/>
    </row>
    <row r="2281" ht="15.75" customHeight="1">
      <c r="A2281" s="1">
        <v>5.9134196E7</v>
      </c>
      <c r="B2281" s="2" t="s">
        <v>881</v>
      </c>
      <c r="C2281" s="19" t="s">
        <v>7939</v>
      </c>
      <c r="D2281" s="19" t="s">
        <v>7940</v>
      </c>
      <c r="E2281" s="2"/>
      <c r="F2281" s="19"/>
    </row>
    <row r="2282" ht="15.75" customHeight="1">
      <c r="A2282" s="1">
        <v>5.9140407E7</v>
      </c>
      <c r="B2282" s="2" t="s">
        <v>1916</v>
      </c>
      <c r="C2282" s="19" t="s">
        <v>7941</v>
      </c>
      <c r="D2282" s="19"/>
      <c r="E2282" s="2"/>
      <c r="F2282" s="19"/>
    </row>
    <row r="2283" ht="15.75" customHeight="1">
      <c r="A2283" s="1">
        <v>5.9146323E7</v>
      </c>
      <c r="B2283" s="2" t="s">
        <v>3330</v>
      </c>
      <c r="C2283" s="19" t="s">
        <v>7942</v>
      </c>
      <c r="D2283" s="19"/>
      <c r="E2283" s="2"/>
      <c r="F2283" s="19"/>
    </row>
    <row r="2284" ht="15.75" customHeight="1">
      <c r="A2284" s="1">
        <v>5.9149471E7</v>
      </c>
      <c r="B2284" s="2" t="s">
        <v>2536</v>
      </c>
      <c r="C2284" s="19" t="s">
        <v>7943</v>
      </c>
      <c r="D2284" s="19" t="s">
        <v>7944</v>
      </c>
      <c r="E2284" s="2"/>
      <c r="F2284" s="19"/>
    </row>
    <row r="2285" ht="15.75" customHeight="1">
      <c r="A2285" s="1">
        <v>5.9150237E7</v>
      </c>
      <c r="B2285" s="2" t="s">
        <v>1669</v>
      </c>
      <c r="C2285" s="19" t="s">
        <v>7945</v>
      </c>
      <c r="D2285" s="19"/>
      <c r="E2285" s="2"/>
      <c r="F2285" s="19"/>
    </row>
    <row r="2286" ht="15.75" customHeight="1">
      <c r="A2286" s="1">
        <v>5.9150977E7</v>
      </c>
      <c r="B2286" s="2" t="s">
        <v>2977</v>
      </c>
      <c r="C2286" s="19" t="s">
        <v>7946</v>
      </c>
      <c r="D2286" s="19"/>
      <c r="E2286" s="2"/>
      <c r="F2286" s="19"/>
    </row>
    <row r="2287" ht="15.75" customHeight="1">
      <c r="A2287" s="1">
        <v>5.9158534E7</v>
      </c>
      <c r="B2287" s="2" t="s">
        <v>2448</v>
      </c>
      <c r="C2287" s="19" t="s">
        <v>7947</v>
      </c>
      <c r="D2287" s="19"/>
      <c r="E2287" s="2"/>
      <c r="F2287" s="19"/>
    </row>
    <row r="2288" ht="15.75" customHeight="1">
      <c r="A2288" s="1">
        <v>5.9164289E7</v>
      </c>
      <c r="B2288" s="2" t="s">
        <v>2557</v>
      </c>
      <c r="C2288" s="19" t="s">
        <v>7948</v>
      </c>
      <c r="D2288" s="19"/>
      <c r="E2288" s="2"/>
      <c r="F2288" s="19"/>
    </row>
    <row r="2289" ht="15.75" customHeight="1">
      <c r="A2289" s="1">
        <v>5.9165271E7</v>
      </c>
      <c r="B2289" s="2" t="s">
        <v>3021</v>
      </c>
      <c r="C2289" s="19" t="s">
        <v>7949</v>
      </c>
      <c r="D2289" s="19"/>
      <c r="E2289" s="2"/>
      <c r="F2289" s="19"/>
    </row>
    <row r="2290" ht="15.75" customHeight="1">
      <c r="A2290" s="1">
        <v>5.9175116E7</v>
      </c>
      <c r="B2290" s="2" t="s">
        <v>3607</v>
      </c>
      <c r="C2290" s="19" t="s">
        <v>7950</v>
      </c>
      <c r="D2290" s="19"/>
      <c r="E2290" s="2"/>
      <c r="F2290" s="19"/>
    </row>
    <row r="2291" ht="15.75" customHeight="1">
      <c r="A2291" s="1">
        <v>5.9182574E7</v>
      </c>
      <c r="B2291" s="2" t="s">
        <v>3349</v>
      </c>
      <c r="C2291" s="19" t="s">
        <v>7951</v>
      </c>
      <c r="D2291" s="19"/>
      <c r="E2291" s="2"/>
      <c r="F2291" s="19"/>
    </row>
    <row r="2292" ht="15.75" customHeight="1">
      <c r="A2292" s="1">
        <v>5.9186116E7</v>
      </c>
      <c r="B2292" s="2" t="s">
        <v>2960</v>
      </c>
      <c r="C2292" s="19" t="s">
        <v>7952</v>
      </c>
      <c r="D2292" s="19"/>
      <c r="E2292" s="2"/>
      <c r="F2292" s="19"/>
    </row>
    <row r="2293" ht="15.75" customHeight="1">
      <c r="A2293" s="1">
        <v>5.9189512E7</v>
      </c>
      <c r="B2293" s="2" t="s">
        <v>944</v>
      </c>
      <c r="C2293" s="19" t="s">
        <v>7953</v>
      </c>
      <c r="D2293" s="19" t="s">
        <v>7954</v>
      </c>
      <c r="E2293" s="2"/>
      <c r="F2293" s="19"/>
    </row>
    <row r="2294" ht="15.75" customHeight="1">
      <c r="A2294" s="1">
        <v>5.9192422E7</v>
      </c>
      <c r="B2294" s="2" t="s">
        <v>3233</v>
      </c>
      <c r="C2294" s="19" t="s">
        <v>7955</v>
      </c>
      <c r="D2294" s="19"/>
      <c r="E2294" s="2"/>
      <c r="F2294" s="19"/>
    </row>
    <row r="2295" ht="15.75" customHeight="1">
      <c r="A2295" s="1">
        <v>5.919464E7</v>
      </c>
      <c r="B2295" s="2" t="s">
        <v>3078</v>
      </c>
      <c r="C2295" s="19" t="s">
        <v>7956</v>
      </c>
      <c r="D2295" s="19" t="s">
        <v>7957</v>
      </c>
      <c r="E2295" s="2"/>
      <c r="F2295" s="19"/>
    </row>
    <row r="2296" ht="15.75" customHeight="1">
      <c r="A2296" s="1">
        <v>5.919678E7</v>
      </c>
      <c r="B2296" s="2" t="s">
        <v>2887</v>
      </c>
      <c r="C2296" s="19" t="s">
        <v>7958</v>
      </c>
      <c r="D2296" s="19"/>
      <c r="E2296" s="2"/>
      <c r="F2296" s="19"/>
    </row>
    <row r="2297" ht="15.75" customHeight="1">
      <c r="A2297" s="1">
        <v>5.9199646E7</v>
      </c>
      <c r="B2297" s="2" t="s">
        <v>3153</v>
      </c>
      <c r="C2297" s="19" t="s">
        <v>7959</v>
      </c>
      <c r="D2297" s="19"/>
      <c r="E2297" s="2"/>
      <c r="F2297" s="19"/>
    </row>
    <row r="2298" ht="15.75" customHeight="1">
      <c r="A2298" s="1">
        <v>5.9199858E7</v>
      </c>
      <c r="B2298" s="2" t="s">
        <v>2816</v>
      </c>
      <c r="C2298" s="19" t="s">
        <v>7960</v>
      </c>
      <c r="D2298" s="19" t="s">
        <v>7961</v>
      </c>
      <c r="E2298" s="2"/>
      <c r="F2298" s="19"/>
    </row>
    <row r="2299" ht="15.75" customHeight="1">
      <c r="A2299" s="1">
        <v>5.9201429E7</v>
      </c>
      <c r="B2299" s="2" t="s">
        <v>2113</v>
      </c>
      <c r="C2299" s="19" t="s">
        <v>7962</v>
      </c>
      <c r="D2299" s="19"/>
      <c r="E2299" s="2"/>
      <c r="F2299" s="19"/>
    </row>
    <row r="2300" ht="15.75" customHeight="1">
      <c r="A2300" s="1">
        <v>5.9202468E7</v>
      </c>
      <c r="B2300" s="2" t="s">
        <v>2579</v>
      </c>
      <c r="C2300" s="19" t="s">
        <v>7963</v>
      </c>
      <c r="D2300" s="19"/>
      <c r="E2300" s="2"/>
      <c r="F2300" s="19"/>
    </row>
    <row r="2301" ht="15.75" customHeight="1">
      <c r="A2301" s="1">
        <v>5.9202953E7</v>
      </c>
      <c r="B2301" s="2" t="s">
        <v>600</v>
      </c>
      <c r="C2301" s="19" t="s">
        <v>7964</v>
      </c>
      <c r="D2301" s="19" t="s">
        <v>7965</v>
      </c>
      <c r="E2301" s="2"/>
      <c r="F2301" s="19"/>
    </row>
    <row r="2302" ht="15.75" customHeight="1">
      <c r="A2302" s="1">
        <v>5.9211352E7</v>
      </c>
      <c r="B2302" s="2" t="s">
        <v>3003</v>
      </c>
      <c r="C2302" s="19" t="s">
        <v>7966</v>
      </c>
      <c r="D2302" s="19"/>
      <c r="E2302" s="2"/>
      <c r="F2302" s="19"/>
    </row>
    <row r="2303" ht="15.75" customHeight="1">
      <c r="A2303" s="1">
        <v>5.9212486E7</v>
      </c>
      <c r="B2303" s="2" t="s">
        <v>303</v>
      </c>
      <c r="C2303" s="19" t="s">
        <v>7967</v>
      </c>
      <c r="D2303" s="19"/>
      <c r="E2303" s="2"/>
      <c r="F2303" s="19"/>
    </row>
    <row r="2304" ht="15.75" customHeight="1">
      <c r="A2304" s="1">
        <v>5.9212588E7</v>
      </c>
      <c r="B2304" s="2" t="s">
        <v>2772</v>
      </c>
      <c r="C2304" s="19" t="s">
        <v>7968</v>
      </c>
      <c r="D2304" s="19"/>
      <c r="E2304" s="2"/>
      <c r="F2304" s="19"/>
    </row>
    <row r="2305" ht="15.75" customHeight="1">
      <c r="A2305" s="1">
        <v>5.9220944E7</v>
      </c>
      <c r="B2305" s="2" t="s">
        <v>3202</v>
      </c>
      <c r="C2305" s="19" t="s">
        <v>7969</v>
      </c>
      <c r="D2305" s="19"/>
      <c r="E2305" s="2"/>
      <c r="F2305" s="19"/>
    </row>
    <row r="2306" ht="15.75" customHeight="1">
      <c r="A2306" s="1">
        <v>5.9223342E7</v>
      </c>
      <c r="B2306" s="2" t="s">
        <v>3350</v>
      </c>
      <c r="C2306" s="19" t="s">
        <v>7970</v>
      </c>
      <c r="D2306" s="19"/>
      <c r="E2306" s="2"/>
      <c r="F2306" s="19"/>
    </row>
    <row r="2307" ht="15.75" customHeight="1">
      <c r="A2307" s="1">
        <v>5.923112E7</v>
      </c>
      <c r="B2307" s="2" t="s">
        <v>2888</v>
      </c>
      <c r="C2307" s="19" t="s">
        <v>7971</v>
      </c>
      <c r="D2307" s="19"/>
      <c r="E2307" s="2"/>
      <c r="F2307" s="19"/>
    </row>
    <row r="2308" ht="15.75" customHeight="1">
      <c r="A2308" s="1">
        <v>5.9233638E7</v>
      </c>
      <c r="B2308" s="2" t="s">
        <v>2595</v>
      </c>
      <c r="C2308" s="19" t="s">
        <v>7972</v>
      </c>
      <c r="D2308" s="19" t="s">
        <v>7973</v>
      </c>
      <c r="E2308" s="2"/>
      <c r="F2308" s="19"/>
    </row>
    <row r="2309" ht="15.75" customHeight="1">
      <c r="A2309" s="1">
        <v>5.9236705E7</v>
      </c>
      <c r="B2309" s="2" t="s">
        <v>3079</v>
      </c>
      <c r="C2309" s="19" t="s">
        <v>7974</v>
      </c>
      <c r="D2309" s="19"/>
      <c r="E2309" s="2"/>
      <c r="F2309" s="19"/>
    </row>
    <row r="2310" ht="15.75" customHeight="1">
      <c r="A2310" s="1">
        <v>5.9246446E7</v>
      </c>
      <c r="B2310" s="2" t="s">
        <v>3374</v>
      </c>
      <c r="C2310" s="19" t="s">
        <v>7975</v>
      </c>
      <c r="D2310" s="19"/>
      <c r="E2310" s="2"/>
      <c r="F2310" s="19"/>
    </row>
    <row r="2311" ht="15.75" customHeight="1">
      <c r="A2311" s="1">
        <v>5.9249246E7</v>
      </c>
      <c r="B2311" s="2" t="s">
        <v>2434</v>
      </c>
      <c r="C2311" s="19" t="s">
        <v>7976</v>
      </c>
      <c r="D2311" s="19"/>
      <c r="E2311" s="2"/>
      <c r="F2311" s="19"/>
    </row>
    <row r="2312" ht="15.75" customHeight="1">
      <c r="A2312" s="1">
        <v>5.9249634E7</v>
      </c>
      <c r="B2312" s="2" t="s">
        <v>3047</v>
      </c>
      <c r="C2312" s="19" t="s">
        <v>7977</v>
      </c>
      <c r="D2312" s="19"/>
      <c r="E2312" s="2"/>
      <c r="F2312" s="19"/>
    </row>
    <row r="2313" ht="15.75" customHeight="1">
      <c r="A2313" s="1">
        <v>5.9251524E7</v>
      </c>
      <c r="B2313" s="2" t="s">
        <v>1999</v>
      </c>
      <c r="C2313" s="19" t="s">
        <v>7978</v>
      </c>
      <c r="D2313" s="19"/>
      <c r="E2313" s="2"/>
      <c r="F2313" s="19"/>
    </row>
    <row r="2314" ht="15.75" customHeight="1">
      <c r="A2314" s="1">
        <v>5.9253188E7</v>
      </c>
      <c r="B2314" s="2" t="s">
        <v>2130</v>
      </c>
      <c r="C2314" s="19" t="s">
        <v>7979</v>
      </c>
      <c r="D2314" s="19"/>
      <c r="E2314" s="2"/>
      <c r="F2314" s="19"/>
    </row>
    <row r="2315" ht="15.75" customHeight="1">
      <c r="A2315" s="1">
        <v>5.9261369E7</v>
      </c>
      <c r="B2315" s="2" t="s">
        <v>2919</v>
      </c>
      <c r="C2315" s="19" t="s">
        <v>7980</v>
      </c>
      <c r="D2315" s="19"/>
      <c r="E2315" s="2"/>
      <c r="F2315" s="19"/>
    </row>
    <row r="2316" ht="15.75" customHeight="1">
      <c r="A2316" s="1">
        <v>5.9262742E7</v>
      </c>
      <c r="B2316" s="2" t="s">
        <v>3022</v>
      </c>
      <c r="C2316" s="19" t="s">
        <v>7981</v>
      </c>
      <c r="D2316" s="19"/>
      <c r="E2316" s="2"/>
      <c r="F2316" s="19"/>
    </row>
    <row r="2317" ht="15.75" customHeight="1">
      <c r="A2317" s="1">
        <v>5.9263581E7</v>
      </c>
      <c r="B2317" s="2" t="s">
        <v>3023</v>
      </c>
      <c r="C2317" s="19" t="s">
        <v>7982</v>
      </c>
      <c r="D2317" s="19"/>
      <c r="E2317" s="2"/>
      <c r="F2317" s="19"/>
    </row>
    <row r="2318" ht="15.75" customHeight="1">
      <c r="A2318" s="1">
        <v>5.926869E7</v>
      </c>
      <c r="B2318" s="2" t="s">
        <v>1377</v>
      </c>
      <c r="C2318" s="19" t="s">
        <v>7983</v>
      </c>
      <c r="D2318" s="19"/>
      <c r="E2318" s="2"/>
      <c r="F2318" s="19"/>
    </row>
    <row r="2319" ht="15.75" customHeight="1">
      <c r="A2319" s="1">
        <v>5.926899E7</v>
      </c>
      <c r="B2319" s="2" t="s">
        <v>3281</v>
      </c>
      <c r="C2319" s="19" t="s">
        <v>7984</v>
      </c>
      <c r="D2319" s="19"/>
      <c r="E2319" s="2"/>
      <c r="F2319" s="19"/>
    </row>
    <row r="2320" ht="15.75" customHeight="1">
      <c r="A2320" s="1">
        <v>5.9271914E7</v>
      </c>
      <c r="B2320" s="2" t="s">
        <v>3048</v>
      </c>
      <c r="C2320" s="19" t="s">
        <v>7985</v>
      </c>
      <c r="D2320" s="19" t="s">
        <v>7986</v>
      </c>
      <c r="E2320" s="2"/>
      <c r="F2320" s="19"/>
    </row>
    <row r="2321" ht="15.75" customHeight="1">
      <c r="A2321" s="1">
        <v>5.9282347E7</v>
      </c>
      <c r="B2321" s="2" t="s">
        <v>3464</v>
      </c>
      <c r="C2321" s="19" t="s">
        <v>7987</v>
      </c>
      <c r="D2321" s="19"/>
      <c r="E2321" s="2"/>
      <c r="F2321" s="19"/>
    </row>
    <row r="2322" ht="15.75" customHeight="1">
      <c r="A2322" s="1">
        <v>5.9283319E7</v>
      </c>
      <c r="B2322" s="2" t="s">
        <v>845</v>
      </c>
      <c r="C2322" s="19" t="s">
        <v>7988</v>
      </c>
      <c r="D2322" s="19" t="s">
        <v>7989</v>
      </c>
      <c r="E2322" s="2"/>
      <c r="F2322" s="19"/>
    </row>
    <row r="2323" ht="15.75" customHeight="1">
      <c r="A2323" s="1">
        <v>5.92834E7</v>
      </c>
      <c r="B2323" s="2" t="s">
        <v>2831</v>
      </c>
      <c r="C2323" s="19" t="s">
        <v>7990</v>
      </c>
      <c r="D2323" s="19"/>
      <c r="E2323" s="2"/>
      <c r="F2323" s="19"/>
    </row>
    <row r="2324" ht="15.75" customHeight="1">
      <c r="A2324" s="1">
        <v>5.9285415E7</v>
      </c>
      <c r="B2324" s="2" t="s">
        <v>2418</v>
      </c>
      <c r="C2324" s="19" t="s">
        <v>7991</v>
      </c>
      <c r="D2324" s="19"/>
      <c r="E2324" s="2"/>
      <c r="F2324" s="19"/>
    </row>
    <row r="2325" ht="15.75" customHeight="1">
      <c r="A2325" s="1">
        <v>5.9293403E7</v>
      </c>
      <c r="B2325" s="2" t="s">
        <v>2721</v>
      </c>
      <c r="C2325" s="19" t="s">
        <v>7992</v>
      </c>
      <c r="D2325" s="19"/>
      <c r="E2325" s="2"/>
      <c r="F2325" s="19"/>
    </row>
    <row r="2326" ht="15.75" customHeight="1">
      <c r="A2326" s="1">
        <v>5.9294324E7</v>
      </c>
      <c r="B2326" s="2" t="s">
        <v>2750</v>
      </c>
      <c r="C2326" s="19" t="s">
        <v>7993</v>
      </c>
      <c r="D2326" s="19" t="s">
        <v>7994</v>
      </c>
      <c r="E2326" s="2"/>
      <c r="F2326" s="19"/>
    </row>
    <row r="2327" ht="15.75" customHeight="1">
      <c r="A2327" s="1">
        <v>5.9299127E7</v>
      </c>
      <c r="B2327" s="2" t="s">
        <v>3234</v>
      </c>
      <c r="C2327" s="19" t="s">
        <v>7995</v>
      </c>
      <c r="D2327" s="19"/>
      <c r="E2327" s="2"/>
      <c r="F2327" s="19"/>
    </row>
    <row r="2328" ht="15.75" customHeight="1">
      <c r="A2328" s="1">
        <v>5.9305155E7</v>
      </c>
      <c r="B2328" s="2" t="s">
        <v>3049</v>
      </c>
      <c r="C2328" s="19" t="s">
        <v>7996</v>
      </c>
      <c r="D2328" s="19" t="s">
        <v>7997</v>
      </c>
      <c r="E2328" s="2"/>
      <c r="F2328" s="19"/>
    </row>
    <row r="2329" ht="15.75" customHeight="1">
      <c r="A2329" s="1">
        <v>5.9306454E7</v>
      </c>
      <c r="B2329" s="2" t="s">
        <v>3331</v>
      </c>
      <c r="C2329" s="19" t="s">
        <v>7998</v>
      </c>
      <c r="D2329" s="19"/>
      <c r="E2329" s="2"/>
      <c r="F2329" s="19"/>
    </row>
    <row r="2330" ht="15.75" customHeight="1">
      <c r="A2330" s="1">
        <v>5.932026E7</v>
      </c>
      <c r="B2330" s="2" t="s">
        <v>3080</v>
      </c>
      <c r="C2330" s="19" t="s">
        <v>7999</v>
      </c>
      <c r="D2330" s="19" t="s">
        <v>8000</v>
      </c>
      <c r="E2330" s="2"/>
      <c r="F2330" s="19"/>
    </row>
    <row r="2331" ht="15.75" customHeight="1">
      <c r="A2331" s="1">
        <v>5.9320807E7</v>
      </c>
      <c r="B2331" s="2" t="s">
        <v>3524</v>
      </c>
      <c r="C2331" s="19" t="s">
        <v>8001</v>
      </c>
      <c r="D2331" s="19"/>
      <c r="E2331" s="2"/>
      <c r="F2331" s="19"/>
    </row>
    <row r="2332" ht="15.75" customHeight="1">
      <c r="A2332" s="1">
        <v>5.932248E7</v>
      </c>
      <c r="B2332" s="2" t="s">
        <v>2854</v>
      </c>
      <c r="C2332" s="19" t="s">
        <v>8002</v>
      </c>
      <c r="D2332" s="19"/>
      <c r="E2332" s="2"/>
      <c r="F2332" s="19"/>
    </row>
    <row r="2333" ht="15.75" customHeight="1">
      <c r="A2333" s="1">
        <v>5.9322618E7</v>
      </c>
      <c r="B2333" s="2" t="s">
        <v>2855</v>
      </c>
      <c r="C2333" s="19" t="s">
        <v>8003</v>
      </c>
      <c r="D2333" s="19" t="s">
        <v>8004</v>
      </c>
      <c r="E2333" s="2"/>
      <c r="F2333" s="19"/>
    </row>
    <row r="2334" ht="15.75" customHeight="1">
      <c r="A2334" s="1">
        <v>5.9326669E7</v>
      </c>
      <c r="B2334" s="2" t="s">
        <v>1787</v>
      </c>
      <c r="C2334" s="19" t="s">
        <v>8005</v>
      </c>
      <c r="D2334" s="19"/>
      <c r="E2334" s="2"/>
      <c r="F2334" s="19"/>
    </row>
    <row r="2335" ht="15.75" customHeight="1">
      <c r="A2335" s="1">
        <v>5.9327305E7</v>
      </c>
      <c r="B2335" s="2" t="s">
        <v>2920</v>
      </c>
      <c r="C2335" s="19" t="s">
        <v>8006</v>
      </c>
      <c r="D2335" s="19"/>
      <c r="E2335" s="2"/>
      <c r="F2335" s="19"/>
    </row>
    <row r="2336" ht="15.75" customHeight="1">
      <c r="A2336" s="1">
        <v>5.9329995E7</v>
      </c>
      <c r="B2336" s="2" t="s">
        <v>2889</v>
      </c>
      <c r="C2336" s="19" t="s">
        <v>8007</v>
      </c>
      <c r="D2336" s="19"/>
      <c r="E2336" s="2"/>
      <c r="F2336" s="19"/>
    </row>
    <row r="2337" ht="15.75" customHeight="1">
      <c r="A2337" s="1">
        <v>5.9345059E7</v>
      </c>
      <c r="B2337" s="2" t="s">
        <v>2198</v>
      </c>
      <c r="C2337" s="19" t="s">
        <v>8008</v>
      </c>
      <c r="D2337" s="19"/>
      <c r="E2337" s="2"/>
      <c r="F2337" s="19"/>
    </row>
    <row r="2338" ht="15.75" customHeight="1">
      <c r="A2338" s="1">
        <v>5.9346308E7</v>
      </c>
      <c r="B2338" s="2" t="s">
        <v>2555</v>
      </c>
      <c r="C2338" s="19" t="s">
        <v>8009</v>
      </c>
      <c r="D2338" s="19"/>
      <c r="E2338" s="2"/>
      <c r="F2338" s="19"/>
    </row>
    <row r="2339" ht="15.75" customHeight="1">
      <c r="A2339" s="1">
        <v>5.9349005E7</v>
      </c>
      <c r="B2339" s="2" t="s">
        <v>2622</v>
      </c>
      <c r="C2339" s="19" t="s">
        <v>8010</v>
      </c>
      <c r="D2339" s="19" t="s">
        <v>8011</v>
      </c>
      <c r="E2339" s="2"/>
      <c r="F2339" s="19"/>
    </row>
    <row r="2340" ht="15.75" customHeight="1">
      <c r="A2340" s="1">
        <v>5.9351603E7</v>
      </c>
      <c r="B2340" s="18" t="s">
        <v>3256</v>
      </c>
      <c r="C2340" s="19" t="s">
        <v>8012</v>
      </c>
      <c r="D2340" s="19"/>
      <c r="E2340" s="2"/>
      <c r="F2340" s="19"/>
    </row>
    <row r="2341" ht="15.75" customHeight="1">
      <c r="A2341" s="1">
        <v>5.9352243E7</v>
      </c>
      <c r="B2341" s="2" t="s">
        <v>3375</v>
      </c>
      <c r="C2341" s="19" t="s">
        <v>8013</v>
      </c>
      <c r="D2341" s="19"/>
      <c r="E2341" s="2"/>
      <c r="F2341" s="19"/>
    </row>
    <row r="2342" ht="15.75" customHeight="1">
      <c r="A2342" s="1">
        <v>5.9368495E7</v>
      </c>
      <c r="B2342" s="2" t="s">
        <v>2814</v>
      </c>
      <c r="C2342" s="19" t="s">
        <v>8014</v>
      </c>
      <c r="D2342" s="19"/>
      <c r="E2342" s="2"/>
      <c r="F2342" s="19"/>
    </row>
    <row r="2343" ht="15.75" customHeight="1">
      <c r="A2343" s="1">
        <v>5.936884E7</v>
      </c>
      <c r="B2343" s="2" t="s">
        <v>2435</v>
      </c>
      <c r="C2343" s="19" t="s">
        <v>8015</v>
      </c>
      <c r="D2343" s="19"/>
      <c r="E2343" s="2"/>
      <c r="F2343" s="19"/>
    </row>
    <row r="2344" ht="15.75" customHeight="1">
      <c r="A2344" s="1">
        <v>5.9368935E7</v>
      </c>
      <c r="B2344" s="2" t="s">
        <v>2751</v>
      </c>
      <c r="C2344" s="19" t="s">
        <v>8016</v>
      </c>
      <c r="D2344" s="19"/>
      <c r="E2344" s="2"/>
      <c r="F2344" s="19"/>
    </row>
    <row r="2345" ht="15.75" customHeight="1">
      <c r="A2345" s="1">
        <v>5.9369955E7</v>
      </c>
      <c r="B2345" s="2" t="s">
        <v>2475</v>
      </c>
      <c r="C2345" s="19" t="s">
        <v>8017</v>
      </c>
      <c r="D2345" s="19"/>
      <c r="E2345" s="2"/>
      <c r="F2345" s="19"/>
    </row>
    <row r="2346" ht="15.75" customHeight="1">
      <c r="A2346" s="1">
        <v>5.93701E7</v>
      </c>
      <c r="B2346" s="2" t="s">
        <v>680</v>
      </c>
      <c r="C2346" s="19" t="s">
        <v>8018</v>
      </c>
      <c r="D2346" s="19"/>
      <c r="E2346" s="2"/>
      <c r="F2346" s="19"/>
    </row>
    <row r="2347" ht="15.75" customHeight="1">
      <c r="A2347" s="1">
        <v>5.9371835E7</v>
      </c>
      <c r="B2347" s="2" t="s">
        <v>2773</v>
      </c>
      <c r="C2347" s="19" t="s">
        <v>8019</v>
      </c>
      <c r="D2347" s="19" t="s">
        <v>8020</v>
      </c>
      <c r="E2347" s="2"/>
      <c r="F2347" s="19"/>
    </row>
    <row r="2348" ht="15.75" customHeight="1">
      <c r="A2348" s="1">
        <v>5.937558E7</v>
      </c>
      <c r="B2348" s="2" t="s">
        <v>3090</v>
      </c>
      <c r="C2348" s="19" t="s">
        <v>8021</v>
      </c>
      <c r="D2348" s="19"/>
      <c r="E2348" s="2"/>
      <c r="F2348" s="19"/>
    </row>
    <row r="2349" ht="15.75" customHeight="1">
      <c r="A2349" s="1">
        <v>5.9379754E7</v>
      </c>
      <c r="B2349" s="2" t="s">
        <v>2526</v>
      </c>
      <c r="C2349" s="19" t="s">
        <v>8022</v>
      </c>
      <c r="D2349" s="19"/>
      <c r="E2349" s="2"/>
      <c r="F2349" s="19"/>
    </row>
    <row r="2350" ht="15.75" customHeight="1">
      <c r="A2350" s="1">
        <v>5.9389533E7</v>
      </c>
      <c r="B2350" s="2" t="s">
        <v>2057</v>
      </c>
      <c r="C2350" s="19" t="s">
        <v>8023</v>
      </c>
      <c r="D2350" s="19"/>
      <c r="E2350" s="2"/>
      <c r="F2350" s="19"/>
    </row>
    <row r="2351" ht="15.75" customHeight="1">
      <c r="A2351" s="1">
        <v>5.939292E7</v>
      </c>
      <c r="B2351" s="2" t="s">
        <v>2872</v>
      </c>
      <c r="C2351" s="19" t="s">
        <v>8024</v>
      </c>
      <c r="D2351" s="19"/>
      <c r="E2351" s="2"/>
      <c r="F2351" s="19"/>
    </row>
    <row r="2352" ht="15.75" customHeight="1">
      <c r="A2352" s="1">
        <v>5.939456E7</v>
      </c>
      <c r="B2352" s="2" t="s">
        <v>1302</v>
      </c>
      <c r="C2352" s="19" t="s">
        <v>8025</v>
      </c>
      <c r="D2352" s="19"/>
      <c r="E2352" s="2"/>
      <c r="F2352" s="19"/>
    </row>
    <row r="2353" ht="15.75" customHeight="1">
      <c r="A2353" s="1">
        <v>5.9395726E7</v>
      </c>
      <c r="B2353" s="2" t="s">
        <v>3117</v>
      </c>
      <c r="C2353" s="19" t="s">
        <v>8026</v>
      </c>
      <c r="D2353" s="19"/>
      <c r="E2353" s="2"/>
      <c r="F2353" s="19"/>
    </row>
    <row r="2354" ht="15.75" customHeight="1">
      <c r="A2354" s="1">
        <v>5.9399174E7</v>
      </c>
      <c r="B2354" s="2" t="s">
        <v>3154</v>
      </c>
      <c r="C2354" s="19" t="s">
        <v>8027</v>
      </c>
      <c r="D2354" s="19"/>
      <c r="E2354" s="2"/>
      <c r="F2354" s="19"/>
    </row>
    <row r="2355" ht="15.75" customHeight="1">
      <c r="A2355" s="1">
        <v>5.9399933E7</v>
      </c>
      <c r="B2355" s="2" t="s">
        <v>3081</v>
      </c>
      <c r="C2355" s="19" t="s">
        <v>8028</v>
      </c>
      <c r="D2355" s="19" t="s">
        <v>8029</v>
      </c>
      <c r="E2355" s="2"/>
      <c r="F2355" s="19"/>
    </row>
    <row r="2356" ht="15.75" customHeight="1">
      <c r="A2356" s="1">
        <v>5.9402662E7</v>
      </c>
      <c r="B2356" s="2" t="s">
        <v>2052</v>
      </c>
      <c r="C2356" s="19" t="s">
        <v>8030</v>
      </c>
      <c r="D2356" s="19" t="s">
        <v>8031</v>
      </c>
      <c r="E2356" s="2"/>
      <c r="F2356" s="19"/>
    </row>
    <row r="2357" ht="15.75" customHeight="1">
      <c r="A2357" s="1">
        <v>5.9404027E7</v>
      </c>
      <c r="B2357" s="2" t="s">
        <v>2277</v>
      </c>
      <c r="C2357" s="19" t="s">
        <v>8032</v>
      </c>
      <c r="D2357" s="19"/>
      <c r="E2357" s="2"/>
      <c r="F2357" s="19"/>
    </row>
    <row r="2358" ht="15.75" customHeight="1">
      <c r="A2358" s="1">
        <v>5.9405701E7</v>
      </c>
      <c r="B2358" s="2" t="s">
        <v>2556</v>
      </c>
      <c r="C2358" s="19" t="s">
        <v>8033</v>
      </c>
      <c r="D2358" s="19"/>
      <c r="E2358" s="2"/>
      <c r="F2358" s="19"/>
    </row>
    <row r="2359" ht="15.75" customHeight="1">
      <c r="A2359" s="1">
        <v>5.9406878E7</v>
      </c>
      <c r="B2359" s="2" t="s">
        <v>3132</v>
      </c>
      <c r="C2359" s="19" t="s">
        <v>8034</v>
      </c>
      <c r="D2359" s="19"/>
      <c r="E2359" s="2"/>
      <c r="F2359" s="19"/>
    </row>
    <row r="2360" ht="15.75" customHeight="1">
      <c r="A2360" s="1">
        <v>5.9412488E7</v>
      </c>
      <c r="B2360" s="2" t="s">
        <v>3441</v>
      </c>
      <c r="C2360" s="19" t="s">
        <v>8035</v>
      </c>
      <c r="D2360" s="19"/>
      <c r="E2360" s="2"/>
      <c r="F2360" s="19"/>
    </row>
    <row r="2361" ht="15.75" customHeight="1">
      <c r="A2361" s="1">
        <v>5.9419349E7</v>
      </c>
      <c r="B2361" s="2" t="s">
        <v>3282</v>
      </c>
      <c r="C2361" s="19" t="s">
        <v>8036</v>
      </c>
      <c r="D2361" s="19"/>
      <c r="E2361" s="2"/>
      <c r="F2361" s="19"/>
    </row>
    <row r="2362" ht="15.75" customHeight="1">
      <c r="A2362" s="1">
        <v>5.942053E7</v>
      </c>
      <c r="B2362" s="2" t="s">
        <v>3283</v>
      </c>
      <c r="C2362" s="19" t="s">
        <v>8037</v>
      </c>
      <c r="D2362" s="19"/>
      <c r="E2362" s="2"/>
      <c r="F2362" s="19"/>
    </row>
    <row r="2363" ht="15.75" customHeight="1">
      <c r="A2363" s="1">
        <v>5.9425853E7</v>
      </c>
      <c r="B2363" s="2" t="s">
        <v>1138</v>
      </c>
      <c r="C2363" s="19" t="s">
        <v>8038</v>
      </c>
      <c r="D2363" s="19"/>
      <c r="E2363" s="2"/>
      <c r="F2363" s="19"/>
    </row>
    <row r="2364" ht="15.75" customHeight="1">
      <c r="A2364" s="1">
        <v>5.9427077E7</v>
      </c>
      <c r="B2364" s="2" t="s">
        <v>3257</v>
      </c>
      <c r="C2364" s="19" t="s">
        <v>8039</v>
      </c>
      <c r="D2364" s="19"/>
      <c r="E2364" s="2"/>
      <c r="F2364" s="19"/>
    </row>
    <row r="2365" ht="15.75" customHeight="1">
      <c r="A2365" s="1">
        <v>5.9434557E7</v>
      </c>
      <c r="B2365" s="2" t="s">
        <v>2185</v>
      </c>
      <c r="C2365" s="19" t="s">
        <v>8040</v>
      </c>
      <c r="D2365" s="19"/>
      <c r="E2365" s="2"/>
      <c r="F2365" s="19"/>
    </row>
    <row r="2366" ht="15.75" customHeight="1">
      <c r="A2366" s="1">
        <v>5.9438778E7</v>
      </c>
      <c r="B2366" s="2" t="s">
        <v>3133</v>
      </c>
      <c r="C2366" s="19" t="s">
        <v>8041</v>
      </c>
      <c r="D2366" s="19"/>
      <c r="E2366" s="2"/>
      <c r="F2366" s="19"/>
    </row>
    <row r="2367" ht="15.75" customHeight="1">
      <c r="A2367" s="1">
        <v>5.9442097E7</v>
      </c>
      <c r="B2367" s="2" t="s">
        <v>1439</v>
      </c>
      <c r="C2367" s="19" t="s">
        <v>8042</v>
      </c>
      <c r="D2367" s="19"/>
      <c r="E2367" s="2"/>
      <c r="F2367" s="19"/>
    </row>
    <row r="2368" ht="15.75" customHeight="1">
      <c r="A2368" s="1">
        <v>5.9453712E7</v>
      </c>
      <c r="B2368" s="2" t="s">
        <v>3258</v>
      </c>
      <c r="C2368" s="19" t="s">
        <v>8043</v>
      </c>
      <c r="D2368" s="19"/>
      <c r="E2368" s="2"/>
      <c r="F2368" s="19"/>
    </row>
    <row r="2369" ht="15.75" customHeight="1">
      <c r="A2369" s="1">
        <v>5.9454538E7</v>
      </c>
      <c r="B2369" s="2" t="s">
        <v>3137</v>
      </c>
      <c r="C2369" s="19" t="s">
        <v>8044</v>
      </c>
      <c r="D2369" s="19"/>
      <c r="E2369" s="2"/>
      <c r="F2369" s="19"/>
    </row>
    <row r="2370" ht="15.75" customHeight="1">
      <c r="A2370" s="1">
        <v>5.9457801E7</v>
      </c>
      <c r="B2370" s="2" t="s">
        <v>1685</v>
      </c>
      <c r="C2370" s="19" t="s">
        <v>8045</v>
      </c>
      <c r="D2370" s="19" t="s">
        <v>8046</v>
      </c>
      <c r="E2370" s="2"/>
      <c r="F2370" s="19"/>
    </row>
    <row r="2371" ht="15.75" customHeight="1">
      <c r="A2371" s="1">
        <v>5.9462274E7</v>
      </c>
      <c r="B2371" s="2" t="s">
        <v>3004</v>
      </c>
      <c r="C2371" s="19" t="s">
        <v>8047</v>
      </c>
      <c r="D2371" s="19"/>
      <c r="E2371" s="2"/>
      <c r="F2371" s="19"/>
    </row>
    <row r="2372" ht="15.75" customHeight="1">
      <c r="A2372" s="1">
        <v>5.9464598E7</v>
      </c>
      <c r="B2372" s="2" t="s">
        <v>3332</v>
      </c>
      <c r="C2372" s="19" t="s">
        <v>8048</v>
      </c>
      <c r="D2372" s="19"/>
      <c r="E2372" s="2"/>
      <c r="F2372" s="19"/>
    </row>
    <row r="2373" ht="15.75" customHeight="1">
      <c r="A2373" s="1">
        <v>5.9475173E7</v>
      </c>
      <c r="B2373" s="2" t="s">
        <v>2192</v>
      </c>
      <c r="C2373" s="19" t="s">
        <v>8049</v>
      </c>
      <c r="D2373" s="19"/>
      <c r="E2373" s="2"/>
      <c r="F2373" s="19"/>
    </row>
    <row r="2374" ht="15.75" customHeight="1">
      <c r="A2374" s="1">
        <v>5.9496809E7</v>
      </c>
      <c r="B2374" s="2" t="s">
        <v>3203</v>
      </c>
      <c r="C2374" s="19" t="s">
        <v>8050</v>
      </c>
      <c r="D2374" s="19"/>
      <c r="E2374" s="2"/>
      <c r="F2374" s="19"/>
    </row>
    <row r="2375" ht="15.75" customHeight="1">
      <c r="A2375" s="1">
        <v>5.9503337E7</v>
      </c>
      <c r="B2375" s="2" t="s">
        <v>2754</v>
      </c>
      <c r="C2375" s="19" t="s">
        <v>8051</v>
      </c>
      <c r="D2375" s="19"/>
      <c r="E2375" s="2"/>
      <c r="F2375" s="19"/>
    </row>
    <row r="2376" ht="15.75" customHeight="1">
      <c r="A2376" s="1">
        <v>5.9505728E7</v>
      </c>
      <c r="B2376" s="2" t="s">
        <v>3412</v>
      </c>
      <c r="C2376" s="19" t="s">
        <v>8052</v>
      </c>
      <c r="D2376" s="19" t="s">
        <v>8053</v>
      </c>
      <c r="E2376" s="2"/>
      <c r="F2376" s="19"/>
    </row>
    <row r="2377" ht="15.75" customHeight="1">
      <c r="A2377" s="1">
        <v>5.9510871E7</v>
      </c>
      <c r="B2377" s="2" t="s">
        <v>3024</v>
      </c>
      <c r="C2377" s="19" t="s">
        <v>8054</v>
      </c>
      <c r="D2377" s="19"/>
      <c r="E2377" s="2"/>
      <c r="F2377" s="19"/>
    </row>
    <row r="2378" ht="15.75" customHeight="1">
      <c r="A2378" s="1">
        <v>5.9516378E7</v>
      </c>
      <c r="B2378" s="2" t="s">
        <v>1812</v>
      </c>
      <c r="C2378" s="19" t="s">
        <v>8055</v>
      </c>
      <c r="D2378" s="19"/>
      <c r="E2378" s="2"/>
      <c r="F2378" s="19"/>
    </row>
    <row r="2379" ht="15.75" customHeight="1">
      <c r="A2379" s="1">
        <v>5.9530814E7</v>
      </c>
      <c r="B2379" s="2" t="s">
        <v>3396</v>
      </c>
      <c r="C2379" s="19" t="s">
        <v>8056</v>
      </c>
      <c r="D2379" s="19"/>
      <c r="E2379" s="2"/>
      <c r="F2379" s="19"/>
    </row>
    <row r="2380" ht="15.75" customHeight="1">
      <c r="A2380" s="1">
        <v>5.9533959E7</v>
      </c>
      <c r="B2380" s="2" t="s">
        <v>1806</v>
      </c>
      <c r="C2380" s="19" t="s">
        <v>8057</v>
      </c>
      <c r="D2380" s="19"/>
      <c r="E2380" s="2"/>
      <c r="F2380" s="19"/>
    </row>
    <row r="2381" ht="15.75" customHeight="1">
      <c r="A2381" s="1">
        <v>5.9538599E7</v>
      </c>
      <c r="B2381" s="2" t="s">
        <v>1823</v>
      </c>
      <c r="C2381" s="19" t="s">
        <v>8058</v>
      </c>
      <c r="D2381" s="19"/>
      <c r="E2381" s="2"/>
      <c r="F2381" s="19"/>
    </row>
    <row r="2382" ht="15.75" customHeight="1">
      <c r="A2382" s="1">
        <v>5.9541205E7</v>
      </c>
      <c r="B2382" s="2" t="s">
        <v>2082</v>
      </c>
      <c r="C2382" s="19" t="s">
        <v>8059</v>
      </c>
      <c r="D2382" s="19"/>
      <c r="E2382" s="2"/>
      <c r="F2382" s="19"/>
    </row>
    <row r="2383" ht="15.75" customHeight="1">
      <c r="A2383" s="1">
        <v>5.954477E7</v>
      </c>
      <c r="B2383" s="2" t="s">
        <v>3284</v>
      </c>
      <c r="C2383" s="19" t="s">
        <v>8060</v>
      </c>
      <c r="D2383" s="19"/>
      <c r="E2383" s="2"/>
      <c r="F2383" s="19"/>
    </row>
    <row r="2384" ht="15.75" customHeight="1">
      <c r="A2384" s="1">
        <v>5.9548023E7</v>
      </c>
      <c r="B2384" s="2" t="s">
        <v>2793</v>
      </c>
      <c r="C2384" s="19" t="s">
        <v>8061</v>
      </c>
      <c r="D2384" s="19"/>
      <c r="E2384" s="2"/>
      <c r="F2384" s="19"/>
    </row>
    <row r="2385" ht="15.75" customHeight="1">
      <c r="A2385" s="1">
        <v>5.9551703E7</v>
      </c>
      <c r="B2385" s="2" t="s">
        <v>3235</v>
      </c>
      <c r="C2385" s="19" t="s">
        <v>8062</v>
      </c>
      <c r="D2385" s="19"/>
      <c r="E2385" s="2"/>
      <c r="F2385" s="19"/>
    </row>
    <row r="2386" ht="15.75" customHeight="1">
      <c r="A2386" s="1">
        <v>5.9557099E7</v>
      </c>
      <c r="B2386" s="2" t="s">
        <v>1344</v>
      </c>
      <c r="C2386" s="19" t="s">
        <v>8063</v>
      </c>
      <c r="D2386" s="19"/>
      <c r="E2386" s="2"/>
      <c r="F2386" s="19"/>
    </row>
    <row r="2387" ht="15.75" customHeight="1">
      <c r="A2387" s="1">
        <v>5.9565239E7</v>
      </c>
      <c r="B2387" s="2" t="s">
        <v>2938</v>
      </c>
      <c r="C2387" s="19" t="s">
        <v>8064</v>
      </c>
      <c r="D2387" s="19"/>
      <c r="E2387" s="2"/>
      <c r="F2387" s="19"/>
    </row>
    <row r="2388" ht="15.75" customHeight="1">
      <c r="A2388" s="1">
        <v>5.9570336E7</v>
      </c>
      <c r="B2388" s="2" t="s">
        <v>2566</v>
      </c>
      <c r="C2388" s="19" t="s">
        <v>8065</v>
      </c>
      <c r="D2388" s="19"/>
      <c r="E2388" s="2"/>
      <c r="F2388" s="19"/>
    </row>
    <row r="2389" ht="15.75" customHeight="1">
      <c r="A2389" s="1">
        <v>5.9575132E7</v>
      </c>
      <c r="B2389" s="2" t="s">
        <v>2304</v>
      </c>
      <c r="C2389" s="19" t="s">
        <v>8066</v>
      </c>
      <c r="D2389" s="19"/>
      <c r="E2389" s="2"/>
      <c r="F2389" s="19"/>
    </row>
    <row r="2390" ht="15.75" customHeight="1">
      <c r="A2390" s="1">
        <v>5.9592466E7</v>
      </c>
      <c r="B2390" s="2" t="s">
        <v>2224</v>
      </c>
      <c r="C2390" s="19" t="s">
        <v>8067</v>
      </c>
      <c r="D2390" s="19" t="s">
        <v>8068</v>
      </c>
      <c r="E2390" s="2"/>
      <c r="F2390" s="19"/>
    </row>
    <row r="2391" ht="15.75" customHeight="1">
      <c r="A2391" s="1">
        <v>5.9615918E7</v>
      </c>
      <c r="B2391" s="2" t="s">
        <v>1773</v>
      </c>
      <c r="C2391" s="19" t="s">
        <v>8069</v>
      </c>
      <c r="D2391" s="19"/>
      <c r="E2391" s="2"/>
      <c r="F2391" s="19"/>
    </row>
    <row r="2392" ht="15.75" customHeight="1">
      <c r="A2392" s="1">
        <v>5.9624024E7</v>
      </c>
      <c r="B2392" s="2" t="s">
        <v>2682</v>
      </c>
      <c r="C2392" s="19" t="s">
        <v>8070</v>
      </c>
      <c r="D2392" s="19"/>
      <c r="E2392" s="2"/>
      <c r="F2392" s="19"/>
    </row>
    <row r="2393" ht="15.75" customHeight="1">
      <c r="A2393" s="1">
        <v>5.9625264E7</v>
      </c>
      <c r="B2393" s="2" t="s">
        <v>3442</v>
      </c>
      <c r="C2393" s="19" t="s">
        <v>8071</v>
      </c>
      <c r="D2393" s="19"/>
      <c r="E2393" s="2"/>
      <c r="F2393" s="19"/>
    </row>
    <row r="2394" ht="15.75" customHeight="1">
      <c r="A2394" s="1">
        <v>5.9625496E7</v>
      </c>
      <c r="B2394" s="2" t="s">
        <v>3367</v>
      </c>
      <c r="C2394" s="19" t="s">
        <v>8072</v>
      </c>
      <c r="D2394" s="19"/>
      <c r="E2394" s="2"/>
      <c r="F2394" s="19"/>
    </row>
    <row r="2395" ht="15.75" customHeight="1">
      <c r="A2395" s="1">
        <v>5.9638262E7</v>
      </c>
      <c r="B2395" s="2" t="s">
        <v>3360</v>
      </c>
      <c r="C2395" s="19" t="s">
        <v>8073</v>
      </c>
      <c r="D2395" s="19"/>
      <c r="E2395" s="2"/>
      <c r="F2395" s="19"/>
    </row>
    <row r="2396" ht="15.75" customHeight="1">
      <c r="A2396" s="1">
        <v>5.9640223E7</v>
      </c>
      <c r="B2396" s="2" t="s">
        <v>1243</v>
      </c>
      <c r="C2396" s="19" t="s">
        <v>8074</v>
      </c>
      <c r="D2396" s="19"/>
      <c r="E2396" s="2"/>
      <c r="F2396" s="19"/>
    </row>
    <row r="2397" ht="15.75" customHeight="1">
      <c r="A2397" s="1">
        <v>5.9645309E7</v>
      </c>
      <c r="B2397" s="2" t="s">
        <v>3465</v>
      </c>
      <c r="C2397" s="19" t="s">
        <v>8075</v>
      </c>
      <c r="D2397" s="19"/>
      <c r="E2397" s="2"/>
      <c r="F2397" s="19"/>
    </row>
    <row r="2398" ht="15.75" customHeight="1">
      <c r="A2398" s="1">
        <v>5.9648614E7</v>
      </c>
      <c r="B2398" s="2" t="s">
        <v>3333</v>
      </c>
      <c r="C2398" s="19" t="s">
        <v>8076</v>
      </c>
      <c r="D2398" s="19"/>
      <c r="E2398" s="2"/>
      <c r="F2398" s="19"/>
    </row>
    <row r="2399" ht="15.75" customHeight="1">
      <c r="A2399" s="1">
        <v>5.9652308E7</v>
      </c>
      <c r="B2399" s="2" t="s">
        <v>1646</v>
      </c>
      <c r="C2399" s="19" t="s">
        <v>8077</v>
      </c>
      <c r="D2399" s="19"/>
      <c r="E2399" s="2"/>
      <c r="F2399" s="19"/>
    </row>
    <row r="2400" ht="15.75" customHeight="1">
      <c r="A2400" s="1">
        <v>5.9655025E7</v>
      </c>
      <c r="B2400" s="2" t="s">
        <v>3025</v>
      </c>
      <c r="C2400" s="19" t="s">
        <v>8078</v>
      </c>
      <c r="D2400" s="19"/>
      <c r="E2400" s="2"/>
      <c r="F2400" s="19"/>
    </row>
    <row r="2401" ht="15.75" customHeight="1">
      <c r="A2401" s="1">
        <v>5.9658068E7</v>
      </c>
      <c r="B2401" s="2" t="s">
        <v>1844</v>
      </c>
      <c r="C2401" s="19" t="s">
        <v>8079</v>
      </c>
      <c r="D2401" s="19" t="s">
        <v>8080</v>
      </c>
      <c r="E2401" s="2"/>
      <c r="F2401" s="19"/>
    </row>
    <row r="2402" ht="15.75" customHeight="1">
      <c r="A2402" s="1">
        <v>5.9662845E7</v>
      </c>
      <c r="B2402" s="2" t="s">
        <v>3413</v>
      </c>
      <c r="C2402" s="19" t="s">
        <v>8081</v>
      </c>
      <c r="D2402" s="19"/>
      <c r="E2402" s="2"/>
      <c r="F2402" s="19"/>
    </row>
    <row r="2403" ht="15.75" customHeight="1">
      <c r="A2403" s="1">
        <v>5.967264E7</v>
      </c>
      <c r="B2403" s="2" t="s">
        <v>1712</v>
      </c>
      <c r="C2403" s="19" t="s">
        <v>8082</v>
      </c>
      <c r="D2403" s="19"/>
      <c r="E2403" s="2"/>
      <c r="F2403" s="19"/>
    </row>
    <row r="2404" ht="15.75" customHeight="1">
      <c r="A2404" s="1">
        <v>5.9672677E7</v>
      </c>
      <c r="B2404" s="2" t="s">
        <v>2564</v>
      </c>
      <c r="C2404" s="19" t="s">
        <v>8083</v>
      </c>
      <c r="D2404" s="19"/>
      <c r="E2404" s="2"/>
      <c r="F2404" s="19"/>
    </row>
    <row r="2405" ht="15.75" customHeight="1">
      <c r="A2405" s="1">
        <v>5.9677599E7</v>
      </c>
      <c r="B2405" s="2" t="s">
        <v>3155</v>
      </c>
      <c r="C2405" s="19" t="s">
        <v>8084</v>
      </c>
      <c r="D2405" s="19"/>
      <c r="E2405" s="2"/>
      <c r="F2405" s="19"/>
    </row>
    <row r="2406" ht="15.75" customHeight="1">
      <c r="A2406" s="1">
        <v>5.9680264E7</v>
      </c>
      <c r="B2406" s="2" t="s">
        <v>2287</v>
      </c>
      <c r="C2406" s="19" t="s">
        <v>8085</v>
      </c>
      <c r="D2406" s="19"/>
      <c r="E2406" s="2"/>
      <c r="F2406" s="19"/>
    </row>
    <row r="2407" ht="15.75" customHeight="1">
      <c r="A2407" s="1">
        <v>5.9683644E7</v>
      </c>
      <c r="B2407" s="2" t="s">
        <v>2596</v>
      </c>
      <c r="C2407" s="19" t="s">
        <v>8086</v>
      </c>
      <c r="D2407" s="19"/>
      <c r="E2407" s="2"/>
      <c r="F2407" s="19"/>
    </row>
    <row r="2408" ht="15.75" customHeight="1">
      <c r="A2408" s="1">
        <v>5.9687114E7</v>
      </c>
      <c r="B2408" s="2" t="s">
        <v>2664</v>
      </c>
      <c r="C2408" s="19" t="s">
        <v>8087</v>
      </c>
      <c r="D2408" s="19"/>
      <c r="E2408" s="2"/>
      <c r="F2408" s="19"/>
    </row>
    <row r="2409" ht="15.75" customHeight="1">
      <c r="A2409" s="1">
        <v>5.9688843E7</v>
      </c>
      <c r="B2409" s="2" t="s">
        <v>2752</v>
      </c>
      <c r="C2409" s="19" t="s">
        <v>8088</v>
      </c>
      <c r="D2409" s="19"/>
      <c r="E2409" s="2"/>
      <c r="F2409" s="19"/>
    </row>
    <row r="2410" ht="15.75" customHeight="1">
      <c r="A2410" s="1">
        <v>5.9704836E7</v>
      </c>
      <c r="B2410" s="2" t="s">
        <v>3376</v>
      </c>
      <c r="C2410" s="19" t="s">
        <v>8089</v>
      </c>
      <c r="D2410" s="19"/>
      <c r="E2410" s="2"/>
      <c r="F2410" s="19"/>
    </row>
    <row r="2411" ht="15.75" customHeight="1">
      <c r="A2411" s="1">
        <v>5.9709217E7</v>
      </c>
      <c r="B2411" s="2" t="s">
        <v>3351</v>
      </c>
      <c r="C2411" s="19" t="s">
        <v>8090</v>
      </c>
      <c r="D2411" s="19" t="s">
        <v>8091</v>
      </c>
      <c r="E2411" s="2"/>
      <c r="F2411" s="19"/>
    </row>
    <row r="2412" ht="15.75" customHeight="1">
      <c r="A2412" s="1">
        <v>5.9717333E7</v>
      </c>
      <c r="B2412" s="2" t="s">
        <v>2523</v>
      </c>
      <c r="C2412" s="19" t="s">
        <v>8092</v>
      </c>
      <c r="D2412" s="19"/>
      <c r="E2412" s="2"/>
      <c r="F2412" s="19"/>
    </row>
    <row r="2413" ht="15.75" customHeight="1">
      <c r="A2413" s="1">
        <v>5.9719707E7</v>
      </c>
      <c r="B2413" s="2" t="s">
        <v>2067</v>
      </c>
      <c r="C2413" s="19" t="s">
        <v>8093</v>
      </c>
      <c r="D2413" s="19" t="s">
        <v>8094</v>
      </c>
      <c r="E2413" s="2"/>
      <c r="F2413" s="19"/>
    </row>
    <row r="2414" ht="15.75" customHeight="1">
      <c r="A2414" s="1">
        <v>5.9720097E7</v>
      </c>
      <c r="B2414" s="2" t="s">
        <v>3050</v>
      </c>
      <c r="C2414" s="19" t="s">
        <v>8095</v>
      </c>
      <c r="D2414" s="19" t="s">
        <v>8096</v>
      </c>
      <c r="E2414" s="2"/>
      <c r="F2414" s="19"/>
    </row>
    <row r="2415" ht="15.75" customHeight="1">
      <c r="A2415" s="1">
        <v>5.9722652E7</v>
      </c>
      <c r="B2415" s="2" t="s">
        <v>3026</v>
      </c>
      <c r="C2415" s="19" t="s">
        <v>8097</v>
      </c>
      <c r="D2415" s="19"/>
      <c r="E2415" s="2"/>
      <c r="F2415" s="19"/>
    </row>
    <row r="2416" ht="15.75" customHeight="1">
      <c r="A2416" s="1">
        <v>5.9729377E7</v>
      </c>
      <c r="B2416" s="2" t="s">
        <v>3483</v>
      </c>
      <c r="C2416" s="19" t="s">
        <v>8098</v>
      </c>
      <c r="D2416" s="19"/>
      <c r="E2416" s="2"/>
      <c r="F2416" s="19"/>
    </row>
    <row r="2417" ht="15.75" customHeight="1">
      <c r="A2417" s="1">
        <v>5.9730158E7</v>
      </c>
      <c r="B2417" s="2" t="s">
        <v>3109</v>
      </c>
      <c r="C2417" s="19" t="s">
        <v>8099</v>
      </c>
      <c r="D2417" s="19"/>
      <c r="E2417" s="2"/>
      <c r="F2417" s="19"/>
    </row>
    <row r="2418" ht="15.75" customHeight="1">
      <c r="A2418" s="1">
        <v>5.9730597E7</v>
      </c>
      <c r="B2418" s="2" t="s">
        <v>1112</v>
      </c>
      <c r="C2418" s="19" t="s">
        <v>8100</v>
      </c>
      <c r="D2418" s="19" t="s">
        <v>8101</v>
      </c>
      <c r="E2418" s="2"/>
      <c r="F2418" s="19"/>
    </row>
    <row r="2419" ht="15.75" customHeight="1">
      <c r="A2419" s="1">
        <v>5.9738152E7</v>
      </c>
      <c r="B2419" s="2" t="s">
        <v>2939</v>
      </c>
      <c r="C2419" s="19" t="s">
        <v>8102</v>
      </c>
      <c r="D2419" s="19"/>
      <c r="E2419" s="2"/>
      <c r="F2419" s="19"/>
    </row>
    <row r="2420" ht="15.75" customHeight="1">
      <c r="A2420" s="1">
        <v>5.9746179E7</v>
      </c>
      <c r="B2420" s="2" t="s">
        <v>3443</v>
      </c>
      <c r="C2420" s="19" t="s">
        <v>8103</v>
      </c>
      <c r="D2420" s="19"/>
      <c r="E2420" s="2"/>
      <c r="F2420" s="19"/>
    </row>
    <row r="2421" ht="15.75" customHeight="1">
      <c r="A2421" s="1">
        <v>5.9748089E7</v>
      </c>
      <c r="B2421" s="2" t="s">
        <v>2306</v>
      </c>
      <c r="C2421" s="19" t="s">
        <v>8104</v>
      </c>
      <c r="D2421" s="19"/>
      <c r="E2421" s="2"/>
      <c r="F2421" s="19"/>
    </row>
    <row r="2422" ht="15.75" customHeight="1">
      <c r="A2422" s="1">
        <v>5.9756844E7</v>
      </c>
      <c r="B2422" s="2" t="s">
        <v>2924</v>
      </c>
      <c r="C2422" s="19" t="s">
        <v>8105</v>
      </c>
      <c r="D2422" s="19"/>
      <c r="E2422" s="2"/>
      <c r="F2422" s="19"/>
    </row>
    <row r="2423" ht="15.75" customHeight="1">
      <c r="A2423" s="1">
        <v>5.9759473E7</v>
      </c>
      <c r="B2423" s="2" t="s">
        <v>1885</v>
      </c>
      <c r="C2423" s="19" t="s">
        <v>8106</v>
      </c>
      <c r="D2423" s="19" t="s">
        <v>8107</v>
      </c>
      <c r="E2423" s="2"/>
      <c r="F2423" s="19"/>
    </row>
    <row r="2424" ht="15.75" customHeight="1">
      <c r="A2424" s="1">
        <v>5.9764363E7</v>
      </c>
      <c r="B2424" s="2" t="s">
        <v>3134</v>
      </c>
      <c r="C2424" s="19" t="s">
        <v>8108</v>
      </c>
      <c r="D2424" s="19"/>
      <c r="E2424" s="2"/>
      <c r="F2424" s="19"/>
    </row>
    <row r="2425" ht="15.75" customHeight="1">
      <c r="A2425" s="1">
        <v>5.9771209E7</v>
      </c>
      <c r="B2425" s="2" t="s">
        <v>3525</v>
      </c>
      <c r="C2425" s="19" t="s">
        <v>8109</v>
      </c>
      <c r="D2425" s="19"/>
      <c r="E2425" s="2"/>
      <c r="F2425" s="19"/>
    </row>
    <row r="2426" ht="15.75" customHeight="1">
      <c r="A2426" s="1">
        <v>5.9771214E7</v>
      </c>
      <c r="B2426" s="2" t="s">
        <v>2708</v>
      </c>
      <c r="C2426" s="19" t="s">
        <v>8110</v>
      </c>
      <c r="D2426" s="19" t="s">
        <v>8111</v>
      </c>
      <c r="E2426" s="2"/>
      <c r="F2426" s="19"/>
    </row>
    <row r="2427" ht="15.75" customHeight="1">
      <c r="A2427" s="1">
        <v>5.977692E7</v>
      </c>
      <c r="B2427" s="2" t="s">
        <v>2873</v>
      </c>
      <c r="C2427" s="19" t="s">
        <v>8112</v>
      </c>
      <c r="D2427" s="19" t="s">
        <v>8113</v>
      </c>
      <c r="E2427" s="2"/>
      <c r="F2427" s="19"/>
    </row>
    <row r="2428" ht="15.75" customHeight="1">
      <c r="A2428" s="1">
        <v>5.9783806E7</v>
      </c>
      <c r="B2428" s="2" t="s">
        <v>3051</v>
      </c>
      <c r="C2428" s="19" t="s">
        <v>8114</v>
      </c>
      <c r="D2428" s="19"/>
      <c r="E2428" s="2"/>
      <c r="F2428" s="19"/>
    </row>
    <row r="2429" ht="15.75" customHeight="1">
      <c r="A2429" s="1">
        <v>5.9784776E7</v>
      </c>
      <c r="B2429" s="2" t="s">
        <v>3504</v>
      </c>
      <c r="C2429" s="19" t="s">
        <v>8115</v>
      </c>
      <c r="D2429" s="19"/>
      <c r="E2429" s="2"/>
      <c r="F2429" s="19"/>
    </row>
    <row r="2430" ht="15.75" customHeight="1">
      <c r="A2430" s="1">
        <v>5.9790652E7</v>
      </c>
      <c r="B2430" s="2" t="s">
        <v>2722</v>
      </c>
      <c r="C2430" s="19" t="s">
        <v>8116</v>
      </c>
      <c r="D2430" s="19"/>
      <c r="E2430" s="2"/>
      <c r="F2430" s="19"/>
    </row>
    <row r="2431" ht="15.75" customHeight="1">
      <c r="A2431" s="1">
        <v>5.9793253E7</v>
      </c>
      <c r="B2431" s="2" t="s">
        <v>3027</v>
      </c>
      <c r="C2431" s="19" t="s">
        <v>8117</v>
      </c>
      <c r="D2431" s="19"/>
      <c r="E2431" s="2"/>
      <c r="F2431" s="19"/>
    </row>
    <row r="2432" ht="15.75" customHeight="1">
      <c r="A2432" s="1">
        <v>5.9794418E7</v>
      </c>
      <c r="B2432" s="2" t="s">
        <v>3595</v>
      </c>
      <c r="C2432" s="19" t="s">
        <v>8118</v>
      </c>
      <c r="D2432" s="19"/>
      <c r="E2432" s="2"/>
      <c r="F2432" s="19"/>
    </row>
    <row r="2433" ht="15.75" customHeight="1">
      <c r="A2433" s="1">
        <v>5.9798677E7</v>
      </c>
      <c r="B2433" s="2" t="s">
        <v>2476</v>
      </c>
      <c r="C2433" s="19" t="s">
        <v>8119</v>
      </c>
      <c r="D2433" s="19"/>
      <c r="E2433" s="2"/>
      <c r="F2433" s="19"/>
    </row>
    <row r="2434" ht="15.75" customHeight="1">
      <c r="A2434" s="1">
        <v>5.9833955E7</v>
      </c>
      <c r="B2434" s="2" t="s">
        <v>3397</v>
      </c>
      <c r="C2434" s="19" t="s">
        <v>8120</v>
      </c>
      <c r="D2434" s="19"/>
      <c r="E2434" s="2"/>
      <c r="F2434" s="19"/>
    </row>
    <row r="2435" ht="15.75" customHeight="1">
      <c r="A2435" s="1">
        <v>5.983448E7</v>
      </c>
      <c r="B2435" s="2" t="s">
        <v>3183</v>
      </c>
      <c r="C2435" s="19" t="s">
        <v>8121</v>
      </c>
      <c r="D2435" s="19"/>
      <c r="E2435" s="2"/>
      <c r="F2435" s="19"/>
    </row>
    <row r="2436" ht="15.75" customHeight="1">
      <c r="A2436" s="1">
        <v>5.984571E7</v>
      </c>
      <c r="B2436" s="2" t="s">
        <v>2815</v>
      </c>
      <c r="C2436" s="19" t="s">
        <v>8122</v>
      </c>
      <c r="D2436" s="19"/>
      <c r="E2436" s="2"/>
      <c r="F2436" s="19"/>
    </row>
    <row r="2437" ht="15.75" customHeight="1">
      <c r="A2437" s="1">
        <v>5.9847182E7</v>
      </c>
      <c r="B2437" s="2" t="s">
        <v>1697</v>
      </c>
      <c r="C2437" s="19" t="s">
        <v>8123</v>
      </c>
      <c r="D2437" s="19"/>
      <c r="E2437" s="2"/>
      <c r="F2437" s="19"/>
    </row>
    <row r="2438" ht="15.75" customHeight="1">
      <c r="A2438" s="1">
        <v>5.9852901E7</v>
      </c>
      <c r="B2438" s="2" t="s">
        <v>2462</v>
      </c>
      <c r="C2438" s="19" t="s">
        <v>8124</v>
      </c>
      <c r="D2438" s="19" t="s">
        <v>8125</v>
      </c>
      <c r="E2438" s="2"/>
      <c r="F2438" s="19"/>
    </row>
    <row r="2439" ht="15.75" customHeight="1">
      <c r="A2439" s="1">
        <v>5.9854316E7</v>
      </c>
      <c r="B2439" s="2" t="s">
        <v>2753</v>
      </c>
      <c r="C2439" s="19" t="s">
        <v>8126</v>
      </c>
      <c r="D2439" s="19"/>
      <c r="E2439" s="2"/>
      <c r="F2439" s="19"/>
    </row>
    <row r="2440" ht="15.75" customHeight="1">
      <c r="A2440" s="1">
        <v>5.9856067E7</v>
      </c>
      <c r="B2440" s="2" t="s">
        <v>3110</v>
      </c>
      <c r="C2440" s="19" t="s">
        <v>8127</v>
      </c>
      <c r="D2440" s="19"/>
      <c r="E2440" s="2"/>
      <c r="F2440" s="19"/>
    </row>
    <row r="2441" ht="15.75" customHeight="1">
      <c r="A2441" s="1">
        <v>5.9857501E7</v>
      </c>
      <c r="B2441" s="2" t="s">
        <v>3596</v>
      </c>
      <c r="C2441" s="19" t="s">
        <v>8128</v>
      </c>
      <c r="D2441" s="19"/>
      <c r="E2441" s="2"/>
      <c r="F2441" s="19"/>
    </row>
    <row r="2442" ht="15.75" customHeight="1">
      <c r="A2442" s="1">
        <v>5.985861E7</v>
      </c>
      <c r="B2442" s="2" t="s">
        <v>2241</v>
      </c>
      <c r="C2442" s="19" t="s">
        <v>8129</v>
      </c>
      <c r="D2442" s="19"/>
      <c r="E2442" s="2"/>
      <c r="F2442" s="19"/>
    </row>
    <row r="2443" ht="15.75" customHeight="1">
      <c r="A2443" s="1">
        <v>5.986102E7</v>
      </c>
      <c r="B2443" s="2" t="s">
        <v>2374</v>
      </c>
      <c r="C2443" s="19" t="s">
        <v>8130</v>
      </c>
      <c r="D2443" s="19"/>
      <c r="E2443" s="2"/>
      <c r="F2443" s="19"/>
    </row>
    <row r="2444" ht="15.75" customHeight="1">
      <c r="A2444" s="1">
        <v>5.9861969E7</v>
      </c>
      <c r="B2444" s="2" t="s">
        <v>2961</v>
      </c>
      <c r="C2444" s="19" t="s">
        <v>8131</v>
      </c>
      <c r="D2444" s="19" t="s">
        <v>8132</v>
      </c>
      <c r="E2444" s="2"/>
      <c r="F2444" s="19"/>
    </row>
    <row r="2445" ht="15.75" customHeight="1">
      <c r="A2445" s="1">
        <v>5.9865791E7</v>
      </c>
      <c r="B2445" s="2" t="s">
        <v>3377</v>
      </c>
      <c r="C2445" s="19" t="s">
        <v>8133</v>
      </c>
      <c r="D2445" s="19"/>
      <c r="E2445" s="2"/>
      <c r="F2445" s="19"/>
    </row>
    <row r="2446" ht="15.75" customHeight="1">
      <c r="A2446" s="1">
        <v>5.986586E7</v>
      </c>
      <c r="B2446" s="2" t="s">
        <v>2794</v>
      </c>
      <c r="C2446" s="19" t="s">
        <v>8134</v>
      </c>
      <c r="D2446" s="19"/>
      <c r="E2446" s="2"/>
      <c r="F2446" s="19"/>
    </row>
    <row r="2447" ht="15.75" customHeight="1">
      <c r="A2447" s="1">
        <v>5.9867397E7</v>
      </c>
      <c r="B2447" s="2" t="s">
        <v>2640</v>
      </c>
      <c r="C2447" s="19" t="s">
        <v>8135</v>
      </c>
      <c r="D2447" s="19"/>
      <c r="E2447" s="2"/>
      <c r="F2447" s="19"/>
    </row>
    <row r="2448" ht="15.75" customHeight="1">
      <c r="A2448" s="1">
        <v>5.9869329E7</v>
      </c>
      <c r="B2448" s="2" t="s">
        <v>3582</v>
      </c>
      <c r="C2448" s="19" t="s">
        <v>8136</v>
      </c>
      <c r="D2448" s="19"/>
      <c r="E2448" s="2"/>
      <c r="F2448" s="19"/>
    </row>
    <row r="2449" ht="15.75" customHeight="1">
      <c r="A2449" s="1">
        <v>5.9869618E7</v>
      </c>
      <c r="B2449" s="2" t="s">
        <v>2795</v>
      </c>
      <c r="C2449" s="19" t="s">
        <v>8137</v>
      </c>
      <c r="D2449" s="19"/>
      <c r="E2449" s="2"/>
      <c r="F2449" s="19"/>
    </row>
    <row r="2450" ht="15.75" customHeight="1">
      <c r="A2450" s="1">
        <v>5.987388E7</v>
      </c>
      <c r="B2450" s="2" t="s">
        <v>3028</v>
      </c>
      <c r="C2450" s="19" t="s">
        <v>8138</v>
      </c>
      <c r="D2450" s="19"/>
      <c r="E2450" s="2"/>
      <c r="F2450" s="19"/>
    </row>
    <row r="2451" ht="15.75" customHeight="1">
      <c r="A2451" s="1">
        <v>5.9875146E7</v>
      </c>
      <c r="B2451" s="2" t="s">
        <v>3361</v>
      </c>
      <c r="C2451" s="19" t="s">
        <v>8139</v>
      </c>
      <c r="D2451" s="19"/>
      <c r="E2451" s="2"/>
      <c r="F2451" s="19"/>
    </row>
    <row r="2452" ht="15.75" customHeight="1">
      <c r="A2452" s="1">
        <v>5.988017E7</v>
      </c>
      <c r="B2452" s="2" t="s">
        <v>3551</v>
      </c>
      <c r="C2452" s="19" t="s">
        <v>8140</v>
      </c>
      <c r="D2452" s="19"/>
      <c r="E2452" s="2"/>
      <c r="F2452" s="19"/>
    </row>
    <row r="2453" ht="15.75" customHeight="1">
      <c r="A2453" s="1">
        <v>5.9880781E7</v>
      </c>
      <c r="B2453" s="2" t="s">
        <v>2925</v>
      </c>
      <c r="C2453" s="19" t="s">
        <v>8141</v>
      </c>
      <c r="D2453" s="19"/>
      <c r="E2453" s="2"/>
      <c r="F2453" s="19"/>
    </row>
    <row r="2454" ht="15.75" customHeight="1">
      <c r="A2454" s="1">
        <v>5.9881776E7</v>
      </c>
      <c r="B2454" s="2" t="s">
        <v>3583</v>
      </c>
      <c r="C2454" s="19" t="s">
        <v>8142</v>
      </c>
      <c r="D2454" s="19"/>
      <c r="E2454" s="2"/>
      <c r="F2454" s="19"/>
    </row>
    <row r="2455" ht="15.75" customHeight="1">
      <c r="A2455" s="1">
        <v>5.9886892E7</v>
      </c>
      <c r="B2455" s="2" t="s">
        <v>2410</v>
      </c>
      <c r="C2455" s="19" t="s">
        <v>8143</v>
      </c>
      <c r="D2455" s="19"/>
      <c r="E2455" s="2"/>
      <c r="F2455" s="19"/>
    </row>
    <row r="2456" ht="15.75" customHeight="1">
      <c r="A2456" s="1">
        <v>5.9897345E7</v>
      </c>
      <c r="B2456" s="2" t="s">
        <v>1251</v>
      </c>
      <c r="C2456" s="19" t="s">
        <v>8144</v>
      </c>
      <c r="D2456" s="19" t="s">
        <v>8145</v>
      </c>
      <c r="E2456" s="2"/>
      <c r="F2456" s="19"/>
    </row>
    <row r="2457" ht="15.75" customHeight="1">
      <c r="A2457" s="1">
        <v>5.9899279E7</v>
      </c>
      <c r="B2457" s="2" t="s">
        <v>3052</v>
      </c>
      <c r="C2457" s="19" t="s">
        <v>8146</v>
      </c>
      <c r="D2457" s="19"/>
      <c r="E2457" s="2"/>
      <c r="F2457" s="19"/>
    </row>
    <row r="2458" ht="15.75" customHeight="1">
      <c r="A2458" s="1">
        <v>5.9902654E7</v>
      </c>
      <c r="B2458" s="2" t="s">
        <v>2709</v>
      </c>
      <c r="C2458" s="19" t="s">
        <v>8147</v>
      </c>
      <c r="D2458" s="19"/>
      <c r="E2458" s="2"/>
      <c r="F2458" s="19"/>
    </row>
    <row r="2459" ht="15.75" customHeight="1">
      <c r="A2459" s="1">
        <v>5.9904208E7</v>
      </c>
      <c r="B2459" s="2" t="s">
        <v>3111</v>
      </c>
      <c r="C2459" s="19" t="s">
        <v>8148</v>
      </c>
      <c r="D2459" s="19"/>
      <c r="E2459" s="2"/>
      <c r="F2459" s="19"/>
    </row>
    <row r="2460" ht="15.75" customHeight="1">
      <c r="A2460" s="1">
        <v>5.992681E7</v>
      </c>
      <c r="B2460" s="2" t="s">
        <v>3568</v>
      </c>
      <c r="C2460" s="19" t="s">
        <v>8149</v>
      </c>
      <c r="D2460" s="19"/>
      <c r="E2460" s="2"/>
      <c r="F2460" s="19"/>
    </row>
    <row r="2461" ht="15.75" customHeight="1">
      <c r="A2461" s="1">
        <v>5.9929281E7</v>
      </c>
      <c r="B2461" s="2" t="s">
        <v>3204</v>
      </c>
      <c r="C2461" s="19" t="s">
        <v>8150</v>
      </c>
      <c r="D2461" s="19"/>
      <c r="E2461" s="2"/>
      <c r="F2461" s="19"/>
    </row>
    <row r="2462" ht="15.75" customHeight="1">
      <c r="A2462" s="1">
        <v>5.9932262E7</v>
      </c>
      <c r="B2462" s="2" t="s">
        <v>1778</v>
      </c>
      <c r="C2462" s="19" t="s">
        <v>8151</v>
      </c>
      <c r="D2462" s="19"/>
      <c r="E2462" s="2"/>
      <c r="F2462" s="19"/>
    </row>
    <row r="2463" ht="15.75" customHeight="1">
      <c r="A2463" s="1">
        <v>5.9943554E7</v>
      </c>
      <c r="B2463" s="2" t="s">
        <v>2288</v>
      </c>
      <c r="C2463" s="19" t="s">
        <v>8152</v>
      </c>
      <c r="D2463" s="19"/>
      <c r="E2463" s="2"/>
      <c r="F2463" s="19"/>
    </row>
    <row r="2464" ht="15.75" customHeight="1">
      <c r="A2464" s="1">
        <v>5.994768E7</v>
      </c>
      <c r="B2464" s="2" t="s">
        <v>2001</v>
      </c>
      <c r="C2464" s="19" t="s">
        <v>8153</v>
      </c>
      <c r="D2464" s="19"/>
      <c r="E2464" s="2"/>
      <c r="F2464" s="19"/>
    </row>
    <row r="2465" ht="15.75" customHeight="1">
      <c r="A2465" s="1">
        <v>5.9959076E7</v>
      </c>
      <c r="B2465" s="2" t="s">
        <v>3398</v>
      </c>
      <c r="C2465" s="19" t="s">
        <v>8154</v>
      </c>
      <c r="D2465" s="19"/>
      <c r="E2465" s="2"/>
      <c r="F2465" s="19"/>
    </row>
    <row r="2466" ht="15.75" customHeight="1">
      <c r="A2466" s="1">
        <v>5.996013E7</v>
      </c>
      <c r="B2466" s="2" t="s">
        <v>2388</v>
      </c>
      <c r="C2466" s="19" t="s">
        <v>8155</v>
      </c>
      <c r="D2466" s="19" t="s">
        <v>8156</v>
      </c>
      <c r="E2466" s="2"/>
      <c r="F2466" s="19"/>
    </row>
    <row r="2467" ht="15.75" customHeight="1">
      <c r="A2467" s="1">
        <v>5.9962143E7</v>
      </c>
      <c r="B2467" s="2" t="s">
        <v>2042</v>
      </c>
      <c r="C2467" s="19" t="s">
        <v>8157</v>
      </c>
      <c r="D2467" s="19"/>
      <c r="E2467" s="2"/>
      <c r="F2467" s="19"/>
    </row>
    <row r="2468" ht="15.75" customHeight="1">
      <c r="A2468" s="1">
        <v>5.9965143E7</v>
      </c>
      <c r="B2468" s="2" t="s">
        <v>3082</v>
      </c>
      <c r="C2468" s="19" t="s">
        <v>8158</v>
      </c>
      <c r="D2468" s="19"/>
      <c r="E2468" s="2"/>
      <c r="F2468" s="19"/>
    </row>
    <row r="2469" ht="15.75" customHeight="1">
      <c r="A2469" s="1">
        <v>5.9966739E7</v>
      </c>
      <c r="B2469" s="2" t="s">
        <v>3236</v>
      </c>
      <c r="C2469" s="19" t="s">
        <v>8159</v>
      </c>
      <c r="D2469" s="19"/>
      <c r="E2469" s="2"/>
      <c r="F2469" s="19"/>
    </row>
    <row r="2470" ht="15.75" customHeight="1">
      <c r="A2470" s="1">
        <v>5.9979336E7</v>
      </c>
      <c r="B2470" s="2" t="s">
        <v>2641</v>
      </c>
      <c r="C2470" s="19" t="s">
        <v>8160</v>
      </c>
      <c r="D2470" s="19"/>
      <c r="E2470" s="2"/>
      <c r="F2470" s="19"/>
    </row>
    <row r="2471" ht="15.75" customHeight="1">
      <c r="A2471" s="1">
        <v>5.9979487E7</v>
      </c>
      <c r="B2471" s="2" t="s">
        <v>3338</v>
      </c>
      <c r="C2471" s="19" t="s">
        <v>8161</v>
      </c>
      <c r="D2471" s="19"/>
      <c r="E2471" s="2"/>
      <c r="F2471" s="19"/>
    </row>
    <row r="2472" ht="15.75" customHeight="1">
      <c r="A2472" s="1">
        <v>5.998575E7</v>
      </c>
      <c r="B2472" s="2" t="s">
        <v>1827</v>
      </c>
      <c r="C2472" s="19" t="s">
        <v>8162</v>
      </c>
      <c r="D2472" s="19" t="s">
        <v>8163</v>
      </c>
      <c r="E2472" s="2"/>
      <c r="F2472" s="19"/>
    </row>
    <row r="2473" ht="15.75" customHeight="1">
      <c r="A2473" s="1">
        <v>5.9986306E7</v>
      </c>
      <c r="B2473" s="2" t="s">
        <v>2347</v>
      </c>
      <c r="C2473" s="19" t="s">
        <v>8164</v>
      </c>
      <c r="D2473" s="19"/>
      <c r="E2473" s="2"/>
      <c r="F2473" s="19"/>
    </row>
    <row r="2474" ht="15.75" customHeight="1">
      <c r="A2474" s="1">
        <v>6.0005455E7</v>
      </c>
      <c r="B2474" s="2" t="s">
        <v>3466</v>
      </c>
      <c r="C2474" s="19" t="s">
        <v>8165</v>
      </c>
      <c r="D2474" s="19"/>
      <c r="E2474" s="2"/>
      <c r="F2474" s="19"/>
    </row>
    <row r="2475" ht="15.75" customHeight="1">
      <c r="A2475" s="1">
        <v>6.0005599E7</v>
      </c>
      <c r="B2475" s="2" t="s">
        <v>3526</v>
      </c>
      <c r="C2475" s="19" t="s">
        <v>8166</v>
      </c>
      <c r="D2475" s="19"/>
      <c r="E2475" s="2"/>
      <c r="F2475" s="19"/>
    </row>
    <row r="2476" ht="15.75" customHeight="1">
      <c r="A2476" s="1">
        <v>6.0010596E7</v>
      </c>
      <c r="B2476" s="2" t="s">
        <v>3029</v>
      </c>
      <c r="C2476" s="19" t="s">
        <v>8167</v>
      </c>
      <c r="D2476" s="19"/>
      <c r="E2476" s="2"/>
      <c r="F2476" s="19"/>
    </row>
    <row r="2477" ht="15.75" customHeight="1">
      <c r="A2477" s="1">
        <v>6.0017137E7</v>
      </c>
      <c r="B2477" s="2" t="s">
        <v>2710</v>
      </c>
      <c r="C2477" s="19" t="s">
        <v>8168</v>
      </c>
      <c r="D2477" s="19"/>
      <c r="E2477" s="2"/>
      <c r="F2477" s="19"/>
    </row>
    <row r="2478" ht="15.75" customHeight="1">
      <c r="A2478" s="1">
        <v>6.0017517E7</v>
      </c>
      <c r="B2478" s="2" t="s">
        <v>2463</v>
      </c>
      <c r="C2478" s="19" t="s">
        <v>8169</v>
      </c>
      <c r="D2478" s="19"/>
      <c r="E2478" s="2"/>
      <c r="F2478" s="19"/>
    </row>
    <row r="2479" ht="15.75" customHeight="1">
      <c r="A2479" s="1">
        <v>6.0033096E7</v>
      </c>
      <c r="B2479" s="2" t="s">
        <v>3156</v>
      </c>
      <c r="C2479" s="19" t="s">
        <v>8170</v>
      </c>
      <c r="D2479" s="19"/>
      <c r="E2479" s="2"/>
      <c r="F2479" s="19"/>
    </row>
    <row r="2480" ht="15.75" customHeight="1">
      <c r="A2480" s="1">
        <v>6.0044307E7</v>
      </c>
      <c r="B2480" s="2" t="s">
        <v>2538</v>
      </c>
      <c r="C2480" s="19" t="s">
        <v>8171</v>
      </c>
      <c r="D2480" s="19"/>
      <c r="E2480" s="2"/>
      <c r="F2480" s="19"/>
    </row>
    <row r="2481" ht="15.75" customHeight="1">
      <c r="A2481" s="1">
        <v>6.0063934E7</v>
      </c>
      <c r="B2481" s="2" t="s">
        <v>2613</v>
      </c>
      <c r="C2481" s="19" t="s">
        <v>8172</v>
      </c>
      <c r="D2481" s="19"/>
      <c r="E2481" s="2"/>
      <c r="F2481" s="19"/>
    </row>
    <row r="2482" ht="15.75" customHeight="1">
      <c r="A2482" s="1">
        <v>6.0071979E7</v>
      </c>
      <c r="B2482" s="2" t="s">
        <v>823</v>
      </c>
      <c r="C2482" s="19" t="s">
        <v>8173</v>
      </c>
      <c r="D2482" s="19"/>
      <c r="E2482" s="2"/>
      <c r="F2482" s="19"/>
    </row>
    <row r="2483" ht="15.75" customHeight="1">
      <c r="A2483" s="1">
        <v>6.0084638E7</v>
      </c>
      <c r="B2483" s="2" t="s">
        <v>3584</v>
      </c>
      <c r="C2483" s="19" t="s">
        <v>8174</v>
      </c>
      <c r="D2483" s="19"/>
      <c r="E2483" s="2"/>
      <c r="F2483" s="19"/>
    </row>
    <row r="2484" ht="15.75" customHeight="1">
      <c r="A2484" s="1">
        <v>6.0088723E7</v>
      </c>
      <c r="B2484" s="2" t="s">
        <v>3352</v>
      </c>
      <c r="C2484" s="19" t="s">
        <v>8175</v>
      </c>
      <c r="D2484" s="19"/>
      <c r="E2484" s="2"/>
      <c r="F2484" s="19"/>
    </row>
    <row r="2485" ht="15.75" customHeight="1">
      <c r="A2485" s="1">
        <v>6.009778E7</v>
      </c>
      <c r="B2485" s="2" t="s">
        <v>3157</v>
      </c>
      <c r="C2485" s="19" t="s">
        <v>8176</v>
      </c>
      <c r="D2485" s="19"/>
      <c r="E2485" s="2"/>
      <c r="F2485" s="19"/>
    </row>
    <row r="2486" ht="15.75" customHeight="1">
      <c r="A2486" s="1">
        <v>6.0115832E7</v>
      </c>
      <c r="B2486" s="2" t="s">
        <v>2958</v>
      </c>
      <c r="C2486" s="19" t="s">
        <v>8177</v>
      </c>
      <c r="D2486" s="19"/>
      <c r="E2486" s="2"/>
      <c r="F2486" s="19"/>
    </row>
    <row r="2487" ht="15.75" customHeight="1">
      <c r="A2487" s="1">
        <v>6.0140719E7</v>
      </c>
      <c r="B2487" s="2" t="s">
        <v>2419</v>
      </c>
      <c r="C2487" s="19" t="s">
        <v>8178</v>
      </c>
      <c r="D2487" s="19" t="s">
        <v>8179</v>
      </c>
      <c r="E2487" s="2"/>
      <c r="F2487" s="19"/>
    </row>
    <row r="2488" ht="15.75" customHeight="1">
      <c r="A2488" s="1">
        <v>6.015257E7</v>
      </c>
      <c r="B2488" s="2" t="s">
        <v>2774</v>
      </c>
      <c r="C2488" s="19" t="s">
        <v>8180</v>
      </c>
      <c r="D2488" s="19"/>
      <c r="E2488" s="2"/>
      <c r="F2488" s="19"/>
    </row>
    <row r="2489" ht="15.75" customHeight="1">
      <c r="A2489" s="1">
        <v>6.0153052E7</v>
      </c>
      <c r="B2489" s="2" t="s">
        <v>3083</v>
      </c>
      <c r="C2489" s="19" t="s">
        <v>8181</v>
      </c>
      <c r="D2489" s="19"/>
      <c r="E2489" s="2"/>
      <c r="F2489" s="19"/>
    </row>
    <row r="2490" ht="15.75" customHeight="1">
      <c r="A2490" s="1">
        <v>6.0155095E7</v>
      </c>
      <c r="B2490" s="2" t="s">
        <v>3414</v>
      </c>
      <c r="C2490" s="19" t="s">
        <v>8182</v>
      </c>
      <c r="D2490" s="19"/>
      <c r="E2490" s="2"/>
      <c r="F2490" s="19"/>
    </row>
    <row r="2491" ht="15.75" customHeight="1">
      <c r="A2491" s="1">
        <v>6.0168463E7</v>
      </c>
      <c r="B2491" s="2" t="s">
        <v>2959</v>
      </c>
      <c r="C2491" s="19" t="s">
        <v>8183</v>
      </c>
      <c r="D2491" s="19" t="s">
        <v>8184</v>
      </c>
      <c r="E2491" s="2"/>
      <c r="F2491" s="19"/>
    </row>
    <row r="2492" ht="15.75" customHeight="1">
      <c r="A2492" s="1">
        <v>6.0168595E7</v>
      </c>
      <c r="B2492" s="2" t="s">
        <v>3527</v>
      </c>
      <c r="C2492" s="19" t="s">
        <v>8185</v>
      </c>
      <c r="D2492" s="19"/>
      <c r="E2492" s="2"/>
      <c r="F2492" s="19"/>
    </row>
    <row r="2493" ht="15.75" customHeight="1">
      <c r="A2493" s="1">
        <v>6.016952E7</v>
      </c>
      <c r="B2493" s="2" t="s">
        <v>1657</v>
      </c>
      <c r="C2493" s="19" t="s">
        <v>8186</v>
      </c>
      <c r="D2493" s="19" t="s">
        <v>8187</v>
      </c>
      <c r="E2493" s="2"/>
      <c r="F2493" s="19"/>
    </row>
    <row r="2494" ht="15.75" customHeight="1">
      <c r="A2494" s="1">
        <v>6.017598E7</v>
      </c>
      <c r="B2494" s="2" t="s">
        <v>1909</v>
      </c>
      <c r="C2494" s="19" t="s">
        <v>8188</v>
      </c>
      <c r="D2494" s="19"/>
      <c r="E2494" s="2"/>
      <c r="F2494" s="19"/>
    </row>
    <row r="2495" ht="15.75" customHeight="1">
      <c r="A2495" s="1">
        <v>6.0176349E7</v>
      </c>
      <c r="B2495" s="2" t="s">
        <v>3617</v>
      </c>
      <c r="C2495" s="19" t="s">
        <v>8189</v>
      </c>
      <c r="D2495" s="19"/>
      <c r="E2495" s="2"/>
      <c r="F2495" s="19"/>
    </row>
    <row r="2496" ht="15.75" customHeight="1">
      <c r="A2496" s="1">
        <v>6.0177666E7</v>
      </c>
      <c r="B2496" s="2" t="s">
        <v>2890</v>
      </c>
      <c r="C2496" s="19" t="s">
        <v>8190</v>
      </c>
      <c r="D2496" s="19" t="s">
        <v>8191</v>
      </c>
      <c r="E2496" s="2"/>
      <c r="F2496" s="19"/>
    </row>
    <row r="2497" ht="15.75" customHeight="1">
      <c r="A2497" s="1">
        <v>6.01777E7</v>
      </c>
      <c r="B2497" s="2" t="s">
        <v>3084</v>
      </c>
      <c r="C2497" s="19" t="s">
        <v>8192</v>
      </c>
      <c r="D2497" s="19"/>
      <c r="E2497" s="2"/>
      <c r="F2497" s="19"/>
    </row>
    <row r="2498" ht="15.75" customHeight="1">
      <c r="A2498" s="1">
        <v>6.0181728E7</v>
      </c>
      <c r="B2498" s="2" t="s">
        <v>3308</v>
      </c>
      <c r="C2498" s="19" t="s">
        <v>8193</v>
      </c>
      <c r="D2498" s="19"/>
      <c r="E2498" s="2"/>
      <c r="F2498" s="19"/>
    </row>
    <row r="2499" ht="15.75" customHeight="1">
      <c r="A2499" s="1">
        <v>6.0184002E7</v>
      </c>
      <c r="B2499" s="2" t="s">
        <v>3237</v>
      </c>
      <c r="C2499" s="19" t="s">
        <v>8194</v>
      </c>
      <c r="D2499" s="19"/>
      <c r="E2499" s="2"/>
      <c r="F2499" s="19"/>
    </row>
    <row r="2500" ht="15.75" customHeight="1">
      <c r="A2500" s="1">
        <v>6.0193479E7</v>
      </c>
      <c r="B2500" s="2" t="s">
        <v>2104</v>
      </c>
      <c r="C2500" s="19" t="s">
        <v>8195</v>
      </c>
      <c r="D2500" s="19"/>
      <c r="E2500" s="2"/>
      <c r="F2500" s="19"/>
    </row>
    <row r="2501" ht="15.75" customHeight="1">
      <c r="A2501" s="1">
        <v>6.0200773E7</v>
      </c>
      <c r="B2501" s="2" t="s">
        <v>3259</v>
      </c>
      <c r="C2501" s="19" t="s">
        <v>8196</v>
      </c>
      <c r="D2501" s="19"/>
      <c r="E2501" s="2"/>
      <c r="F2501" s="19"/>
    </row>
    <row r="2502" ht="15.75" customHeight="1">
      <c r="A2502" s="1">
        <v>6.0201239E7</v>
      </c>
      <c r="B2502" s="2" t="s">
        <v>1731</v>
      </c>
      <c r="C2502" s="19" t="s">
        <v>8197</v>
      </c>
      <c r="D2502" s="19"/>
      <c r="E2502" s="2"/>
      <c r="F2502" s="19"/>
    </row>
    <row r="2503" ht="15.75" customHeight="1">
      <c r="A2503" s="1">
        <v>6.0209158E7</v>
      </c>
      <c r="B2503" s="2" t="s">
        <v>1181</v>
      </c>
      <c r="C2503" s="19" t="s">
        <v>8198</v>
      </c>
      <c r="D2503" s="19" t="s">
        <v>8199</v>
      </c>
      <c r="E2503" s="2"/>
      <c r="F2503" s="19"/>
    </row>
    <row r="2504" ht="15.75" customHeight="1">
      <c r="A2504" s="1">
        <v>6.0210752E7</v>
      </c>
      <c r="B2504" s="2" t="s">
        <v>3053</v>
      </c>
      <c r="C2504" s="19" t="s">
        <v>8200</v>
      </c>
      <c r="D2504" s="19"/>
      <c r="E2504" s="2"/>
      <c r="F2504" s="19"/>
    </row>
    <row r="2505" ht="15.75" customHeight="1">
      <c r="A2505" s="1">
        <v>6.0211732E7</v>
      </c>
      <c r="B2505" s="2" t="s">
        <v>3334</v>
      </c>
      <c r="C2505" s="19" t="s">
        <v>8201</v>
      </c>
      <c r="D2505" s="19"/>
      <c r="E2505" s="2"/>
      <c r="F2505" s="19"/>
    </row>
    <row r="2506" ht="15.75" customHeight="1">
      <c r="A2506" s="1">
        <v>6.0218411E7</v>
      </c>
      <c r="B2506" s="2" t="s">
        <v>3484</v>
      </c>
      <c r="C2506" s="19" t="s">
        <v>8202</v>
      </c>
      <c r="D2506" s="19"/>
      <c r="E2506" s="2"/>
      <c r="F2506" s="19"/>
    </row>
    <row r="2507" ht="15.75" customHeight="1">
      <c r="A2507" s="1">
        <v>6.022184E7</v>
      </c>
      <c r="B2507" s="2" t="s">
        <v>3285</v>
      </c>
      <c r="C2507" s="19" t="s">
        <v>8203</v>
      </c>
      <c r="D2507" s="19"/>
      <c r="E2507" s="2"/>
      <c r="F2507" s="19"/>
    </row>
    <row r="2508" ht="15.75" customHeight="1">
      <c r="A2508" s="1">
        <v>6.0223835E7</v>
      </c>
      <c r="B2508" s="2" t="s">
        <v>3054</v>
      </c>
      <c r="C2508" s="19" t="s">
        <v>8204</v>
      </c>
      <c r="D2508" s="19"/>
      <c r="E2508" s="2"/>
      <c r="F2508" s="19"/>
    </row>
    <row r="2509" ht="15.75" customHeight="1">
      <c r="A2509" s="1">
        <v>6.0229963E7</v>
      </c>
      <c r="B2509" s="2" t="s">
        <v>2832</v>
      </c>
      <c r="C2509" s="19" t="s">
        <v>8205</v>
      </c>
      <c r="D2509" s="19"/>
      <c r="E2509" s="2"/>
      <c r="F2509" s="19"/>
    </row>
    <row r="2510" ht="15.75" customHeight="1">
      <c r="A2510" s="1">
        <v>6.0230705E7</v>
      </c>
      <c r="B2510" s="2" t="s">
        <v>931</v>
      </c>
      <c r="C2510" s="19" t="s">
        <v>8206</v>
      </c>
      <c r="D2510" s="19"/>
      <c r="E2510" s="2"/>
      <c r="F2510" s="19"/>
    </row>
    <row r="2511" ht="15.75" customHeight="1">
      <c r="A2511" s="1">
        <v>6.0264611E7</v>
      </c>
      <c r="B2511" s="2" t="s">
        <v>3112</v>
      </c>
      <c r="C2511" s="19" t="s">
        <v>8207</v>
      </c>
      <c r="D2511" s="19"/>
      <c r="E2511" s="2"/>
      <c r="F2511" s="19"/>
    </row>
    <row r="2512" ht="15.75" customHeight="1">
      <c r="A2512" s="1">
        <v>6.0269505E7</v>
      </c>
      <c r="B2512" s="2" t="s">
        <v>2398</v>
      </c>
      <c r="C2512" s="19" t="s">
        <v>8208</v>
      </c>
      <c r="D2512" s="19"/>
      <c r="E2512" s="2"/>
      <c r="F2512" s="19"/>
    </row>
    <row r="2513" ht="15.75" customHeight="1">
      <c r="A2513" s="1">
        <v>6.0272262E7</v>
      </c>
      <c r="B2513" s="2" t="s">
        <v>2874</v>
      </c>
      <c r="C2513" s="19" t="s">
        <v>8209</v>
      </c>
      <c r="D2513" s="19" t="s">
        <v>8210</v>
      </c>
      <c r="E2513" s="2"/>
      <c r="F2513" s="19"/>
    </row>
    <row r="2514" ht="15.75" customHeight="1">
      <c r="A2514" s="1">
        <v>6.0284599E7</v>
      </c>
      <c r="B2514" s="2" t="s">
        <v>2009</v>
      </c>
      <c r="C2514" s="19" t="s">
        <v>8211</v>
      </c>
      <c r="D2514" s="19"/>
      <c r="E2514" s="2"/>
      <c r="F2514" s="19"/>
    </row>
    <row r="2515" ht="15.75" customHeight="1">
      <c r="A2515" s="1">
        <v>6.0285447E7</v>
      </c>
      <c r="B2515" s="2" t="s">
        <v>2699</v>
      </c>
      <c r="C2515" s="19" t="s">
        <v>8212</v>
      </c>
      <c r="D2515" s="19"/>
      <c r="E2515" s="2"/>
      <c r="F2515" s="19"/>
    </row>
    <row r="2516" ht="15.75" customHeight="1">
      <c r="A2516" s="1">
        <v>6.0310744E7</v>
      </c>
      <c r="B2516" s="2" t="s">
        <v>3485</v>
      </c>
      <c r="C2516" s="19" t="s">
        <v>8213</v>
      </c>
      <c r="D2516" s="19"/>
      <c r="E2516" s="2"/>
      <c r="F2516" s="19"/>
    </row>
    <row r="2517" ht="15.75" customHeight="1">
      <c r="A2517" s="1">
        <v>6.0312818E7</v>
      </c>
      <c r="B2517" s="2" t="s">
        <v>2796</v>
      </c>
      <c r="C2517" s="19" t="s">
        <v>8214</v>
      </c>
      <c r="D2517" s="19" t="s">
        <v>8215</v>
      </c>
      <c r="E2517" s="2"/>
      <c r="F2517" s="19"/>
    </row>
    <row r="2518" ht="15.75" customHeight="1">
      <c r="A2518" s="1">
        <v>6.0318597E7</v>
      </c>
      <c r="B2518" s="2" t="s">
        <v>2940</v>
      </c>
      <c r="C2518" s="19" t="s">
        <v>8216</v>
      </c>
      <c r="D2518" s="19"/>
      <c r="E2518" s="2"/>
      <c r="F2518" s="19"/>
    </row>
    <row r="2519" ht="15.75" customHeight="1">
      <c r="A2519" s="1">
        <v>6.0323334E7</v>
      </c>
      <c r="B2519" s="2" t="s">
        <v>3242</v>
      </c>
      <c r="C2519" s="19" t="s">
        <v>8217</v>
      </c>
      <c r="D2519" s="19"/>
      <c r="E2519" s="2"/>
      <c r="F2519" s="19"/>
    </row>
    <row r="2520" ht="15.75" customHeight="1">
      <c r="A2520" s="1">
        <v>6.0325363E7</v>
      </c>
      <c r="B2520" s="2" t="s">
        <v>2833</v>
      </c>
      <c r="C2520" s="19" t="s">
        <v>8218</v>
      </c>
      <c r="D2520" s="19"/>
      <c r="E2520" s="2"/>
      <c r="F2520" s="19"/>
    </row>
    <row r="2521" ht="15.75" customHeight="1">
      <c r="A2521" s="1">
        <v>6.0333431E7</v>
      </c>
      <c r="B2521" s="2" t="s">
        <v>3006</v>
      </c>
      <c r="C2521" s="19" t="s">
        <v>8219</v>
      </c>
      <c r="D2521" s="19"/>
      <c r="E2521" s="2"/>
      <c r="F2521" s="19"/>
    </row>
    <row r="2522" ht="15.75" customHeight="1">
      <c r="A2522" s="1">
        <v>6.0333516E7</v>
      </c>
      <c r="B2522" s="2" t="s">
        <v>3286</v>
      </c>
      <c r="C2522" s="19" t="s">
        <v>8220</v>
      </c>
      <c r="D2522" s="19"/>
      <c r="E2522" s="2"/>
      <c r="F2522" s="19"/>
    </row>
    <row r="2523" ht="15.75" customHeight="1">
      <c r="A2523" s="1">
        <v>6.0334874E7</v>
      </c>
      <c r="B2523" s="2" t="s">
        <v>2580</v>
      </c>
      <c r="C2523" s="19" t="s">
        <v>8221</v>
      </c>
      <c r="D2523" s="19"/>
      <c r="E2523" s="2"/>
      <c r="F2523" s="19"/>
    </row>
    <row r="2524" ht="15.75" customHeight="1">
      <c r="A2524" s="1">
        <v>6.0348603E7</v>
      </c>
      <c r="B2524" s="2" t="s">
        <v>3467</v>
      </c>
      <c r="C2524" s="19" t="s">
        <v>8222</v>
      </c>
      <c r="D2524" s="19"/>
      <c r="E2524" s="2"/>
      <c r="F2524" s="19"/>
    </row>
    <row r="2525" ht="15.75" customHeight="1">
      <c r="A2525" s="1">
        <v>6.0357457E7</v>
      </c>
      <c r="B2525" s="2" t="s">
        <v>3184</v>
      </c>
      <c r="C2525" s="19" t="s">
        <v>8223</v>
      </c>
      <c r="D2525" s="19"/>
      <c r="E2525" s="2"/>
      <c r="F2525" s="19"/>
    </row>
    <row r="2526" ht="15.75" customHeight="1">
      <c r="A2526" s="1">
        <v>6.036184E7</v>
      </c>
      <c r="B2526" s="2" t="s">
        <v>3135</v>
      </c>
      <c r="C2526" s="19" t="s">
        <v>8224</v>
      </c>
      <c r="D2526" s="19"/>
      <c r="E2526" s="2"/>
      <c r="F2526" s="19"/>
    </row>
    <row r="2527" ht="15.75" customHeight="1">
      <c r="A2527" s="1">
        <v>6.0366748E7</v>
      </c>
      <c r="B2527" s="2" t="s">
        <v>3158</v>
      </c>
      <c r="C2527" s="19" t="s">
        <v>8225</v>
      </c>
      <c r="D2527" s="19"/>
      <c r="E2527" s="2"/>
      <c r="F2527" s="19"/>
    </row>
    <row r="2528" ht="15.75" customHeight="1">
      <c r="A2528" s="1">
        <v>6.0370378E7</v>
      </c>
      <c r="B2528" s="2" t="s">
        <v>3113</v>
      </c>
      <c r="C2528" s="19" t="s">
        <v>8226</v>
      </c>
      <c r="D2528" s="19"/>
      <c r="E2528" s="2"/>
      <c r="F2528" s="19"/>
    </row>
    <row r="2529" ht="15.75" customHeight="1">
      <c r="A2529" s="1">
        <v>6.0376741E7</v>
      </c>
      <c r="B2529" s="2" t="s">
        <v>2723</v>
      </c>
      <c r="C2529" s="19" t="s">
        <v>8227</v>
      </c>
      <c r="D2529" s="19"/>
      <c r="E2529" s="2"/>
      <c r="F2529" s="19"/>
    </row>
    <row r="2530" ht="15.75" customHeight="1">
      <c r="A2530" s="1">
        <v>6.0379101E7</v>
      </c>
      <c r="B2530" s="2" t="s">
        <v>2711</v>
      </c>
      <c r="C2530" s="19" t="s">
        <v>8228</v>
      </c>
      <c r="D2530" s="19" t="s">
        <v>8229</v>
      </c>
      <c r="E2530" s="2"/>
      <c r="F2530" s="19"/>
    </row>
    <row r="2531" ht="15.75" customHeight="1">
      <c r="A2531" s="1">
        <v>6.038929E7</v>
      </c>
      <c r="B2531" s="2" t="s">
        <v>3353</v>
      </c>
      <c r="C2531" s="19" t="s">
        <v>8230</v>
      </c>
      <c r="D2531" s="19"/>
      <c r="E2531" s="2"/>
      <c r="F2531" s="19"/>
    </row>
    <row r="2532" ht="15.75" customHeight="1">
      <c r="A2532" s="1">
        <v>6.0396107E7</v>
      </c>
      <c r="B2532" s="2" t="s">
        <v>3085</v>
      </c>
      <c r="C2532" s="19" t="s">
        <v>8231</v>
      </c>
      <c r="D2532" s="19"/>
      <c r="E2532" s="2"/>
      <c r="F2532" s="19"/>
    </row>
    <row r="2533" ht="15.75" customHeight="1">
      <c r="A2533" s="1">
        <v>6.039672E7</v>
      </c>
      <c r="B2533" s="2" t="s">
        <v>2524</v>
      </c>
      <c r="C2533" s="19" t="s">
        <v>8232</v>
      </c>
      <c r="D2533" s="19"/>
      <c r="E2533" s="2"/>
      <c r="F2533" s="19"/>
    </row>
    <row r="2534" ht="15.75" customHeight="1">
      <c r="A2534" s="1">
        <v>6.0400547E7</v>
      </c>
      <c r="B2534" s="2" t="s">
        <v>2624</v>
      </c>
      <c r="C2534" s="19" t="s">
        <v>8233</v>
      </c>
      <c r="D2534" s="19" t="s">
        <v>8234</v>
      </c>
      <c r="E2534" s="2"/>
      <c r="F2534" s="19"/>
    </row>
    <row r="2535" ht="15.75" customHeight="1">
      <c r="A2535" s="1">
        <v>6.0407965E7</v>
      </c>
      <c r="B2535" s="2" t="s">
        <v>3362</v>
      </c>
      <c r="C2535" s="19" t="s">
        <v>8235</v>
      </c>
      <c r="D2535" s="19"/>
      <c r="E2535" s="2"/>
      <c r="F2535" s="19"/>
    </row>
    <row r="2536" ht="15.75" customHeight="1">
      <c r="A2536" s="1">
        <v>6.0411724E7</v>
      </c>
      <c r="B2536" s="2" t="s">
        <v>3505</v>
      </c>
      <c r="C2536" s="19" t="s">
        <v>8236</v>
      </c>
      <c r="D2536" s="19"/>
      <c r="E2536" s="2"/>
      <c r="F2536" s="19"/>
    </row>
    <row r="2537" ht="15.75" customHeight="1">
      <c r="A2537" s="1">
        <v>6.0416906E7</v>
      </c>
      <c r="B2537" s="2" t="s">
        <v>2411</v>
      </c>
      <c r="C2537" s="19" t="s">
        <v>8237</v>
      </c>
      <c r="D2537" s="19" t="s">
        <v>8238</v>
      </c>
      <c r="E2537" s="2"/>
      <c r="F2537" s="19"/>
    </row>
    <row r="2538" ht="15.75" customHeight="1">
      <c r="A2538" s="1">
        <v>6.0428312E7</v>
      </c>
      <c r="B2538" s="2" t="s">
        <v>3363</v>
      </c>
      <c r="C2538" s="19" t="s">
        <v>8239</v>
      </c>
      <c r="D2538" s="19"/>
      <c r="E2538" s="2"/>
      <c r="F2538" s="19"/>
    </row>
    <row r="2539" ht="15.75" customHeight="1">
      <c r="A2539" s="1">
        <v>6.0429162E7</v>
      </c>
      <c r="B2539" s="2" t="s">
        <v>3468</v>
      </c>
      <c r="C2539" s="19" t="s">
        <v>8240</v>
      </c>
      <c r="D2539" s="19"/>
      <c r="E2539" s="2"/>
      <c r="F2539" s="19"/>
    </row>
    <row r="2540" ht="15.75" customHeight="1">
      <c r="A2540" s="1">
        <v>6.0434306E7</v>
      </c>
      <c r="B2540" s="2" t="s">
        <v>3185</v>
      </c>
      <c r="C2540" s="19" t="s">
        <v>8241</v>
      </c>
      <c r="D2540" s="19"/>
      <c r="E2540" s="2"/>
      <c r="F2540" s="19"/>
    </row>
    <row r="2541" ht="15.75" customHeight="1">
      <c r="A2541" s="1">
        <v>6.0445843E7</v>
      </c>
      <c r="B2541" s="2" t="s">
        <v>3364</v>
      </c>
      <c r="C2541" s="19" t="s">
        <v>8242</v>
      </c>
      <c r="D2541" s="19"/>
      <c r="E2541" s="2"/>
      <c r="F2541" s="19"/>
    </row>
    <row r="2542" ht="15.75" customHeight="1">
      <c r="A2542" s="1">
        <v>6.0453651E7</v>
      </c>
      <c r="B2542" s="2" t="s">
        <v>3486</v>
      </c>
      <c r="C2542" s="19" t="s">
        <v>8243</v>
      </c>
      <c r="D2542" s="19"/>
      <c r="E2542" s="2"/>
      <c r="F2542" s="19"/>
    </row>
    <row r="2543" ht="15.75" customHeight="1">
      <c r="A2543" s="1">
        <v>6.0455349E7</v>
      </c>
      <c r="B2543" s="2" t="s">
        <v>3528</v>
      </c>
      <c r="C2543" s="19" t="s">
        <v>8244</v>
      </c>
      <c r="D2543" s="19"/>
      <c r="E2543" s="2"/>
      <c r="F2543" s="19"/>
    </row>
    <row r="2544" ht="15.75" customHeight="1">
      <c r="A2544" s="1">
        <v>6.0495312E7</v>
      </c>
      <c r="B2544" s="2" t="s">
        <v>2215</v>
      </c>
      <c r="C2544" s="19" t="s">
        <v>8245</v>
      </c>
      <c r="D2544" s="19"/>
      <c r="E2544" s="2"/>
      <c r="F2544" s="19"/>
    </row>
    <row r="2545" ht="15.75" customHeight="1">
      <c r="A2545" s="1">
        <v>6.0496009E7</v>
      </c>
      <c r="B2545" s="2" t="s">
        <v>2343</v>
      </c>
      <c r="C2545" s="19" t="s">
        <v>8246</v>
      </c>
      <c r="D2545" s="19"/>
      <c r="E2545" s="2"/>
      <c r="F2545" s="19"/>
    </row>
    <row r="2546" ht="15.75" customHeight="1">
      <c r="A2546" s="1">
        <v>6.0500627E7</v>
      </c>
      <c r="B2546" s="2" t="s">
        <v>2537</v>
      </c>
      <c r="C2546" s="19" t="s">
        <v>8247</v>
      </c>
      <c r="D2546" s="19"/>
      <c r="E2546" s="2"/>
      <c r="F2546" s="19"/>
    </row>
    <row r="2547" ht="15.75" customHeight="1">
      <c r="A2547" s="1">
        <v>6.0513317E7</v>
      </c>
      <c r="B2547" s="2" t="s">
        <v>1745</v>
      </c>
      <c r="C2547" s="19" t="s">
        <v>8248</v>
      </c>
      <c r="D2547" s="19" t="s">
        <v>8249</v>
      </c>
      <c r="E2547" s="2"/>
      <c r="F2547" s="19"/>
    </row>
    <row r="2548" ht="15.75" customHeight="1">
      <c r="A2548" s="1">
        <v>6.0532175E7</v>
      </c>
      <c r="B2548" s="2" t="s">
        <v>2909</v>
      </c>
      <c r="C2548" s="19" t="s">
        <v>8250</v>
      </c>
      <c r="D2548" s="19" t="s">
        <v>8251</v>
      </c>
      <c r="E2548" s="2"/>
      <c r="F2548" s="19"/>
    </row>
    <row r="2549" ht="15.75" customHeight="1">
      <c r="A2549" s="1">
        <v>6.0534579E7</v>
      </c>
      <c r="B2549" s="2" t="s">
        <v>1779</v>
      </c>
      <c r="C2549" s="19" t="s">
        <v>8252</v>
      </c>
      <c r="D2549" s="19" t="s">
        <v>8253</v>
      </c>
      <c r="E2549" s="2"/>
      <c r="F2549" s="19"/>
    </row>
    <row r="2550" ht="15.75" customHeight="1">
      <c r="A2550" s="1">
        <v>6.0543867E7</v>
      </c>
      <c r="B2550" s="2" t="s">
        <v>2156</v>
      </c>
      <c r="C2550" s="19" t="s">
        <v>8254</v>
      </c>
      <c r="D2550" s="19"/>
      <c r="E2550" s="2"/>
      <c r="F2550" s="19"/>
    </row>
    <row r="2551" ht="15.75" customHeight="1">
      <c r="A2551" s="1">
        <v>6.0551702E7</v>
      </c>
      <c r="B2551" s="2" t="s">
        <v>3552</v>
      </c>
      <c r="C2551" s="19" t="s">
        <v>8255</v>
      </c>
      <c r="D2551" s="19"/>
      <c r="E2551" s="2"/>
      <c r="F2551" s="19"/>
    </row>
    <row r="2552" ht="15.75" customHeight="1">
      <c r="A2552" s="1">
        <v>6.0555616E7</v>
      </c>
      <c r="B2552" s="2" t="s">
        <v>3415</v>
      </c>
      <c r="C2552" s="19" t="s">
        <v>8256</v>
      </c>
      <c r="D2552" s="19"/>
      <c r="E2552" s="2"/>
      <c r="F2552" s="19"/>
    </row>
    <row r="2553" ht="15.75" customHeight="1">
      <c r="A2553" s="1">
        <v>6.0556126E7</v>
      </c>
      <c r="B2553" s="2" t="s">
        <v>2525</v>
      </c>
      <c r="C2553" s="19" t="s">
        <v>8257</v>
      </c>
      <c r="D2553" s="19" t="s">
        <v>8258</v>
      </c>
      <c r="E2553" s="2"/>
      <c r="F2553" s="19"/>
    </row>
    <row r="2554" ht="15.75" customHeight="1">
      <c r="A2554" s="1">
        <v>6.0556908E7</v>
      </c>
      <c r="B2554" s="2" t="s">
        <v>3287</v>
      </c>
      <c r="C2554" s="19" t="s">
        <v>8259</v>
      </c>
      <c r="D2554" s="19"/>
      <c r="E2554" s="2"/>
      <c r="F2554" s="19"/>
    </row>
    <row r="2555" ht="15.75" customHeight="1">
      <c r="A2555" s="1">
        <v>6.0567487E7</v>
      </c>
      <c r="B2555" s="2" t="s">
        <v>3469</v>
      </c>
      <c r="C2555" s="19" t="s">
        <v>8260</v>
      </c>
      <c r="D2555" s="19"/>
      <c r="E2555" s="2"/>
      <c r="F2555" s="19"/>
    </row>
    <row r="2556" ht="15.75" customHeight="1">
      <c r="A2556" s="1">
        <v>6.0589214E7</v>
      </c>
      <c r="B2556" s="2" t="s">
        <v>3335</v>
      </c>
      <c r="C2556" s="19" t="s">
        <v>8261</v>
      </c>
      <c r="D2556" s="19"/>
      <c r="E2556" s="2"/>
      <c r="F2556" s="19"/>
    </row>
    <row r="2557" ht="15.75" customHeight="1">
      <c r="A2557" s="1">
        <v>6.0594954E7</v>
      </c>
      <c r="B2557" s="2" t="s">
        <v>2926</v>
      </c>
      <c r="C2557" s="19" t="s">
        <v>8262</v>
      </c>
      <c r="D2557" s="19" t="s">
        <v>8263</v>
      </c>
      <c r="E2557" s="2"/>
      <c r="F2557" s="19"/>
    </row>
    <row r="2558" ht="15.75" customHeight="1">
      <c r="A2558" s="1">
        <v>6.0595868E7</v>
      </c>
      <c r="B2558" s="2" t="s">
        <v>2565</v>
      </c>
      <c r="C2558" s="19" t="s">
        <v>8264</v>
      </c>
      <c r="D2558" s="19"/>
      <c r="E2558" s="2"/>
      <c r="F2558" s="19"/>
    </row>
    <row r="2559" ht="15.75" customHeight="1">
      <c r="A2559" s="1">
        <v>6.0601201E7</v>
      </c>
      <c r="B2559" s="2" t="s">
        <v>3159</v>
      </c>
      <c r="C2559" s="19" t="s">
        <v>8265</v>
      </c>
      <c r="D2559" s="19" t="s">
        <v>8266</v>
      </c>
      <c r="E2559" s="2"/>
      <c r="F2559" s="19"/>
    </row>
    <row r="2560" ht="15.75" customHeight="1">
      <c r="A2560" s="1">
        <v>6.0609166E7</v>
      </c>
      <c r="B2560" s="2" t="s">
        <v>1496</v>
      </c>
      <c r="C2560" s="19" t="s">
        <v>8267</v>
      </c>
      <c r="D2560" s="19" t="s">
        <v>8268</v>
      </c>
      <c r="E2560" s="2"/>
      <c r="F2560" s="19"/>
    </row>
    <row r="2561" ht="15.75" customHeight="1">
      <c r="A2561" s="1">
        <v>6.0624406E7</v>
      </c>
      <c r="B2561" s="2" t="s">
        <v>3055</v>
      </c>
      <c r="C2561" s="19" t="s">
        <v>8269</v>
      </c>
      <c r="D2561" s="19"/>
      <c r="E2561" s="2"/>
      <c r="F2561" s="19"/>
    </row>
    <row r="2562" ht="15.75" customHeight="1">
      <c r="A2562" s="1">
        <v>6.063336E7</v>
      </c>
      <c r="B2562" s="2" t="s">
        <v>3260</v>
      </c>
      <c r="C2562" s="19" t="s">
        <v>8270</v>
      </c>
      <c r="D2562" s="19"/>
      <c r="E2562" s="2"/>
      <c r="F2562" s="19"/>
    </row>
    <row r="2563" ht="15.75" customHeight="1">
      <c r="A2563" s="1">
        <v>6.064407E7</v>
      </c>
      <c r="B2563" s="2" t="s">
        <v>2875</v>
      </c>
      <c r="C2563" s="19" t="s">
        <v>8271</v>
      </c>
      <c r="D2563" s="19"/>
      <c r="E2563" s="2"/>
      <c r="F2563" s="19"/>
    </row>
    <row r="2564" ht="15.75" customHeight="1">
      <c r="A2564" s="1">
        <v>6.064824E7</v>
      </c>
      <c r="B2564" s="2" t="s">
        <v>2834</v>
      </c>
      <c r="C2564" s="19" t="s">
        <v>8272</v>
      </c>
      <c r="D2564" s="19"/>
      <c r="E2564" s="2"/>
      <c r="F2564" s="19"/>
    </row>
    <row r="2565" ht="15.75" customHeight="1">
      <c r="A2565" s="1">
        <v>6.0649506E7</v>
      </c>
      <c r="B2565" s="2" t="s">
        <v>3086</v>
      </c>
      <c r="C2565" s="19" t="s">
        <v>8273</v>
      </c>
      <c r="D2565" s="19" t="s">
        <v>8274</v>
      </c>
      <c r="E2565" s="2"/>
      <c r="F2565" s="19"/>
    </row>
    <row r="2566" ht="15.75" customHeight="1">
      <c r="A2566" s="1">
        <v>6.066273E7</v>
      </c>
      <c r="B2566" s="2" t="s">
        <v>2477</v>
      </c>
      <c r="C2566" s="19" t="s">
        <v>8275</v>
      </c>
      <c r="D2566" s="19"/>
      <c r="E2566" s="2"/>
      <c r="F2566" s="19"/>
    </row>
    <row r="2567" ht="15.75" customHeight="1">
      <c r="A2567" s="1">
        <v>6.0665681E7</v>
      </c>
      <c r="B2567" s="2" t="s">
        <v>2921</v>
      </c>
      <c r="C2567" s="19" t="s">
        <v>8276</v>
      </c>
      <c r="D2567" s="19"/>
      <c r="E2567" s="2"/>
      <c r="F2567" s="19"/>
    </row>
    <row r="2568" ht="15.75" customHeight="1">
      <c r="A2568" s="1">
        <v>6.0667139E7</v>
      </c>
      <c r="B2568" s="2" t="s">
        <v>3444</v>
      </c>
      <c r="C2568" s="19" t="s">
        <v>8277</v>
      </c>
      <c r="D2568" s="19"/>
      <c r="E2568" s="2"/>
      <c r="F2568" s="19"/>
    </row>
    <row r="2569" ht="15.75" customHeight="1">
      <c r="A2569" s="1">
        <v>6.0669625E7</v>
      </c>
      <c r="B2569" s="2" t="s">
        <v>2798</v>
      </c>
      <c r="C2569" s="19" t="s">
        <v>8278</v>
      </c>
      <c r="D2569" s="19"/>
      <c r="E2569" s="2"/>
      <c r="F2569" s="19"/>
    </row>
    <row r="2570" ht="15.75" customHeight="1">
      <c r="A2570" s="1">
        <v>6.0672693E7</v>
      </c>
      <c r="B2570" s="2" t="s">
        <v>3529</v>
      </c>
      <c r="C2570" s="19" t="s">
        <v>8279</v>
      </c>
      <c r="D2570" s="19"/>
      <c r="E2570" s="2"/>
      <c r="F2570" s="19"/>
    </row>
    <row r="2571" ht="15.75" customHeight="1">
      <c r="A2571" s="1">
        <v>6.0689697E7</v>
      </c>
      <c r="B2571" s="2" t="s">
        <v>3288</v>
      </c>
      <c r="C2571" s="19" t="s">
        <v>8280</v>
      </c>
      <c r="D2571" s="19"/>
      <c r="E2571" s="2"/>
      <c r="F2571" s="19"/>
    </row>
    <row r="2572" ht="15.75" customHeight="1">
      <c r="A2572" s="1">
        <v>6.0693819E7</v>
      </c>
      <c r="B2572" s="2" t="s">
        <v>2724</v>
      </c>
      <c r="C2572" s="19" t="s">
        <v>8281</v>
      </c>
      <c r="D2572" s="19" t="s">
        <v>8282</v>
      </c>
      <c r="E2572" s="2"/>
      <c r="F2572" s="19"/>
    </row>
    <row r="2573" ht="15.75" customHeight="1">
      <c r="A2573" s="1">
        <v>6.0706026E7</v>
      </c>
      <c r="B2573" s="2" t="s">
        <v>3553</v>
      </c>
      <c r="C2573" s="19" t="s">
        <v>8283</v>
      </c>
      <c r="D2573" s="19"/>
      <c r="E2573" s="2"/>
      <c r="F2573" s="19"/>
    </row>
    <row r="2574" ht="15.75" customHeight="1">
      <c r="A2574" s="1">
        <v>6.0706826E7</v>
      </c>
      <c r="B2574" s="2" t="s">
        <v>2835</v>
      </c>
      <c r="C2574" s="19" t="s">
        <v>8284</v>
      </c>
      <c r="D2574" s="19"/>
      <c r="E2574" s="2"/>
      <c r="F2574" s="19"/>
    </row>
    <row r="2575" ht="15.75" customHeight="1">
      <c r="A2575" s="1">
        <v>6.0715522E7</v>
      </c>
      <c r="B2575" s="2" t="s">
        <v>2059</v>
      </c>
      <c r="C2575" s="19" t="s">
        <v>8285</v>
      </c>
      <c r="D2575" s="19" t="s">
        <v>8286</v>
      </c>
      <c r="E2575" s="2"/>
      <c r="F2575" s="19"/>
    </row>
    <row r="2576" ht="15.75" customHeight="1">
      <c r="A2576" s="1">
        <v>6.0716376E7</v>
      </c>
      <c r="B2576" s="2" t="s">
        <v>3399</v>
      </c>
      <c r="C2576" s="19" t="s">
        <v>8287</v>
      </c>
      <c r="D2576" s="19"/>
      <c r="E2576" s="2"/>
      <c r="F2576" s="19"/>
    </row>
    <row r="2577" ht="15.75" customHeight="1">
      <c r="A2577" s="1">
        <v>6.0727567E7</v>
      </c>
      <c r="B2577" s="2" t="s">
        <v>3487</v>
      </c>
      <c r="C2577" s="19" t="s">
        <v>8288</v>
      </c>
      <c r="D2577" s="19"/>
      <c r="E2577" s="2"/>
      <c r="F2577" s="19"/>
    </row>
    <row r="2578" ht="15.75" customHeight="1">
      <c r="A2578" s="1">
        <v>6.0736675E7</v>
      </c>
      <c r="B2578" s="2" t="s">
        <v>2328</v>
      </c>
      <c r="C2578" s="19" t="s">
        <v>8289</v>
      </c>
      <c r="D2578" s="19" t="s">
        <v>8290</v>
      </c>
      <c r="E2578" s="2"/>
      <c r="F2578" s="19"/>
    </row>
    <row r="2579" ht="15.75" customHeight="1">
      <c r="A2579" s="1">
        <v>6.0738551E7</v>
      </c>
      <c r="B2579" s="2" t="s">
        <v>2623</v>
      </c>
      <c r="C2579" s="19" t="s">
        <v>8291</v>
      </c>
      <c r="D2579" s="19"/>
      <c r="E2579" s="2"/>
      <c r="F2579" s="19"/>
    </row>
    <row r="2580" ht="15.75" customHeight="1">
      <c r="A2580" s="1">
        <v>6.0746275E7</v>
      </c>
      <c r="B2580" s="2" t="s">
        <v>3597</v>
      </c>
      <c r="C2580" s="19" t="s">
        <v>8292</v>
      </c>
      <c r="D2580" s="19"/>
      <c r="E2580" s="2"/>
      <c r="F2580" s="19"/>
    </row>
    <row r="2581" ht="15.75" customHeight="1">
      <c r="A2581" s="1">
        <v>6.0750126E7</v>
      </c>
      <c r="B2581" s="2" t="s">
        <v>2700</v>
      </c>
      <c r="C2581" s="19" t="s">
        <v>8293</v>
      </c>
      <c r="D2581" s="19" t="s">
        <v>8294</v>
      </c>
      <c r="E2581" s="2"/>
      <c r="F2581" s="19"/>
    </row>
    <row r="2582" ht="15.75" customHeight="1">
      <c r="A2582" s="1">
        <v>6.0751498E7</v>
      </c>
      <c r="B2582" s="2" t="s">
        <v>3400</v>
      </c>
      <c r="C2582" s="19" t="s">
        <v>8295</v>
      </c>
      <c r="D2582" s="19"/>
      <c r="E2582" s="2"/>
      <c r="F2582" s="19"/>
    </row>
    <row r="2583" ht="15.75" customHeight="1">
      <c r="A2583" s="1">
        <v>6.0763258E7</v>
      </c>
      <c r="B2583" s="2" t="s">
        <v>1489</v>
      </c>
      <c r="C2583" s="19" t="s">
        <v>8296</v>
      </c>
      <c r="D2583" s="19"/>
      <c r="E2583" s="2"/>
      <c r="F2583" s="19"/>
    </row>
    <row r="2584" ht="15.75" customHeight="1">
      <c r="A2584" s="1">
        <v>6.0769225E7</v>
      </c>
      <c r="B2584" s="2" t="s">
        <v>2412</v>
      </c>
      <c r="C2584" s="19" t="s">
        <v>8297</v>
      </c>
      <c r="D2584" s="19"/>
      <c r="E2584" s="2"/>
      <c r="F2584" s="19"/>
    </row>
    <row r="2585" ht="15.75" customHeight="1">
      <c r="A2585" s="1">
        <v>6.0772816E7</v>
      </c>
      <c r="B2585" s="2" t="s">
        <v>3554</v>
      </c>
      <c r="C2585" s="19" t="s">
        <v>8298</v>
      </c>
      <c r="D2585" s="19"/>
      <c r="E2585" s="2"/>
      <c r="F2585" s="19"/>
    </row>
    <row r="2586" ht="15.75" customHeight="1">
      <c r="A2586" s="1">
        <v>6.0776604E7</v>
      </c>
      <c r="B2586" s="2" t="s">
        <v>3289</v>
      </c>
      <c r="C2586" s="19" t="s">
        <v>8299</v>
      </c>
      <c r="D2586" s="19"/>
      <c r="E2586" s="2"/>
      <c r="F2586" s="19"/>
    </row>
    <row r="2587" ht="15.75" customHeight="1">
      <c r="A2587" s="1">
        <v>6.0779826E7</v>
      </c>
      <c r="B2587" s="2" t="s">
        <v>3035</v>
      </c>
      <c r="C2587" s="19" t="s">
        <v>8300</v>
      </c>
      <c r="D2587" s="19" t="s">
        <v>8301</v>
      </c>
      <c r="E2587" s="2"/>
      <c r="F2587" s="19"/>
    </row>
    <row r="2588" ht="15.75" customHeight="1">
      <c r="A2588" s="1">
        <v>6.0779964E7</v>
      </c>
      <c r="B2588" s="2" t="s">
        <v>2922</v>
      </c>
      <c r="C2588" s="19" t="s">
        <v>8302</v>
      </c>
      <c r="D2588" s="19" t="s">
        <v>8303</v>
      </c>
      <c r="E2588" s="2"/>
      <c r="F2588" s="19"/>
    </row>
    <row r="2589" ht="15.75" customHeight="1">
      <c r="A2589" s="1">
        <v>6.0780585E7</v>
      </c>
      <c r="B2589" s="2" t="s">
        <v>3087</v>
      </c>
      <c r="C2589" s="19" t="s">
        <v>8304</v>
      </c>
      <c r="D2589" s="19"/>
      <c r="E2589" s="2"/>
      <c r="F2589" s="19"/>
    </row>
    <row r="2590" ht="15.75" customHeight="1">
      <c r="A2590" s="1">
        <v>6.078655E7</v>
      </c>
      <c r="B2590" s="2" t="s">
        <v>3160</v>
      </c>
      <c r="C2590" s="19" t="s">
        <v>8305</v>
      </c>
      <c r="D2590" s="19"/>
      <c r="E2590" s="2"/>
      <c r="F2590" s="19"/>
    </row>
    <row r="2591" ht="15.75" customHeight="1">
      <c r="A2591" s="1">
        <v>6.0801953E7</v>
      </c>
      <c r="B2591" s="2" t="s">
        <v>3238</v>
      </c>
      <c r="C2591" s="19" t="s">
        <v>8306</v>
      </c>
      <c r="D2591" s="19" t="s">
        <v>8307</v>
      </c>
      <c r="E2591" s="2"/>
      <c r="F2591" s="19"/>
    </row>
    <row r="2592" ht="15.75" customHeight="1">
      <c r="A2592" s="1">
        <v>6.08111E7</v>
      </c>
      <c r="B2592" s="2" t="s">
        <v>3339</v>
      </c>
      <c r="C2592" s="19" t="s">
        <v>8308</v>
      </c>
      <c r="D2592" s="19"/>
      <c r="E2592" s="2"/>
      <c r="F2592" s="19"/>
    </row>
    <row r="2593" ht="15.75" customHeight="1">
      <c r="A2593" s="1">
        <v>6.0811345E7</v>
      </c>
      <c r="B2593" s="2" t="s">
        <v>3030</v>
      </c>
      <c r="C2593" s="19" t="s">
        <v>8309</v>
      </c>
      <c r="D2593" s="19"/>
      <c r="E2593" s="2"/>
      <c r="F2593" s="19"/>
    </row>
    <row r="2594" ht="15.75" customHeight="1">
      <c r="A2594" s="1">
        <v>6.0815382E7</v>
      </c>
      <c r="B2594" s="2" t="s">
        <v>3309</v>
      </c>
      <c r="C2594" s="19" t="s">
        <v>8310</v>
      </c>
      <c r="D2594" s="19" t="s">
        <v>8311</v>
      </c>
      <c r="E2594" s="2"/>
      <c r="F2594" s="19"/>
    </row>
    <row r="2595" ht="15.75" customHeight="1">
      <c r="A2595" s="1">
        <v>6.0825789E7</v>
      </c>
      <c r="B2595" s="2" t="s">
        <v>2058</v>
      </c>
      <c r="C2595" s="19" t="s">
        <v>8312</v>
      </c>
      <c r="D2595" s="19"/>
      <c r="E2595" s="2"/>
      <c r="F2595" s="19"/>
    </row>
    <row r="2596" ht="15.75" customHeight="1">
      <c r="A2596" s="1">
        <v>6.0825886E7</v>
      </c>
      <c r="B2596" s="2" t="s">
        <v>3161</v>
      </c>
      <c r="C2596" s="19" t="s">
        <v>8313</v>
      </c>
      <c r="D2596" s="19"/>
      <c r="E2596" s="2"/>
      <c r="F2596" s="19"/>
    </row>
    <row r="2597" ht="15.75" customHeight="1">
      <c r="A2597" s="1">
        <v>6.0827803E7</v>
      </c>
      <c r="B2597" s="2" t="s">
        <v>2642</v>
      </c>
      <c r="C2597" s="19" t="s">
        <v>8314</v>
      </c>
      <c r="D2597" s="19" t="s">
        <v>8315</v>
      </c>
      <c r="E2597" s="2"/>
      <c r="F2597" s="19"/>
    </row>
    <row r="2598" ht="15.75" customHeight="1">
      <c r="A2598" s="1">
        <v>6.0831699E7</v>
      </c>
      <c r="B2598" s="2" t="s">
        <v>2725</v>
      </c>
      <c r="C2598" s="19" t="s">
        <v>8316</v>
      </c>
      <c r="D2598" s="19"/>
      <c r="E2598" s="2"/>
      <c r="F2598" s="19"/>
    </row>
    <row r="2599" ht="15.75" customHeight="1">
      <c r="A2599" s="1">
        <v>6.0832887E7</v>
      </c>
      <c r="B2599" s="2" t="s">
        <v>3056</v>
      </c>
      <c r="C2599" s="19" t="s">
        <v>8317</v>
      </c>
      <c r="D2599" s="19" t="s">
        <v>8318</v>
      </c>
      <c r="E2599" s="2"/>
      <c r="F2599" s="19"/>
    </row>
    <row r="2600" ht="15.75" customHeight="1">
      <c r="A2600" s="1">
        <v>6.0836488E7</v>
      </c>
      <c r="B2600" s="2" t="s">
        <v>3530</v>
      </c>
      <c r="C2600" s="19" t="s">
        <v>8319</v>
      </c>
      <c r="D2600" s="19"/>
      <c r="E2600" s="2"/>
      <c r="F2600" s="19"/>
    </row>
    <row r="2601" ht="15.75" customHeight="1">
      <c r="A2601" s="1">
        <v>6.083828E7</v>
      </c>
      <c r="B2601" s="2" t="s">
        <v>3162</v>
      </c>
      <c r="C2601" s="19" t="s">
        <v>8320</v>
      </c>
      <c r="D2601" s="19"/>
      <c r="E2601" s="2"/>
      <c r="F2601" s="19"/>
    </row>
    <row r="2602" ht="15.75" customHeight="1">
      <c r="A2602" s="1">
        <v>6.0849573E7</v>
      </c>
      <c r="B2602" s="2" t="s">
        <v>3310</v>
      </c>
      <c r="C2602" s="19" t="s">
        <v>8321</v>
      </c>
      <c r="D2602" s="19" t="s">
        <v>8322</v>
      </c>
      <c r="E2602" s="2"/>
      <c r="F2602" s="19"/>
    </row>
    <row r="2603" ht="15.75" customHeight="1">
      <c r="A2603" s="1">
        <v>6.0853912E7</v>
      </c>
      <c r="B2603" s="2" t="s">
        <v>2652</v>
      </c>
      <c r="C2603" s="19" t="s">
        <v>8323</v>
      </c>
      <c r="D2603" s="19"/>
      <c r="E2603" s="2"/>
      <c r="F2603" s="19"/>
    </row>
    <row r="2604" ht="15.75" customHeight="1">
      <c r="A2604" s="1">
        <v>6.0859441E7</v>
      </c>
      <c r="B2604" s="2" t="s">
        <v>3261</v>
      </c>
      <c r="C2604" s="19" t="s">
        <v>8324</v>
      </c>
      <c r="D2604" s="19"/>
      <c r="E2604" s="2"/>
      <c r="F2604" s="19"/>
    </row>
    <row r="2605" ht="15.75" customHeight="1">
      <c r="A2605" s="1">
        <v>6.0862896E7</v>
      </c>
      <c r="B2605" s="2" t="s">
        <v>2797</v>
      </c>
      <c r="C2605" s="19" t="s">
        <v>8325</v>
      </c>
      <c r="D2605" s="19" t="s">
        <v>8326</v>
      </c>
      <c r="E2605" s="2"/>
      <c r="F2605" s="19"/>
    </row>
    <row r="2606" ht="15.75" customHeight="1">
      <c r="A2606" s="1">
        <v>6.0875821E7</v>
      </c>
      <c r="B2606" s="2" t="s">
        <v>2712</v>
      </c>
      <c r="C2606" s="19" t="s">
        <v>8327</v>
      </c>
      <c r="D2606" s="19"/>
      <c r="E2606" s="2"/>
      <c r="F2606" s="19"/>
    </row>
    <row r="2607" ht="15.75" customHeight="1">
      <c r="A2607" s="1">
        <v>6.0881303E7</v>
      </c>
      <c r="B2607" s="2" t="s">
        <v>2923</v>
      </c>
      <c r="C2607" s="19" t="s">
        <v>8328</v>
      </c>
      <c r="D2607" s="19"/>
      <c r="E2607" s="2"/>
      <c r="F2607" s="19"/>
    </row>
    <row r="2608" ht="15.75" customHeight="1">
      <c r="A2608" s="1">
        <v>6.0881924E7</v>
      </c>
      <c r="B2608" s="2" t="s">
        <v>3118</v>
      </c>
      <c r="C2608" s="19" t="s">
        <v>8329</v>
      </c>
      <c r="D2608" s="19"/>
      <c r="E2608" s="2"/>
      <c r="F2608" s="19"/>
    </row>
    <row r="2609" ht="15.75" customHeight="1">
      <c r="A2609" s="1">
        <v>6.08872E7</v>
      </c>
      <c r="B2609" s="2" t="s">
        <v>3336</v>
      </c>
      <c r="C2609" s="19" t="s">
        <v>8330</v>
      </c>
      <c r="D2609" s="19" t="s">
        <v>8331</v>
      </c>
      <c r="E2609" s="2"/>
      <c r="F2609" s="19"/>
    </row>
    <row r="2610" ht="15.75" customHeight="1">
      <c r="A2610" s="1">
        <v>6.0906873E7</v>
      </c>
      <c r="B2610" s="2" t="s">
        <v>3608</v>
      </c>
      <c r="C2610" s="19" t="s">
        <v>8332</v>
      </c>
      <c r="D2610" s="19"/>
      <c r="E2610" s="2"/>
      <c r="F2610" s="19"/>
    </row>
    <row r="2611" ht="15.75" customHeight="1">
      <c r="A2611" s="1">
        <v>6.0939663E7</v>
      </c>
      <c r="B2611" s="2" t="s">
        <v>2978</v>
      </c>
      <c r="C2611" s="19" t="s">
        <v>8333</v>
      </c>
      <c r="D2611" s="19"/>
      <c r="E2611" s="2"/>
      <c r="F2611" s="19"/>
    </row>
    <row r="2612" ht="15.75" customHeight="1">
      <c r="A2612" s="1">
        <v>6.094536E7</v>
      </c>
      <c r="B2612" s="2" t="s">
        <v>3416</v>
      </c>
      <c r="C2612" s="19" t="s">
        <v>8334</v>
      </c>
      <c r="D2612" s="19"/>
      <c r="E2612" s="2"/>
      <c r="F2612" s="19"/>
    </row>
    <row r="2613" ht="15.75" customHeight="1">
      <c r="A2613" s="1">
        <v>6.0972901E7</v>
      </c>
      <c r="B2613" s="2" t="s">
        <v>3262</v>
      </c>
      <c r="C2613" s="19" t="s">
        <v>8335</v>
      </c>
      <c r="D2613" s="19"/>
      <c r="E2613" s="2"/>
      <c r="F2613" s="19"/>
    </row>
    <row r="2614" ht="15.75" customHeight="1">
      <c r="A2614" s="1">
        <v>6.0973579E7</v>
      </c>
      <c r="B2614" s="2" t="s">
        <v>3031</v>
      </c>
      <c r="C2614" s="19" t="s">
        <v>8336</v>
      </c>
      <c r="D2614" s="19"/>
      <c r="E2614" s="2"/>
      <c r="F2614" s="19"/>
    </row>
    <row r="2615" ht="15.75" customHeight="1">
      <c r="A2615" s="1">
        <v>6.0982768E7</v>
      </c>
      <c r="B2615" s="2" t="s">
        <v>3585</v>
      </c>
      <c r="C2615" s="19" t="s">
        <v>8337</v>
      </c>
      <c r="D2615" s="19"/>
      <c r="E2615" s="2"/>
      <c r="F2615" s="19"/>
    </row>
    <row r="2616" ht="15.75" customHeight="1">
      <c r="A2616" s="1">
        <v>6.0986606E7</v>
      </c>
      <c r="B2616" s="2" t="s">
        <v>3531</v>
      </c>
      <c r="C2616" s="19" t="s">
        <v>8338</v>
      </c>
      <c r="D2616" s="19" t="s">
        <v>8339</v>
      </c>
      <c r="E2616" s="2"/>
      <c r="F2616" s="19"/>
    </row>
    <row r="2617" ht="15.75" customHeight="1">
      <c r="A2617" s="1">
        <v>6.0990549E7</v>
      </c>
      <c r="B2617" s="2" t="s">
        <v>3239</v>
      </c>
      <c r="C2617" s="19" t="s">
        <v>8340</v>
      </c>
      <c r="D2617" s="19"/>
      <c r="E2617" s="2"/>
      <c r="F2617" s="19"/>
    </row>
    <row r="2618" ht="15.75" customHeight="1">
      <c r="A2618" s="1">
        <v>6.1014391E7</v>
      </c>
      <c r="B2618" s="2" t="s">
        <v>3365</v>
      </c>
      <c r="C2618" s="19" t="s">
        <v>8341</v>
      </c>
      <c r="D2618" s="19"/>
      <c r="E2618" s="2"/>
      <c r="F2618" s="19"/>
    </row>
    <row r="2619" ht="15.75" customHeight="1">
      <c r="A2619" s="1">
        <v>6.1016404E7</v>
      </c>
      <c r="B2619" s="2" t="s">
        <v>3555</v>
      </c>
      <c r="C2619" s="19" t="s">
        <v>8342</v>
      </c>
      <c r="D2619" s="19"/>
      <c r="E2619" s="2"/>
      <c r="F2619" s="19"/>
    </row>
    <row r="2620" ht="15.75" customHeight="1">
      <c r="A2620" s="1">
        <v>6.1016498E7</v>
      </c>
      <c r="B2620" s="2" t="s">
        <v>3445</v>
      </c>
      <c r="C2620" s="19" t="s">
        <v>8343</v>
      </c>
      <c r="D2620" s="19"/>
      <c r="E2620" s="2"/>
      <c r="F2620" s="19"/>
    </row>
    <row r="2621" ht="15.75" customHeight="1">
      <c r="A2621" s="1">
        <v>6.1019105E7</v>
      </c>
      <c r="B2621" s="2" t="s">
        <v>3586</v>
      </c>
      <c r="C2621" s="19" t="s">
        <v>8344</v>
      </c>
      <c r="D2621" s="19"/>
      <c r="E2621" s="2"/>
      <c r="F2621" s="19"/>
    </row>
    <row r="2622" ht="15.75" customHeight="1">
      <c r="A2622" s="1">
        <v>6.102155E7</v>
      </c>
      <c r="B2622" s="2" t="s">
        <v>3417</v>
      </c>
      <c r="C2622" s="19" t="s">
        <v>8345</v>
      </c>
      <c r="D2622" s="19"/>
      <c r="E2622" s="2"/>
      <c r="F2622" s="19"/>
    </row>
    <row r="2623" ht="15.75" customHeight="1">
      <c r="A2623" s="1">
        <v>6.1021604E7</v>
      </c>
      <c r="B2623" s="2" t="s">
        <v>2775</v>
      </c>
      <c r="C2623" s="19" t="s">
        <v>8346</v>
      </c>
      <c r="D2623" s="19" t="s">
        <v>8347</v>
      </c>
      <c r="E2623" s="2"/>
      <c r="F2623" s="19"/>
    </row>
    <row r="2624" ht="15.75" customHeight="1">
      <c r="A2624" s="1">
        <v>6.1038662E7</v>
      </c>
      <c r="B2624" s="2" t="s">
        <v>3488</v>
      </c>
      <c r="C2624" s="19" t="s">
        <v>8348</v>
      </c>
      <c r="D2624" s="19"/>
      <c r="E2624" s="2"/>
      <c r="F2624" s="19"/>
    </row>
    <row r="2625" ht="15.75" customHeight="1">
      <c r="A2625" s="1">
        <v>6.1051123E7</v>
      </c>
      <c r="B2625" s="2" t="s">
        <v>3418</v>
      </c>
      <c r="C2625" s="19" t="s">
        <v>8349</v>
      </c>
      <c r="D2625" s="19"/>
      <c r="E2625" s="2"/>
      <c r="F2625" s="19"/>
    </row>
    <row r="2626" ht="15.75" customHeight="1">
      <c r="A2626" s="1">
        <v>6.1058282E7</v>
      </c>
      <c r="B2626" s="2" t="s">
        <v>3419</v>
      </c>
      <c r="C2626" s="19" t="s">
        <v>8350</v>
      </c>
      <c r="D2626" s="19"/>
      <c r="E2626" s="2"/>
      <c r="F2626" s="19"/>
    </row>
    <row r="2627" ht="15.75" customHeight="1">
      <c r="A2627" s="1">
        <v>6.106077E7</v>
      </c>
      <c r="B2627" s="2" t="s">
        <v>2836</v>
      </c>
      <c r="C2627" s="19" t="s">
        <v>8351</v>
      </c>
      <c r="D2627" s="19"/>
      <c r="E2627" s="2"/>
      <c r="F2627" s="19"/>
    </row>
    <row r="2628" ht="15.75" customHeight="1">
      <c r="A2628" s="1">
        <v>6.1065007E7</v>
      </c>
      <c r="B2628" s="2" t="s">
        <v>1872</v>
      </c>
      <c r="C2628" s="19" t="s">
        <v>8352</v>
      </c>
      <c r="D2628" s="19"/>
      <c r="E2628" s="2"/>
      <c r="F2628" s="19"/>
    </row>
    <row r="2629" ht="15.75" customHeight="1">
      <c r="A2629" s="1">
        <v>6.107325E7</v>
      </c>
      <c r="B2629" s="2" t="s">
        <v>3420</v>
      </c>
      <c r="C2629" s="19" t="s">
        <v>8353</v>
      </c>
      <c r="D2629" s="19"/>
      <c r="E2629" s="2"/>
      <c r="F2629" s="19"/>
    </row>
    <row r="2630" ht="15.75" customHeight="1">
      <c r="A2630" s="1">
        <v>6.107468E7</v>
      </c>
      <c r="B2630" s="2" t="s">
        <v>3506</v>
      </c>
      <c r="C2630" s="19" t="s">
        <v>8354</v>
      </c>
      <c r="D2630" s="19"/>
      <c r="E2630" s="2"/>
      <c r="F2630" s="19"/>
    </row>
    <row r="2631" ht="15.75" customHeight="1">
      <c r="A2631" s="1">
        <v>6.1076418E7</v>
      </c>
      <c r="B2631" s="2" t="s">
        <v>3446</v>
      </c>
      <c r="C2631" s="19" t="s">
        <v>8355</v>
      </c>
      <c r="D2631" s="19"/>
      <c r="E2631" s="2"/>
      <c r="F2631" s="19"/>
    </row>
    <row r="2632" ht="15.75" customHeight="1">
      <c r="A2632" s="1">
        <v>6.1076786E7</v>
      </c>
      <c r="B2632" s="2" t="s">
        <v>3507</v>
      </c>
      <c r="C2632" s="19" t="s">
        <v>8356</v>
      </c>
      <c r="D2632" s="19"/>
      <c r="E2632" s="2"/>
      <c r="F2632" s="19"/>
    </row>
    <row r="2633" ht="15.75" customHeight="1">
      <c r="A2633" s="1">
        <v>6.1078197E7</v>
      </c>
      <c r="B2633" s="2" t="s">
        <v>3508</v>
      </c>
      <c r="C2633" s="19" t="s">
        <v>8357</v>
      </c>
      <c r="D2633" s="19"/>
      <c r="E2633" s="2"/>
      <c r="F2633" s="19"/>
    </row>
    <row r="2634" ht="15.75" customHeight="1">
      <c r="A2634" s="1">
        <v>6.1088814E7</v>
      </c>
      <c r="B2634" s="2" t="s">
        <v>3532</v>
      </c>
      <c r="C2634" s="19" t="s">
        <v>8358</v>
      </c>
      <c r="D2634" s="19"/>
      <c r="E2634" s="2"/>
      <c r="F2634" s="19"/>
    </row>
    <row r="2635" ht="15.75" customHeight="1">
      <c r="A2635" s="1">
        <v>6.1093844E7</v>
      </c>
      <c r="B2635" s="2" t="s">
        <v>3401</v>
      </c>
      <c r="C2635" s="19" t="s">
        <v>8359</v>
      </c>
      <c r="D2635" s="19"/>
      <c r="E2635" s="2"/>
      <c r="F2635" s="19"/>
    </row>
    <row r="2636" ht="15.75" customHeight="1">
      <c r="A2636" s="1">
        <v>6.1094682E7</v>
      </c>
      <c r="B2636" s="2" t="s">
        <v>3447</v>
      </c>
      <c r="C2636" s="19" t="s">
        <v>8360</v>
      </c>
      <c r="D2636" s="19"/>
      <c r="E2636" s="2"/>
      <c r="F2636" s="19"/>
    </row>
    <row r="2637" ht="15.75" customHeight="1">
      <c r="A2637" s="1">
        <v>6.1100181E7</v>
      </c>
      <c r="B2637" s="2" t="s">
        <v>3402</v>
      </c>
      <c r="C2637" s="19" t="s">
        <v>8361</v>
      </c>
      <c r="D2637" s="19" t="s">
        <v>8362</v>
      </c>
      <c r="E2637" s="2"/>
      <c r="F2637" s="19"/>
    </row>
    <row r="2638" ht="15.75" customHeight="1">
      <c r="A2638" s="1">
        <v>6.110589E7</v>
      </c>
      <c r="B2638" s="2" t="s">
        <v>3163</v>
      </c>
      <c r="C2638" s="19" t="s">
        <v>8363</v>
      </c>
      <c r="D2638" s="19" t="s">
        <v>8364</v>
      </c>
      <c r="E2638" s="2"/>
      <c r="F2638" s="19"/>
    </row>
    <row r="2639" ht="15.75" customHeight="1">
      <c r="A2639" s="1">
        <v>6.1470698E7</v>
      </c>
      <c r="B2639" s="2" t="s">
        <v>3263</v>
      </c>
      <c r="C2639" s="19" t="s">
        <v>8365</v>
      </c>
      <c r="D2639" s="19"/>
      <c r="E2639" s="2"/>
      <c r="F2639" s="19"/>
    </row>
    <row r="2640" ht="15.75" customHeight="1">
      <c r="A2640" s="1">
        <v>6.1473114E7</v>
      </c>
      <c r="B2640" s="2" t="s">
        <v>3448</v>
      </c>
      <c r="C2640" s="19" t="s">
        <v>8366</v>
      </c>
      <c r="D2640" s="19"/>
      <c r="E2640" s="2"/>
      <c r="F2640" s="19"/>
    </row>
    <row r="2641" ht="15.75" customHeight="1">
      <c r="A2641" s="1">
        <v>6.1481389E7</v>
      </c>
      <c r="B2641" s="2" t="s">
        <v>3489</v>
      </c>
      <c r="C2641" s="19" t="s">
        <v>8367</v>
      </c>
      <c r="D2641" s="19" t="s">
        <v>8368</v>
      </c>
      <c r="E2641" s="2"/>
      <c r="F2641" s="19"/>
    </row>
    <row r="2642" ht="15.75" customHeight="1">
      <c r="A2642" s="1">
        <v>6.1483577E7</v>
      </c>
      <c r="B2642" s="2" t="s">
        <v>3164</v>
      </c>
      <c r="C2642" s="19" t="s">
        <v>8369</v>
      </c>
      <c r="D2642" s="19"/>
      <c r="E2642" s="2"/>
      <c r="F2642" s="19"/>
    </row>
    <row r="2643" ht="15.75" customHeight="1">
      <c r="A2643" s="1">
        <v>6.1487083E7</v>
      </c>
      <c r="B2643" s="2" t="s">
        <v>3378</v>
      </c>
      <c r="C2643" s="19" t="s">
        <v>8370</v>
      </c>
      <c r="D2643" s="19"/>
      <c r="E2643" s="2"/>
      <c r="F2643" s="19"/>
    </row>
    <row r="2644" ht="15.75" customHeight="1">
      <c r="A2644" s="1">
        <v>6.1488025E7</v>
      </c>
      <c r="B2644" s="2" t="s">
        <v>3490</v>
      </c>
      <c r="C2644" s="19" t="s">
        <v>8371</v>
      </c>
      <c r="D2644" s="19"/>
      <c r="E2644" s="2"/>
      <c r="F2644" s="19"/>
    </row>
    <row r="2645" ht="15.75" customHeight="1">
      <c r="A2645" s="1">
        <v>6.1489793E7</v>
      </c>
      <c r="B2645" s="2" t="s">
        <v>3569</v>
      </c>
      <c r="C2645" s="19" t="s">
        <v>8372</v>
      </c>
      <c r="D2645" s="19"/>
      <c r="E2645" s="2"/>
      <c r="F2645" s="19"/>
    </row>
    <row r="2646" ht="15.75" customHeight="1">
      <c r="A2646" s="1">
        <v>6.1491488E7</v>
      </c>
      <c r="B2646" s="2" t="s">
        <v>3491</v>
      </c>
      <c r="C2646" s="19" t="s">
        <v>8373</v>
      </c>
      <c r="D2646" s="19"/>
      <c r="E2646" s="2"/>
      <c r="F2646" s="19"/>
    </row>
    <row r="2647" ht="15.75" customHeight="1">
      <c r="A2647" s="1">
        <v>6.1494118E7</v>
      </c>
      <c r="B2647" s="2" t="s">
        <v>2735</v>
      </c>
      <c r="C2647" s="19" t="s">
        <v>8374</v>
      </c>
      <c r="D2647" s="19" t="s">
        <v>8375</v>
      </c>
      <c r="E2647" s="2"/>
      <c r="F2647" s="19"/>
    </row>
    <row r="2648" ht="15.75" customHeight="1">
      <c r="A2648" s="1">
        <v>6.150559E7</v>
      </c>
      <c r="B2648" s="2" t="s">
        <v>3264</v>
      </c>
      <c r="C2648" s="19" t="s">
        <v>8376</v>
      </c>
      <c r="D2648" s="19"/>
      <c r="E2648" s="2"/>
      <c r="F2648" s="19"/>
    </row>
    <row r="2649" ht="15.75" customHeight="1">
      <c r="A2649" s="1">
        <v>6.1507119E7</v>
      </c>
      <c r="B2649" s="2" t="s">
        <v>3449</v>
      </c>
      <c r="C2649" s="19" t="s">
        <v>8377</v>
      </c>
      <c r="D2649" s="19"/>
      <c r="E2649" s="2"/>
      <c r="F2649" s="19"/>
    </row>
    <row r="2650" ht="15.75" customHeight="1">
      <c r="A2650" s="1">
        <v>6.1509495E7</v>
      </c>
      <c r="B2650" s="2" t="s">
        <v>3421</v>
      </c>
      <c r="C2650" s="19" t="s">
        <v>8378</v>
      </c>
      <c r="D2650" s="19"/>
      <c r="E2650" s="2"/>
      <c r="F2650" s="19"/>
    </row>
    <row r="2651" ht="15.75" customHeight="1">
      <c r="A2651" s="1">
        <v>6.150997E7</v>
      </c>
      <c r="B2651" s="2" t="s">
        <v>3366</v>
      </c>
      <c r="C2651" s="19" t="s">
        <v>8379</v>
      </c>
      <c r="D2651" s="19"/>
      <c r="E2651" s="2"/>
      <c r="F2651" s="19"/>
    </row>
    <row r="2652" ht="15.75" customHeight="1">
      <c r="A2652" s="1">
        <v>6.1515127E7</v>
      </c>
      <c r="B2652" s="2" t="s">
        <v>2941</v>
      </c>
      <c r="C2652" s="19" t="s">
        <v>8380</v>
      </c>
      <c r="D2652" s="19"/>
      <c r="E2652" s="2"/>
      <c r="F2652" s="19"/>
    </row>
    <row r="2653" ht="15.75" customHeight="1">
      <c r="A2653" s="1">
        <v>6.1519093E7</v>
      </c>
      <c r="B2653" s="2" t="s">
        <v>2893</v>
      </c>
      <c r="C2653" s="19" t="s">
        <v>8381</v>
      </c>
      <c r="D2653" s="19"/>
      <c r="E2653" s="2"/>
      <c r="F2653" s="19"/>
    </row>
    <row r="2654" ht="15.75" customHeight="1">
      <c r="A2654" s="1">
        <v>6.1526443E7</v>
      </c>
      <c r="B2654" s="2" t="s">
        <v>2278</v>
      </c>
      <c r="C2654" s="19" t="s">
        <v>8382</v>
      </c>
      <c r="D2654" s="19"/>
      <c r="E2654" s="2"/>
      <c r="F2654" s="19"/>
    </row>
    <row r="2655" ht="15.75" customHeight="1">
      <c r="A2655" s="1">
        <v>6.1526756E7</v>
      </c>
      <c r="B2655" s="2" t="s">
        <v>3311</v>
      </c>
      <c r="C2655" s="19" t="s">
        <v>8383</v>
      </c>
      <c r="D2655" s="19"/>
      <c r="E2655" s="2"/>
      <c r="F2655" s="19"/>
    </row>
    <row r="2656" ht="15.75" customHeight="1">
      <c r="A2656" s="1">
        <v>6.153034E7</v>
      </c>
      <c r="B2656" s="2" t="s">
        <v>3379</v>
      </c>
      <c r="C2656" s="19" t="s">
        <v>8384</v>
      </c>
      <c r="D2656" s="19"/>
      <c r="E2656" s="2"/>
      <c r="F2656" s="19"/>
    </row>
    <row r="2657" ht="15.75" customHeight="1">
      <c r="A2657" s="1">
        <v>6.1531008E7</v>
      </c>
      <c r="B2657" s="2" t="s">
        <v>3312</v>
      </c>
      <c r="C2657" s="19" t="s">
        <v>8385</v>
      </c>
      <c r="D2657" s="19" t="s">
        <v>8386</v>
      </c>
      <c r="E2657" s="2"/>
      <c r="F2657" s="19"/>
    </row>
    <row r="2658" ht="15.75" customHeight="1">
      <c r="A2658" s="1">
        <v>6.1531727E7</v>
      </c>
      <c r="B2658" s="2" t="s">
        <v>3556</v>
      </c>
      <c r="C2658" s="19" t="s">
        <v>8387</v>
      </c>
      <c r="D2658" s="19"/>
      <c r="E2658" s="2"/>
      <c r="F2658" s="19"/>
    </row>
    <row r="2659" ht="15.75" customHeight="1">
      <c r="A2659" s="1">
        <v>6.1537914E7</v>
      </c>
      <c r="B2659" s="2" t="s">
        <v>3470</v>
      </c>
      <c r="C2659" s="19" t="s">
        <v>8388</v>
      </c>
      <c r="D2659" s="19" t="s">
        <v>8389</v>
      </c>
      <c r="E2659" s="2"/>
      <c r="F2659" s="19"/>
    </row>
    <row r="2660" ht="15.75" customHeight="1">
      <c r="A2660" s="1">
        <v>6.1548727E7</v>
      </c>
      <c r="B2660" s="2" t="s">
        <v>3609</v>
      </c>
      <c r="C2660" s="19" t="s">
        <v>8390</v>
      </c>
      <c r="D2660" s="19"/>
      <c r="E2660" s="2"/>
      <c r="F2660" s="19"/>
    </row>
    <row r="2661" ht="15.75" customHeight="1">
      <c r="A2661" s="1">
        <v>6.1552568E7</v>
      </c>
      <c r="B2661" s="2" t="s">
        <v>2942</v>
      </c>
      <c r="C2661" s="19" t="s">
        <v>8391</v>
      </c>
      <c r="D2661" s="19"/>
      <c r="E2661" s="2"/>
      <c r="F2661" s="19"/>
    </row>
    <row r="2662" ht="15.75" customHeight="1">
      <c r="A2662" s="1">
        <v>6.1557784E7</v>
      </c>
      <c r="B2662" s="2" t="s">
        <v>3450</v>
      </c>
      <c r="C2662" s="19" t="s">
        <v>8392</v>
      </c>
      <c r="D2662" s="19"/>
      <c r="E2662" s="2"/>
      <c r="F2662" s="19"/>
    </row>
    <row r="2663" ht="15.75" customHeight="1">
      <c r="A2663" s="1">
        <v>6.1579511E7</v>
      </c>
      <c r="B2663" s="2" t="s">
        <v>3533</v>
      </c>
      <c r="C2663" s="19" t="s">
        <v>8393</v>
      </c>
      <c r="D2663" s="19"/>
      <c r="E2663" s="2"/>
      <c r="F2663" s="19"/>
    </row>
    <row r="2664" ht="15.75" customHeight="1">
      <c r="A2664" s="1">
        <v>6.1583655E7</v>
      </c>
      <c r="B2664" s="2" t="s">
        <v>3422</v>
      </c>
      <c r="C2664" s="19" t="s">
        <v>8394</v>
      </c>
      <c r="D2664" s="19"/>
      <c r="E2664" s="2"/>
      <c r="F2664" s="19"/>
    </row>
    <row r="2665" ht="15.75" customHeight="1">
      <c r="A2665" s="1">
        <v>6.1588758E7</v>
      </c>
      <c r="B2665" s="2" t="s">
        <v>2891</v>
      </c>
      <c r="C2665" s="19" t="s">
        <v>8395</v>
      </c>
      <c r="D2665" s="19"/>
      <c r="E2665" s="2"/>
      <c r="F2665" s="19"/>
    </row>
    <row r="2666" ht="15.75" customHeight="1">
      <c r="A2666" s="1">
        <v>6.1594436E7</v>
      </c>
      <c r="B2666" s="2" t="s">
        <v>3380</v>
      </c>
      <c r="C2666" s="19" t="s">
        <v>8396</v>
      </c>
      <c r="D2666" s="19"/>
      <c r="E2666" s="2"/>
      <c r="F2666" s="19"/>
    </row>
    <row r="2667" ht="15.75" customHeight="1">
      <c r="A2667" s="1">
        <v>6.1597162E7</v>
      </c>
      <c r="B2667" s="2" t="s">
        <v>3265</v>
      </c>
      <c r="C2667" s="19" t="s">
        <v>8397</v>
      </c>
      <c r="D2667" s="19"/>
      <c r="E2667" s="2"/>
      <c r="F2667" s="19"/>
    </row>
    <row r="2668" ht="15.75" customHeight="1">
      <c r="A2668" s="1">
        <v>6.1604943E7</v>
      </c>
      <c r="B2668" s="2" t="s">
        <v>3136</v>
      </c>
      <c r="C2668" s="19" t="s">
        <v>8398</v>
      </c>
      <c r="D2668" s="19"/>
      <c r="E2668" s="2"/>
      <c r="F2668" s="19"/>
    </row>
    <row r="2669" ht="15.75" customHeight="1">
      <c r="A2669" s="1">
        <v>6.161195E7</v>
      </c>
      <c r="B2669" s="2" t="s">
        <v>2856</v>
      </c>
      <c r="C2669" s="19" t="s">
        <v>8399</v>
      </c>
      <c r="D2669" s="19"/>
      <c r="E2669" s="2"/>
      <c r="F2669" s="19"/>
    </row>
    <row r="2670" ht="15.75" customHeight="1">
      <c r="A2670" s="1">
        <v>6.1618284E7</v>
      </c>
      <c r="B2670" s="2" t="s">
        <v>3290</v>
      </c>
      <c r="C2670" s="19" t="s">
        <v>8400</v>
      </c>
      <c r="D2670" s="19"/>
      <c r="E2670" s="2"/>
      <c r="F2670" s="19"/>
    </row>
    <row r="2671" ht="15.75" customHeight="1">
      <c r="A2671" s="1">
        <v>6.1623473E7</v>
      </c>
      <c r="B2671" s="2" t="s">
        <v>3266</v>
      </c>
      <c r="C2671" s="19" t="s">
        <v>8401</v>
      </c>
      <c r="D2671" s="19"/>
      <c r="E2671" s="2"/>
      <c r="F2671" s="19"/>
    </row>
    <row r="2672" ht="15.75" customHeight="1">
      <c r="A2672" s="1">
        <v>6.1626875E7</v>
      </c>
      <c r="B2672" s="2" t="s">
        <v>3534</v>
      </c>
      <c r="C2672" s="19" t="s">
        <v>8402</v>
      </c>
      <c r="D2672" s="19"/>
      <c r="E2672" s="2"/>
      <c r="F2672" s="19"/>
    </row>
    <row r="2673" ht="15.75" customHeight="1">
      <c r="A2673" s="1">
        <v>6.16284E7</v>
      </c>
      <c r="B2673" s="2" t="s">
        <v>3509</v>
      </c>
      <c r="C2673" s="19" t="s">
        <v>8403</v>
      </c>
      <c r="D2673" s="19"/>
      <c r="E2673" s="2"/>
      <c r="F2673" s="19"/>
    </row>
    <row r="2674" ht="15.75" customHeight="1">
      <c r="A2674" s="1">
        <v>6.1632938E7</v>
      </c>
      <c r="B2674" s="2" t="s">
        <v>3313</v>
      </c>
      <c r="C2674" s="19" t="s">
        <v>8404</v>
      </c>
      <c r="D2674" s="19"/>
      <c r="E2674" s="2"/>
      <c r="F2674" s="19"/>
    </row>
    <row r="2675" ht="15.75" customHeight="1">
      <c r="A2675" s="1">
        <v>6.1634293E7</v>
      </c>
      <c r="B2675" s="2" t="s">
        <v>3598</v>
      </c>
      <c r="C2675" s="19" t="s">
        <v>8405</v>
      </c>
      <c r="D2675" s="19"/>
      <c r="E2675" s="2"/>
      <c r="F2675" s="19"/>
    </row>
    <row r="2676" ht="15.75" customHeight="1">
      <c r="A2676" s="1">
        <v>6.1639444E7</v>
      </c>
      <c r="B2676" s="2" t="s">
        <v>3535</v>
      </c>
      <c r="C2676" s="19" t="s">
        <v>8406</v>
      </c>
      <c r="D2676" s="19"/>
      <c r="E2676" s="2"/>
      <c r="F2676" s="19"/>
    </row>
    <row r="2677" ht="15.75" customHeight="1">
      <c r="A2677" s="1">
        <v>6.1656958E7</v>
      </c>
      <c r="B2677" s="2" t="s">
        <v>3599</v>
      </c>
      <c r="C2677" s="19" t="s">
        <v>8407</v>
      </c>
      <c r="D2677" s="19"/>
      <c r="E2677" s="2"/>
      <c r="F2677" s="19"/>
    </row>
    <row r="2678" ht="15.75" customHeight="1">
      <c r="A2678" s="1">
        <v>6.1709741E7</v>
      </c>
      <c r="B2678" s="2" t="s">
        <v>3451</v>
      </c>
      <c r="C2678" s="19" t="s">
        <v>8408</v>
      </c>
      <c r="D2678" s="19"/>
      <c r="E2678" s="2"/>
      <c r="F2678" s="19"/>
    </row>
    <row r="2679" ht="15.75" customHeight="1">
      <c r="A2679" s="1">
        <v>6.1903819E7</v>
      </c>
      <c r="B2679" s="2" t="s">
        <v>3240</v>
      </c>
      <c r="C2679" s="19" t="s">
        <v>8409</v>
      </c>
      <c r="D2679" s="19"/>
      <c r="E2679" s="2"/>
      <c r="F2679" s="19"/>
    </row>
    <row r="2680" ht="15.75" customHeight="1">
      <c r="A2680" s="1">
        <v>6.1950117E7</v>
      </c>
      <c r="B2680" s="2" t="s">
        <v>3610</v>
      </c>
      <c r="C2680" s="19" t="s">
        <v>8410</v>
      </c>
      <c r="D2680" s="19"/>
      <c r="E2680" s="2"/>
      <c r="F2680" s="19"/>
    </row>
    <row r="2681" ht="15.75" customHeight="1">
      <c r="A2681" s="1">
        <v>6.2074209E7</v>
      </c>
      <c r="B2681" s="2" t="s">
        <v>3492</v>
      </c>
      <c r="C2681" s="19" t="s">
        <v>8411</v>
      </c>
      <c r="D2681" s="19"/>
      <c r="E2681" s="2"/>
      <c r="F2681" s="19"/>
    </row>
    <row r="2682" ht="15.75" customHeight="1">
      <c r="A2682" s="1">
        <v>6.2074644E7</v>
      </c>
      <c r="B2682" s="2" t="s">
        <v>3510</v>
      </c>
      <c r="C2682" s="19" t="s">
        <v>8412</v>
      </c>
      <c r="D2682" s="19"/>
      <c r="E2682" s="2"/>
      <c r="F2682" s="19"/>
    </row>
    <row r="2683" ht="15.75" customHeight="1">
      <c r="A2683" s="1">
        <v>6.2074726E7</v>
      </c>
      <c r="B2683" s="2" t="s">
        <v>3618</v>
      </c>
      <c r="C2683" s="19" t="s">
        <v>8413</v>
      </c>
      <c r="D2683" s="19"/>
      <c r="E2683" s="2"/>
      <c r="F2683" s="19"/>
    </row>
    <row r="2684" ht="15.75" customHeight="1">
      <c r="A2684" s="1">
        <v>6.2075536E7</v>
      </c>
      <c r="B2684" s="2" t="s">
        <v>3631</v>
      </c>
      <c r="C2684" s="19" t="s">
        <v>8414</v>
      </c>
      <c r="D2684" s="19"/>
      <c r="E2684" s="2"/>
      <c r="F2684" s="19"/>
    </row>
    <row r="2685" ht="15.75" customHeight="1">
      <c r="A2685" s="1">
        <v>6.2076983E7</v>
      </c>
      <c r="B2685" s="2" t="s">
        <v>3570</v>
      </c>
      <c r="C2685" s="19" t="s">
        <v>8415</v>
      </c>
      <c r="D2685" s="19"/>
      <c r="E2685" s="2"/>
      <c r="F2685" s="19"/>
    </row>
    <row r="2686" ht="15.75" customHeight="1">
      <c r="A2686" s="1">
        <v>6.2077982E7</v>
      </c>
      <c r="B2686" s="2" t="s">
        <v>3423</v>
      </c>
      <c r="C2686" s="19" t="s">
        <v>8416</v>
      </c>
      <c r="D2686" s="19"/>
      <c r="E2686" s="2"/>
      <c r="F2686" s="19"/>
    </row>
    <row r="2687" ht="15.75" customHeight="1">
      <c r="A2687" s="1">
        <v>6.2078096E7</v>
      </c>
      <c r="B2687" s="2" t="s">
        <v>3267</v>
      </c>
      <c r="C2687" s="19" t="s">
        <v>8417</v>
      </c>
      <c r="D2687" s="19"/>
      <c r="E2687" s="2"/>
      <c r="F2687" s="19"/>
    </row>
    <row r="2688" ht="15.75" customHeight="1">
      <c r="A2688" s="1">
        <v>6.2078382E7</v>
      </c>
      <c r="B2688" s="2" t="s">
        <v>3611</v>
      </c>
      <c r="C2688" s="19" t="s">
        <v>8418</v>
      </c>
      <c r="D2688" s="19"/>
      <c r="E2688" s="2"/>
      <c r="F2688" s="19"/>
    </row>
    <row r="2689" ht="15.75" customHeight="1">
      <c r="A2689" s="1">
        <v>6.20798E7</v>
      </c>
      <c r="B2689" s="2" t="s">
        <v>3619</v>
      </c>
      <c r="C2689" s="19" t="s">
        <v>8419</v>
      </c>
      <c r="D2689" s="19"/>
      <c r="E2689" s="2"/>
      <c r="F2689" s="19"/>
    </row>
    <row r="2690" ht="15.75" customHeight="1">
      <c r="A2690" s="1">
        <v>6.208013E7</v>
      </c>
      <c r="B2690" s="2" t="s">
        <v>3632</v>
      </c>
      <c r="C2690" s="19" t="s">
        <v>8420</v>
      </c>
      <c r="D2690" s="19"/>
      <c r="E2690" s="2"/>
      <c r="F2690" s="19"/>
    </row>
    <row r="2691" ht="15.75" customHeight="1">
      <c r="A2691" s="1">
        <v>6.2081474E7</v>
      </c>
      <c r="B2691" s="2" t="s">
        <v>3471</v>
      </c>
      <c r="C2691" s="19" t="s">
        <v>8421</v>
      </c>
      <c r="D2691" s="19"/>
      <c r="E2691" s="2"/>
      <c r="F2691" s="19"/>
    </row>
    <row r="2692" ht="15.75" customHeight="1">
      <c r="A2692" s="1">
        <v>6.2087465E7</v>
      </c>
      <c r="B2692" s="2" t="s">
        <v>3634</v>
      </c>
      <c r="C2692" s="19" t="s">
        <v>8422</v>
      </c>
      <c r="D2692" s="19"/>
      <c r="E2692" s="2"/>
      <c r="F2692" s="19"/>
    </row>
    <row r="2693" ht="15.75" customHeight="1">
      <c r="A2693" s="1">
        <v>6.2099257E7</v>
      </c>
      <c r="B2693" s="2" t="s">
        <v>3536</v>
      </c>
      <c r="C2693" s="19" t="s">
        <v>8423</v>
      </c>
      <c r="D2693" s="19"/>
      <c r="E2693" s="2"/>
      <c r="F2693" s="19"/>
    </row>
    <row r="2694" ht="15.75" customHeight="1">
      <c r="A2694" s="1">
        <v>6.2100067E7</v>
      </c>
      <c r="B2694" s="2" t="s">
        <v>3600</v>
      </c>
      <c r="C2694" s="19" t="s">
        <v>8424</v>
      </c>
      <c r="D2694" s="19"/>
      <c r="E2694" s="2"/>
      <c r="F2694" s="19"/>
    </row>
    <row r="2695" ht="15.75" customHeight="1">
      <c r="A2695" s="1">
        <v>6.2100452E7</v>
      </c>
      <c r="B2695" s="2" t="s">
        <v>3640</v>
      </c>
      <c r="C2695" s="19" t="s">
        <v>8425</v>
      </c>
      <c r="D2695" s="19"/>
      <c r="E2695" s="2"/>
      <c r="F2695" s="19"/>
    </row>
    <row r="2696" ht="15.75" customHeight="1">
      <c r="A2696" s="1">
        <v>6.2101239E7</v>
      </c>
      <c r="B2696" s="2" t="s">
        <v>3635</v>
      </c>
      <c r="C2696" s="19" t="s">
        <v>8426</v>
      </c>
      <c r="D2696" s="19"/>
      <c r="E2696" s="2"/>
      <c r="F2696" s="19"/>
    </row>
    <row r="2697" ht="15.75" customHeight="1">
      <c r="A2697" s="1">
        <v>6.2103461E7</v>
      </c>
      <c r="B2697" s="2" t="s">
        <v>3620</v>
      </c>
      <c r="C2697" s="19" t="s">
        <v>8427</v>
      </c>
      <c r="D2697" s="19"/>
      <c r="E2697" s="2"/>
      <c r="F2697" s="19"/>
    </row>
    <row r="2698" ht="15.75" customHeight="1">
      <c r="A2698" s="1">
        <v>6.2107434E7</v>
      </c>
      <c r="B2698" s="2" t="s">
        <v>3587</v>
      </c>
      <c r="C2698" s="19" t="s">
        <v>8428</v>
      </c>
      <c r="D2698" s="19"/>
      <c r="E2698" s="2"/>
      <c r="F2698" s="19"/>
    </row>
    <row r="2699" ht="15.75" customHeight="1">
      <c r="A2699" s="1"/>
      <c r="B2699" s="2"/>
      <c r="C2699" s="19"/>
      <c r="D2699" s="19"/>
      <c r="E2699" s="2"/>
      <c r="F2699" s="19"/>
    </row>
  </sheetData>
  <dataValidations>
    <dataValidation type="list" allowBlank="1" sqref="E1:E2699">
      <formula1>"1__requirement,2__design,3__development,4__testing,5__deployment,6__maintenance"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0.71"/>
    <col customWidth="1" min="3" max="3" width="43.0"/>
    <col customWidth="1" min="4" max="4" width="10.0"/>
    <col customWidth="1" min="5" max="5" width="11.0"/>
    <col customWidth="1" min="6" max="6" width="16.43"/>
    <col customWidth="1" min="7" max="7" width="17.86"/>
    <col customWidth="1" min="8" max="8" width="34.14"/>
    <col customWidth="1" min="9" max="9" width="18.71"/>
    <col customWidth="1" min="10" max="10" width="19.14"/>
    <col customWidth="1" min="11" max="11" width="19.57"/>
  </cols>
  <sheetData>
    <row r="1" ht="15.75" customHeight="1">
      <c r="A1" s="1" t="s">
        <v>8429</v>
      </c>
      <c r="B1" s="1" t="s">
        <v>0</v>
      </c>
      <c r="C1" s="2" t="s">
        <v>1</v>
      </c>
      <c r="D1" s="3" t="s">
        <v>2</v>
      </c>
      <c r="E1" s="3" t="s">
        <v>3</v>
      </c>
      <c r="F1" s="2" t="s">
        <v>4</v>
      </c>
      <c r="G1" s="2" t="s">
        <v>5</v>
      </c>
      <c r="H1" s="2" t="s">
        <v>6</v>
      </c>
      <c r="I1" s="2" t="s">
        <v>7</v>
      </c>
      <c r="J1" s="2" t="s">
        <v>8</v>
      </c>
      <c r="K1" s="2" t="s">
        <v>9</v>
      </c>
    </row>
    <row r="2" ht="15.75" customHeight="1">
      <c r="A2" s="4" t="str">
        <f>HYPERLINK("https://stackoverflow.com/q/326366", "326366")</f>
        <v>326366</v>
      </c>
      <c r="B2" s="1">
        <v>326366.0</v>
      </c>
      <c r="C2" s="2" t="s">
        <v>233</v>
      </c>
      <c r="D2" s="3"/>
      <c r="E2" s="3">
        <v>2106.0</v>
      </c>
      <c r="F2" s="2" t="s">
        <v>20</v>
      </c>
      <c r="G2" s="2" t="s">
        <v>21</v>
      </c>
      <c r="H2" s="2"/>
      <c r="I2" s="2"/>
      <c r="J2" s="2"/>
      <c r="K2" s="2"/>
    </row>
    <row r="3" ht="15.75" customHeight="1">
      <c r="A3" s="4" t="str">
        <f>HYPERLINK("https://stackoverflow.com/q/359717", "359717")</f>
        <v>359717</v>
      </c>
      <c r="B3" s="1">
        <v>359717.0</v>
      </c>
      <c r="C3" s="2" t="s">
        <v>1323</v>
      </c>
      <c r="D3" s="3">
        <v>1.0</v>
      </c>
      <c r="E3" s="3">
        <v>329.0</v>
      </c>
      <c r="F3" s="2" t="s">
        <v>20</v>
      </c>
      <c r="G3" s="2" t="s">
        <v>21</v>
      </c>
      <c r="H3" s="2" t="s">
        <v>25</v>
      </c>
      <c r="I3" s="2"/>
      <c r="J3" s="2"/>
      <c r="K3" s="2"/>
    </row>
    <row r="4" ht="15.75" customHeight="1">
      <c r="A4" s="4" t="str">
        <f>HYPERLINK("https://stackoverflow.com/q/980932", "980932")</f>
        <v>980932</v>
      </c>
      <c r="B4" s="1">
        <v>980932.0</v>
      </c>
      <c r="C4" s="2" t="s">
        <v>418</v>
      </c>
      <c r="D4" s="3">
        <v>1.0</v>
      </c>
      <c r="E4" s="3">
        <v>1263.0</v>
      </c>
      <c r="F4" s="2" t="s">
        <v>11</v>
      </c>
      <c r="G4" s="2" t="s">
        <v>35</v>
      </c>
      <c r="H4" s="2" t="s">
        <v>18</v>
      </c>
      <c r="I4" s="2"/>
      <c r="J4" s="2"/>
      <c r="K4" s="2"/>
    </row>
    <row r="5" ht="15.75" customHeight="1">
      <c r="A5" s="4" t="str">
        <f>HYPERLINK("https://stackoverflow.com/q/1236439", "1236439")</f>
        <v>1236439</v>
      </c>
      <c r="B5" s="1">
        <v>1236439.0</v>
      </c>
      <c r="C5" s="2" t="s">
        <v>162</v>
      </c>
      <c r="D5" s="3">
        <v>1.0</v>
      </c>
      <c r="E5" s="3">
        <v>2655.0</v>
      </c>
      <c r="F5" s="2" t="s">
        <v>11</v>
      </c>
      <c r="G5" s="2" t="s">
        <v>67</v>
      </c>
      <c r="H5" s="2" t="s">
        <v>38</v>
      </c>
      <c r="I5" s="2"/>
      <c r="J5" s="2"/>
      <c r="K5" s="2" t="s">
        <v>163</v>
      </c>
    </row>
    <row r="6" ht="15.75" customHeight="1">
      <c r="A6" s="4" t="str">
        <f>HYPERLINK("https://stackoverflow.com/q/1258834", "1258834")</f>
        <v>1258834</v>
      </c>
      <c r="B6" s="1">
        <v>1258834.0</v>
      </c>
      <c r="C6" s="2" t="s">
        <v>110</v>
      </c>
      <c r="D6" s="3">
        <v>1.0</v>
      </c>
      <c r="E6" s="3">
        <v>3802.0</v>
      </c>
      <c r="F6" s="2" t="s">
        <v>11</v>
      </c>
      <c r="G6" s="2" t="s">
        <v>25</v>
      </c>
      <c r="H6" s="2" t="s">
        <v>35</v>
      </c>
      <c r="I6" s="2"/>
      <c r="J6" s="2"/>
      <c r="K6" s="2" t="s">
        <v>111</v>
      </c>
    </row>
    <row r="7" ht="15.75" customHeight="1">
      <c r="A7" s="4" t="str">
        <f>HYPERLINK("https://stackoverflow.com/q/2022549", "2022549")</f>
        <v>2022549</v>
      </c>
      <c r="B7" s="1">
        <v>2022549.0</v>
      </c>
      <c r="C7" s="2" t="s">
        <v>317</v>
      </c>
      <c r="D7" s="3">
        <v>0.0</v>
      </c>
      <c r="E7" s="3">
        <v>1627.0</v>
      </c>
      <c r="F7" s="2" t="s">
        <v>11</v>
      </c>
      <c r="G7" s="2" t="s">
        <v>12</v>
      </c>
      <c r="H7" s="2"/>
      <c r="I7" s="2"/>
      <c r="J7" s="2"/>
      <c r="K7" s="2"/>
    </row>
    <row r="8" ht="15.75" customHeight="1">
      <c r="A8" s="4" t="str">
        <f>HYPERLINK("https://stackoverflow.com/q/2377082", "2377082")</f>
        <v>2377082</v>
      </c>
      <c r="B8" s="1">
        <v>2377082.0</v>
      </c>
      <c r="C8" s="2" t="s">
        <v>1317</v>
      </c>
      <c r="D8" s="3"/>
      <c r="E8" s="3">
        <v>331.0</v>
      </c>
      <c r="F8" s="2" t="s">
        <v>11</v>
      </c>
      <c r="G8" s="2" t="s">
        <v>35</v>
      </c>
      <c r="H8" s="2"/>
      <c r="I8" s="2"/>
      <c r="J8" s="2"/>
      <c r="K8" s="2"/>
    </row>
    <row r="9" ht="15.75" customHeight="1">
      <c r="A9" s="4" t="str">
        <f>HYPERLINK("https://stackoverflow.com/q/3016015", "3016015")</f>
        <v>3016015</v>
      </c>
      <c r="B9" s="1">
        <v>3016015.0</v>
      </c>
      <c r="C9" s="2" t="s">
        <v>19</v>
      </c>
      <c r="D9" s="3">
        <v>3.0</v>
      </c>
      <c r="E9" s="3">
        <v>20409.0</v>
      </c>
      <c r="F9" s="2" t="s">
        <v>20</v>
      </c>
      <c r="G9" s="2" t="s">
        <v>21</v>
      </c>
      <c r="H9" s="2"/>
      <c r="J9" s="2"/>
      <c r="K9" s="2"/>
    </row>
    <row r="10" ht="15.75" customHeight="1">
      <c r="A10" s="4" t="str">
        <f>HYPERLINK("https://stackoverflow.com/q/3700594", "3700594")</f>
        <v>3700594</v>
      </c>
      <c r="B10" s="1">
        <v>3700594.0</v>
      </c>
      <c r="C10" s="2" t="s">
        <v>826</v>
      </c>
      <c r="D10" s="3"/>
      <c r="E10" s="3">
        <v>600.0</v>
      </c>
      <c r="F10" s="2" t="s">
        <v>11</v>
      </c>
      <c r="G10" s="2" t="s">
        <v>35</v>
      </c>
      <c r="H10" s="2"/>
      <c r="I10" s="2"/>
      <c r="J10" s="2"/>
      <c r="K10" s="2"/>
    </row>
    <row r="11" ht="15.75" customHeight="1">
      <c r="A11" s="4" t="str">
        <f>HYPERLINK("https://stackoverflow.com/q/3906522", "3906522")</f>
        <v>3906522</v>
      </c>
      <c r="B11" s="1">
        <v>3906522.0</v>
      </c>
      <c r="C11" s="2" t="s">
        <v>246</v>
      </c>
      <c r="D11" s="3">
        <v>1.0</v>
      </c>
      <c r="E11" s="3">
        <v>1974.0</v>
      </c>
      <c r="F11" s="2" t="s">
        <v>11</v>
      </c>
      <c r="G11" s="2" t="s">
        <v>25</v>
      </c>
      <c r="H11" s="2"/>
      <c r="I11" s="2"/>
      <c r="J11" s="2"/>
      <c r="K11" s="2"/>
    </row>
    <row r="12" ht="15.75" customHeight="1">
      <c r="A12" s="4" t="str">
        <f>HYPERLINK("https://stackoverflow.com/q/3990732", "3990732")</f>
        <v>3990732</v>
      </c>
      <c r="B12" s="1">
        <v>3990732.0</v>
      </c>
      <c r="C12" s="2" t="s">
        <v>469</v>
      </c>
      <c r="D12" s="3">
        <v>1.0</v>
      </c>
      <c r="E12" s="3">
        <v>1146.0</v>
      </c>
      <c r="F12" s="2" t="s">
        <v>20</v>
      </c>
      <c r="G12" s="2" t="s">
        <v>21</v>
      </c>
      <c r="H12" s="2"/>
      <c r="I12" s="2"/>
      <c r="J12" s="2"/>
      <c r="K12" s="2"/>
    </row>
    <row r="13" ht="15.75" customHeight="1">
      <c r="A13" s="4" t="str">
        <f>HYPERLINK("https://stackoverflow.com/q/4432075", "4432075")</f>
        <v>4432075</v>
      </c>
      <c r="B13" s="1">
        <v>4432075.0</v>
      </c>
      <c r="C13" s="2" t="s">
        <v>295</v>
      </c>
      <c r="D13" s="3">
        <v>1.0</v>
      </c>
      <c r="E13" s="3">
        <v>1728.0</v>
      </c>
      <c r="F13" s="2" t="s">
        <v>11</v>
      </c>
      <c r="G13" s="2" t="s">
        <v>12</v>
      </c>
      <c r="H13" s="2"/>
      <c r="I13" s="2"/>
      <c r="J13" s="2"/>
      <c r="K13" s="2"/>
    </row>
    <row r="14" ht="15.75" customHeight="1">
      <c r="A14" s="4" t="str">
        <f>HYPERLINK("https://stackoverflow.com/q/4439797", "4439797")</f>
        <v>4439797</v>
      </c>
      <c r="B14" s="1">
        <v>4439797.0</v>
      </c>
      <c r="C14" s="2" t="s">
        <v>797</v>
      </c>
      <c r="D14" s="3">
        <v>1.0</v>
      </c>
      <c r="E14" s="3">
        <v>626.0</v>
      </c>
      <c r="F14" s="2" t="s">
        <v>11</v>
      </c>
      <c r="G14" s="2" t="s">
        <v>12</v>
      </c>
      <c r="H14" s="2"/>
      <c r="I14" s="2"/>
      <c r="J14" s="2"/>
      <c r="K14" s="2"/>
    </row>
    <row r="15" ht="15.75" customHeight="1">
      <c r="A15" s="4" t="str">
        <f>HYPERLINK("https://stackoverflow.com/q/4556252", "4556252")</f>
        <v>4556252</v>
      </c>
      <c r="B15" s="1">
        <v>4556252.0</v>
      </c>
      <c r="C15" s="2" t="s">
        <v>433</v>
      </c>
      <c r="D15" s="3"/>
      <c r="E15" s="3">
        <v>1232.0</v>
      </c>
      <c r="F15" s="2" t="s">
        <v>11</v>
      </c>
      <c r="G15" s="2" t="s">
        <v>194</v>
      </c>
      <c r="H15" s="2" t="s">
        <v>35</v>
      </c>
      <c r="I15" s="2"/>
      <c r="J15" s="2"/>
      <c r="K15" s="2"/>
    </row>
    <row r="16" ht="15.75" customHeight="1">
      <c r="A16" s="4" t="str">
        <f>HYPERLINK("https://stackoverflow.com/q/4598926", "4598926")</f>
        <v>4598926</v>
      </c>
      <c r="B16" s="1">
        <v>4598926.0</v>
      </c>
      <c r="C16" s="2" t="s">
        <v>492</v>
      </c>
      <c r="D16" s="3"/>
      <c r="E16" s="3">
        <v>1100.0</v>
      </c>
      <c r="F16" s="9" t="s">
        <v>11</v>
      </c>
      <c r="G16" s="2" t="s">
        <v>16</v>
      </c>
      <c r="H16" s="2" t="s">
        <v>25</v>
      </c>
      <c r="I16" s="2"/>
      <c r="J16" s="2"/>
      <c r="K16" s="2"/>
    </row>
    <row r="17" ht="15.75" customHeight="1">
      <c r="A17" s="4" t="str">
        <f>HYPERLINK("https://stackoverflow.com/q/4804623", "4804623")</f>
        <v>4804623</v>
      </c>
      <c r="B17" s="1">
        <v>4804623.0</v>
      </c>
      <c r="C17" s="2" t="s">
        <v>497</v>
      </c>
      <c r="D17" s="3"/>
      <c r="E17" s="3">
        <v>1086.0</v>
      </c>
      <c r="F17" s="2" t="s">
        <v>11</v>
      </c>
      <c r="G17" s="2" t="s">
        <v>25</v>
      </c>
      <c r="H17" s="2"/>
      <c r="I17" s="2"/>
      <c r="J17" s="2"/>
      <c r="K17" s="2"/>
    </row>
    <row r="18" ht="15.75" customHeight="1">
      <c r="A18" s="4" t="str">
        <f>HYPERLINK("https://stackoverflow.com/q/5552901", "5552901")</f>
        <v>5552901</v>
      </c>
      <c r="B18" s="1">
        <v>5552901.0</v>
      </c>
      <c r="C18" s="2" t="s">
        <v>1065</v>
      </c>
      <c r="D18" s="3"/>
      <c r="E18" s="3">
        <v>446.0</v>
      </c>
      <c r="F18" s="2" t="s">
        <v>11</v>
      </c>
      <c r="G18" s="2" t="s">
        <v>25</v>
      </c>
      <c r="H18" s="2"/>
      <c r="I18" s="2"/>
      <c r="J18" s="2"/>
      <c r="K18" s="2"/>
    </row>
    <row r="19" ht="15.75" customHeight="1">
      <c r="A19" s="4" t="str">
        <f>HYPERLINK("https://stackoverflow.com/q/7048854", "7048854")</f>
        <v>7048854</v>
      </c>
      <c r="B19" s="1">
        <v>7048854.0</v>
      </c>
      <c r="C19" s="2" t="s">
        <v>308</v>
      </c>
      <c r="D19" s="3">
        <v>2.0</v>
      </c>
      <c r="E19" s="3">
        <v>1669.0</v>
      </c>
      <c r="F19" s="2" t="s">
        <v>11</v>
      </c>
      <c r="G19" s="2" t="s">
        <v>25</v>
      </c>
      <c r="H19" s="2" t="s">
        <v>12</v>
      </c>
      <c r="I19" s="2"/>
      <c r="J19" s="2"/>
      <c r="K19" s="2"/>
    </row>
    <row r="20" ht="15.75" customHeight="1">
      <c r="A20" s="4" t="str">
        <f>HYPERLINK("https://stackoverflow.com/q/7304006", "7304006")</f>
        <v>7304006</v>
      </c>
      <c r="B20" s="1">
        <v>7304006.0</v>
      </c>
      <c r="C20" s="2" t="s">
        <v>125</v>
      </c>
      <c r="D20" s="3"/>
      <c r="E20" s="3">
        <v>3381.0</v>
      </c>
      <c r="F20" s="2" t="s">
        <v>11</v>
      </c>
      <c r="G20" s="2" t="s">
        <v>35</v>
      </c>
      <c r="H20" s="2" t="s">
        <v>18</v>
      </c>
      <c r="I20" s="2"/>
      <c r="J20" s="2"/>
      <c r="K20" s="2"/>
    </row>
    <row r="21" ht="15.75" customHeight="1">
      <c r="A21" s="4" t="str">
        <f>HYPERLINK("https://stackoverflow.com/q/7383641", "7383641")</f>
        <v>7383641</v>
      </c>
      <c r="B21" s="1">
        <v>7383641.0</v>
      </c>
      <c r="C21" s="2" t="s">
        <v>1501</v>
      </c>
      <c r="D21" s="3"/>
      <c r="E21" s="3">
        <v>250.0</v>
      </c>
      <c r="F21" s="2" t="s">
        <v>11</v>
      </c>
      <c r="G21" s="2" t="s">
        <v>25</v>
      </c>
      <c r="H21" s="2"/>
      <c r="I21" s="2"/>
      <c r="J21" s="2"/>
      <c r="K21" s="2"/>
    </row>
    <row r="22" ht="15.75" customHeight="1">
      <c r="A22" s="4" t="str">
        <f>HYPERLINK("https://stackoverflow.com/q/7679733", "7679733")</f>
        <v>7679733</v>
      </c>
      <c r="B22" s="1">
        <v>7679733.0</v>
      </c>
      <c r="C22" s="2" t="s">
        <v>985</v>
      </c>
      <c r="D22" s="3"/>
      <c r="E22" s="3">
        <v>485.0</v>
      </c>
      <c r="F22" s="2" t="s">
        <v>11</v>
      </c>
      <c r="G22" s="2" t="s">
        <v>12</v>
      </c>
      <c r="H22" s="17"/>
      <c r="I22" s="2"/>
      <c r="J22" s="2"/>
      <c r="K22" s="2"/>
    </row>
    <row r="23" ht="15.75" customHeight="1">
      <c r="A23" s="4" t="str">
        <f>HYPERLINK("https://stackoverflow.com/q/7699717", "7699717")</f>
        <v>7699717</v>
      </c>
      <c r="B23" s="1">
        <v>7699717.0</v>
      </c>
      <c r="C23" s="2" t="s">
        <v>449</v>
      </c>
      <c r="D23" s="3"/>
      <c r="E23" s="3">
        <v>1205.0</v>
      </c>
      <c r="F23" s="2" t="s">
        <v>11</v>
      </c>
      <c r="G23" s="2" t="s">
        <v>263</v>
      </c>
      <c r="H23" s="17"/>
      <c r="I23" s="2"/>
      <c r="J23" s="2"/>
      <c r="K23" s="2"/>
    </row>
    <row r="24" ht="15.75" customHeight="1">
      <c r="A24" s="4" t="str">
        <f>HYPERLINK("https://stackoverflow.com/q/7839597", "7839597")</f>
        <v>7839597</v>
      </c>
      <c r="B24" s="1">
        <v>7839597.0</v>
      </c>
      <c r="C24" s="2" t="s">
        <v>213</v>
      </c>
      <c r="D24" s="3"/>
      <c r="E24" s="3">
        <v>2237.0</v>
      </c>
      <c r="F24" s="2" t="s">
        <v>11</v>
      </c>
      <c r="G24" s="2" t="s">
        <v>21</v>
      </c>
      <c r="H24" s="2"/>
      <c r="I24" s="2"/>
      <c r="J24" s="2"/>
      <c r="K24" s="2"/>
    </row>
    <row r="25" ht="15.75" customHeight="1">
      <c r="A25" s="4" t="str">
        <f>HYPERLINK("https://stackoverflow.com/q/8005085", "8005085")</f>
        <v>8005085</v>
      </c>
      <c r="B25" s="1">
        <v>8005085.0</v>
      </c>
      <c r="C25" s="2" t="s">
        <v>237</v>
      </c>
      <c r="D25" s="3">
        <v>1.0</v>
      </c>
      <c r="E25" s="3">
        <v>2072.0</v>
      </c>
      <c r="F25" s="2" t="s">
        <v>11</v>
      </c>
      <c r="G25" s="2" t="s">
        <v>12</v>
      </c>
      <c r="H25" s="2"/>
      <c r="I25" s="2"/>
      <c r="J25" s="2"/>
      <c r="K25" s="2"/>
    </row>
    <row r="26" ht="15.75" customHeight="1">
      <c r="A26" s="4" t="str">
        <f>HYPERLINK("https://stackoverflow.com/q/8040701", "8040701")</f>
        <v>8040701</v>
      </c>
      <c r="B26" s="1">
        <v>8040701.0</v>
      </c>
      <c r="C26" s="2" t="s">
        <v>478</v>
      </c>
      <c r="D26" s="3"/>
      <c r="E26" s="3">
        <v>1119.0</v>
      </c>
      <c r="F26" s="2" t="s">
        <v>11</v>
      </c>
      <c r="G26" s="2" t="s">
        <v>67</v>
      </c>
      <c r="H26" s="2"/>
      <c r="I26" s="2"/>
      <c r="J26" s="2"/>
      <c r="K26" s="2"/>
    </row>
    <row r="27" ht="15.75" customHeight="1">
      <c r="A27" s="4" t="str">
        <f>HYPERLINK("https://stackoverflow.com/q/8067099", "8067099")</f>
        <v>8067099</v>
      </c>
      <c r="B27" s="1">
        <v>8067099.0</v>
      </c>
      <c r="C27" s="2" t="s">
        <v>104</v>
      </c>
      <c r="D27" s="3"/>
      <c r="E27" s="3">
        <v>4143.0</v>
      </c>
      <c r="F27" s="2" t="s">
        <v>11</v>
      </c>
      <c r="G27" s="2" t="s">
        <v>25</v>
      </c>
      <c r="H27" s="2"/>
      <c r="I27" s="2"/>
      <c r="J27" s="2"/>
      <c r="K27" s="2"/>
    </row>
    <row r="28" ht="15.75" customHeight="1">
      <c r="A28" s="4" t="str">
        <f>HYPERLINK("https://stackoverflow.com/q/8123314", "8123314")</f>
        <v>8123314</v>
      </c>
      <c r="B28" s="1">
        <v>8123314.0</v>
      </c>
      <c r="C28" s="2" t="s">
        <v>676</v>
      </c>
      <c r="D28" s="3"/>
      <c r="E28" s="3">
        <v>763.0</v>
      </c>
      <c r="F28" s="2" t="s">
        <v>11</v>
      </c>
      <c r="G28" s="2" t="s">
        <v>12</v>
      </c>
      <c r="H28" s="2"/>
      <c r="I28" s="2"/>
      <c r="J28" s="2"/>
      <c r="K28" s="2"/>
    </row>
    <row r="29" ht="15.75" customHeight="1">
      <c r="A29" s="4" t="str">
        <f>HYPERLINK("https://stackoverflow.com/q/8430681", "8430681")</f>
        <v>8430681</v>
      </c>
      <c r="B29" s="1">
        <v>8430681.0</v>
      </c>
      <c r="C29" s="2" t="s">
        <v>979</v>
      </c>
      <c r="D29" s="3"/>
      <c r="E29" s="3">
        <v>489.0</v>
      </c>
      <c r="F29" s="2" t="s">
        <v>11</v>
      </c>
      <c r="G29" s="2" t="s">
        <v>34</v>
      </c>
      <c r="H29" s="2"/>
      <c r="I29" s="2"/>
      <c r="J29" s="2"/>
      <c r="K29" s="2"/>
    </row>
    <row r="30" ht="15.75" customHeight="1">
      <c r="A30" s="4" t="str">
        <f>HYPERLINK("https://stackoverflow.com/q/8430696", "8430696")</f>
        <v>8430696</v>
      </c>
      <c r="B30" s="1">
        <v>8430696.0</v>
      </c>
      <c r="C30" s="2" t="s">
        <v>196</v>
      </c>
      <c r="D30" s="3"/>
      <c r="E30" s="3">
        <v>2369.0</v>
      </c>
      <c r="F30" s="9" t="s">
        <v>11</v>
      </c>
      <c r="G30" s="2" t="s">
        <v>30</v>
      </c>
      <c r="H30" s="2"/>
      <c r="I30" s="2"/>
      <c r="J30" s="2"/>
      <c r="K30" s="2"/>
    </row>
    <row r="31" ht="15.75" customHeight="1">
      <c r="A31" s="4" t="str">
        <f>HYPERLINK("https://stackoverflow.com/q/8522884", "8522884")</f>
        <v>8522884</v>
      </c>
      <c r="B31" s="1">
        <v>8522884.0</v>
      </c>
      <c r="C31" s="2" t="s">
        <v>134</v>
      </c>
      <c r="D31" s="3"/>
      <c r="E31" s="3">
        <v>3176.0</v>
      </c>
      <c r="F31" s="2"/>
      <c r="G31" s="2" t="s">
        <v>23</v>
      </c>
      <c r="H31" s="2"/>
      <c r="I31" s="2"/>
      <c r="J31" s="2"/>
      <c r="K31" s="2"/>
    </row>
    <row r="32" ht="15.75" customHeight="1">
      <c r="A32" s="4" t="str">
        <f>HYPERLINK("https://stackoverflow.com/q/8640940", "8640940")</f>
        <v>8640940</v>
      </c>
      <c r="B32" s="1">
        <v>8640940.0</v>
      </c>
      <c r="C32" s="2" t="s">
        <v>64</v>
      </c>
      <c r="D32" s="3">
        <v>2.0</v>
      </c>
      <c r="E32" s="3">
        <v>6008.0</v>
      </c>
      <c r="F32" s="2"/>
      <c r="G32" s="2" t="s">
        <v>23</v>
      </c>
      <c r="H32" s="2"/>
      <c r="I32" s="2"/>
      <c r="J32" s="2"/>
      <c r="K32" s="2"/>
    </row>
    <row r="33" ht="15.75" customHeight="1">
      <c r="A33" s="4" t="str">
        <f>HYPERLINK("https://stackoverflow.com/q/8657698", "8657698")</f>
        <v>8657698</v>
      </c>
      <c r="B33" s="1">
        <v>8657698.0</v>
      </c>
      <c r="C33" s="2" t="s">
        <v>793</v>
      </c>
      <c r="D33" s="3"/>
      <c r="E33" s="3">
        <v>634.0</v>
      </c>
      <c r="F33" s="2" t="s">
        <v>537</v>
      </c>
      <c r="G33" s="2" t="s">
        <v>25</v>
      </c>
      <c r="H33" s="2"/>
      <c r="I33" s="2"/>
      <c r="J33" s="2"/>
      <c r="K33" s="2"/>
    </row>
    <row r="34" ht="15.75" customHeight="1">
      <c r="A34" s="4" t="str">
        <f>HYPERLINK("https://stackoverflow.com/q/8980486", "8980486")</f>
        <v>8980486</v>
      </c>
      <c r="B34" s="1">
        <v>8980486.0</v>
      </c>
      <c r="C34" s="2" t="s">
        <v>813</v>
      </c>
      <c r="D34" s="3"/>
      <c r="E34" s="3">
        <v>611.0</v>
      </c>
      <c r="F34" s="9" t="s">
        <v>11</v>
      </c>
      <c r="G34" s="2" t="s">
        <v>18</v>
      </c>
      <c r="H34" s="2"/>
      <c r="I34" s="2"/>
      <c r="J34" s="2"/>
      <c r="K34" s="2"/>
    </row>
    <row r="35" ht="15.75" customHeight="1">
      <c r="A35" s="4" t="str">
        <f>HYPERLINK("https://stackoverflow.com/q/9041860", "9041860")</f>
        <v>9041860</v>
      </c>
      <c r="B35" s="1">
        <v>9041860.0</v>
      </c>
      <c r="C35" s="2" t="s">
        <v>686</v>
      </c>
      <c r="D35" s="3"/>
      <c r="E35" s="3">
        <v>748.0</v>
      </c>
      <c r="F35" s="2" t="s">
        <v>59</v>
      </c>
      <c r="G35" s="2" t="s">
        <v>21</v>
      </c>
      <c r="H35" s="2"/>
      <c r="I35" s="2"/>
      <c r="J35" s="2"/>
      <c r="K35" s="2"/>
    </row>
    <row r="36" ht="15.75" customHeight="1">
      <c r="A36" s="4" t="str">
        <f>HYPERLINK("https://stackoverflow.com/q/9054254", "9054254")</f>
        <v>9054254</v>
      </c>
      <c r="B36" s="1">
        <v>9054254.0</v>
      </c>
      <c r="C36" s="2" t="s">
        <v>1126</v>
      </c>
      <c r="D36" s="3">
        <v>1.0</v>
      </c>
      <c r="E36" s="3">
        <v>413.0</v>
      </c>
      <c r="F36" s="2" t="s">
        <v>11</v>
      </c>
      <c r="G36" s="2" t="s">
        <v>263</v>
      </c>
      <c r="H36" s="17"/>
      <c r="I36" s="2"/>
      <c r="J36" s="2"/>
      <c r="K36" s="2"/>
    </row>
    <row r="37" ht="15.75" customHeight="1">
      <c r="A37" s="4" t="str">
        <f>HYPERLINK("https://stackoverflow.com/q/9076585", "9076585")</f>
        <v>9076585</v>
      </c>
      <c r="B37" s="1">
        <v>9076585.0</v>
      </c>
      <c r="C37" s="2" t="s">
        <v>376</v>
      </c>
      <c r="D37" s="3"/>
      <c r="E37" s="3">
        <v>1357.0</v>
      </c>
      <c r="F37" s="2" t="s">
        <v>11</v>
      </c>
      <c r="G37" s="2" t="s">
        <v>25</v>
      </c>
      <c r="H37" s="2" t="s">
        <v>35</v>
      </c>
      <c r="I37" s="2"/>
      <c r="J37" s="2"/>
      <c r="K37" s="2"/>
    </row>
    <row r="38" ht="15.75" customHeight="1">
      <c r="A38" s="4" t="str">
        <f>HYPERLINK("https://stackoverflow.com/q/9139207", "9139207")</f>
        <v>9139207</v>
      </c>
      <c r="B38" s="1">
        <v>9139207.0</v>
      </c>
      <c r="C38" s="2" t="s">
        <v>1182</v>
      </c>
      <c r="D38" s="3"/>
      <c r="E38" s="3">
        <v>385.0</v>
      </c>
      <c r="F38" s="9" t="s">
        <v>11</v>
      </c>
      <c r="G38" s="2" t="s">
        <v>18</v>
      </c>
      <c r="H38" s="2"/>
      <c r="I38" s="2"/>
      <c r="J38" s="2"/>
      <c r="K38" s="2"/>
    </row>
    <row r="39" ht="15.75" customHeight="1">
      <c r="A39" s="4" t="str">
        <f>HYPERLINK("https://stackoverflow.com/q/9168994", "9168994")</f>
        <v>9168994</v>
      </c>
      <c r="B39" s="1">
        <v>9168994.0</v>
      </c>
      <c r="C39" s="2" t="s">
        <v>29</v>
      </c>
      <c r="D39" s="3">
        <v>2.0</v>
      </c>
      <c r="E39" s="3">
        <v>14718.0</v>
      </c>
      <c r="F39" s="9" t="s">
        <v>11</v>
      </c>
      <c r="G39" s="2" t="s">
        <v>30</v>
      </c>
      <c r="H39" s="2"/>
      <c r="J39" s="2"/>
      <c r="K39" s="2"/>
    </row>
    <row r="40" ht="15.75" customHeight="1">
      <c r="A40" s="4" t="str">
        <f>HYPERLINK("https://stackoverflow.com/q/9187799", "9187799")</f>
        <v>9187799</v>
      </c>
      <c r="B40" s="1">
        <v>9187799.0</v>
      </c>
      <c r="C40" s="2" t="s">
        <v>1093</v>
      </c>
      <c r="D40" s="3"/>
      <c r="E40" s="3">
        <v>431.0</v>
      </c>
      <c r="F40" s="2" t="s">
        <v>11</v>
      </c>
      <c r="G40" s="2" t="s">
        <v>28</v>
      </c>
      <c r="H40" s="2"/>
      <c r="I40" s="2"/>
      <c r="J40" s="2"/>
      <c r="K40" s="2"/>
    </row>
    <row r="41" ht="15.75" customHeight="1">
      <c r="A41" s="4" t="str">
        <f>HYPERLINK("https://stackoverflow.com/q/9391137", "9391137")</f>
        <v>9391137</v>
      </c>
      <c r="B41" s="1">
        <v>9391137.0</v>
      </c>
      <c r="C41" s="2" t="s">
        <v>10</v>
      </c>
      <c r="D41" s="3">
        <v>15.0</v>
      </c>
      <c r="E41" s="3">
        <v>39930.0</v>
      </c>
      <c r="F41" s="2" t="s">
        <v>11</v>
      </c>
      <c r="G41" s="2" t="s">
        <v>12</v>
      </c>
      <c r="H41" s="2"/>
      <c r="J41" s="2"/>
      <c r="K41" s="2"/>
    </row>
    <row r="42" ht="15.75" customHeight="1">
      <c r="A42" s="4" t="str">
        <f>HYPERLINK("https://stackoverflow.com/q/9959449", "9959449")</f>
        <v>9959449</v>
      </c>
      <c r="B42" s="1">
        <v>9959449.0</v>
      </c>
      <c r="C42" s="2" t="s">
        <v>33</v>
      </c>
      <c r="D42" s="3"/>
      <c r="E42" s="3">
        <v>12389.0</v>
      </c>
      <c r="F42" s="2" t="s">
        <v>11</v>
      </c>
      <c r="G42" s="2" t="s">
        <v>34</v>
      </c>
      <c r="H42" s="2" t="s">
        <v>35</v>
      </c>
      <c r="J42" s="2"/>
      <c r="K42" s="2"/>
    </row>
    <row r="43" ht="15.75" customHeight="1">
      <c r="A43" s="4" t="str">
        <f>HYPERLINK("https://stackoverflow.com/q/10170940", "10170940")</f>
        <v>10170940</v>
      </c>
      <c r="B43" s="1">
        <v>1.017094E7</v>
      </c>
      <c r="C43" s="2" t="s">
        <v>78</v>
      </c>
      <c r="D43" s="3">
        <v>1.0</v>
      </c>
      <c r="E43" s="3">
        <v>5120.0</v>
      </c>
      <c r="F43" s="2" t="s">
        <v>59</v>
      </c>
      <c r="G43" s="2" t="s">
        <v>21</v>
      </c>
      <c r="H43" s="2"/>
      <c r="I43" s="2"/>
      <c r="J43" s="2"/>
      <c r="K43" s="2"/>
    </row>
    <row r="44" ht="15.75" customHeight="1">
      <c r="A44" s="4" t="str">
        <f>HYPERLINK("https://stackoverflow.com/q/10557731", "10557731")</f>
        <v>10557731</v>
      </c>
      <c r="B44" s="1">
        <v>1.0557731E7</v>
      </c>
      <c r="C44" s="2" t="s">
        <v>290</v>
      </c>
      <c r="D44" s="3"/>
      <c r="E44" s="3">
        <v>1753.0</v>
      </c>
      <c r="F44" s="2" t="s">
        <v>11</v>
      </c>
      <c r="G44" s="2" t="s">
        <v>18</v>
      </c>
      <c r="H44" s="2"/>
      <c r="I44" s="2"/>
      <c r="J44" s="2"/>
      <c r="K44" s="2"/>
    </row>
    <row r="45" ht="15.75" customHeight="1">
      <c r="A45" s="4" t="str">
        <f>HYPERLINK("https://stackoverflow.com/q/10923870", "10923870")</f>
        <v>10923870</v>
      </c>
      <c r="B45" s="1">
        <v>1.092387E7</v>
      </c>
      <c r="C45" s="2" t="s">
        <v>273</v>
      </c>
      <c r="D45" s="3"/>
      <c r="E45" s="3">
        <v>1838.0</v>
      </c>
      <c r="F45" s="2" t="s">
        <v>11</v>
      </c>
      <c r="G45" s="2" t="s">
        <v>18</v>
      </c>
      <c r="H45" s="2"/>
      <c r="I45" s="2"/>
      <c r="J45" s="2"/>
      <c r="K45" s="2"/>
    </row>
    <row r="46" ht="15.75" customHeight="1">
      <c r="A46" s="4" t="str">
        <f>HYPERLINK("https://stackoverflow.com/q/11248169", "11248169")</f>
        <v>11248169</v>
      </c>
      <c r="B46" s="1">
        <v>1.1248169E7</v>
      </c>
      <c r="C46" s="2" t="s">
        <v>948</v>
      </c>
      <c r="D46" s="3"/>
      <c r="E46" s="3">
        <v>509.0</v>
      </c>
      <c r="F46" s="2" t="s">
        <v>537</v>
      </c>
      <c r="G46" s="2" t="s">
        <v>183</v>
      </c>
      <c r="H46" s="2"/>
      <c r="I46" s="2"/>
      <c r="J46" s="2"/>
      <c r="K46" s="2"/>
    </row>
    <row r="47" ht="15.75" customHeight="1">
      <c r="A47" s="4" t="str">
        <f>HYPERLINK("https://stackoverflow.com/q/11513122", "11513122")</f>
        <v>11513122</v>
      </c>
      <c r="B47" s="1">
        <v>1.1513122E7</v>
      </c>
      <c r="C47" s="2" t="s">
        <v>74</v>
      </c>
      <c r="D47" s="3">
        <v>1.0</v>
      </c>
      <c r="E47" s="3">
        <v>5412.0</v>
      </c>
      <c r="F47" s="2" t="s">
        <v>11</v>
      </c>
      <c r="G47" s="2" t="s">
        <v>21</v>
      </c>
      <c r="H47" s="2"/>
      <c r="I47" s="2"/>
      <c r="J47" s="2"/>
      <c r="K47" s="2"/>
    </row>
    <row r="48" ht="15.75" customHeight="1">
      <c r="A48" s="4" t="str">
        <f>HYPERLINK("https://stackoverflow.com/q/12004748", "12004748")</f>
        <v>12004748</v>
      </c>
      <c r="B48" s="1">
        <v>1.2004748E7</v>
      </c>
      <c r="C48" s="2" t="s">
        <v>65</v>
      </c>
      <c r="D48" s="3">
        <v>2.0</v>
      </c>
      <c r="E48" s="3">
        <v>6006.0</v>
      </c>
      <c r="F48" s="2" t="s">
        <v>20</v>
      </c>
      <c r="G48" s="2" t="s">
        <v>21</v>
      </c>
      <c r="H48" s="2"/>
      <c r="I48" s="2"/>
      <c r="J48" s="2"/>
      <c r="K48" s="2"/>
    </row>
    <row r="49" ht="15.75" customHeight="1">
      <c r="A49" s="4" t="str">
        <f>HYPERLINK("https://stackoverflow.com/q/12242168", "12242168")</f>
        <v>12242168</v>
      </c>
      <c r="B49" s="1">
        <v>1.2242168E7</v>
      </c>
      <c r="C49" s="2" t="s">
        <v>97</v>
      </c>
      <c r="D49" s="3"/>
      <c r="E49" s="3">
        <v>4303.0</v>
      </c>
      <c r="F49" s="2" t="s">
        <v>11</v>
      </c>
      <c r="G49" s="2" t="s">
        <v>12</v>
      </c>
      <c r="H49" s="2"/>
      <c r="I49" s="2"/>
      <c r="J49" s="2"/>
      <c r="K49" s="2"/>
    </row>
    <row r="50" ht="15.75" customHeight="1">
      <c r="A50" s="4" t="str">
        <f>HYPERLINK("https://stackoverflow.com/q/12412269", "12412269")</f>
        <v>12412269</v>
      </c>
      <c r="B50" s="1">
        <v>1.2412269E7</v>
      </c>
      <c r="C50" s="2" t="s">
        <v>17</v>
      </c>
      <c r="D50" s="3"/>
      <c r="E50" s="3">
        <v>21172.0</v>
      </c>
      <c r="F50" s="2" t="s">
        <v>11</v>
      </c>
      <c r="G50" s="2" t="s">
        <v>18</v>
      </c>
      <c r="H50" s="2"/>
      <c r="I50" s="2"/>
      <c r="J50" s="2"/>
      <c r="K50" s="2"/>
    </row>
    <row r="51" ht="15.75" customHeight="1">
      <c r="A51" s="4" t="str">
        <f>HYPERLINK("https://stackoverflow.com/q/12507134", "12507134")</f>
        <v>12507134</v>
      </c>
      <c r="B51" s="1">
        <v>1.2507134E7</v>
      </c>
      <c r="C51" s="2" t="s">
        <v>274</v>
      </c>
      <c r="D51" s="3"/>
      <c r="E51" s="3">
        <v>1838.0</v>
      </c>
      <c r="F51" s="2" t="s">
        <v>11</v>
      </c>
      <c r="G51" s="2" t="s">
        <v>44</v>
      </c>
      <c r="H51" s="2"/>
      <c r="I51" s="2"/>
      <c r="J51" s="2"/>
      <c r="K51" s="2"/>
    </row>
    <row r="52" ht="15.75" customHeight="1">
      <c r="A52" s="4" t="str">
        <f>HYPERLINK("https://stackoverflow.com/q/12559029", "12559029")</f>
        <v>12559029</v>
      </c>
      <c r="B52" s="1">
        <v>1.2559029E7</v>
      </c>
      <c r="C52" s="2" t="s">
        <v>278</v>
      </c>
      <c r="D52" s="3"/>
      <c r="E52" s="3">
        <v>1813.0</v>
      </c>
      <c r="F52" s="2" t="s">
        <v>11</v>
      </c>
      <c r="G52" s="2" t="s">
        <v>25</v>
      </c>
      <c r="H52" s="2"/>
      <c r="I52" s="2"/>
      <c r="J52" s="2"/>
      <c r="K52" s="2"/>
    </row>
    <row r="53" ht="15.75" customHeight="1">
      <c r="A53" s="4" t="str">
        <f>HYPERLINK("https://stackoverflow.com/q/13834716", "13834716")</f>
        <v>13834716</v>
      </c>
      <c r="B53" s="1">
        <v>1.3834716E7</v>
      </c>
      <c r="C53" s="2" t="s">
        <v>81</v>
      </c>
      <c r="D53" s="3">
        <v>2.0</v>
      </c>
      <c r="E53" s="3">
        <v>4988.0</v>
      </c>
      <c r="F53" s="2"/>
      <c r="G53" s="2" t="s">
        <v>23</v>
      </c>
      <c r="H53" s="2"/>
      <c r="I53" s="2"/>
      <c r="J53" s="2"/>
      <c r="K53" s="2"/>
    </row>
    <row r="54" ht="15.75" customHeight="1">
      <c r="A54" s="4" t="str">
        <f>HYPERLINK("https://stackoverflow.com/q/13991036", "13991036")</f>
        <v>13991036</v>
      </c>
      <c r="B54" s="1">
        <v>1.3991036E7</v>
      </c>
      <c r="C54" s="2" t="s">
        <v>75</v>
      </c>
      <c r="D54" s="3"/>
      <c r="E54" s="3">
        <v>5387.0</v>
      </c>
      <c r="F54" s="2" t="s">
        <v>11</v>
      </c>
      <c r="G54" s="2" t="s">
        <v>21</v>
      </c>
      <c r="H54" s="2"/>
      <c r="I54" s="2"/>
      <c r="J54" s="2"/>
      <c r="K54" s="2"/>
    </row>
    <row r="55" ht="15.75" customHeight="1">
      <c r="A55" s="4" t="str">
        <f>HYPERLINK("https://stackoverflow.com/q/16001298", "16001298")</f>
        <v>16001298</v>
      </c>
      <c r="B55" s="1">
        <v>1.6001298E7</v>
      </c>
      <c r="C55" s="2" t="s">
        <v>45</v>
      </c>
      <c r="D55" s="3"/>
      <c r="E55" s="3">
        <v>8245.0</v>
      </c>
      <c r="F55" s="2"/>
      <c r="G55" s="2" t="s">
        <v>23</v>
      </c>
      <c r="H55" s="2"/>
      <c r="I55" s="2"/>
      <c r="J55" s="2"/>
      <c r="K55" s="2"/>
    </row>
    <row r="56" ht="15.75" customHeight="1">
      <c r="A56" s="4" t="str">
        <f>HYPERLINK("https://stackoverflow.com/q/16152727", "16152727")</f>
        <v>16152727</v>
      </c>
      <c r="B56" s="1">
        <v>1.6152727E7</v>
      </c>
      <c r="C56" s="2" t="s">
        <v>294</v>
      </c>
      <c r="D56" s="3"/>
      <c r="E56" s="3">
        <v>1729.0</v>
      </c>
      <c r="F56" s="2"/>
      <c r="G56" s="2" t="s">
        <v>23</v>
      </c>
      <c r="H56" s="2"/>
      <c r="I56" s="2"/>
      <c r="J56" s="2"/>
      <c r="K56" s="2"/>
    </row>
    <row r="57" ht="15.75" customHeight="1">
      <c r="A57" s="4" t="str">
        <f>HYPERLINK("https://stackoverflow.com/q/16200946", "16200946")</f>
        <v>16200946</v>
      </c>
      <c r="B57" s="1">
        <v>1.6200946E7</v>
      </c>
      <c r="C57" s="2" t="s">
        <v>63</v>
      </c>
      <c r="D57" s="3"/>
      <c r="E57" s="3">
        <v>6042.0</v>
      </c>
      <c r="F57" s="2" t="s">
        <v>11</v>
      </c>
      <c r="G57" s="2" t="s">
        <v>18</v>
      </c>
      <c r="H57" s="2"/>
      <c r="I57" s="2"/>
      <c r="J57" s="2"/>
      <c r="K57" s="2"/>
    </row>
    <row r="58" ht="15.75" customHeight="1">
      <c r="A58" s="4" t="str">
        <f>HYPERLINK("https://stackoverflow.com/q/16617053", "16617053")</f>
        <v>16617053</v>
      </c>
      <c r="B58" s="1">
        <v>1.6617053E7</v>
      </c>
      <c r="C58" s="2" t="s">
        <v>53</v>
      </c>
      <c r="D58" s="3"/>
      <c r="E58" s="3">
        <v>6965.0</v>
      </c>
      <c r="F58" s="2" t="s">
        <v>11</v>
      </c>
      <c r="G58" s="2" t="s">
        <v>12</v>
      </c>
      <c r="H58" s="2"/>
      <c r="I58" s="2"/>
      <c r="J58" s="2"/>
      <c r="K58" s="2"/>
    </row>
    <row r="59" ht="15.75" customHeight="1">
      <c r="A59" s="4" t="str">
        <f>HYPERLINK("https://stackoverflow.com/q/16819801", "16819801")</f>
        <v>16819801</v>
      </c>
      <c r="B59" s="1">
        <v>1.6819801E7</v>
      </c>
      <c r="C59" s="2" t="s">
        <v>51</v>
      </c>
      <c r="D59" s="3">
        <v>2.0</v>
      </c>
      <c r="E59" s="3">
        <v>7562.0</v>
      </c>
      <c r="F59" s="2"/>
      <c r="G59" s="2" t="s">
        <v>23</v>
      </c>
      <c r="H59" s="2"/>
      <c r="I59" s="2"/>
      <c r="J59" s="2"/>
      <c r="K59" s="2"/>
    </row>
    <row r="60" ht="15.75" customHeight="1">
      <c r="A60" s="4" t="str">
        <f>HYPERLINK("https://stackoverflow.com/q/16930202", "16930202")</f>
        <v>16930202</v>
      </c>
      <c r="B60" s="1">
        <v>1.6930202E7</v>
      </c>
      <c r="C60" s="2" t="s">
        <v>117</v>
      </c>
      <c r="D60" s="3"/>
      <c r="E60" s="3">
        <v>3596.0</v>
      </c>
      <c r="F60" s="2" t="s">
        <v>11</v>
      </c>
      <c r="G60" s="2" t="s">
        <v>25</v>
      </c>
      <c r="H60" s="2"/>
      <c r="I60" s="2"/>
      <c r="J60" s="2"/>
      <c r="K60" s="2"/>
    </row>
    <row r="61" ht="15.75" customHeight="1">
      <c r="A61" s="4" t="str">
        <f>HYPERLINK("https://stackoverflow.com/q/17126323", "17126323")</f>
        <v>17126323</v>
      </c>
      <c r="B61" s="1">
        <v>1.7126323E7</v>
      </c>
      <c r="C61" s="2" t="s">
        <v>31</v>
      </c>
      <c r="D61" s="3"/>
      <c r="E61" s="3">
        <v>12468.0</v>
      </c>
      <c r="F61" s="2" t="s">
        <v>11</v>
      </c>
      <c r="G61" s="2" t="s">
        <v>12</v>
      </c>
      <c r="H61" s="2"/>
      <c r="I61" s="2"/>
      <c r="J61" s="2"/>
      <c r="K61" s="2"/>
    </row>
    <row r="62" ht="15.75" customHeight="1">
      <c r="A62" s="4" t="str">
        <f>HYPERLINK("https://stackoverflow.com/q/17886545", "17886545")</f>
        <v>17886545</v>
      </c>
      <c r="B62" s="1">
        <v>1.7886545E7</v>
      </c>
      <c r="C62" s="2" t="s">
        <v>100</v>
      </c>
      <c r="D62" s="3">
        <v>1.0</v>
      </c>
      <c r="E62" s="3">
        <v>4176.0</v>
      </c>
      <c r="F62" s="2" t="s">
        <v>11</v>
      </c>
      <c r="G62" s="2" t="s">
        <v>18</v>
      </c>
      <c r="H62" s="2"/>
      <c r="I62" s="2"/>
      <c r="J62" s="2"/>
      <c r="K62" s="2"/>
    </row>
    <row r="63" ht="15.75" customHeight="1">
      <c r="A63" s="5" t="str">
        <f>HYPERLINK("https://stackoverflow.com/q/18335697", "18335697")</f>
        <v>18335697</v>
      </c>
      <c r="B63" s="1">
        <v>1.8335697E7</v>
      </c>
      <c r="C63" s="6" t="s">
        <v>36</v>
      </c>
      <c r="D63" s="7">
        <v>7.0</v>
      </c>
      <c r="E63" s="7">
        <v>11811.0</v>
      </c>
      <c r="F63" s="6"/>
      <c r="G63" s="6" t="s">
        <v>23</v>
      </c>
      <c r="H63" s="6"/>
      <c r="I63" s="6"/>
      <c r="J63" s="6"/>
      <c r="K63" s="6"/>
      <c r="L63" s="8"/>
      <c r="M63" s="8"/>
    </row>
    <row r="64" ht="15.75" customHeight="1">
      <c r="A64" s="4" t="str">
        <f>HYPERLINK("https://stackoverflow.com/q/18440385", "18440385")</f>
        <v>18440385</v>
      </c>
      <c r="B64" s="1">
        <v>1.8440385E7</v>
      </c>
      <c r="C64" s="2" t="s">
        <v>288</v>
      </c>
      <c r="D64" s="3">
        <v>2.0</v>
      </c>
      <c r="E64" s="3">
        <v>1755.0</v>
      </c>
      <c r="F64" s="2" t="s">
        <v>11</v>
      </c>
      <c r="G64" s="2" t="s">
        <v>28</v>
      </c>
      <c r="H64" s="2"/>
      <c r="I64" s="2"/>
      <c r="J64" s="2"/>
      <c r="K64" s="2"/>
    </row>
    <row r="65" ht="15.75" customHeight="1">
      <c r="A65" s="4" t="str">
        <f>HYPERLINK("https://stackoverflow.com/q/20437820", "20437820")</f>
        <v>20437820</v>
      </c>
      <c r="B65" s="1">
        <v>2.043782E7</v>
      </c>
      <c r="C65" s="2" t="s">
        <v>90</v>
      </c>
      <c r="D65" s="3"/>
      <c r="E65" s="3">
        <v>4502.0</v>
      </c>
      <c r="F65" s="2" t="s">
        <v>11</v>
      </c>
      <c r="G65" s="2" t="s">
        <v>25</v>
      </c>
      <c r="H65" s="2"/>
      <c r="I65" s="2"/>
      <c r="J65" s="2"/>
      <c r="K65" s="2"/>
    </row>
    <row r="66" ht="15.75" customHeight="1">
      <c r="A66" s="4" t="str">
        <f>HYPERLINK("https://stackoverflow.com/q/22562925", "22562925")</f>
        <v>22562925</v>
      </c>
      <c r="B66" s="1">
        <v>2.2562925E7</v>
      </c>
      <c r="C66" s="2" t="s">
        <v>58</v>
      </c>
      <c r="D66" s="3"/>
      <c r="E66" s="3">
        <v>6852.0</v>
      </c>
      <c r="F66" s="2" t="s">
        <v>59</v>
      </c>
      <c r="G66" s="2" t="s">
        <v>21</v>
      </c>
      <c r="H66" s="2"/>
      <c r="I66" s="2"/>
      <c r="J66" s="2"/>
      <c r="K66" s="2"/>
    </row>
    <row r="67" ht="15.75" customHeight="1">
      <c r="A67" s="4" t="str">
        <f>HYPERLINK("https://stackoverflow.com/q/23062636", "23062636")</f>
        <v>23062636</v>
      </c>
      <c r="B67" s="1">
        <v>2.3062636E7</v>
      </c>
      <c r="C67" s="2" t="s">
        <v>268</v>
      </c>
      <c r="D67" s="3">
        <v>1.0</v>
      </c>
      <c r="E67" s="3">
        <v>1861.0</v>
      </c>
      <c r="F67" s="2" t="s">
        <v>11</v>
      </c>
      <c r="G67" s="2" t="s">
        <v>67</v>
      </c>
      <c r="H67" s="2"/>
      <c r="I67" s="2"/>
      <c r="J67" s="2"/>
      <c r="K67" s="2"/>
    </row>
    <row r="68" ht="15.75" customHeight="1">
      <c r="A68" s="5" t="str">
        <f>HYPERLINK("https://stackoverflow.com/q/23234021", "23234021")</f>
        <v>23234021</v>
      </c>
      <c r="B68" s="1">
        <v>2.3234021E7</v>
      </c>
      <c r="C68" s="6" t="s">
        <v>22</v>
      </c>
      <c r="D68" s="7">
        <v>2.0</v>
      </c>
      <c r="E68" s="7">
        <v>20112.0</v>
      </c>
      <c r="F68" s="6"/>
      <c r="G68" s="6" t="s">
        <v>23</v>
      </c>
      <c r="H68" s="6"/>
      <c r="J68" s="6"/>
      <c r="K68" s="6"/>
      <c r="L68" s="8"/>
      <c r="M68" s="8"/>
    </row>
    <row r="69" ht="15.75" customHeight="1">
      <c r="A69" s="4" t="str">
        <f>HYPERLINK("https://stackoverflow.com/q/23984516", "23984516")</f>
        <v>23984516</v>
      </c>
      <c r="B69" s="1">
        <v>2.3984516E7</v>
      </c>
      <c r="C69" s="2" t="s">
        <v>271</v>
      </c>
      <c r="D69" s="3">
        <v>2.0</v>
      </c>
      <c r="E69" s="3">
        <v>1844.0</v>
      </c>
      <c r="F69" s="2" t="s">
        <v>11</v>
      </c>
      <c r="G69" s="2" t="s">
        <v>272</v>
      </c>
      <c r="H69" s="2"/>
      <c r="I69" s="2"/>
      <c r="J69" s="2"/>
      <c r="K69" s="2"/>
    </row>
    <row r="70" ht="15.75" customHeight="1">
      <c r="A70" s="4" t="str">
        <f>HYPERLINK("https://stackoverflow.com/q/24450595", "24450595")</f>
        <v>24450595</v>
      </c>
      <c r="B70" s="1">
        <v>2.4450595E7</v>
      </c>
      <c r="C70" s="2" t="s">
        <v>95</v>
      </c>
      <c r="D70" s="3"/>
      <c r="E70" s="3">
        <v>4330.0</v>
      </c>
      <c r="F70" s="2" t="s">
        <v>11</v>
      </c>
      <c r="G70" s="2" t="s">
        <v>49</v>
      </c>
      <c r="H70" s="2"/>
      <c r="I70" s="2"/>
      <c r="J70" s="2"/>
      <c r="K70" s="2"/>
    </row>
    <row r="71" ht="15.75" customHeight="1">
      <c r="A71" s="4" t="str">
        <f>HYPERLINK("https://stackoverflow.com/q/24808967", "24808967")</f>
        <v>24808967</v>
      </c>
      <c r="B71" s="1">
        <v>2.4808967E7</v>
      </c>
      <c r="C71" s="2" t="s">
        <v>68</v>
      </c>
      <c r="D71" s="3">
        <v>1.0</v>
      </c>
      <c r="E71" s="3">
        <v>5925.0</v>
      </c>
      <c r="F71" s="2" t="s">
        <v>11</v>
      </c>
      <c r="G71" s="2" t="s">
        <v>25</v>
      </c>
      <c r="H71" s="2"/>
      <c r="I71" s="2"/>
      <c r="J71" s="2"/>
      <c r="K71" s="2"/>
    </row>
    <row r="72" ht="15.75" customHeight="1">
      <c r="A72" s="4" t="str">
        <f>HYPERLINK("https://stackoverflow.com/q/26655087", "26655087")</f>
        <v>26655087</v>
      </c>
      <c r="B72" s="1">
        <v>2.6655087E7</v>
      </c>
      <c r="C72" s="10" t="s">
        <v>43</v>
      </c>
      <c r="D72" s="11">
        <v>1.0</v>
      </c>
      <c r="E72" s="11">
        <v>8252.0</v>
      </c>
      <c r="F72" s="10" t="s">
        <v>11</v>
      </c>
      <c r="G72" s="10" t="s">
        <v>44</v>
      </c>
      <c r="H72" s="10"/>
      <c r="I72" s="10"/>
      <c r="J72" s="10"/>
      <c r="K72" s="10"/>
      <c r="L72" s="12"/>
      <c r="M72" s="12"/>
    </row>
    <row r="73" ht="15.75" customHeight="1">
      <c r="A73" s="4" t="str">
        <f>HYPERLINK("https://stackoverflow.com/q/29386945", "29386945")</f>
        <v>29386945</v>
      </c>
      <c r="B73" s="1">
        <v>2.9386945E7</v>
      </c>
      <c r="C73" s="2" t="s">
        <v>105</v>
      </c>
      <c r="D73" s="3">
        <v>1.0</v>
      </c>
      <c r="E73" s="3">
        <v>4045.0</v>
      </c>
      <c r="F73" s="2" t="s">
        <v>11</v>
      </c>
      <c r="G73" s="2" t="s">
        <v>25</v>
      </c>
      <c r="H73" s="2"/>
      <c r="I73" s="2"/>
      <c r="J73" s="2"/>
      <c r="K73" s="2"/>
    </row>
    <row r="74" ht="15.75" customHeight="1">
      <c r="A74" s="4" t="str">
        <f>HYPERLINK("https://stackoverflow.com/q/30193726", "30193726")</f>
        <v>30193726</v>
      </c>
      <c r="B74" s="1">
        <v>3.0193726E7</v>
      </c>
      <c r="C74" s="2" t="s">
        <v>280</v>
      </c>
      <c r="D74" s="3"/>
      <c r="E74" s="3">
        <v>1806.0</v>
      </c>
      <c r="F74" s="2" t="s">
        <v>11</v>
      </c>
      <c r="G74" s="2" t="s">
        <v>67</v>
      </c>
      <c r="H74" s="2"/>
      <c r="I74" s="2"/>
      <c r="J74" s="2"/>
      <c r="K74" s="2"/>
    </row>
    <row r="75" ht="15.75" customHeight="1">
      <c r="A75" s="4" t="str">
        <f>HYPERLINK("https://stackoverflow.com/q/30295763", "30295763")</f>
        <v>30295763</v>
      </c>
      <c r="B75" s="1">
        <v>3.0295763E7</v>
      </c>
      <c r="C75" s="2" t="s">
        <v>61</v>
      </c>
      <c r="D75" s="3"/>
      <c r="E75" s="3">
        <v>6194.0</v>
      </c>
      <c r="F75" s="2"/>
      <c r="G75" s="2" t="s">
        <v>23</v>
      </c>
      <c r="H75" s="2"/>
      <c r="I75" s="2"/>
      <c r="J75" s="2"/>
      <c r="K75" s="2"/>
    </row>
    <row r="76" ht="15.75" customHeight="1">
      <c r="A76" s="4" t="str">
        <f>HYPERLINK("https://stackoverflow.com/q/31052944", "31052944")</f>
        <v>31052944</v>
      </c>
      <c r="B76" s="1">
        <v>3.1052944E7</v>
      </c>
      <c r="C76" s="2" t="s">
        <v>276</v>
      </c>
      <c r="D76" s="3"/>
      <c r="E76" s="3">
        <v>1814.0</v>
      </c>
      <c r="F76" s="2" t="s">
        <v>11</v>
      </c>
      <c r="G76" s="2" t="s">
        <v>30</v>
      </c>
      <c r="H76" s="2"/>
      <c r="I76" s="2"/>
      <c r="J76" s="2"/>
      <c r="K76" s="2"/>
    </row>
    <row r="77" ht="15.75" customHeight="1">
      <c r="A77" s="4" t="str">
        <f>HYPERLINK("https://stackoverflow.com/q/32747702", "32747702")</f>
        <v>32747702</v>
      </c>
      <c r="B77" s="1">
        <v>3.2747702E7</v>
      </c>
      <c r="C77" s="2" t="s">
        <v>536</v>
      </c>
      <c r="D77" s="3"/>
      <c r="E77" s="3">
        <v>993.0</v>
      </c>
      <c r="F77" s="2" t="s">
        <v>537</v>
      </c>
      <c r="G77" s="2" t="s">
        <v>538</v>
      </c>
      <c r="H77" s="2"/>
      <c r="I77" s="2"/>
      <c r="J77" s="2"/>
      <c r="K77" s="2"/>
    </row>
    <row r="78" ht="15.75" customHeight="1">
      <c r="A78" s="4" t="str">
        <f>HYPERLINK("https://stackoverflow.com/q/34179466", "34179466")</f>
        <v>34179466</v>
      </c>
      <c r="B78" s="1">
        <v>3.4179466E7</v>
      </c>
      <c r="C78" s="2" t="s">
        <v>47</v>
      </c>
      <c r="D78" s="3"/>
      <c r="E78" s="3">
        <v>8061.0</v>
      </c>
      <c r="F78" s="2" t="s">
        <v>11</v>
      </c>
      <c r="G78" s="2" t="s">
        <v>12</v>
      </c>
      <c r="H78" s="2"/>
      <c r="I78" s="2"/>
      <c r="J78" s="2"/>
      <c r="K78" s="2"/>
    </row>
    <row r="79" ht="15.75" customHeight="1">
      <c r="A79" s="4" t="str">
        <f>HYPERLINK("https://stackoverflow.com/q/34292278", "34292278")</f>
        <v>34292278</v>
      </c>
      <c r="B79" s="1">
        <v>3.4292278E7</v>
      </c>
      <c r="C79" s="2" t="s">
        <v>291</v>
      </c>
      <c r="D79" s="3"/>
      <c r="E79" s="3">
        <v>1750.0</v>
      </c>
      <c r="F79" s="2" t="s">
        <v>11</v>
      </c>
      <c r="G79" s="2" t="s">
        <v>67</v>
      </c>
      <c r="H79" s="2"/>
      <c r="I79" s="2"/>
      <c r="J79" s="2"/>
      <c r="K79" s="2"/>
    </row>
    <row r="80" ht="15.75" customHeight="1">
      <c r="A80" s="4" t="str">
        <f>HYPERLINK("https://stackoverflow.com/q/34341952", "34341952")</f>
        <v>34341952</v>
      </c>
      <c r="B80" s="1">
        <v>3.4341952E7</v>
      </c>
      <c r="C80" s="2" t="s">
        <v>27</v>
      </c>
      <c r="D80" s="3"/>
      <c r="E80" s="3">
        <v>15964.0</v>
      </c>
      <c r="F80" s="2" t="s">
        <v>11</v>
      </c>
      <c r="G80" s="2" t="s">
        <v>28</v>
      </c>
      <c r="H80" s="2"/>
      <c r="I80" s="2"/>
      <c r="J80" s="2"/>
      <c r="K80" s="2"/>
    </row>
    <row r="81" ht="15.75" customHeight="1">
      <c r="A81" s="4" t="str">
        <f>HYPERLINK("https://stackoverflow.com/q/34510911", "34510911")</f>
        <v>34510911</v>
      </c>
      <c r="B81" s="1">
        <v>3.4510911E7</v>
      </c>
      <c r="C81" s="2" t="s">
        <v>386</v>
      </c>
      <c r="D81" s="3">
        <v>1.0</v>
      </c>
      <c r="E81" s="3">
        <v>1327.0</v>
      </c>
      <c r="F81" s="2" t="s">
        <v>11</v>
      </c>
      <c r="G81" s="2" t="s">
        <v>12</v>
      </c>
      <c r="H81" s="2"/>
      <c r="I81" s="2"/>
      <c r="J81" s="2"/>
      <c r="K81" s="2"/>
    </row>
    <row r="82" ht="15.75" customHeight="1">
      <c r="A82" s="4" t="str">
        <f>HYPERLINK("https://stackoverflow.com/q/34963112", "34963112")</f>
        <v>34963112</v>
      </c>
      <c r="B82" s="1">
        <v>3.4963112E7</v>
      </c>
      <c r="C82" s="2" t="s">
        <v>286</v>
      </c>
      <c r="D82" s="3">
        <v>2.0</v>
      </c>
      <c r="E82" s="3">
        <v>1786.0</v>
      </c>
      <c r="F82" s="2" t="s">
        <v>11</v>
      </c>
      <c r="G82" s="2" t="s">
        <v>73</v>
      </c>
      <c r="H82" s="2"/>
      <c r="I82" s="2"/>
      <c r="J82" s="2"/>
      <c r="K82" s="2"/>
    </row>
    <row r="83" ht="15.75" customHeight="1">
      <c r="A83" s="4" t="str">
        <f>HYPERLINK("https://stackoverflow.com/q/35609644", "35609644")</f>
        <v>35609644</v>
      </c>
      <c r="B83" s="1">
        <v>3.5609644E7</v>
      </c>
      <c r="C83" s="2" t="s">
        <v>399</v>
      </c>
      <c r="D83" s="3"/>
      <c r="E83" s="3">
        <v>1306.0</v>
      </c>
      <c r="F83" s="2" t="s">
        <v>11</v>
      </c>
      <c r="G83" s="2" t="s">
        <v>67</v>
      </c>
      <c r="H83" s="2"/>
      <c r="I83" s="2"/>
      <c r="J83" s="2"/>
      <c r="K83" s="2"/>
    </row>
    <row r="84" ht="15.75" customHeight="1">
      <c r="A84" s="4" t="str">
        <f>HYPERLINK("https://stackoverflow.com/q/37196287", "37196287")</f>
        <v>37196287</v>
      </c>
      <c r="B84" s="1">
        <v>3.7196287E7</v>
      </c>
      <c r="C84" s="2" t="s">
        <v>24</v>
      </c>
      <c r="D84" s="3">
        <v>2.0</v>
      </c>
      <c r="E84" s="3">
        <v>19535.0</v>
      </c>
      <c r="F84" s="2" t="s">
        <v>11</v>
      </c>
      <c r="G84" s="2" t="s">
        <v>25</v>
      </c>
      <c r="H84" s="2"/>
      <c r="J84" s="2"/>
      <c r="K84" s="2"/>
    </row>
    <row r="85" ht="15.75" customHeight="1">
      <c r="A85" s="4" t="str">
        <f>HYPERLINK("https://stackoverflow.com/q/37481142", "37481142")</f>
        <v>37481142</v>
      </c>
      <c r="B85" s="1">
        <v>3.7481142E7</v>
      </c>
      <c r="C85" s="2" t="s">
        <v>80</v>
      </c>
      <c r="D85" s="3"/>
      <c r="E85" s="3">
        <v>5031.0</v>
      </c>
      <c r="F85" s="2" t="s">
        <v>11</v>
      </c>
      <c r="G85" s="2" t="s">
        <v>25</v>
      </c>
      <c r="H85" s="2"/>
      <c r="I85" s="2"/>
      <c r="J85" s="2"/>
      <c r="K85" s="2"/>
    </row>
    <row r="86" ht="15.75" customHeight="1">
      <c r="A86" s="4" t="str">
        <f>HYPERLINK("https://stackoverflow.com/q/37816734", "37816734")</f>
        <v>37816734</v>
      </c>
      <c r="B86" s="1">
        <v>3.7816734E7</v>
      </c>
      <c r="C86" s="2" t="s">
        <v>46</v>
      </c>
      <c r="D86" s="3">
        <v>1.0</v>
      </c>
      <c r="E86" s="3">
        <v>8237.0</v>
      </c>
      <c r="F86" s="2" t="s">
        <v>11</v>
      </c>
      <c r="G86" s="2" t="s">
        <v>25</v>
      </c>
      <c r="H86" s="2"/>
      <c r="I86" s="2"/>
      <c r="J86" s="2"/>
      <c r="K86" s="2"/>
    </row>
    <row r="87" ht="15.75" customHeight="1">
      <c r="A87" s="4" t="str">
        <f>HYPERLINK("https://stackoverflow.com/q/38951765", "38951765")</f>
        <v>38951765</v>
      </c>
      <c r="B87" s="1">
        <v>3.8951765E7</v>
      </c>
      <c r="C87" s="2" t="s">
        <v>71</v>
      </c>
      <c r="D87" s="3">
        <v>2.0</v>
      </c>
      <c r="E87" s="3">
        <v>5689.0</v>
      </c>
      <c r="F87" s="2" t="s">
        <v>72</v>
      </c>
      <c r="G87" s="2" t="s">
        <v>73</v>
      </c>
      <c r="H87" s="2"/>
      <c r="I87" s="2"/>
      <c r="J87" s="2"/>
      <c r="K87" s="2"/>
    </row>
    <row r="88" ht="15.75" customHeight="1">
      <c r="A88" s="4" t="str">
        <f>HYPERLINK("https://stackoverflow.com/q/39232599", "39232599")</f>
        <v>39232599</v>
      </c>
      <c r="B88" s="1">
        <v>3.9232599E7</v>
      </c>
      <c r="C88" s="2" t="s">
        <v>26</v>
      </c>
      <c r="D88" s="3">
        <v>3.0</v>
      </c>
      <c r="E88" s="3">
        <v>19132.0</v>
      </c>
      <c r="F88" s="2" t="s">
        <v>11</v>
      </c>
      <c r="G88" s="2" t="s">
        <v>25</v>
      </c>
      <c r="H88" s="2"/>
      <c r="J88" s="2"/>
      <c r="K88" s="2"/>
    </row>
    <row r="89" ht="15.75" customHeight="1">
      <c r="A89" s="4" t="str">
        <f>HYPERLINK("https://stackoverflow.com/q/39488461", "39488461")</f>
        <v>39488461</v>
      </c>
      <c r="B89" s="1">
        <v>3.9488461E7</v>
      </c>
      <c r="C89" s="2" t="s">
        <v>40</v>
      </c>
      <c r="D89" s="3"/>
      <c r="E89" s="3">
        <v>9531.0</v>
      </c>
      <c r="F89" s="2" t="s">
        <v>11</v>
      </c>
      <c r="G89" s="2" t="s">
        <v>16</v>
      </c>
      <c r="H89" s="2"/>
      <c r="I89" s="2"/>
      <c r="J89" s="2"/>
      <c r="K89" s="2"/>
    </row>
    <row r="90" ht="15.75" customHeight="1">
      <c r="A90" s="4" t="str">
        <f>HYPERLINK("https://stackoverflow.com/q/39490200", "39490200")</f>
        <v>39490200</v>
      </c>
      <c r="B90" s="1">
        <v>3.94902E7</v>
      </c>
      <c r="C90" s="2" t="s">
        <v>39</v>
      </c>
      <c r="D90" s="3"/>
      <c r="E90" s="3">
        <v>10721.0</v>
      </c>
      <c r="F90" s="2" t="s">
        <v>11</v>
      </c>
      <c r="G90" s="2" t="s">
        <v>16</v>
      </c>
      <c r="H90" s="2"/>
      <c r="I90" s="2"/>
      <c r="J90" s="2"/>
      <c r="K90" s="2"/>
    </row>
    <row r="91" ht="15.75" customHeight="1">
      <c r="A91" s="4" t="str">
        <f>HYPERLINK("https://stackoverflow.com/q/39493708", "39493708")</f>
        <v>39493708</v>
      </c>
      <c r="B91" s="1">
        <v>3.9493708E7</v>
      </c>
      <c r="C91" s="2" t="s">
        <v>52</v>
      </c>
      <c r="D91" s="3"/>
      <c r="E91" s="3">
        <v>7151.0</v>
      </c>
      <c r="F91" s="2" t="s">
        <v>11</v>
      </c>
      <c r="G91" s="2" t="s">
        <v>18</v>
      </c>
      <c r="H91" s="2"/>
      <c r="I91" s="2"/>
      <c r="J91" s="2"/>
      <c r="K91" s="2"/>
    </row>
    <row r="92" ht="15.75" customHeight="1">
      <c r="A92" s="4" t="str">
        <f>HYPERLINK("https://stackoverflow.com/q/40159662", "40159662")</f>
        <v>40159662</v>
      </c>
      <c r="B92" s="1">
        <v>4.0159662E7</v>
      </c>
      <c r="C92" s="2" t="s">
        <v>15</v>
      </c>
      <c r="D92" s="3">
        <v>0.0</v>
      </c>
      <c r="E92" s="3">
        <v>21873.0</v>
      </c>
      <c r="F92" s="2" t="s">
        <v>11</v>
      </c>
      <c r="G92" s="2" t="s">
        <v>16</v>
      </c>
      <c r="H92" s="2"/>
      <c r="J92" s="2"/>
      <c r="K92" s="2"/>
    </row>
    <row r="93" ht="15.75" customHeight="1">
      <c r="A93" s="4" t="str">
        <f>HYPERLINK("https://stackoverflow.com/q/41002487", "41002487")</f>
        <v>41002487</v>
      </c>
      <c r="B93" s="1">
        <v>4.1002487E7</v>
      </c>
      <c r="C93" s="2" t="s">
        <v>77</v>
      </c>
      <c r="D93" s="3"/>
      <c r="E93" s="3">
        <v>5130.0</v>
      </c>
      <c r="F93" s="2" t="s">
        <v>11</v>
      </c>
      <c r="G93" s="2" t="s">
        <v>25</v>
      </c>
      <c r="H93" s="2"/>
      <c r="I93" s="2"/>
      <c r="J93" s="2"/>
      <c r="K93" s="2"/>
    </row>
    <row r="94" ht="15.75" customHeight="1">
      <c r="A94" s="4" t="str">
        <f>HYPERLINK("https://stackoverflow.com/q/41438021", "41438021")</f>
        <v>41438021</v>
      </c>
      <c r="B94" s="1">
        <v>4.1438021E7</v>
      </c>
      <c r="C94" s="2" t="s">
        <v>193</v>
      </c>
      <c r="D94" s="3"/>
      <c r="E94" s="3">
        <v>2377.0</v>
      </c>
      <c r="F94" s="2" t="s">
        <v>11</v>
      </c>
      <c r="G94" s="2" t="s">
        <v>194</v>
      </c>
      <c r="H94" s="2"/>
      <c r="I94" s="2"/>
      <c r="J94" s="2"/>
      <c r="K94" s="2"/>
    </row>
    <row r="95" ht="15.75" customHeight="1">
      <c r="A95" s="4" t="str">
        <f>HYPERLINK("https://stackoverflow.com/q/41467659", "41467659")</f>
        <v>41467659</v>
      </c>
      <c r="B95" s="1">
        <v>4.1467659E7</v>
      </c>
      <c r="C95" s="2" t="s">
        <v>866</v>
      </c>
      <c r="D95" s="3">
        <v>1.0</v>
      </c>
      <c r="E95" s="3">
        <v>565.0</v>
      </c>
      <c r="F95" s="2" t="s">
        <v>72</v>
      </c>
      <c r="G95" s="2" t="s">
        <v>506</v>
      </c>
      <c r="H95" s="2" t="s">
        <v>21</v>
      </c>
      <c r="I95" s="2"/>
      <c r="J95" s="2"/>
      <c r="K95" s="2"/>
    </row>
    <row r="96" ht="15.75" customHeight="1">
      <c r="A96" s="4" t="str">
        <f>HYPERLINK("https://stackoverflow.com/q/41469924", "41469924")</f>
        <v>41469924</v>
      </c>
      <c r="B96" s="1">
        <v>4.1469924E7</v>
      </c>
      <c r="C96" s="2" t="s">
        <v>477</v>
      </c>
      <c r="D96" s="3"/>
      <c r="E96" s="3">
        <v>1119.0</v>
      </c>
      <c r="F96" s="2" t="s">
        <v>11</v>
      </c>
      <c r="G96" s="2" t="s">
        <v>14</v>
      </c>
      <c r="H96" s="2"/>
      <c r="I96" s="2"/>
      <c r="J96" s="2"/>
      <c r="K96" s="2"/>
    </row>
    <row r="97" ht="15.75" customHeight="1">
      <c r="A97" s="4" t="str">
        <f>HYPERLINK("https://stackoverflow.com/q/41484050", "41484050")</f>
        <v>41484050</v>
      </c>
      <c r="B97" s="1">
        <v>4.148405E7</v>
      </c>
      <c r="C97" s="2" t="s">
        <v>187</v>
      </c>
      <c r="D97" s="3"/>
      <c r="E97" s="3">
        <v>2454.0</v>
      </c>
      <c r="F97" s="2" t="s">
        <v>11</v>
      </c>
      <c r="G97" s="2" t="s">
        <v>34</v>
      </c>
      <c r="H97" s="2"/>
      <c r="I97" s="2"/>
      <c r="J97" s="2"/>
      <c r="K97" s="2"/>
    </row>
    <row r="98" ht="15.75" customHeight="1">
      <c r="A98" s="4" t="str">
        <f>HYPERLINK("https://stackoverflow.com/q/41542609", "41542609")</f>
        <v>41542609</v>
      </c>
      <c r="B98" s="1">
        <v>4.1542609E7</v>
      </c>
      <c r="C98" s="2" t="s">
        <v>292</v>
      </c>
      <c r="D98" s="3"/>
      <c r="E98" s="3">
        <v>1750.0</v>
      </c>
      <c r="F98" s="2" t="s">
        <v>11</v>
      </c>
      <c r="G98" s="2" t="s">
        <v>30</v>
      </c>
      <c r="H98" s="2"/>
      <c r="I98" s="2"/>
      <c r="J98" s="2"/>
      <c r="K98" s="2"/>
    </row>
    <row r="99" ht="15.75" customHeight="1">
      <c r="A99" s="4" t="str">
        <f>HYPERLINK("https://stackoverflow.com/q/41574944", "41574944")</f>
        <v>41574944</v>
      </c>
      <c r="B99" s="1">
        <v>4.1574944E7</v>
      </c>
      <c r="C99" s="2" t="s">
        <v>1134</v>
      </c>
      <c r="D99" s="3"/>
      <c r="E99" s="3">
        <v>408.0</v>
      </c>
      <c r="F99" s="2" t="s">
        <v>11</v>
      </c>
      <c r="G99" s="2" t="s">
        <v>30</v>
      </c>
      <c r="H99" s="2"/>
      <c r="I99" s="2"/>
      <c r="J99" s="2"/>
      <c r="K99" s="2"/>
    </row>
    <row r="100" ht="15.75" customHeight="1">
      <c r="A100" s="4" t="str">
        <f>HYPERLINK("https://stackoverflow.com/q/41577382", "41577382")</f>
        <v>41577382</v>
      </c>
      <c r="B100" s="1">
        <v>4.1577382E7</v>
      </c>
      <c r="C100" s="2" t="s">
        <v>218</v>
      </c>
      <c r="D100" s="3">
        <v>1.0</v>
      </c>
      <c r="E100" s="3">
        <v>2199.0</v>
      </c>
      <c r="F100" s="2" t="s">
        <v>11</v>
      </c>
      <c r="G100" s="2" t="s">
        <v>21</v>
      </c>
      <c r="H100" s="2"/>
      <c r="I100" s="2"/>
      <c r="J100" s="2"/>
      <c r="K100" s="2"/>
    </row>
    <row r="101" ht="15.75" customHeight="1">
      <c r="A101" s="4" t="str">
        <f>HYPERLINK("https://stackoverflow.com/q/41580358", "41580358")</f>
        <v>41580358</v>
      </c>
      <c r="B101" s="1">
        <v>4.1580358E7</v>
      </c>
      <c r="C101" s="2" t="s">
        <v>471</v>
      </c>
      <c r="D101" s="3"/>
      <c r="E101" s="3">
        <v>1141.0</v>
      </c>
      <c r="F101" s="2" t="s">
        <v>11</v>
      </c>
      <c r="G101" s="2" t="s">
        <v>25</v>
      </c>
      <c r="H101" s="2"/>
      <c r="I101" s="2"/>
      <c r="J101" s="2"/>
      <c r="K101" s="2"/>
    </row>
    <row r="102" ht="15.75" customHeight="1">
      <c r="A102" s="4" t="str">
        <f>HYPERLINK("https://stackoverflow.com/q/41638663", "41638663")</f>
        <v>41638663</v>
      </c>
      <c r="B102" s="1">
        <v>4.1638663E7</v>
      </c>
      <c r="C102" s="2" t="s">
        <v>523</v>
      </c>
      <c r="D102" s="3"/>
      <c r="E102" s="3">
        <v>1017.0</v>
      </c>
      <c r="F102" s="2" t="s">
        <v>11</v>
      </c>
      <c r="G102" s="2" t="s">
        <v>56</v>
      </c>
      <c r="H102" s="2"/>
      <c r="I102" s="2"/>
      <c r="J102" s="2"/>
      <c r="K102" s="2"/>
    </row>
    <row r="103" ht="15.75" customHeight="1">
      <c r="A103" s="4" t="str">
        <f>HYPERLINK("https://stackoverflow.com/q/41645111", "41645111")</f>
        <v>41645111</v>
      </c>
      <c r="B103" s="1">
        <v>4.1645111E7</v>
      </c>
      <c r="C103" s="2" t="s">
        <v>999</v>
      </c>
      <c r="D103" s="3"/>
      <c r="E103" s="3">
        <v>480.0</v>
      </c>
      <c r="F103" s="2" t="s">
        <v>11</v>
      </c>
      <c r="G103" s="2" t="s">
        <v>25</v>
      </c>
      <c r="H103" s="2"/>
      <c r="I103" s="2"/>
      <c r="J103" s="2"/>
      <c r="K103" s="2"/>
    </row>
    <row r="104" ht="15.75" customHeight="1">
      <c r="A104" s="4" t="str">
        <f>HYPERLINK("https://stackoverflow.com/q/41652958", "41652958")</f>
        <v>41652958</v>
      </c>
      <c r="B104" s="1">
        <v>4.1652958E7</v>
      </c>
      <c r="C104" s="2" t="s">
        <v>533</v>
      </c>
      <c r="D104" s="3"/>
      <c r="E104" s="3">
        <v>1001.0</v>
      </c>
      <c r="F104" s="2" t="s">
        <v>11</v>
      </c>
      <c r="G104" s="2" t="s">
        <v>56</v>
      </c>
      <c r="H104" s="2"/>
      <c r="I104" s="2"/>
      <c r="J104" s="2"/>
      <c r="K104" s="2"/>
    </row>
    <row r="105" ht="15.75" customHeight="1">
      <c r="A105" s="4" t="str">
        <f>HYPERLINK("https://stackoverflow.com/q/41679881", "41679881")</f>
        <v>41679881</v>
      </c>
      <c r="B105" s="1">
        <v>4.1679881E7</v>
      </c>
      <c r="C105" s="2" t="s">
        <v>257</v>
      </c>
      <c r="D105" s="3">
        <v>1.0</v>
      </c>
      <c r="E105" s="3">
        <v>1905.0</v>
      </c>
      <c r="F105" s="2" t="s">
        <v>59</v>
      </c>
      <c r="G105" s="2" t="s">
        <v>28</v>
      </c>
      <c r="H105" s="2"/>
      <c r="I105" s="2"/>
      <c r="J105" s="2"/>
      <c r="K105" s="2"/>
    </row>
    <row r="106" ht="15.75" customHeight="1">
      <c r="A106" s="4" t="str">
        <f>HYPERLINK("https://stackoverflow.com/q/41733883", "41733883")</f>
        <v>41733883</v>
      </c>
      <c r="B106" s="1">
        <v>4.1733883E7</v>
      </c>
      <c r="C106" s="2" t="s">
        <v>662</v>
      </c>
      <c r="D106" s="3"/>
      <c r="E106" s="3">
        <v>786.0</v>
      </c>
      <c r="F106" s="2" t="s">
        <v>11</v>
      </c>
      <c r="G106" s="2" t="s">
        <v>25</v>
      </c>
      <c r="H106" s="2"/>
      <c r="I106" s="2"/>
      <c r="J106" s="2"/>
      <c r="K106" s="2"/>
    </row>
    <row r="107" ht="15.75" customHeight="1">
      <c r="A107" s="4" t="str">
        <f>HYPERLINK("https://stackoverflow.com/q/41749324", "41749324")</f>
        <v>41749324</v>
      </c>
      <c r="B107" s="1">
        <v>4.1749324E7</v>
      </c>
      <c r="C107" s="2" t="s">
        <v>1775</v>
      </c>
      <c r="D107" s="3"/>
      <c r="E107" s="3">
        <v>172.0</v>
      </c>
      <c r="F107" s="2" t="s">
        <v>11</v>
      </c>
      <c r="G107" s="2" t="s">
        <v>56</v>
      </c>
      <c r="H107" s="2"/>
      <c r="I107" s="2"/>
      <c r="J107" s="2"/>
      <c r="K107" s="2"/>
    </row>
    <row r="108" ht="15.75" customHeight="1">
      <c r="A108" s="4" t="str">
        <f>HYPERLINK("https://stackoverflow.com/q/41755842", "41755842")</f>
        <v>41755842</v>
      </c>
      <c r="B108" s="1">
        <v>4.1755842E7</v>
      </c>
      <c r="C108" s="2" t="s">
        <v>1330</v>
      </c>
      <c r="D108" s="3"/>
      <c r="E108" s="3">
        <v>326.0</v>
      </c>
      <c r="F108" s="2" t="s">
        <v>11</v>
      </c>
      <c r="G108" s="2" t="s">
        <v>30</v>
      </c>
      <c r="H108" s="2"/>
      <c r="I108" s="2"/>
      <c r="J108" s="2"/>
      <c r="K108" s="2"/>
    </row>
    <row r="109" ht="15.75" customHeight="1">
      <c r="A109" s="4" t="str">
        <f>HYPERLINK("https://stackoverflow.com/q/41800137", "41800137")</f>
        <v>41800137</v>
      </c>
      <c r="B109" s="1">
        <v>4.1800137E7</v>
      </c>
      <c r="C109" s="2" t="s">
        <v>865</v>
      </c>
      <c r="D109" s="3"/>
      <c r="E109" s="3">
        <v>566.0</v>
      </c>
      <c r="F109" s="2" t="s">
        <v>86</v>
      </c>
      <c r="G109" s="2" t="s">
        <v>87</v>
      </c>
      <c r="H109" s="2"/>
      <c r="I109" s="2"/>
      <c r="J109" s="2"/>
      <c r="K109" s="2"/>
    </row>
    <row r="110" ht="15.75" customHeight="1">
      <c r="A110" s="4" t="str">
        <f>HYPERLINK("https://stackoverflow.com/q/41803929", "41803929")</f>
        <v>41803929</v>
      </c>
      <c r="B110" s="1">
        <v>4.1803929E7</v>
      </c>
      <c r="C110" s="2" t="s">
        <v>1204</v>
      </c>
      <c r="D110" s="3"/>
      <c r="E110" s="3">
        <v>370.0</v>
      </c>
      <c r="F110" s="2" t="s">
        <v>11</v>
      </c>
      <c r="G110" s="2" t="s">
        <v>30</v>
      </c>
      <c r="H110" s="2"/>
      <c r="I110" s="2"/>
      <c r="J110" s="2"/>
      <c r="K110" s="2"/>
    </row>
    <row r="111" ht="15.75" customHeight="1">
      <c r="A111" s="4" t="str">
        <f>HYPERLINK("https://stackoverflow.com/q/41806580", "41806580")</f>
        <v>41806580</v>
      </c>
      <c r="B111" s="1">
        <v>4.180658E7</v>
      </c>
      <c r="C111" s="2" t="s">
        <v>142</v>
      </c>
      <c r="D111" s="3"/>
      <c r="E111" s="3">
        <v>2824.0</v>
      </c>
      <c r="F111" s="2" t="s">
        <v>11</v>
      </c>
      <c r="G111" s="2" t="s">
        <v>56</v>
      </c>
      <c r="H111" s="2" t="s">
        <v>25</v>
      </c>
      <c r="I111" s="2"/>
      <c r="J111" s="2"/>
      <c r="K111" s="2"/>
    </row>
    <row r="112" ht="15.75" customHeight="1">
      <c r="A112" s="4" t="str">
        <f>HYPERLINK("https://stackoverflow.com/q/41813166", "41813166")</f>
        <v>41813166</v>
      </c>
      <c r="B112" s="1">
        <v>4.1813166E7</v>
      </c>
      <c r="C112" s="2" t="s">
        <v>532</v>
      </c>
      <c r="D112" s="3"/>
      <c r="E112" s="3">
        <v>1002.0</v>
      </c>
      <c r="F112" s="2" t="s">
        <v>59</v>
      </c>
      <c r="G112" s="2" t="s">
        <v>28</v>
      </c>
      <c r="H112" s="2"/>
      <c r="I112" s="2"/>
      <c r="J112" s="2"/>
      <c r="K112" s="2"/>
    </row>
    <row r="113" ht="15.75" customHeight="1">
      <c r="A113" s="4" t="str">
        <f>HYPERLINK("https://stackoverflow.com/q/41838629", "41838629")</f>
        <v>41838629</v>
      </c>
      <c r="B113" s="1">
        <v>4.1838629E7</v>
      </c>
      <c r="C113" s="2" t="s">
        <v>504</v>
      </c>
      <c r="D113" s="3"/>
      <c r="E113" s="3">
        <v>1063.0</v>
      </c>
      <c r="F113" s="2" t="s">
        <v>11</v>
      </c>
      <c r="G113" s="2" t="s">
        <v>56</v>
      </c>
      <c r="H113" s="2"/>
      <c r="I113" s="2"/>
      <c r="J113" s="2"/>
      <c r="K113" s="2"/>
    </row>
    <row r="114" ht="15.75" customHeight="1">
      <c r="A114" s="4" t="str">
        <f>HYPERLINK("https://stackoverflow.com/q/41842171", "41842171")</f>
        <v>41842171</v>
      </c>
      <c r="B114" s="1">
        <v>4.1842171E7</v>
      </c>
      <c r="C114" s="2" t="s">
        <v>622</v>
      </c>
      <c r="D114" s="3"/>
      <c r="E114" s="3">
        <v>836.0</v>
      </c>
      <c r="F114" s="2" t="s">
        <v>11</v>
      </c>
      <c r="G114" s="2" t="s">
        <v>56</v>
      </c>
      <c r="H114" s="2"/>
      <c r="I114" s="2"/>
      <c r="J114" s="2"/>
      <c r="K114" s="2"/>
    </row>
    <row r="115" ht="15.75" customHeight="1">
      <c r="A115" s="4" t="str">
        <f>HYPERLINK("https://stackoverflow.com/q/41860322", "41860322")</f>
        <v>41860322</v>
      </c>
      <c r="B115" s="1">
        <v>4.1860322E7</v>
      </c>
      <c r="C115" s="2" t="s">
        <v>1056</v>
      </c>
      <c r="D115" s="3"/>
      <c r="E115" s="3">
        <v>451.0</v>
      </c>
      <c r="F115" s="2" t="s">
        <v>11</v>
      </c>
      <c r="G115" s="2" t="s">
        <v>12</v>
      </c>
      <c r="H115" s="2"/>
      <c r="I115" s="2"/>
      <c r="J115" s="2"/>
      <c r="K115" s="2"/>
    </row>
    <row r="116" ht="15.75" customHeight="1">
      <c r="A116" s="4" t="str">
        <f>HYPERLINK("https://stackoverflow.com/q/41867303", "41867303")</f>
        <v>41867303</v>
      </c>
      <c r="B116" s="1">
        <v>4.1867303E7</v>
      </c>
      <c r="C116" s="2" t="s">
        <v>1030</v>
      </c>
      <c r="D116" s="3">
        <v>1.0</v>
      </c>
      <c r="E116" s="3">
        <v>462.0</v>
      </c>
      <c r="F116" s="2" t="s">
        <v>11</v>
      </c>
      <c r="G116" s="2" t="s">
        <v>67</v>
      </c>
      <c r="H116" s="2"/>
      <c r="I116" s="2"/>
      <c r="J116" s="2"/>
      <c r="K116" s="2"/>
    </row>
    <row r="117" ht="15.75" customHeight="1">
      <c r="A117" s="4" t="str">
        <f>HYPERLINK("https://stackoverflow.com/q/41881534", "41881534")</f>
        <v>41881534</v>
      </c>
      <c r="B117" s="1">
        <v>4.1881534E7</v>
      </c>
      <c r="C117" s="2" t="s">
        <v>1432</v>
      </c>
      <c r="D117" s="3"/>
      <c r="E117" s="3">
        <v>281.0</v>
      </c>
      <c r="F117" s="2" t="s">
        <v>11</v>
      </c>
      <c r="G117" s="2" t="s">
        <v>67</v>
      </c>
      <c r="H117" s="2" t="s">
        <v>30</v>
      </c>
      <c r="I117" s="2"/>
      <c r="J117" s="2"/>
      <c r="K117" s="2"/>
    </row>
    <row r="118" ht="15.75" customHeight="1">
      <c r="A118" s="4" t="str">
        <f>HYPERLINK("https://stackoverflow.com/q/41883521", "41883521")</f>
        <v>41883521</v>
      </c>
      <c r="B118" s="1">
        <v>4.1883521E7</v>
      </c>
      <c r="C118" s="2" t="s">
        <v>171</v>
      </c>
      <c r="D118" s="3"/>
      <c r="E118" s="3">
        <v>2553.0</v>
      </c>
      <c r="F118" s="2" t="s">
        <v>11</v>
      </c>
      <c r="G118" s="2" t="s">
        <v>44</v>
      </c>
      <c r="H118" s="2" t="s">
        <v>38</v>
      </c>
      <c r="I118" s="2"/>
      <c r="J118" s="2"/>
      <c r="K118" s="2"/>
    </row>
    <row r="119" ht="15.75" customHeight="1">
      <c r="A119" s="4" t="str">
        <f>HYPERLINK("https://stackoverflow.com/q/41886336", "41886336")</f>
        <v>41886336</v>
      </c>
      <c r="B119" s="1">
        <v>4.1886336E7</v>
      </c>
      <c r="C119" s="2" t="s">
        <v>1303</v>
      </c>
      <c r="D119" s="3">
        <v>1.0</v>
      </c>
      <c r="E119" s="3">
        <v>335.0</v>
      </c>
      <c r="F119" s="2" t="s">
        <v>11</v>
      </c>
      <c r="G119" s="2" t="s">
        <v>44</v>
      </c>
      <c r="H119" s="2" t="s">
        <v>14</v>
      </c>
      <c r="I119" s="2"/>
      <c r="J119" s="2"/>
      <c r="K119" s="2"/>
    </row>
    <row r="120" ht="15.75" customHeight="1">
      <c r="A120" s="4" t="str">
        <f>HYPERLINK("https://stackoverflow.com/q/41904477", "41904477")</f>
        <v>41904477</v>
      </c>
      <c r="B120" s="1">
        <v>4.1904477E7</v>
      </c>
      <c r="C120" s="2" t="s">
        <v>915</v>
      </c>
      <c r="D120" s="3">
        <v>2.0</v>
      </c>
      <c r="E120" s="3">
        <v>535.0</v>
      </c>
      <c r="F120" s="2" t="s">
        <v>11</v>
      </c>
      <c r="G120" s="2" t="s">
        <v>44</v>
      </c>
      <c r="H120" s="2" t="s">
        <v>49</v>
      </c>
      <c r="I120" s="2"/>
      <c r="J120" s="2"/>
      <c r="K120" s="2"/>
    </row>
    <row r="121" ht="15.75" customHeight="1">
      <c r="A121" s="4" t="str">
        <f>HYPERLINK("https://stackoverflow.com/q/41905258", "41905258")</f>
        <v>41905258</v>
      </c>
      <c r="B121" s="1">
        <v>4.1905258E7</v>
      </c>
      <c r="C121" s="2" t="s">
        <v>715</v>
      </c>
      <c r="D121" s="3"/>
      <c r="E121" s="3">
        <v>714.0</v>
      </c>
      <c r="F121" s="2" t="s">
        <v>11</v>
      </c>
      <c r="G121" s="2" t="s">
        <v>21</v>
      </c>
      <c r="H121" s="2"/>
      <c r="I121" s="2"/>
      <c r="J121" s="2"/>
      <c r="K121" s="2"/>
    </row>
    <row r="122" ht="15.75" customHeight="1">
      <c r="A122" s="4" t="str">
        <f>HYPERLINK("https://stackoverflow.com/q/41920583", "41920583")</f>
        <v>41920583</v>
      </c>
      <c r="B122" s="1">
        <v>4.1920583E7</v>
      </c>
      <c r="C122" s="2" t="s">
        <v>2043</v>
      </c>
      <c r="D122" s="3"/>
      <c r="E122" s="3">
        <v>118.0</v>
      </c>
      <c r="F122" s="2" t="s">
        <v>11</v>
      </c>
      <c r="G122" s="2" t="s">
        <v>25</v>
      </c>
      <c r="H122" s="2" t="s">
        <v>28</v>
      </c>
      <c r="I122" s="2"/>
      <c r="J122" s="2"/>
      <c r="K122" s="2"/>
    </row>
    <row r="123" ht="15.75" customHeight="1">
      <c r="A123" s="4" t="str">
        <f>HYPERLINK("https://stackoverflow.com/q/41935351", "41935351")</f>
        <v>41935351</v>
      </c>
      <c r="B123" s="1">
        <v>4.1935351E7</v>
      </c>
      <c r="C123" s="2" t="s">
        <v>138</v>
      </c>
      <c r="D123" s="3"/>
      <c r="E123" s="3">
        <v>2905.0</v>
      </c>
      <c r="F123" s="2" t="s">
        <v>11</v>
      </c>
      <c r="G123" s="2" t="s">
        <v>56</v>
      </c>
      <c r="H123" s="2"/>
      <c r="I123" s="2"/>
      <c r="J123" s="2"/>
      <c r="K123" s="2"/>
    </row>
    <row r="124" ht="15.75" customHeight="1">
      <c r="A124" s="4" t="str">
        <f>HYPERLINK("https://stackoverflow.com/q/41944876", "41944876")</f>
        <v>41944876</v>
      </c>
      <c r="B124" s="1">
        <v>4.1944876E7</v>
      </c>
      <c r="C124" s="2" t="s">
        <v>581</v>
      </c>
      <c r="D124" s="3">
        <v>3.0</v>
      </c>
      <c r="E124" s="3">
        <v>904.0</v>
      </c>
      <c r="F124" s="2" t="s">
        <v>11</v>
      </c>
      <c r="G124" s="2" t="s">
        <v>18</v>
      </c>
      <c r="H124" s="2"/>
      <c r="I124" s="2"/>
      <c r="J124" s="2"/>
      <c r="K124" s="2"/>
    </row>
    <row r="125" ht="15.75" customHeight="1">
      <c r="A125" s="4" t="str">
        <f>HYPERLINK("https://stackoverflow.com/q/41945601", "41945601")</f>
        <v>41945601</v>
      </c>
      <c r="B125" s="1">
        <v>4.1945601E7</v>
      </c>
      <c r="C125" s="2" t="s">
        <v>1765</v>
      </c>
      <c r="D125" s="3">
        <v>1.0</v>
      </c>
      <c r="E125" s="3">
        <v>174.0</v>
      </c>
      <c r="F125" s="9" t="s">
        <v>11</v>
      </c>
      <c r="G125" s="2" t="s">
        <v>18</v>
      </c>
      <c r="H125" s="2"/>
      <c r="I125" s="2"/>
      <c r="J125" s="2"/>
      <c r="K125" s="2"/>
    </row>
    <row r="126" ht="15.75" customHeight="1">
      <c r="A126" s="4" t="str">
        <f>HYPERLINK("https://stackoverflow.com/q/41980071", "41980071")</f>
        <v>41980071</v>
      </c>
      <c r="B126" s="1">
        <v>4.1980071E7</v>
      </c>
      <c r="C126" s="2" t="s">
        <v>809</v>
      </c>
      <c r="D126" s="3"/>
      <c r="E126" s="3">
        <v>613.0</v>
      </c>
      <c r="F126" s="2" t="s">
        <v>11</v>
      </c>
      <c r="G126" s="2" t="s">
        <v>21</v>
      </c>
      <c r="H126" s="2"/>
      <c r="I126" s="2"/>
      <c r="J126" s="2"/>
      <c r="K126" s="2"/>
    </row>
    <row r="127" ht="15.75" customHeight="1">
      <c r="A127" s="4" t="str">
        <f>HYPERLINK("https://stackoverflow.com/q/41983737", "41983737")</f>
        <v>41983737</v>
      </c>
      <c r="B127" s="1">
        <v>4.1983737E7</v>
      </c>
      <c r="C127" s="2" t="s">
        <v>1144</v>
      </c>
      <c r="D127" s="3"/>
      <c r="E127" s="3">
        <v>402.0</v>
      </c>
      <c r="F127" s="2" t="s">
        <v>11</v>
      </c>
      <c r="G127" s="2" t="s">
        <v>67</v>
      </c>
      <c r="H127" s="2"/>
      <c r="I127" s="2"/>
      <c r="J127" s="2"/>
      <c r="K127" s="2"/>
    </row>
    <row r="128" ht="15.75" customHeight="1">
      <c r="A128" s="4" t="str">
        <f>HYPERLINK("https://stackoverflow.com/q/41984603", "41984603")</f>
        <v>41984603</v>
      </c>
      <c r="B128" s="1">
        <v>4.1984603E7</v>
      </c>
      <c r="C128" s="2" t="s">
        <v>1638</v>
      </c>
      <c r="D128" s="3">
        <v>0.0</v>
      </c>
      <c r="E128" s="3">
        <v>213.0</v>
      </c>
      <c r="F128" s="2" t="s">
        <v>11</v>
      </c>
      <c r="G128" s="2" t="s">
        <v>30</v>
      </c>
      <c r="H128" s="2"/>
      <c r="I128" s="2"/>
      <c r="J128" s="2"/>
      <c r="K128" s="2"/>
    </row>
    <row r="129" ht="15.75" customHeight="1">
      <c r="A129" s="4" t="str">
        <f>HYPERLINK("https://stackoverflow.com/q/41987911", "41987911")</f>
        <v>41987911</v>
      </c>
      <c r="B129" s="1">
        <v>4.1987911E7</v>
      </c>
      <c r="C129" s="2" t="s">
        <v>2182</v>
      </c>
      <c r="D129" s="3"/>
      <c r="E129" s="3">
        <v>98.0</v>
      </c>
      <c r="F129" s="2" t="s">
        <v>11</v>
      </c>
      <c r="G129" s="2" t="s">
        <v>25</v>
      </c>
      <c r="H129" s="2"/>
      <c r="I129" s="2"/>
      <c r="J129" s="2"/>
      <c r="K129" s="2"/>
    </row>
    <row r="130" ht="15.75" customHeight="1">
      <c r="A130" s="4" t="str">
        <f>HYPERLINK("https://stackoverflow.com/q/41994114", "41994114")</f>
        <v>41994114</v>
      </c>
      <c r="B130" s="1">
        <v>4.1994114E7</v>
      </c>
      <c r="C130" s="2" t="s">
        <v>857</v>
      </c>
      <c r="D130" s="3">
        <v>1.0</v>
      </c>
      <c r="E130" s="3">
        <v>575.0</v>
      </c>
      <c r="F130" s="2" t="s">
        <v>11</v>
      </c>
      <c r="G130" s="2" t="s">
        <v>35</v>
      </c>
      <c r="H130" s="2"/>
      <c r="I130" s="2"/>
      <c r="J130" s="2"/>
      <c r="K130" s="2"/>
    </row>
    <row r="131" ht="15.75" customHeight="1">
      <c r="A131" s="4" t="str">
        <f>HYPERLINK("https://stackoverflow.com/q/42006707", "42006707")</f>
        <v>42006707</v>
      </c>
      <c r="B131" s="1">
        <v>4.2006707E7</v>
      </c>
      <c r="C131" s="2" t="s">
        <v>1449</v>
      </c>
      <c r="D131" s="3"/>
      <c r="E131" s="3">
        <v>270.0</v>
      </c>
      <c r="F131" s="2" t="s">
        <v>11</v>
      </c>
      <c r="G131" s="2" t="s">
        <v>44</v>
      </c>
      <c r="H131" s="2"/>
      <c r="I131" s="2"/>
      <c r="J131" s="2"/>
      <c r="K131" s="2"/>
    </row>
    <row r="132" ht="15.75" customHeight="1">
      <c r="A132" s="4" t="str">
        <f>HYPERLINK("https://stackoverflow.com/q/42010994", "42010994")</f>
        <v>42010994</v>
      </c>
      <c r="B132" s="1">
        <v>4.2010994E7</v>
      </c>
      <c r="C132" s="2" t="s">
        <v>960</v>
      </c>
      <c r="D132" s="3">
        <v>1.0</v>
      </c>
      <c r="E132" s="3">
        <v>499.0</v>
      </c>
      <c r="F132" s="2" t="s">
        <v>11</v>
      </c>
      <c r="G132" s="2" t="s">
        <v>12</v>
      </c>
      <c r="H132" s="2"/>
      <c r="I132" s="2"/>
      <c r="J132" s="2"/>
      <c r="K132" s="2"/>
    </row>
    <row r="133" ht="15.75" customHeight="1">
      <c r="A133" s="4" t="str">
        <f>HYPERLINK("https://stackoverflow.com/q/42020377", "42020377")</f>
        <v>42020377</v>
      </c>
      <c r="B133" s="1">
        <v>4.2020377E7</v>
      </c>
      <c r="C133" s="2" t="s">
        <v>225</v>
      </c>
      <c r="D133" s="3"/>
      <c r="E133" s="3">
        <v>2132.0</v>
      </c>
      <c r="F133" s="2" t="s">
        <v>11</v>
      </c>
      <c r="G133" s="2" t="s">
        <v>30</v>
      </c>
      <c r="H133" s="2"/>
      <c r="I133" s="2"/>
      <c r="J133" s="2"/>
      <c r="K133" s="2"/>
    </row>
    <row r="134" ht="15.75" customHeight="1">
      <c r="A134" s="4" t="str">
        <f>HYPERLINK("https://stackoverflow.com/q/42024359", "42024359")</f>
        <v>42024359</v>
      </c>
      <c r="B134" s="1">
        <v>4.2024359E7</v>
      </c>
      <c r="C134" s="2" t="s">
        <v>293</v>
      </c>
      <c r="D134" s="3">
        <v>1.0</v>
      </c>
      <c r="E134" s="3">
        <v>1736.0</v>
      </c>
      <c r="F134" s="2" t="s">
        <v>11</v>
      </c>
      <c r="G134" s="2" t="s">
        <v>38</v>
      </c>
      <c r="H134" s="2" t="s">
        <v>18</v>
      </c>
      <c r="I134" s="2"/>
      <c r="J134" s="2"/>
      <c r="K134" s="2"/>
    </row>
    <row r="135" ht="15.75" customHeight="1">
      <c r="A135" s="4" t="str">
        <f>HYPERLINK("https://stackoverflow.com/q/42053998", "42053998")</f>
        <v>42053998</v>
      </c>
      <c r="B135" s="1">
        <v>4.2053998E7</v>
      </c>
      <c r="C135" s="2" t="s">
        <v>358</v>
      </c>
      <c r="D135" s="3"/>
      <c r="E135" s="3">
        <v>1449.0</v>
      </c>
      <c r="F135" s="2" t="s">
        <v>11</v>
      </c>
      <c r="G135" s="2" t="s">
        <v>34</v>
      </c>
      <c r="H135" s="2" t="s">
        <v>25</v>
      </c>
      <c r="I135" s="2"/>
      <c r="J135" s="2"/>
      <c r="K135" s="2"/>
    </row>
    <row r="136" ht="15.75" customHeight="1">
      <c r="A136" s="4" t="str">
        <f>HYPERLINK("https://stackoverflow.com/q/42073424", "42073424")</f>
        <v>42073424</v>
      </c>
      <c r="B136" s="1">
        <v>4.2073424E7</v>
      </c>
      <c r="C136" s="2" t="s">
        <v>503</v>
      </c>
      <c r="D136" s="3"/>
      <c r="E136" s="3">
        <v>1064.0</v>
      </c>
      <c r="F136" s="2" t="s">
        <v>11</v>
      </c>
      <c r="G136" s="2" t="s">
        <v>56</v>
      </c>
      <c r="H136" s="2"/>
      <c r="I136" s="2"/>
      <c r="J136" s="2"/>
      <c r="K136" s="2"/>
    </row>
    <row r="137" ht="15.75" customHeight="1">
      <c r="A137" s="4" t="str">
        <f>HYPERLINK("https://stackoverflow.com/q/42106471", "42106471")</f>
        <v>42106471</v>
      </c>
      <c r="B137" s="1">
        <v>4.2106471E7</v>
      </c>
      <c r="C137" s="2" t="s">
        <v>2089</v>
      </c>
      <c r="D137" s="3"/>
      <c r="E137" s="3">
        <v>111.0</v>
      </c>
      <c r="F137" s="2" t="s">
        <v>11</v>
      </c>
      <c r="G137" s="2" t="s">
        <v>12</v>
      </c>
      <c r="H137" s="2"/>
      <c r="I137" s="2"/>
      <c r="J137" s="2"/>
      <c r="K137" s="2"/>
    </row>
    <row r="138" ht="15.75" customHeight="1">
      <c r="A138" s="4" t="str">
        <f>HYPERLINK("https://stackoverflow.com/q/42121564", "42121564")</f>
        <v>42121564</v>
      </c>
      <c r="B138" s="1">
        <v>4.2121564E7</v>
      </c>
      <c r="C138" s="2" t="s">
        <v>259</v>
      </c>
      <c r="D138" s="3">
        <v>1.0</v>
      </c>
      <c r="E138" s="3">
        <v>1901.0</v>
      </c>
      <c r="F138" s="2" t="s">
        <v>11</v>
      </c>
      <c r="G138" s="2" t="s">
        <v>67</v>
      </c>
      <c r="H138" s="2"/>
      <c r="I138" s="2"/>
      <c r="J138" s="2"/>
      <c r="K138" s="2"/>
    </row>
    <row r="139" ht="15.75" customHeight="1">
      <c r="A139" s="4" t="str">
        <f>HYPERLINK("https://stackoverflow.com/q/42145093", "42145093")</f>
        <v>42145093</v>
      </c>
      <c r="B139" s="1">
        <v>4.2145093E7</v>
      </c>
      <c r="C139" s="2" t="s">
        <v>941</v>
      </c>
      <c r="D139" s="3"/>
      <c r="E139" s="3">
        <v>513.0</v>
      </c>
      <c r="F139" s="2" t="s">
        <v>11</v>
      </c>
      <c r="G139" s="2" t="s">
        <v>14</v>
      </c>
      <c r="H139" s="2"/>
      <c r="I139" s="2"/>
      <c r="J139" s="2"/>
      <c r="K139" s="2"/>
    </row>
    <row r="140" ht="15.75" customHeight="1">
      <c r="A140" s="4" t="str">
        <f>HYPERLINK("https://stackoverflow.com/q/42148587", "42148587")</f>
        <v>42148587</v>
      </c>
      <c r="B140" s="1">
        <v>4.2148587E7</v>
      </c>
      <c r="C140" s="2" t="s">
        <v>400</v>
      </c>
      <c r="D140" s="3"/>
      <c r="E140" s="3">
        <v>1305.0</v>
      </c>
      <c r="F140" s="2" t="s">
        <v>11</v>
      </c>
      <c r="G140" s="2" t="s">
        <v>14</v>
      </c>
      <c r="H140" s="2"/>
      <c r="I140" s="2"/>
      <c r="J140" s="2"/>
      <c r="K140" s="2"/>
    </row>
    <row r="141" ht="15.75" customHeight="1">
      <c r="A141" s="4" t="str">
        <f>HYPERLINK("https://stackoverflow.com/q/42169656", "42169656")</f>
        <v>42169656</v>
      </c>
      <c r="B141" s="1">
        <v>4.2169656E7</v>
      </c>
      <c r="C141" s="2" t="s">
        <v>336</v>
      </c>
      <c r="D141" s="3"/>
      <c r="E141" s="3">
        <v>1546.0</v>
      </c>
      <c r="F141" s="2" t="s">
        <v>11</v>
      </c>
      <c r="G141" s="2" t="s">
        <v>14</v>
      </c>
      <c r="H141" s="2"/>
      <c r="I141" s="2"/>
      <c r="J141" s="2"/>
      <c r="K141" s="2"/>
    </row>
    <row r="142" ht="15.75" customHeight="1">
      <c r="A142" s="4" t="str">
        <f>HYPERLINK("https://stackoverflow.com/q/42170805", "42170805")</f>
        <v>42170805</v>
      </c>
      <c r="B142" s="1">
        <v>4.2170805E7</v>
      </c>
      <c r="C142" s="2" t="s">
        <v>1709</v>
      </c>
      <c r="D142" s="3"/>
      <c r="E142" s="3">
        <v>191.0</v>
      </c>
      <c r="F142" s="2" t="s">
        <v>11</v>
      </c>
      <c r="G142" s="2" t="s">
        <v>25</v>
      </c>
      <c r="H142" s="2"/>
      <c r="I142" s="2"/>
      <c r="J142" s="2"/>
      <c r="K142" s="2"/>
    </row>
    <row r="143" ht="15.75" customHeight="1">
      <c r="A143" s="4" t="str">
        <f>HYPERLINK("https://stackoverflow.com/q/42215621", "42215621")</f>
        <v>42215621</v>
      </c>
      <c r="B143" s="1">
        <v>4.2215621E7</v>
      </c>
      <c r="C143" s="2" t="s">
        <v>1933</v>
      </c>
      <c r="D143" s="3"/>
      <c r="E143" s="3">
        <v>141.0</v>
      </c>
      <c r="F143" s="2" t="s">
        <v>11</v>
      </c>
      <c r="G143" s="2" t="s">
        <v>12</v>
      </c>
      <c r="H143" s="2"/>
      <c r="I143" s="2"/>
      <c r="J143" s="2"/>
      <c r="K143" s="2"/>
    </row>
    <row r="144" ht="15.75" customHeight="1">
      <c r="A144" s="4" t="str">
        <f>HYPERLINK("https://stackoverflow.com/q/42227249", "42227249")</f>
        <v>42227249</v>
      </c>
      <c r="B144" s="1">
        <v>4.2227249E7</v>
      </c>
      <c r="C144" s="2" t="s">
        <v>1338</v>
      </c>
      <c r="D144" s="3"/>
      <c r="E144" s="3">
        <v>323.0</v>
      </c>
      <c r="F144" s="9" t="s">
        <v>11</v>
      </c>
      <c r="G144" s="2" t="s">
        <v>18</v>
      </c>
      <c r="H144" s="2"/>
      <c r="I144" s="2"/>
      <c r="J144" s="2"/>
      <c r="K144" s="2"/>
    </row>
    <row r="145" ht="15.75" customHeight="1">
      <c r="A145" s="4" t="str">
        <f>HYPERLINK("https://stackoverflow.com/q/42238738", "42238738")</f>
        <v>42238738</v>
      </c>
      <c r="B145" s="1">
        <v>4.2238738E7</v>
      </c>
      <c r="C145" s="2" t="s">
        <v>1059</v>
      </c>
      <c r="D145" s="3">
        <v>1.0</v>
      </c>
      <c r="E145" s="3">
        <v>448.0</v>
      </c>
      <c r="F145" s="2" t="s">
        <v>11</v>
      </c>
      <c r="G145" s="2" t="s">
        <v>12</v>
      </c>
      <c r="H145" s="2"/>
      <c r="I145" s="2"/>
      <c r="J145" s="2"/>
      <c r="K145" s="2"/>
    </row>
    <row r="146" ht="15.75" customHeight="1">
      <c r="A146" s="4" t="str">
        <f>HYPERLINK("https://stackoverflow.com/q/42239047", "42239047")</f>
        <v>42239047</v>
      </c>
      <c r="B146" s="1">
        <v>4.2239047E7</v>
      </c>
      <c r="C146" s="2" t="s">
        <v>1936</v>
      </c>
      <c r="D146" s="3"/>
      <c r="E146" s="3">
        <v>140.0</v>
      </c>
      <c r="F146" s="2" t="s">
        <v>11</v>
      </c>
      <c r="G146" s="2" t="s">
        <v>12</v>
      </c>
      <c r="H146" s="2"/>
      <c r="I146" s="2"/>
      <c r="J146" s="2"/>
      <c r="K146" s="2"/>
    </row>
    <row r="147" ht="15.75" customHeight="1">
      <c r="A147" s="4" t="str">
        <f>HYPERLINK("https://stackoverflow.com/q/42254535", "42254535")</f>
        <v>42254535</v>
      </c>
      <c r="B147" s="1">
        <v>4.2254535E7</v>
      </c>
      <c r="C147" s="2" t="s">
        <v>369</v>
      </c>
      <c r="D147" s="3"/>
      <c r="E147" s="3">
        <v>1403.0</v>
      </c>
      <c r="F147" s="2" t="s">
        <v>11</v>
      </c>
      <c r="G147" s="2" t="s">
        <v>25</v>
      </c>
      <c r="H147" s="2"/>
      <c r="I147" s="2"/>
      <c r="J147" s="2"/>
      <c r="K147" s="2"/>
    </row>
    <row r="148" ht="15.75" customHeight="1">
      <c r="A148" s="4" t="str">
        <f>HYPERLINK("https://stackoverflow.com/q/42277585", "42277585")</f>
        <v>42277585</v>
      </c>
      <c r="B148" s="1">
        <v>4.2277585E7</v>
      </c>
      <c r="C148" s="2" t="s">
        <v>871</v>
      </c>
      <c r="D148" s="3"/>
      <c r="E148" s="3">
        <v>563.0</v>
      </c>
      <c r="F148" s="2" t="s">
        <v>11</v>
      </c>
      <c r="G148" s="2" t="s">
        <v>12</v>
      </c>
      <c r="H148" s="2"/>
      <c r="I148" s="2"/>
      <c r="J148" s="2"/>
      <c r="K148" s="2"/>
    </row>
    <row r="149" ht="15.75" customHeight="1">
      <c r="A149" s="4" t="str">
        <f>HYPERLINK("https://stackoverflow.com/q/42295539", "42295539")</f>
        <v>42295539</v>
      </c>
      <c r="B149" s="1">
        <v>4.2295539E7</v>
      </c>
      <c r="C149" s="2" t="s">
        <v>1887</v>
      </c>
      <c r="D149" s="3"/>
      <c r="E149" s="3">
        <v>149.0</v>
      </c>
      <c r="F149" s="2" t="s">
        <v>11</v>
      </c>
      <c r="G149" s="2" t="s">
        <v>30</v>
      </c>
      <c r="H149" s="2"/>
      <c r="I149" s="2"/>
      <c r="J149" s="2"/>
      <c r="K149" s="2"/>
    </row>
    <row r="150" ht="15.75" customHeight="1">
      <c r="A150" s="4" t="str">
        <f>HYPERLINK("https://stackoverflow.com/q/42305224", "42305224")</f>
        <v>42305224</v>
      </c>
      <c r="B150" s="1">
        <v>4.2305224E7</v>
      </c>
      <c r="C150" s="2" t="s">
        <v>1437</v>
      </c>
      <c r="D150" s="3"/>
      <c r="E150" s="3">
        <v>279.0</v>
      </c>
      <c r="F150" s="9" t="s">
        <v>11</v>
      </c>
      <c r="G150" s="2" t="s">
        <v>18</v>
      </c>
      <c r="H150" s="2"/>
      <c r="I150" s="2"/>
      <c r="J150" s="2"/>
      <c r="K150" s="2"/>
    </row>
    <row r="151" ht="15.75" customHeight="1">
      <c r="A151" s="4" t="str">
        <f>HYPERLINK("https://stackoverflow.com/q/42313976", "42313976")</f>
        <v>42313976</v>
      </c>
      <c r="B151" s="1">
        <v>4.2313976E7</v>
      </c>
      <c r="C151" s="2" t="s">
        <v>2672</v>
      </c>
      <c r="D151" s="3"/>
      <c r="E151" s="3">
        <v>54.0</v>
      </c>
      <c r="F151" s="2" t="s">
        <v>11</v>
      </c>
      <c r="G151" s="2" t="s">
        <v>14</v>
      </c>
      <c r="H151" s="2"/>
      <c r="I151" s="2"/>
      <c r="J151" s="2"/>
      <c r="K151" s="2"/>
    </row>
    <row r="152" ht="15.75" customHeight="1">
      <c r="A152" s="4" t="str">
        <f>HYPERLINK("https://stackoverflow.com/q/42375516", "42375516")</f>
        <v>42375516</v>
      </c>
      <c r="B152" s="1">
        <v>4.2375516E7</v>
      </c>
      <c r="C152" s="2" t="s">
        <v>2728</v>
      </c>
      <c r="D152" s="3"/>
      <c r="E152" s="3">
        <v>50.0</v>
      </c>
      <c r="F152" s="2" t="s">
        <v>11</v>
      </c>
      <c r="G152" s="2" t="s">
        <v>30</v>
      </c>
      <c r="H152" s="2"/>
      <c r="I152" s="2"/>
      <c r="J152" s="2"/>
      <c r="K152" s="2"/>
    </row>
    <row r="153" ht="15.75" customHeight="1">
      <c r="A153" s="4" t="str">
        <f>HYPERLINK("https://stackoverflow.com/q/42379606", "42379606")</f>
        <v>42379606</v>
      </c>
      <c r="B153" s="1">
        <v>4.2379606E7</v>
      </c>
      <c r="C153" s="2" t="s">
        <v>1737</v>
      </c>
      <c r="D153" s="3"/>
      <c r="E153" s="3">
        <v>182.0</v>
      </c>
      <c r="F153" s="2" t="s">
        <v>11</v>
      </c>
      <c r="G153" s="2" t="s">
        <v>67</v>
      </c>
      <c r="H153" s="2"/>
      <c r="I153" s="2"/>
      <c r="J153" s="2"/>
      <c r="K153" s="2"/>
    </row>
    <row r="154" ht="15.75" customHeight="1">
      <c r="A154" s="4" t="str">
        <f>HYPERLINK("https://stackoverflow.com/q/42388942", "42388942")</f>
        <v>42388942</v>
      </c>
      <c r="B154" s="1">
        <v>4.2388942E7</v>
      </c>
      <c r="C154" s="2" t="s">
        <v>405</v>
      </c>
      <c r="D154" s="3"/>
      <c r="E154" s="3">
        <v>1294.0</v>
      </c>
      <c r="F154" s="2" t="s">
        <v>11</v>
      </c>
      <c r="G154" s="2" t="s">
        <v>67</v>
      </c>
      <c r="H154" s="2"/>
      <c r="I154" s="2"/>
      <c r="J154" s="2"/>
      <c r="K154" s="2"/>
    </row>
    <row r="155" ht="15.75" customHeight="1">
      <c r="A155" s="4" t="str">
        <f>HYPERLINK("https://stackoverflow.com/q/42405004", "42405004")</f>
        <v>42405004</v>
      </c>
      <c r="B155" s="1">
        <v>4.2405004E7</v>
      </c>
      <c r="C155" s="2" t="s">
        <v>530</v>
      </c>
      <c r="D155" s="3">
        <v>2.0</v>
      </c>
      <c r="E155" s="3">
        <v>1005.0</v>
      </c>
      <c r="F155" s="2" t="s">
        <v>11</v>
      </c>
      <c r="G155" s="2" t="s">
        <v>30</v>
      </c>
      <c r="H155" s="2"/>
      <c r="I155" s="2"/>
      <c r="J155" s="2"/>
      <c r="K155" s="2"/>
    </row>
    <row r="156" ht="15.75" customHeight="1">
      <c r="A156" s="4" t="str">
        <f>HYPERLINK("https://stackoverflow.com/q/42444198", "42444198")</f>
        <v>42444198</v>
      </c>
      <c r="B156" s="1">
        <v>4.2444198E7</v>
      </c>
      <c r="C156" s="2" t="s">
        <v>567</v>
      </c>
      <c r="D156" s="3"/>
      <c r="E156" s="3">
        <v>942.0</v>
      </c>
      <c r="F156" s="2" t="s">
        <v>11</v>
      </c>
      <c r="G156" s="2" t="s">
        <v>25</v>
      </c>
      <c r="H156" s="2"/>
      <c r="I156" s="2"/>
      <c r="J156" s="2"/>
      <c r="K156" s="2"/>
    </row>
    <row r="157" ht="15.75" customHeight="1">
      <c r="A157" s="4" t="str">
        <f>HYPERLINK("https://stackoverflow.com/q/42470252", "42470252")</f>
        <v>42470252</v>
      </c>
      <c r="B157" s="1">
        <v>4.2470252E7</v>
      </c>
      <c r="C157" s="2" t="s">
        <v>1037</v>
      </c>
      <c r="D157" s="3">
        <v>1.0</v>
      </c>
      <c r="E157" s="3">
        <v>460.0</v>
      </c>
      <c r="F157" s="2" t="s">
        <v>11</v>
      </c>
      <c r="G157" s="2" t="s">
        <v>25</v>
      </c>
      <c r="H157" s="2"/>
      <c r="I157" s="2"/>
      <c r="J157" s="2"/>
      <c r="K157" s="2"/>
    </row>
    <row r="158" ht="15.75" customHeight="1">
      <c r="A158" s="4" t="str">
        <f>HYPERLINK("https://stackoverflow.com/q/42483638", "42483638")</f>
        <v>42483638</v>
      </c>
      <c r="B158" s="1">
        <v>4.2483638E7</v>
      </c>
      <c r="C158" s="2" t="s">
        <v>850</v>
      </c>
      <c r="D158" s="3"/>
      <c r="E158" s="3">
        <v>580.0</v>
      </c>
      <c r="F158" s="2" t="s">
        <v>11</v>
      </c>
      <c r="G158" s="2" t="s">
        <v>35</v>
      </c>
      <c r="H158" s="2"/>
      <c r="I158" s="2"/>
      <c r="J158" s="2"/>
      <c r="K158" s="2"/>
    </row>
    <row r="159" ht="15.75" customHeight="1">
      <c r="A159" s="4" t="str">
        <f>HYPERLINK("https://stackoverflow.com/q/42484228", "42484228")</f>
        <v>42484228</v>
      </c>
      <c r="B159" s="1">
        <v>4.2484228E7</v>
      </c>
      <c r="C159" s="2" t="s">
        <v>2654</v>
      </c>
      <c r="D159" s="3">
        <v>1.0</v>
      </c>
      <c r="E159" s="3">
        <v>56.0</v>
      </c>
      <c r="F159" s="2" t="s">
        <v>11</v>
      </c>
      <c r="G159" s="2" t="s">
        <v>14</v>
      </c>
      <c r="H159" s="2"/>
      <c r="I159" s="2"/>
      <c r="J159" s="2"/>
      <c r="K159" s="2"/>
    </row>
    <row r="160" ht="15.75" customHeight="1">
      <c r="A160" s="4" t="str">
        <f>HYPERLINK("https://stackoverflow.com/q/42503229", "42503229")</f>
        <v>42503229</v>
      </c>
      <c r="B160" s="1">
        <v>4.2503229E7</v>
      </c>
      <c r="C160" s="2" t="s">
        <v>1630</v>
      </c>
      <c r="D160" s="3"/>
      <c r="E160" s="3">
        <v>215.0</v>
      </c>
      <c r="F160" s="2" t="s">
        <v>11</v>
      </c>
      <c r="G160" s="2" t="s">
        <v>25</v>
      </c>
      <c r="H160" s="2"/>
      <c r="I160" s="2"/>
      <c r="J160" s="2"/>
      <c r="K160" s="2"/>
    </row>
    <row r="161" ht="15.75" customHeight="1">
      <c r="A161" s="4" t="str">
        <f>HYPERLINK("https://stackoverflow.com/q/42506938", "42506938")</f>
        <v>42506938</v>
      </c>
      <c r="B161" s="1">
        <v>4.2506938E7</v>
      </c>
      <c r="C161" s="2" t="s">
        <v>505</v>
      </c>
      <c r="D161" s="3">
        <v>1.0</v>
      </c>
      <c r="E161" s="3">
        <v>1059.0</v>
      </c>
      <c r="F161" s="2" t="s">
        <v>72</v>
      </c>
      <c r="G161" s="2" t="s">
        <v>506</v>
      </c>
      <c r="H161" s="2"/>
      <c r="I161" s="2"/>
      <c r="J161" s="2"/>
      <c r="K161" s="2"/>
    </row>
    <row r="162" ht="15.75" customHeight="1">
      <c r="A162" s="4" t="str">
        <f>HYPERLINK("https://stackoverflow.com/q/42530654", "42530654")</f>
        <v>42530654</v>
      </c>
      <c r="B162" s="1">
        <v>4.2530654E7</v>
      </c>
      <c r="C162" s="2" t="s">
        <v>253</v>
      </c>
      <c r="D162" s="3">
        <v>4.0</v>
      </c>
      <c r="E162" s="3">
        <v>1927.0</v>
      </c>
      <c r="F162" s="2" t="s">
        <v>11</v>
      </c>
      <c r="G162" s="2" t="s">
        <v>14</v>
      </c>
      <c r="H162" s="2"/>
      <c r="I162" s="2"/>
      <c r="J162" s="2"/>
      <c r="K162" s="2"/>
    </row>
    <row r="163" ht="15.75" customHeight="1">
      <c r="A163" s="4" t="str">
        <f>HYPERLINK("https://stackoverflow.com/q/42560474", "42560474")</f>
        <v>42560474</v>
      </c>
      <c r="B163" s="1">
        <v>4.2560474E7</v>
      </c>
      <c r="C163" s="2" t="s">
        <v>598</v>
      </c>
      <c r="D163" s="3"/>
      <c r="E163" s="3">
        <v>878.0</v>
      </c>
      <c r="F163" s="2" t="s">
        <v>11</v>
      </c>
      <c r="G163" s="2" t="s">
        <v>73</v>
      </c>
      <c r="H163" s="2"/>
      <c r="I163" s="2"/>
      <c r="J163" s="2"/>
      <c r="K163" s="2"/>
    </row>
    <row r="164" ht="15.75" customHeight="1">
      <c r="A164" s="4" t="str">
        <f>HYPERLINK("https://stackoverflow.com/q/42619631", "42619631")</f>
        <v>42619631</v>
      </c>
      <c r="B164" s="1">
        <v>4.2619631E7</v>
      </c>
      <c r="C164" s="2" t="s">
        <v>2540</v>
      </c>
      <c r="D164" s="3"/>
      <c r="E164" s="3">
        <v>64.0</v>
      </c>
      <c r="F164" s="9" t="s">
        <v>11</v>
      </c>
      <c r="G164" s="2" t="s">
        <v>18</v>
      </c>
      <c r="H164" s="2"/>
      <c r="I164" s="2"/>
      <c r="J164" s="2"/>
      <c r="K164" s="2"/>
    </row>
    <row r="165" ht="15.75" customHeight="1">
      <c r="A165" s="4" t="str">
        <f>HYPERLINK("https://stackoverflow.com/q/42623994", "42623994")</f>
        <v>42623994</v>
      </c>
      <c r="B165" s="1">
        <v>4.2623994E7</v>
      </c>
      <c r="C165" s="2" t="s">
        <v>905</v>
      </c>
      <c r="D165" s="3"/>
      <c r="E165" s="3">
        <v>543.0</v>
      </c>
      <c r="F165" s="9" t="s">
        <v>11</v>
      </c>
      <c r="G165" s="2" t="s">
        <v>18</v>
      </c>
      <c r="H165" s="2"/>
      <c r="I165" s="2"/>
      <c r="J165" s="2"/>
      <c r="K165" s="2"/>
    </row>
    <row r="166" ht="15.75" customHeight="1">
      <c r="A166" s="4" t="str">
        <f>HYPERLINK("https://stackoverflow.com/q/42638538", "42638538")</f>
        <v>42638538</v>
      </c>
      <c r="B166" s="1">
        <v>4.2638538E7</v>
      </c>
      <c r="C166" s="2" t="s">
        <v>1867</v>
      </c>
      <c r="D166" s="3"/>
      <c r="E166" s="3">
        <v>154.0</v>
      </c>
      <c r="F166" s="2" t="s">
        <v>11</v>
      </c>
      <c r="G166" s="2" t="s">
        <v>25</v>
      </c>
      <c r="H166" s="2"/>
      <c r="I166" s="2"/>
      <c r="J166" s="2"/>
      <c r="K166" s="2"/>
    </row>
    <row r="167" ht="15.75" customHeight="1">
      <c r="A167" s="4" t="str">
        <f>HYPERLINK("https://stackoverflow.com/q/42642927", "42642927")</f>
        <v>42642927</v>
      </c>
      <c r="B167" s="1">
        <v>4.2642927E7</v>
      </c>
      <c r="C167" s="2" t="s">
        <v>2655</v>
      </c>
      <c r="D167" s="3"/>
      <c r="E167" s="3">
        <v>56.0</v>
      </c>
      <c r="F167" s="9" t="s">
        <v>11</v>
      </c>
      <c r="G167" s="2" t="s">
        <v>18</v>
      </c>
      <c r="H167" s="2"/>
      <c r="I167" s="2"/>
      <c r="J167" s="2"/>
      <c r="K167" s="2"/>
    </row>
    <row r="168" ht="15.75" customHeight="1">
      <c r="A168" s="4" t="str">
        <f>HYPERLINK("https://stackoverflow.com/q/42647054", "42647054")</f>
        <v>42647054</v>
      </c>
      <c r="B168" s="1">
        <v>4.2647054E7</v>
      </c>
      <c r="C168" s="2" t="s">
        <v>411</v>
      </c>
      <c r="D168" s="3">
        <v>1.0</v>
      </c>
      <c r="E168" s="3">
        <v>1283.0</v>
      </c>
      <c r="F168" s="2" t="s">
        <v>59</v>
      </c>
      <c r="G168" s="2" t="s">
        <v>30</v>
      </c>
      <c r="H168" s="2"/>
      <c r="I168" s="2"/>
      <c r="J168" s="2"/>
      <c r="K168" s="2"/>
    </row>
    <row r="169" ht="15.75" customHeight="1">
      <c r="A169" s="4" t="str">
        <f>HYPERLINK("https://stackoverflow.com/q/42658036", "42658036")</f>
        <v>42658036</v>
      </c>
      <c r="B169" s="1">
        <v>4.2658036E7</v>
      </c>
      <c r="C169" s="2" t="s">
        <v>3340</v>
      </c>
      <c r="D169" s="3"/>
      <c r="E169" s="3">
        <v>22.0</v>
      </c>
      <c r="F169" s="2" t="s">
        <v>11</v>
      </c>
      <c r="G169" s="2" t="s">
        <v>25</v>
      </c>
      <c r="H169" s="2"/>
      <c r="I169" s="2"/>
      <c r="J169" s="2"/>
      <c r="K169" s="2"/>
    </row>
    <row r="170" ht="15.75" customHeight="1">
      <c r="A170" s="4" t="str">
        <f>HYPERLINK("https://stackoverflow.com/q/42672196", "42672196")</f>
        <v>42672196</v>
      </c>
      <c r="B170" s="1">
        <v>4.2672196E7</v>
      </c>
      <c r="C170" s="2" t="s">
        <v>409</v>
      </c>
      <c r="D170" s="3">
        <v>1.0</v>
      </c>
      <c r="E170" s="3">
        <v>1288.0</v>
      </c>
      <c r="F170" s="2" t="s">
        <v>11</v>
      </c>
      <c r="G170" s="2" t="s">
        <v>25</v>
      </c>
      <c r="H170" s="2"/>
      <c r="I170" s="2"/>
      <c r="J170" s="2"/>
      <c r="K170" s="2"/>
    </row>
    <row r="171" ht="15.75" customHeight="1">
      <c r="A171" s="4" t="str">
        <f>HYPERLINK("https://stackoverflow.com/q/42677688", "42677688")</f>
        <v>42677688</v>
      </c>
      <c r="B171" s="1">
        <v>4.2677688E7</v>
      </c>
      <c r="C171" s="2" t="s">
        <v>831</v>
      </c>
      <c r="D171" s="3"/>
      <c r="E171" s="3">
        <v>594.0</v>
      </c>
      <c r="F171" s="2" t="s">
        <v>11</v>
      </c>
      <c r="G171" s="2" t="s">
        <v>25</v>
      </c>
      <c r="H171" s="2"/>
      <c r="I171" s="2"/>
      <c r="J171" s="2"/>
      <c r="K171" s="2"/>
    </row>
    <row r="172" ht="15.75" customHeight="1">
      <c r="A172" s="4" t="str">
        <f>HYPERLINK("https://stackoverflow.com/q/42705379", "42705379")</f>
        <v>42705379</v>
      </c>
      <c r="B172" s="1">
        <v>4.2705379E7</v>
      </c>
      <c r="C172" s="2" t="s">
        <v>385</v>
      </c>
      <c r="D172" s="3"/>
      <c r="E172" s="3">
        <v>1331.0</v>
      </c>
      <c r="F172" s="2" t="s">
        <v>11</v>
      </c>
      <c r="G172" s="2" t="s">
        <v>25</v>
      </c>
      <c r="H172" s="2"/>
      <c r="I172" s="2"/>
      <c r="J172" s="2"/>
      <c r="K172" s="2"/>
    </row>
    <row r="173" ht="15.75" customHeight="1">
      <c r="A173" s="4" t="str">
        <f>HYPERLINK("https://stackoverflow.com/q/42730602", "42730602")</f>
        <v>42730602</v>
      </c>
      <c r="B173" s="1">
        <v>4.2730602E7</v>
      </c>
      <c r="C173" s="2" t="s">
        <v>1555</v>
      </c>
      <c r="D173" s="3">
        <v>1.0</v>
      </c>
      <c r="E173" s="3">
        <v>233.0</v>
      </c>
      <c r="F173" s="2" t="s">
        <v>537</v>
      </c>
      <c r="G173" s="2" t="s">
        <v>538</v>
      </c>
      <c r="H173" s="2"/>
      <c r="I173" s="2"/>
      <c r="J173" s="2"/>
      <c r="K173" s="2"/>
    </row>
    <row r="174" ht="15.75" customHeight="1">
      <c r="A174" s="4" t="str">
        <f>HYPERLINK("https://stackoverflow.com/q/42739284", "42739284")</f>
        <v>42739284</v>
      </c>
      <c r="B174" s="1">
        <v>4.2739284E7</v>
      </c>
      <c r="C174" s="2" t="s">
        <v>481</v>
      </c>
      <c r="D174" s="3">
        <v>1.0</v>
      </c>
      <c r="E174" s="3">
        <v>1116.0</v>
      </c>
      <c r="F174" s="2" t="s">
        <v>11</v>
      </c>
      <c r="G174" s="2" t="s">
        <v>18</v>
      </c>
      <c r="H174" s="2"/>
      <c r="I174" s="2"/>
      <c r="J174" s="2"/>
      <c r="K174" s="2"/>
    </row>
    <row r="175" ht="15.75" customHeight="1">
      <c r="A175" s="4" t="str">
        <f>HYPERLINK("https://stackoverflow.com/q/42756855", "42756855")</f>
        <v>42756855</v>
      </c>
      <c r="B175" s="1">
        <v>4.2756855E7</v>
      </c>
      <c r="C175" s="2" t="s">
        <v>1634</v>
      </c>
      <c r="D175" s="3"/>
      <c r="E175" s="3">
        <v>214.0</v>
      </c>
      <c r="F175" s="2" t="s">
        <v>11</v>
      </c>
      <c r="G175" s="2" t="s">
        <v>35</v>
      </c>
      <c r="H175" s="2"/>
      <c r="I175" s="2"/>
      <c r="J175" s="2"/>
      <c r="K175" s="2"/>
    </row>
    <row r="176" ht="15.75" customHeight="1">
      <c r="A176" s="4" t="str">
        <f>HYPERLINK("https://stackoverflow.com/q/42784576", "42784576")</f>
        <v>42784576</v>
      </c>
      <c r="B176" s="1">
        <v>4.2784576E7</v>
      </c>
      <c r="C176" s="2" t="s">
        <v>619</v>
      </c>
      <c r="D176" s="3"/>
      <c r="E176" s="3">
        <v>843.0</v>
      </c>
      <c r="F176" s="2" t="s">
        <v>11</v>
      </c>
      <c r="G176" s="2" t="s">
        <v>18</v>
      </c>
      <c r="H176" s="2"/>
      <c r="I176" s="2"/>
      <c r="J176" s="2"/>
      <c r="K176" s="2"/>
    </row>
    <row r="177" ht="15.75" customHeight="1">
      <c r="A177" s="4" t="str">
        <f>HYPERLINK("https://stackoverflow.com/q/42797456", "42797456")</f>
        <v>42797456</v>
      </c>
      <c r="B177" s="1">
        <v>4.2797456E7</v>
      </c>
      <c r="C177" s="2" t="s">
        <v>511</v>
      </c>
      <c r="D177" s="3"/>
      <c r="E177" s="3">
        <v>1048.0</v>
      </c>
      <c r="F177" s="2" t="s">
        <v>11</v>
      </c>
      <c r="G177" s="2" t="s">
        <v>12</v>
      </c>
      <c r="H177" s="2"/>
      <c r="I177" s="2"/>
      <c r="J177" s="2"/>
      <c r="K177" s="2"/>
    </row>
    <row r="178" ht="15.75" customHeight="1">
      <c r="A178" s="4" t="str">
        <f>HYPERLINK("https://stackoverflow.com/q/42809056", "42809056")</f>
        <v>42809056</v>
      </c>
      <c r="B178" s="1">
        <v>4.2809056E7</v>
      </c>
      <c r="C178" s="2" t="s">
        <v>2139</v>
      </c>
      <c r="D178" s="3"/>
      <c r="E178" s="3">
        <v>103.0</v>
      </c>
      <c r="F178" s="2" t="s">
        <v>11</v>
      </c>
      <c r="G178" s="2" t="s">
        <v>25</v>
      </c>
      <c r="H178" s="2"/>
      <c r="I178" s="2"/>
      <c r="J178" s="2"/>
      <c r="K178" s="2"/>
    </row>
    <row r="179" ht="15.75" customHeight="1">
      <c r="A179" s="4" t="str">
        <f>HYPERLINK("https://stackoverflow.com/q/42835744", "42835744")</f>
        <v>42835744</v>
      </c>
      <c r="B179" s="1">
        <v>4.2835744E7</v>
      </c>
      <c r="C179" s="2" t="s">
        <v>2667</v>
      </c>
      <c r="D179" s="3"/>
      <c r="E179" s="3">
        <v>55.0</v>
      </c>
      <c r="F179" s="2" t="s">
        <v>11</v>
      </c>
      <c r="G179" s="2" t="s">
        <v>44</v>
      </c>
      <c r="H179" s="2"/>
      <c r="I179" s="2"/>
      <c r="J179" s="2"/>
      <c r="K179" s="2"/>
    </row>
    <row r="180" ht="15.75" customHeight="1">
      <c r="A180" s="4" t="str">
        <f>HYPERLINK("https://stackoverflow.com/q/42841546", "42841546")</f>
        <v>42841546</v>
      </c>
      <c r="B180" s="1">
        <v>4.2841546E7</v>
      </c>
      <c r="C180" s="2" t="s">
        <v>2092</v>
      </c>
      <c r="D180" s="3"/>
      <c r="E180" s="3">
        <v>111.0</v>
      </c>
      <c r="F180" s="2" t="s">
        <v>537</v>
      </c>
      <c r="G180" s="2" t="s">
        <v>194</v>
      </c>
      <c r="H180" s="2"/>
      <c r="I180" s="2"/>
      <c r="J180" s="2"/>
      <c r="K180" s="2"/>
    </row>
    <row r="181" ht="15.75" customHeight="1">
      <c r="A181" s="4" t="str">
        <f>HYPERLINK("https://stackoverflow.com/q/42859142", "42859142")</f>
        <v>42859142</v>
      </c>
      <c r="B181" s="1">
        <v>4.2859142E7</v>
      </c>
      <c r="C181" s="2" t="s">
        <v>2318</v>
      </c>
      <c r="D181" s="3"/>
      <c r="E181" s="3">
        <v>83.0</v>
      </c>
      <c r="F181" s="2" t="s">
        <v>11</v>
      </c>
      <c r="G181" s="2" t="s">
        <v>14</v>
      </c>
      <c r="H181" s="2"/>
      <c r="I181" s="2"/>
      <c r="J181" s="2"/>
      <c r="K181" s="2"/>
    </row>
    <row r="182" ht="15.75" customHeight="1">
      <c r="A182" s="4" t="str">
        <f>HYPERLINK("https://stackoverflow.com/q/42859891", "42859891")</f>
        <v>42859891</v>
      </c>
      <c r="B182" s="1">
        <v>4.2859891E7</v>
      </c>
      <c r="C182" s="2" t="s">
        <v>618</v>
      </c>
      <c r="D182" s="3"/>
      <c r="E182" s="3">
        <v>844.0</v>
      </c>
      <c r="F182" s="2" t="s">
        <v>11</v>
      </c>
      <c r="G182" s="2" t="s">
        <v>25</v>
      </c>
      <c r="H182" s="2"/>
      <c r="I182" s="2"/>
      <c r="J182" s="2"/>
      <c r="K182" s="2"/>
    </row>
    <row r="183" ht="15.75" customHeight="1">
      <c r="A183" s="4" t="str">
        <f>HYPERLINK("https://stackoverflow.com/q/42900540", "42900540")</f>
        <v>42900540</v>
      </c>
      <c r="B183" s="1">
        <v>4.290054E7</v>
      </c>
      <c r="C183" s="2" t="s">
        <v>132</v>
      </c>
      <c r="D183" s="3"/>
      <c r="E183" s="3">
        <v>3197.0</v>
      </c>
      <c r="F183" s="2" t="s">
        <v>11</v>
      </c>
      <c r="G183" s="2" t="s">
        <v>25</v>
      </c>
      <c r="H183" s="2"/>
      <c r="I183" s="2"/>
      <c r="J183" s="2"/>
      <c r="K183" s="2"/>
    </row>
    <row r="184" ht="15.75" customHeight="1">
      <c r="A184" s="4" t="str">
        <f>HYPERLINK("https://stackoverflow.com/q/42908516", "42908516")</f>
        <v>42908516</v>
      </c>
      <c r="B184" s="1">
        <v>4.2908516E7</v>
      </c>
      <c r="C184" s="2" t="s">
        <v>1937</v>
      </c>
      <c r="D184" s="3"/>
      <c r="E184" s="3">
        <v>140.0</v>
      </c>
      <c r="F184" s="2" t="s">
        <v>11</v>
      </c>
      <c r="G184" s="2" t="s">
        <v>25</v>
      </c>
      <c r="H184" s="2"/>
      <c r="I184" s="2"/>
      <c r="J184" s="2"/>
      <c r="K184" s="2"/>
    </row>
    <row r="185" ht="15.75" customHeight="1">
      <c r="A185" s="4" t="str">
        <f>HYPERLINK("https://stackoverflow.com/q/42912565", "42912565")</f>
        <v>42912565</v>
      </c>
      <c r="B185" s="1">
        <v>4.2912565E7</v>
      </c>
      <c r="C185" s="2" t="s">
        <v>231</v>
      </c>
      <c r="D185" s="3"/>
      <c r="E185" s="3">
        <v>2111.0</v>
      </c>
      <c r="F185" s="2" t="s">
        <v>11</v>
      </c>
      <c r="G185" s="2" t="s">
        <v>25</v>
      </c>
      <c r="H185" s="2"/>
      <c r="I185" s="2"/>
      <c r="J185" s="2"/>
      <c r="K185" s="2"/>
    </row>
    <row r="186" ht="15.75" customHeight="1">
      <c r="A186" s="4" t="str">
        <f>HYPERLINK("https://stackoverflow.com/q/42914503", "42914503")</f>
        <v>42914503</v>
      </c>
      <c r="B186" s="1">
        <v>4.2914503E7</v>
      </c>
      <c r="C186" s="2" t="s">
        <v>1575</v>
      </c>
      <c r="D186" s="3"/>
      <c r="E186" s="3">
        <v>226.0</v>
      </c>
      <c r="F186" s="2" t="s">
        <v>537</v>
      </c>
      <c r="G186" s="2" t="s">
        <v>538</v>
      </c>
      <c r="H186" s="2"/>
      <c r="I186" s="2"/>
      <c r="J186" s="2"/>
      <c r="K186" s="2"/>
    </row>
    <row r="187" ht="15.75" customHeight="1">
      <c r="A187" s="4" t="str">
        <f>HYPERLINK("https://stackoverflow.com/q/42938295", "42938295")</f>
        <v>42938295</v>
      </c>
      <c r="B187" s="1">
        <v>4.2938295E7</v>
      </c>
      <c r="C187" s="2" t="s">
        <v>1670</v>
      </c>
      <c r="D187" s="3"/>
      <c r="E187" s="3">
        <v>203.0</v>
      </c>
      <c r="F187" s="9" t="s">
        <v>11</v>
      </c>
      <c r="G187" s="2" t="s">
        <v>16</v>
      </c>
      <c r="H187" s="2"/>
      <c r="I187" s="2"/>
      <c r="J187" s="2"/>
      <c r="K187" s="2"/>
    </row>
    <row r="188" ht="15.75" customHeight="1">
      <c r="A188" s="4" t="str">
        <f>HYPERLINK("https://stackoverflow.com/q/42946766", "42946766")</f>
        <v>42946766</v>
      </c>
      <c r="B188" s="1">
        <v>4.2946766E7</v>
      </c>
      <c r="C188" s="2" t="s">
        <v>786</v>
      </c>
      <c r="D188" s="3">
        <v>1.0</v>
      </c>
      <c r="E188" s="3">
        <v>639.0</v>
      </c>
      <c r="F188" s="2" t="s">
        <v>11</v>
      </c>
      <c r="G188" s="2" t="s">
        <v>21</v>
      </c>
      <c r="H188" s="2"/>
      <c r="I188" s="2"/>
      <c r="J188" s="2"/>
      <c r="K188" s="2"/>
    </row>
    <row r="189" ht="15.75" customHeight="1">
      <c r="A189" s="4" t="str">
        <f>HYPERLINK("https://stackoverflow.com/q/42955004", "42955004")</f>
        <v>42955004</v>
      </c>
      <c r="B189" s="1">
        <v>4.2955004E7</v>
      </c>
      <c r="C189" s="2" t="s">
        <v>1878</v>
      </c>
      <c r="D189" s="3">
        <v>1.0</v>
      </c>
      <c r="E189" s="3">
        <v>151.0</v>
      </c>
      <c r="F189" s="2" t="s">
        <v>11</v>
      </c>
      <c r="G189" s="2" t="s">
        <v>56</v>
      </c>
      <c r="H189" s="2"/>
      <c r="I189" s="2"/>
      <c r="J189" s="2"/>
      <c r="K189" s="2"/>
    </row>
    <row r="190" ht="15.75" customHeight="1">
      <c r="A190" s="4" t="str">
        <f>HYPERLINK("https://stackoverflow.com/q/42959530", "42959530")</f>
        <v>42959530</v>
      </c>
      <c r="B190" s="1">
        <v>4.295953E7</v>
      </c>
      <c r="C190" s="2" t="s">
        <v>1008</v>
      </c>
      <c r="D190" s="3"/>
      <c r="E190" s="3">
        <v>472.0</v>
      </c>
      <c r="F190" s="2" t="s">
        <v>11</v>
      </c>
      <c r="G190" s="2" t="s">
        <v>12</v>
      </c>
      <c r="H190" s="2"/>
      <c r="I190" s="2"/>
      <c r="J190" s="2"/>
      <c r="K190" s="2"/>
    </row>
    <row r="191" ht="15.75" customHeight="1">
      <c r="A191" s="4" t="str">
        <f>HYPERLINK("https://stackoverflow.com/q/42996482", "42996482")</f>
        <v>42996482</v>
      </c>
      <c r="B191" s="1">
        <v>4.2996482E7</v>
      </c>
      <c r="C191" s="2" t="s">
        <v>382</v>
      </c>
      <c r="D191" s="3"/>
      <c r="E191" s="3">
        <v>1339.0</v>
      </c>
      <c r="F191" s="2" t="s">
        <v>11</v>
      </c>
      <c r="G191" s="2" t="s">
        <v>21</v>
      </c>
      <c r="H191" s="2"/>
      <c r="I191" s="2"/>
      <c r="J191" s="2"/>
      <c r="K191" s="2"/>
    </row>
    <row r="192" ht="15.75" customHeight="1">
      <c r="A192" s="4" t="str">
        <f>HYPERLINK("https://stackoverflow.com/q/43007141", "43007141")</f>
        <v>43007141</v>
      </c>
      <c r="B192" s="1">
        <v>4.3007141E7</v>
      </c>
      <c r="C192" s="2" t="s">
        <v>429</v>
      </c>
      <c r="D192" s="3">
        <v>1.0</v>
      </c>
      <c r="E192" s="3">
        <v>1238.0</v>
      </c>
      <c r="F192" s="2" t="s">
        <v>11</v>
      </c>
      <c r="G192" s="2" t="s">
        <v>25</v>
      </c>
      <c r="H192" s="2"/>
      <c r="I192" s="2"/>
      <c r="J192" s="2"/>
      <c r="K192" s="2"/>
    </row>
    <row r="193" ht="15.75" customHeight="1">
      <c r="A193" s="4" t="str">
        <f>HYPERLINK("https://stackoverflow.com/q/43008145", "43008145")</f>
        <v>43008145</v>
      </c>
      <c r="B193" s="1">
        <v>4.3008145E7</v>
      </c>
      <c r="C193" s="2" t="s">
        <v>1333</v>
      </c>
      <c r="D193" s="3"/>
      <c r="E193" s="3">
        <v>325.0</v>
      </c>
      <c r="F193" s="2" t="s">
        <v>11</v>
      </c>
      <c r="G193" s="2" t="s">
        <v>21</v>
      </c>
      <c r="H193" s="2"/>
      <c r="I193" s="2"/>
      <c r="J193" s="2"/>
      <c r="K193" s="2"/>
    </row>
    <row r="194" ht="15.75" customHeight="1">
      <c r="A194" s="4" t="str">
        <f>HYPERLINK("https://stackoverflow.com/q/43033640", "43033640")</f>
        <v>43033640</v>
      </c>
      <c r="B194" s="1">
        <v>4.303364E7</v>
      </c>
      <c r="C194" s="2" t="s">
        <v>957</v>
      </c>
      <c r="D194" s="3"/>
      <c r="E194" s="3">
        <v>502.0</v>
      </c>
      <c r="F194" s="9" t="s">
        <v>11</v>
      </c>
      <c r="G194" s="2" t="s">
        <v>16</v>
      </c>
      <c r="H194" s="2"/>
      <c r="I194" s="2"/>
      <c r="J194" s="2"/>
      <c r="K194" s="2"/>
    </row>
    <row r="195" ht="15.75" customHeight="1">
      <c r="A195" s="4" t="str">
        <f>HYPERLINK("https://stackoverflow.com/q/43045887", "43045887")</f>
        <v>43045887</v>
      </c>
      <c r="B195" s="1">
        <v>4.3045887E7</v>
      </c>
      <c r="C195" s="2" t="s">
        <v>1017</v>
      </c>
      <c r="D195" s="3"/>
      <c r="E195" s="3">
        <v>468.0</v>
      </c>
      <c r="F195" s="2" t="s">
        <v>20</v>
      </c>
      <c r="G195" s="2" t="s">
        <v>183</v>
      </c>
      <c r="H195" s="2"/>
      <c r="I195" s="2"/>
      <c r="J195" s="2"/>
      <c r="K195" s="2"/>
    </row>
    <row r="196" ht="15.75" customHeight="1">
      <c r="A196" s="4" t="str">
        <f>HYPERLINK("https://stackoverflow.com/q/43061699", "43061699")</f>
        <v>43061699</v>
      </c>
      <c r="B196" s="1">
        <v>4.3061699E7</v>
      </c>
      <c r="C196" s="2" t="s">
        <v>2478</v>
      </c>
      <c r="D196" s="3"/>
      <c r="E196" s="3">
        <v>68.0</v>
      </c>
      <c r="F196" s="2" t="s">
        <v>11</v>
      </c>
      <c r="G196" s="2" t="s">
        <v>35</v>
      </c>
      <c r="H196" s="2"/>
      <c r="I196" s="2"/>
      <c r="J196" s="2"/>
      <c r="K196" s="2"/>
    </row>
    <row r="197" ht="15.75" customHeight="1">
      <c r="A197" s="4" t="str">
        <f>HYPERLINK("https://stackoverflow.com/q/43066045", "43066045")</f>
        <v>43066045</v>
      </c>
      <c r="B197" s="1">
        <v>4.3066045E7</v>
      </c>
      <c r="C197" s="2" t="s">
        <v>2986</v>
      </c>
      <c r="D197" s="3"/>
      <c r="E197" s="3">
        <v>36.0</v>
      </c>
      <c r="F197" s="2"/>
      <c r="G197" s="2" t="s">
        <v>23</v>
      </c>
      <c r="H197" s="2"/>
      <c r="I197" s="2"/>
      <c r="J197" s="2"/>
      <c r="K197" s="2"/>
    </row>
    <row r="198" ht="15.75" customHeight="1">
      <c r="A198" s="4" t="str">
        <f>HYPERLINK("https://stackoverflow.com/q/43079162", "43079162")</f>
        <v>43079162</v>
      </c>
      <c r="B198" s="1">
        <v>4.3079162E7</v>
      </c>
      <c r="C198" s="2" t="s">
        <v>975</v>
      </c>
      <c r="D198" s="3">
        <v>1.0</v>
      </c>
      <c r="E198" s="3">
        <v>492.0</v>
      </c>
      <c r="F198" s="2" t="s">
        <v>11</v>
      </c>
      <c r="G198" s="2" t="s">
        <v>25</v>
      </c>
      <c r="H198" s="2" t="s">
        <v>34</v>
      </c>
      <c r="I198" s="2"/>
      <c r="J198" s="2"/>
      <c r="K198" s="2"/>
    </row>
    <row r="199" ht="15.75" customHeight="1">
      <c r="A199" s="4" t="str">
        <f>HYPERLINK("https://stackoverflow.com/q/43096166", "43096166")</f>
        <v>43096166</v>
      </c>
      <c r="B199" s="1">
        <v>4.3096166E7</v>
      </c>
      <c r="C199" s="2" t="s">
        <v>106</v>
      </c>
      <c r="D199" s="3"/>
      <c r="E199" s="3">
        <v>3888.0</v>
      </c>
      <c r="F199" s="2" t="s">
        <v>11</v>
      </c>
      <c r="G199" s="2" t="s">
        <v>18</v>
      </c>
      <c r="H199" s="2"/>
      <c r="I199" s="2"/>
      <c r="J199" s="2"/>
      <c r="K199" s="2"/>
    </row>
    <row r="200" ht="15.75" customHeight="1">
      <c r="A200" s="4" t="str">
        <f>HYPERLINK("https://stackoverflow.com/q/43097927", "43097927")</f>
        <v>43097927</v>
      </c>
      <c r="B200" s="1">
        <v>4.3097927E7</v>
      </c>
      <c r="C200" s="2" t="s">
        <v>461</v>
      </c>
      <c r="D200" s="3"/>
      <c r="E200" s="3">
        <v>1174.0</v>
      </c>
      <c r="F200" s="2" t="s">
        <v>11</v>
      </c>
      <c r="G200" s="2" t="s">
        <v>25</v>
      </c>
      <c r="H200" s="2"/>
      <c r="I200" s="2"/>
      <c r="J200" s="2"/>
      <c r="K200" s="2"/>
    </row>
    <row r="201" ht="15.75" customHeight="1">
      <c r="A201" s="4" t="str">
        <f>HYPERLINK("https://stackoverflow.com/q/43157336", "43157336")</f>
        <v>43157336</v>
      </c>
      <c r="B201" s="1">
        <v>4.3157336E7</v>
      </c>
      <c r="C201" s="2" t="s">
        <v>740</v>
      </c>
      <c r="D201" s="3">
        <v>1.0</v>
      </c>
      <c r="E201" s="3">
        <v>690.0</v>
      </c>
      <c r="F201" s="2"/>
      <c r="G201" s="2" t="s">
        <v>23</v>
      </c>
      <c r="H201" s="2"/>
      <c r="I201" s="2"/>
      <c r="J201" s="2"/>
      <c r="K201" s="2"/>
    </row>
    <row r="202" ht="15.75" customHeight="1">
      <c r="A202" s="4" t="str">
        <f>HYPERLINK("https://stackoverflow.com/q/43164321", "43164321")</f>
        <v>43164321</v>
      </c>
      <c r="B202" s="1">
        <v>4.3164321E7</v>
      </c>
      <c r="C202" s="2" t="s">
        <v>1426</v>
      </c>
      <c r="D202" s="3"/>
      <c r="E202" s="3">
        <v>282.0</v>
      </c>
      <c r="F202" s="9" t="s">
        <v>11</v>
      </c>
      <c r="G202" s="2" t="s">
        <v>18</v>
      </c>
      <c r="H202" s="2"/>
      <c r="I202" s="2"/>
      <c r="J202" s="2"/>
      <c r="K202" s="2"/>
    </row>
    <row r="203" ht="15.75" customHeight="1">
      <c r="A203" s="4" t="str">
        <f>HYPERLINK("https://stackoverflow.com/q/43170471", "43170471")</f>
        <v>43170471</v>
      </c>
      <c r="B203" s="1">
        <v>4.3170471E7</v>
      </c>
      <c r="C203" s="2" t="s">
        <v>2152</v>
      </c>
      <c r="D203" s="3"/>
      <c r="E203" s="3">
        <v>102.0</v>
      </c>
      <c r="F203" s="2"/>
      <c r="G203" s="2" t="s">
        <v>23</v>
      </c>
      <c r="H203" s="2"/>
      <c r="I203" s="2"/>
      <c r="J203" s="2"/>
      <c r="K203" s="2"/>
    </row>
    <row r="204" ht="15.75" customHeight="1">
      <c r="A204" s="4" t="str">
        <f>HYPERLINK("https://stackoverflow.com/q/43201890", "43201890")</f>
        <v>43201890</v>
      </c>
      <c r="B204" s="1">
        <v>4.320189E7</v>
      </c>
      <c r="C204" s="2" t="s">
        <v>892</v>
      </c>
      <c r="D204" s="3">
        <v>1.0</v>
      </c>
      <c r="E204" s="3">
        <v>550.0</v>
      </c>
      <c r="F204" s="2" t="s">
        <v>11</v>
      </c>
      <c r="G204" s="2" t="s">
        <v>25</v>
      </c>
      <c r="H204" s="2"/>
      <c r="I204" s="2"/>
      <c r="J204" s="2"/>
      <c r="K204" s="2"/>
    </row>
    <row r="205" ht="15.75" customHeight="1">
      <c r="A205" s="4" t="str">
        <f>HYPERLINK("https://stackoverflow.com/q/43207458", "43207458")</f>
        <v>43207458</v>
      </c>
      <c r="B205" s="1">
        <v>4.3207458E7</v>
      </c>
      <c r="C205" s="2" t="s">
        <v>1992</v>
      </c>
      <c r="D205" s="3"/>
      <c r="E205" s="3">
        <v>127.0</v>
      </c>
      <c r="F205" s="2" t="s">
        <v>11</v>
      </c>
      <c r="G205" s="2" t="s">
        <v>14</v>
      </c>
      <c r="H205" s="2"/>
      <c r="I205" s="2"/>
      <c r="J205" s="2"/>
      <c r="K205" s="2"/>
    </row>
    <row r="206" ht="15.75" customHeight="1">
      <c r="A206" s="4" t="str">
        <f>HYPERLINK("https://stackoverflow.com/q/43212275", "43212275")</f>
        <v>43212275</v>
      </c>
      <c r="B206" s="1">
        <v>4.3212275E7</v>
      </c>
      <c r="C206" s="2" t="s">
        <v>2106</v>
      </c>
      <c r="D206" s="3"/>
      <c r="E206" s="3">
        <v>108.0</v>
      </c>
      <c r="F206" s="9" t="s">
        <v>11</v>
      </c>
      <c r="G206" s="2" t="s">
        <v>16</v>
      </c>
      <c r="H206" s="2"/>
      <c r="I206" s="2"/>
      <c r="J206" s="2"/>
      <c r="K206" s="2"/>
    </row>
    <row r="207" ht="15.75" customHeight="1">
      <c r="A207" s="4" t="str">
        <f>HYPERLINK("https://stackoverflow.com/q/43213661", "43213661")</f>
        <v>43213661</v>
      </c>
      <c r="B207" s="1">
        <v>4.3213661E7</v>
      </c>
      <c r="C207" s="2" t="s">
        <v>1587</v>
      </c>
      <c r="D207" s="3"/>
      <c r="E207" s="3">
        <v>223.0</v>
      </c>
      <c r="F207" s="9" t="s">
        <v>11</v>
      </c>
      <c r="G207" s="2" t="s">
        <v>16</v>
      </c>
      <c r="H207" s="2"/>
      <c r="I207" s="2"/>
      <c r="J207" s="2"/>
      <c r="K207" s="2"/>
    </row>
    <row r="208" ht="15.75" customHeight="1">
      <c r="A208" s="4" t="str">
        <f>HYPERLINK("https://stackoverflow.com/q/43241155", "43241155")</f>
        <v>43241155</v>
      </c>
      <c r="B208" s="1">
        <v>4.3241155E7</v>
      </c>
      <c r="C208" s="2" t="s">
        <v>1691</v>
      </c>
      <c r="D208" s="3"/>
      <c r="E208" s="3">
        <v>196.0</v>
      </c>
      <c r="F208" s="2" t="s">
        <v>11</v>
      </c>
      <c r="G208" s="2" t="s">
        <v>44</v>
      </c>
      <c r="H208" s="2"/>
      <c r="I208" s="2"/>
      <c r="J208" s="2"/>
      <c r="K208" s="2"/>
    </row>
    <row r="209" ht="15.75" customHeight="1">
      <c r="A209" s="4" t="str">
        <f>HYPERLINK("https://stackoverflow.com/q/43243120", "43243120")</f>
        <v>43243120</v>
      </c>
      <c r="B209" s="1">
        <v>4.324312E7</v>
      </c>
      <c r="C209" s="2" t="s">
        <v>2233</v>
      </c>
      <c r="D209" s="3"/>
      <c r="E209" s="3">
        <v>91.0</v>
      </c>
      <c r="F209" s="2" t="s">
        <v>59</v>
      </c>
      <c r="G209" s="2" t="s">
        <v>21</v>
      </c>
      <c r="H209" s="2" t="s">
        <v>25</v>
      </c>
      <c r="I209" s="2"/>
      <c r="J209" s="2"/>
      <c r="K209" s="2"/>
    </row>
    <row r="210" ht="15.75" customHeight="1">
      <c r="A210" s="4" t="str">
        <f>HYPERLINK("https://stackoverflow.com/q/43244727", "43244727")</f>
        <v>43244727</v>
      </c>
      <c r="B210" s="1">
        <v>4.3244727E7</v>
      </c>
      <c r="C210" s="2" t="s">
        <v>791</v>
      </c>
      <c r="D210" s="3"/>
      <c r="E210" s="3">
        <v>635.0</v>
      </c>
      <c r="F210" s="2" t="s">
        <v>11</v>
      </c>
      <c r="G210" s="2" t="s">
        <v>183</v>
      </c>
      <c r="H210" s="2"/>
      <c r="I210" s="2"/>
      <c r="J210" s="2"/>
      <c r="K210" s="2"/>
    </row>
    <row r="211" ht="15.75" customHeight="1">
      <c r="A211" s="4" t="str">
        <f>HYPERLINK("https://stackoverflow.com/q/43261740", "43261740")</f>
        <v>43261740</v>
      </c>
      <c r="B211" s="1">
        <v>4.326174E7</v>
      </c>
      <c r="C211" s="2" t="s">
        <v>159</v>
      </c>
      <c r="D211" s="3"/>
      <c r="E211" s="3">
        <v>2678.0</v>
      </c>
      <c r="F211" s="2" t="s">
        <v>11</v>
      </c>
      <c r="G211" s="2" t="s">
        <v>16</v>
      </c>
      <c r="H211" s="2"/>
      <c r="I211" s="2"/>
      <c r="J211" s="2"/>
      <c r="K211" s="2"/>
    </row>
    <row r="212" ht="15.75" customHeight="1">
      <c r="A212" s="4" t="str">
        <f>HYPERLINK("https://stackoverflow.com/q/43299948", "43299948")</f>
        <v>43299948</v>
      </c>
      <c r="B212" s="1">
        <v>4.3299948E7</v>
      </c>
      <c r="C212" s="2" t="s">
        <v>1374</v>
      </c>
      <c r="D212" s="3">
        <v>1.0</v>
      </c>
      <c r="E212" s="3">
        <v>306.0</v>
      </c>
      <c r="F212" s="2" t="s">
        <v>11</v>
      </c>
      <c r="G212" s="2" t="s">
        <v>35</v>
      </c>
      <c r="H212" s="2"/>
      <c r="I212" s="2"/>
      <c r="J212" s="2"/>
      <c r="K212" s="2"/>
    </row>
    <row r="213" ht="15.75" customHeight="1">
      <c r="A213" s="4" t="str">
        <f>HYPERLINK("https://stackoverflow.com/q/43332875", "43332875")</f>
        <v>43332875</v>
      </c>
      <c r="B213" s="1">
        <v>4.3332875E7</v>
      </c>
      <c r="C213" s="2" t="s">
        <v>483</v>
      </c>
      <c r="D213" s="3">
        <v>1.0</v>
      </c>
      <c r="E213" s="3">
        <v>1112.0</v>
      </c>
      <c r="F213" s="2" t="s">
        <v>11</v>
      </c>
      <c r="G213" s="2" t="s">
        <v>35</v>
      </c>
      <c r="H213" s="2" t="s">
        <v>484</v>
      </c>
      <c r="I213" s="2"/>
      <c r="J213" s="2"/>
      <c r="K213" s="2"/>
    </row>
    <row r="214" ht="15.75" customHeight="1">
      <c r="A214" s="4" t="str">
        <f>HYPERLINK("https://stackoverflow.com/q/43401120", "43401120")</f>
        <v>43401120</v>
      </c>
      <c r="B214" s="1">
        <v>4.340112E7</v>
      </c>
      <c r="C214" s="2" t="s">
        <v>1260</v>
      </c>
      <c r="D214" s="3"/>
      <c r="E214" s="3">
        <v>348.0</v>
      </c>
      <c r="F214" s="2" t="s">
        <v>11</v>
      </c>
      <c r="G214" s="2" t="s">
        <v>30</v>
      </c>
      <c r="H214" s="2"/>
      <c r="I214" s="2"/>
      <c r="J214" s="2"/>
      <c r="K214" s="2"/>
    </row>
    <row r="215" ht="15.75" customHeight="1">
      <c r="A215" s="4" t="str">
        <f>HYPERLINK("https://stackoverflow.com/q/43454426", "43454426")</f>
        <v>43454426</v>
      </c>
      <c r="B215" s="1">
        <v>4.3454426E7</v>
      </c>
      <c r="C215" s="2" t="s">
        <v>2169</v>
      </c>
      <c r="D215" s="3"/>
      <c r="E215" s="3">
        <v>100.0</v>
      </c>
      <c r="F215" s="2" t="s">
        <v>11</v>
      </c>
      <c r="G215" s="2" t="s">
        <v>25</v>
      </c>
      <c r="H215" s="2"/>
      <c r="I215" s="2"/>
      <c r="J215" s="2"/>
      <c r="K215" s="2"/>
    </row>
    <row r="216" ht="15.75" customHeight="1">
      <c r="A216" s="4" t="str">
        <f>HYPERLINK("https://stackoverflow.com/q/43454540", "43454540")</f>
        <v>43454540</v>
      </c>
      <c r="B216" s="1">
        <v>4.345454E7</v>
      </c>
      <c r="C216" s="2" t="s">
        <v>867</v>
      </c>
      <c r="D216" s="3"/>
      <c r="E216" s="3">
        <v>564.0</v>
      </c>
      <c r="F216" s="2" t="s">
        <v>11</v>
      </c>
      <c r="G216" s="2" t="s">
        <v>263</v>
      </c>
      <c r="H216" s="2"/>
      <c r="I216" s="2"/>
      <c r="J216" s="2"/>
      <c r="K216" s="2"/>
    </row>
    <row r="217" ht="15.75" customHeight="1">
      <c r="A217" s="4" t="str">
        <f>HYPERLINK("https://stackoverflow.com/q/43462940", "43462940")</f>
        <v>43462940</v>
      </c>
      <c r="B217" s="1">
        <v>4.346294E7</v>
      </c>
      <c r="C217" s="2" t="s">
        <v>625</v>
      </c>
      <c r="D217" s="3"/>
      <c r="E217" s="3">
        <v>834.0</v>
      </c>
      <c r="F217" s="2" t="s">
        <v>11</v>
      </c>
      <c r="G217" s="2" t="s">
        <v>25</v>
      </c>
      <c r="H217" s="2"/>
      <c r="I217" s="2"/>
      <c r="J217" s="2"/>
      <c r="K217" s="2"/>
    </row>
    <row r="218" ht="15.75" customHeight="1">
      <c r="A218" s="4" t="str">
        <f>HYPERLINK("https://stackoverflow.com/q/43480568", "43480568")</f>
        <v>43480568</v>
      </c>
      <c r="B218" s="1">
        <v>4.3480568E7</v>
      </c>
      <c r="C218" s="2" t="s">
        <v>118</v>
      </c>
      <c r="D218" s="3"/>
      <c r="E218" s="3">
        <v>3575.0</v>
      </c>
      <c r="F218" s="2" t="s">
        <v>11</v>
      </c>
      <c r="G218" s="2" t="s">
        <v>16</v>
      </c>
      <c r="H218" s="2"/>
      <c r="I218" s="2"/>
      <c r="J218" s="2"/>
      <c r="K218" s="2"/>
    </row>
    <row r="219" ht="15.75" customHeight="1">
      <c r="A219" s="4" t="str">
        <f>HYPERLINK("https://stackoverflow.com/q/43496400", "43496400")</f>
        <v>43496400</v>
      </c>
      <c r="B219" s="1">
        <v>4.34964E7</v>
      </c>
      <c r="C219" s="2" t="s">
        <v>574</v>
      </c>
      <c r="D219" s="3"/>
      <c r="E219" s="3">
        <v>920.0</v>
      </c>
      <c r="F219" s="2" t="s">
        <v>59</v>
      </c>
      <c r="G219" s="2" t="s">
        <v>14</v>
      </c>
      <c r="H219" s="2"/>
      <c r="I219" s="2"/>
      <c r="J219" s="2"/>
      <c r="K219" s="2"/>
    </row>
    <row r="220" ht="15.75" customHeight="1">
      <c r="A220" s="4" t="str">
        <f>HYPERLINK("https://stackoverflow.com/q/43500546", "43500546")</f>
        <v>43500546</v>
      </c>
      <c r="B220" s="1">
        <v>4.3500546E7</v>
      </c>
      <c r="C220" s="2" t="s">
        <v>1942</v>
      </c>
      <c r="D220" s="3"/>
      <c r="E220" s="3">
        <v>138.0</v>
      </c>
      <c r="F220" s="2" t="s">
        <v>11</v>
      </c>
      <c r="G220" s="2" t="s">
        <v>25</v>
      </c>
      <c r="H220" s="2" t="s">
        <v>44</v>
      </c>
      <c r="I220" s="2"/>
      <c r="J220" s="2"/>
      <c r="K220" s="2"/>
    </row>
    <row r="221" ht="15.75" customHeight="1">
      <c r="A221" s="4" t="str">
        <f>HYPERLINK("https://stackoverflow.com/q/43529651", "43529651")</f>
        <v>43529651</v>
      </c>
      <c r="B221" s="1">
        <v>4.3529651E7</v>
      </c>
      <c r="C221" s="2" t="s">
        <v>297</v>
      </c>
      <c r="D221" s="3"/>
      <c r="E221" s="3">
        <v>1708.0</v>
      </c>
      <c r="F221" s="2" t="s">
        <v>11</v>
      </c>
      <c r="G221" s="2" t="s">
        <v>21</v>
      </c>
      <c r="H221" s="2"/>
      <c r="I221" s="2"/>
      <c r="J221" s="2"/>
      <c r="K221" s="2"/>
    </row>
    <row r="222" ht="15.75" customHeight="1">
      <c r="A222" s="4" t="str">
        <f>HYPERLINK("https://stackoverflow.com/q/43535377", "43535377")</f>
        <v>43535377</v>
      </c>
      <c r="B222" s="1">
        <v>4.3535377E7</v>
      </c>
      <c r="C222" s="2" t="s">
        <v>70</v>
      </c>
      <c r="D222" s="3"/>
      <c r="E222" s="3">
        <v>5718.0</v>
      </c>
      <c r="F222" s="2" t="s">
        <v>11</v>
      </c>
      <c r="G222" s="2" t="s">
        <v>25</v>
      </c>
      <c r="H222" s="2"/>
      <c r="I222" s="2"/>
      <c r="J222" s="2"/>
      <c r="K222" s="2"/>
    </row>
    <row r="223" ht="15.75" customHeight="1">
      <c r="A223" s="4" t="str">
        <f>HYPERLINK("https://stackoverflow.com/q/43549104", "43549104")</f>
        <v>43549104</v>
      </c>
      <c r="B223" s="1">
        <v>4.3549104E7</v>
      </c>
      <c r="C223" s="2" t="s">
        <v>262</v>
      </c>
      <c r="D223" s="3"/>
      <c r="E223" s="3">
        <v>1891.0</v>
      </c>
      <c r="F223" s="2" t="s">
        <v>11</v>
      </c>
      <c r="G223" s="2" t="s">
        <v>263</v>
      </c>
      <c r="H223" s="2"/>
      <c r="I223" s="2"/>
      <c r="J223" s="2"/>
      <c r="K223" s="2"/>
    </row>
    <row r="224" ht="15.75" customHeight="1">
      <c r="A224" s="4" t="str">
        <f>HYPERLINK("https://stackoverflow.com/q/43549963", "43549963")</f>
        <v>43549963</v>
      </c>
      <c r="B224" s="1">
        <v>4.3549963E7</v>
      </c>
      <c r="C224" s="2" t="s">
        <v>2506</v>
      </c>
      <c r="D224" s="3">
        <v>1.0</v>
      </c>
      <c r="E224" s="3">
        <v>66.0</v>
      </c>
      <c r="F224" s="2" t="s">
        <v>11</v>
      </c>
      <c r="G224" s="2" t="s">
        <v>25</v>
      </c>
      <c r="H224" s="2"/>
      <c r="I224" s="2"/>
      <c r="J224" s="2"/>
      <c r="K224" s="2"/>
    </row>
    <row r="225" ht="15.75" customHeight="1">
      <c r="A225" s="4" t="str">
        <f>HYPERLINK("https://stackoverflow.com/q/43589592", "43589592")</f>
        <v>43589592</v>
      </c>
      <c r="B225" s="1">
        <v>4.3589592E7</v>
      </c>
      <c r="C225" s="2" t="s">
        <v>835</v>
      </c>
      <c r="D225" s="3"/>
      <c r="E225" s="3">
        <v>590.0</v>
      </c>
      <c r="F225" s="2" t="s">
        <v>11</v>
      </c>
      <c r="G225" s="2" t="s">
        <v>12</v>
      </c>
      <c r="H225" s="2"/>
      <c r="I225" s="2"/>
      <c r="J225" s="2"/>
      <c r="K225" s="2"/>
    </row>
    <row r="226" ht="15.75" customHeight="1">
      <c r="A226" s="4" t="str">
        <f>HYPERLINK("https://stackoverflow.com/q/43611109", "43611109")</f>
        <v>43611109</v>
      </c>
      <c r="B226" s="1">
        <v>4.3611109E7</v>
      </c>
      <c r="C226" s="2" t="s">
        <v>704</v>
      </c>
      <c r="D226" s="3"/>
      <c r="E226" s="3">
        <v>731.0</v>
      </c>
      <c r="F226" s="2" t="s">
        <v>11</v>
      </c>
      <c r="G226" s="2" t="s">
        <v>21</v>
      </c>
      <c r="H226" s="2"/>
      <c r="I226" s="2"/>
      <c r="J226" s="2"/>
      <c r="K226" s="2"/>
    </row>
    <row r="227" ht="15.75" customHeight="1">
      <c r="A227" s="4" t="str">
        <f>HYPERLINK("https://stackoverflow.com/q/43612228", "43612228")</f>
        <v>43612228</v>
      </c>
      <c r="B227" s="1">
        <v>4.3612228E7</v>
      </c>
      <c r="C227" s="2" t="s">
        <v>3166</v>
      </c>
      <c r="D227" s="3"/>
      <c r="E227" s="3">
        <v>29.0</v>
      </c>
      <c r="F227" s="2" t="s">
        <v>11</v>
      </c>
      <c r="G227" s="2" t="s">
        <v>25</v>
      </c>
      <c r="H227" s="2"/>
      <c r="I227" s="2"/>
      <c r="J227" s="2"/>
      <c r="K227" s="2"/>
    </row>
    <row r="228" ht="15.75" customHeight="1">
      <c r="A228" s="4" t="str">
        <f>HYPERLINK("https://stackoverflow.com/q/43618424", "43618424")</f>
        <v>43618424</v>
      </c>
      <c r="B228" s="1">
        <v>4.3618424E7</v>
      </c>
      <c r="C228" s="2" t="s">
        <v>2911</v>
      </c>
      <c r="D228" s="3"/>
      <c r="E228" s="3">
        <v>40.0</v>
      </c>
      <c r="F228" s="9" t="s">
        <v>11</v>
      </c>
      <c r="G228" s="2" t="s">
        <v>16</v>
      </c>
      <c r="H228" s="2"/>
      <c r="I228" s="2"/>
      <c r="J228" s="2"/>
      <c r="K228" s="2"/>
    </row>
    <row r="229" ht="15.75" customHeight="1">
      <c r="A229" s="4" t="str">
        <f>HYPERLINK("https://stackoverflow.com/q/43634549", "43634549")</f>
        <v>43634549</v>
      </c>
      <c r="B229" s="1">
        <v>4.3634549E7</v>
      </c>
      <c r="C229" s="2" t="s">
        <v>1450</v>
      </c>
      <c r="D229" s="3"/>
      <c r="E229" s="3">
        <v>270.0</v>
      </c>
      <c r="F229" s="2" t="s">
        <v>11</v>
      </c>
      <c r="G229" s="2" t="s">
        <v>73</v>
      </c>
      <c r="H229" s="2"/>
      <c r="I229" s="2"/>
      <c r="J229" s="2"/>
      <c r="K229" s="2"/>
    </row>
    <row r="230" ht="15.75" customHeight="1">
      <c r="A230" s="4" t="str">
        <f>HYPERLINK("https://stackoverflow.com/q/43642384", "43642384")</f>
        <v>43642384</v>
      </c>
      <c r="B230" s="1">
        <v>4.3642384E7</v>
      </c>
      <c r="C230" s="2" t="s">
        <v>760</v>
      </c>
      <c r="D230" s="3"/>
      <c r="E230" s="3">
        <v>666.0</v>
      </c>
      <c r="F230" s="2" t="s">
        <v>59</v>
      </c>
      <c r="G230" s="2" t="s">
        <v>28</v>
      </c>
      <c r="H230" s="2"/>
      <c r="I230" s="2"/>
      <c r="J230" s="2"/>
      <c r="K230" s="2"/>
    </row>
    <row r="231" ht="15.75" customHeight="1">
      <c r="A231" s="4" t="str">
        <f>HYPERLINK("https://stackoverflow.com/q/43646460", "43646460")</f>
        <v>43646460</v>
      </c>
      <c r="B231" s="1">
        <v>4.364646E7</v>
      </c>
      <c r="C231" s="2" t="s">
        <v>1004</v>
      </c>
      <c r="D231" s="3"/>
      <c r="E231" s="3">
        <v>475.0</v>
      </c>
      <c r="F231" s="9" t="s">
        <v>11</v>
      </c>
      <c r="G231" s="2" t="s">
        <v>16</v>
      </c>
      <c r="H231" s="2"/>
      <c r="I231" s="2"/>
      <c r="J231" s="2"/>
      <c r="K231" s="2"/>
    </row>
    <row r="232" ht="15.75" customHeight="1">
      <c r="A232" s="4" t="str">
        <f>HYPERLINK("https://stackoverflow.com/q/43655581", "43655581")</f>
        <v>43655581</v>
      </c>
      <c r="B232" s="1">
        <v>4.3655581E7</v>
      </c>
      <c r="C232" s="2" t="s">
        <v>119</v>
      </c>
      <c r="D232" s="3"/>
      <c r="E232" s="3">
        <v>3514.0</v>
      </c>
      <c r="F232" s="2" t="s">
        <v>11</v>
      </c>
      <c r="G232" s="2" t="s">
        <v>67</v>
      </c>
      <c r="H232" s="2"/>
      <c r="I232" s="2"/>
      <c r="J232" s="2"/>
      <c r="K232" s="2"/>
    </row>
    <row r="233" ht="15.75" customHeight="1">
      <c r="A233" s="4" t="str">
        <f>HYPERLINK("https://stackoverflow.com/q/43667724", "43667724")</f>
        <v>43667724</v>
      </c>
      <c r="B233" s="1">
        <v>4.3667724E7</v>
      </c>
      <c r="C233" s="2" t="s">
        <v>818</v>
      </c>
      <c r="D233" s="3"/>
      <c r="E233" s="3">
        <v>607.0</v>
      </c>
      <c r="F233" s="2" t="s">
        <v>11</v>
      </c>
      <c r="G233" s="2" t="s">
        <v>12</v>
      </c>
      <c r="H233" s="2"/>
      <c r="I233" s="2"/>
      <c r="J233" s="2"/>
      <c r="K233" s="2"/>
    </row>
    <row r="234" ht="15.75" customHeight="1">
      <c r="A234" s="4" t="str">
        <f>HYPERLINK("https://stackoverflow.com/q/43725028", "43725028")</f>
        <v>43725028</v>
      </c>
      <c r="B234" s="1">
        <v>4.3725028E7</v>
      </c>
      <c r="C234" s="2" t="s">
        <v>69</v>
      </c>
      <c r="D234" s="3"/>
      <c r="E234" s="3">
        <v>5744.0</v>
      </c>
      <c r="F234" s="2" t="s">
        <v>11</v>
      </c>
      <c r="G234" s="2" t="s">
        <v>56</v>
      </c>
      <c r="H234" s="2"/>
      <c r="I234" s="2"/>
      <c r="J234" s="2"/>
      <c r="K234" s="2"/>
    </row>
    <row r="235" ht="15.75" customHeight="1">
      <c r="A235" s="4" t="str">
        <f>HYPERLINK("https://stackoverflow.com/q/43733425", "43733425")</f>
        <v>43733425</v>
      </c>
      <c r="B235" s="1">
        <v>4.3733425E7</v>
      </c>
      <c r="C235" s="2" t="s">
        <v>1560</v>
      </c>
      <c r="D235" s="3"/>
      <c r="E235" s="3">
        <v>231.0</v>
      </c>
      <c r="F235" s="9" t="s">
        <v>11</v>
      </c>
      <c r="G235" s="2" t="s">
        <v>18</v>
      </c>
      <c r="H235" s="2"/>
      <c r="I235" s="2"/>
      <c r="J235" s="2"/>
      <c r="K235" s="2"/>
    </row>
    <row r="236" ht="15.75" customHeight="1">
      <c r="A236" s="4" t="str">
        <f>HYPERLINK("https://stackoverflow.com/q/43734104", "43734104")</f>
        <v>43734104</v>
      </c>
      <c r="B236" s="1">
        <v>4.3734104E7</v>
      </c>
      <c r="C236" s="2" t="s">
        <v>578</v>
      </c>
      <c r="D236" s="3"/>
      <c r="E236" s="3">
        <v>910.0</v>
      </c>
      <c r="F236" s="2" t="s">
        <v>11</v>
      </c>
      <c r="G236" s="2" t="s">
        <v>56</v>
      </c>
      <c r="H236" s="2" t="s">
        <v>44</v>
      </c>
      <c r="I236" s="2"/>
      <c r="J236" s="2"/>
      <c r="K236" s="2"/>
    </row>
    <row r="237" ht="15.75" customHeight="1">
      <c r="A237" s="4" t="str">
        <f>HYPERLINK("https://stackoverflow.com/q/43737787", "43737787")</f>
        <v>43737787</v>
      </c>
      <c r="B237" s="1">
        <v>4.3737787E7</v>
      </c>
      <c r="C237" s="2" t="s">
        <v>590</v>
      </c>
      <c r="D237" s="3"/>
      <c r="E237" s="3">
        <v>884.0</v>
      </c>
      <c r="F237" s="2" t="s">
        <v>11</v>
      </c>
      <c r="G237" s="2" t="s">
        <v>18</v>
      </c>
      <c r="H237" s="2"/>
      <c r="I237" s="2"/>
      <c r="J237" s="2"/>
      <c r="K237" s="2"/>
    </row>
    <row r="238" ht="15.75" customHeight="1">
      <c r="A238" s="4" t="str">
        <f>HYPERLINK("https://stackoverflow.com/q/43752772", "43752772")</f>
        <v>43752772</v>
      </c>
      <c r="B238" s="1">
        <v>4.3752772E7</v>
      </c>
      <c r="C238" s="2" t="s">
        <v>206</v>
      </c>
      <c r="D238" s="3"/>
      <c r="E238" s="3">
        <v>2279.0</v>
      </c>
      <c r="F238" s="2" t="s">
        <v>11</v>
      </c>
      <c r="G238" s="2" t="s">
        <v>73</v>
      </c>
      <c r="H238" s="2"/>
      <c r="I238" s="2"/>
      <c r="J238" s="2"/>
      <c r="K238" s="2"/>
    </row>
    <row r="239" ht="15.75" customHeight="1">
      <c r="A239" s="4" t="str">
        <f>HYPERLINK("https://stackoverflow.com/q/43764771", "43764771")</f>
        <v>43764771</v>
      </c>
      <c r="B239" s="1">
        <v>4.3764771E7</v>
      </c>
      <c r="C239" s="2" t="s">
        <v>1713</v>
      </c>
      <c r="D239" s="3"/>
      <c r="E239" s="3">
        <v>190.0</v>
      </c>
      <c r="F239" s="9" t="s">
        <v>11</v>
      </c>
      <c r="G239" s="2" t="s">
        <v>18</v>
      </c>
      <c r="H239" s="2"/>
      <c r="I239" s="2"/>
      <c r="J239" s="2"/>
      <c r="K239" s="2"/>
    </row>
    <row r="240" ht="15.75" customHeight="1">
      <c r="A240" s="4" t="str">
        <f>HYPERLINK("https://stackoverflow.com/q/43778494", "43778494")</f>
        <v>43778494</v>
      </c>
      <c r="B240" s="1">
        <v>4.3778494E7</v>
      </c>
      <c r="C240" s="2" t="s">
        <v>2600</v>
      </c>
      <c r="D240" s="3"/>
      <c r="E240" s="3">
        <v>60.0</v>
      </c>
      <c r="F240" s="2" t="s">
        <v>72</v>
      </c>
      <c r="G240" s="2" t="s">
        <v>506</v>
      </c>
      <c r="H240" s="2"/>
      <c r="I240" s="2"/>
      <c r="J240" s="2"/>
      <c r="K240" s="2"/>
    </row>
    <row r="241" ht="15.75" customHeight="1">
      <c r="A241" s="4" t="str">
        <f>HYPERLINK("https://stackoverflow.com/q/43837603", "43837603")</f>
        <v>43837603</v>
      </c>
      <c r="B241" s="1">
        <v>4.3837603E7</v>
      </c>
      <c r="C241" s="2" t="s">
        <v>556</v>
      </c>
      <c r="D241" s="3">
        <v>1.0</v>
      </c>
      <c r="E241" s="3">
        <v>964.0</v>
      </c>
      <c r="F241" s="2" t="s">
        <v>11</v>
      </c>
      <c r="G241" s="2" t="s">
        <v>263</v>
      </c>
      <c r="H241" s="2"/>
      <c r="I241" s="2"/>
      <c r="J241" s="2"/>
      <c r="K241" s="2"/>
    </row>
    <row r="242" ht="15.75" customHeight="1">
      <c r="A242" s="4" t="str">
        <f>HYPERLINK("https://stackoverflow.com/q/43849977", "43849977")</f>
        <v>43849977</v>
      </c>
      <c r="B242" s="1">
        <v>4.3849977E7</v>
      </c>
      <c r="C242" s="2" t="s">
        <v>1287</v>
      </c>
      <c r="D242" s="3"/>
      <c r="E242" s="3">
        <v>339.0</v>
      </c>
      <c r="F242" s="2" t="s">
        <v>11</v>
      </c>
      <c r="G242" s="2" t="s">
        <v>67</v>
      </c>
      <c r="H242" s="2"/>
      <c r="I242" s="2"/>
      <c r="J242" s="2"/>
      <c r="K242" s="2"/>
    </row>
    <row r="243" ht="15.75" customHeight="1">
      <c r="A243" s="4" t="str">
        <f>HYPERLINK("https://stackoverflow.com/q/43860043", "43860043")</f>
        <v>43860043</v>
      </c>
      <c r="B243" s="1">
        <v>4.3860043E7</v>
      </c>
      <c r="C243" s="2" t="s">
        <v>1050</v>
      </c>
      <c r="D243" s="3"/>
      <c r="E243" s="3">
        <v>454.0</v>
      </c>
      <c r="F243" s="2" t="s">
        <v>72</v>
      </c>
      <c r="G243" s="2" t="s">
        <v>506</v>
      </c>
      <c r="H243" s="2"/>
      <c r="I243" s="2"/>
      <c r="J243" s="2"/>
      <c r="K243" s="2"/>
    </row>
    <row r="244" ht="15.75" customHeight="1">
      <c r="A244" s="4" t="str">
        <f>HYPERLINK("https://stackoverflow.com/q/43860901", "43860901")</f>
        <v>43860901</v>
      </c>
      <c r="B244" s="1">
        <v>4.3860901E7</v>
      </c>
      <c r="C244" s="2" t="s">
        <v>744</v>
      </c>
      <c r="D244" s="3">
        <v>1.0</v>
      </c>
      <c r="E244" s="3">
        <v>687.0</v>
      </c>
      <c r="F244" s="2" t="s">
        <v>11</v>
      </c>
      <c r="G244" s="2" t="s">
        <v>56</v>
      </c>
      <c r="H244" s="2"/>
      <c r="I244" s="2"/>
      <c r="J244" s="2"/>
      <c r="K244" s="2"/>
    </row>
    <row r="245" ht="15.75" customHeight="1">
      <c r="A245" s="4" t="str">
        <f>HYPERLINK("https://stackoverflow.com/q/43861008", "43861008")</f>
        <v>43861008</v>
      </c>
      <c r="B245" s="1">
        <v>4.3861008E7</v>
      </c>
      <c r="C245" s="2" t="s">
        <v>551</v>
      </c>
      <c r="D245" s="3"/>
      <c r="E245" s="3">
        <v>972.0</v>
      </c>
      <c r="F245" s="2" t="s">
        <v>11</v>
      </c>
      <c r="G245" s="2" t="s">
        <v>25</v>
      </c>
      <c r="H245" s="2"/>
      <c r="I245" s="2"/>
      <c r="J245" s="2"/>
      <c r="K245" s="2"/>
    </row>
    <row r="246" ht="15.75" customHeight="1">
      <c r="A246" s="4" t="str">
        <f>HYPERLINK("https://stackoverflow.com/q/43876357", "43876357")</f>
        <v>43876357</v>
      </c>
      <c r="B246" s="1">
        <v>4.3876357E7</v>
      </c>
      <c r="C246" s="2" t="s">
        <v>412</v>
      </c>
      <c r="D246" s="3"/>
      <c r="E246" s="3">
        <v>1281.0</v>
      </c>
      <c r="F246" s="2" t="s">
        <v>11</v>
      </c>
      <c r="G246" s="2" t="s">
        <v>49</v>
      </c>
      <c r="H246" s="2"/>
      <c r="I246" s="2"/>
      <c r="J246" s="2"/>
      <c r="K246" s="2"/>
    </row>
    <row r="247" ht="15.75" customHeight="1">
      <c r="A247" s="4" t="str">
        <f>HYPERLINK("https://stackoverflow.com/q/43877814", "43877814")</f>
        <v>43877814</v>
      </c>
      <c r="B247" s="1">
        <v>4.3877814E7</v>
      </c>
      <c r="C247" s="2" t="s">
        <v>898</v>
      </c>
      <c r="D247" s="3"/>
      <c r="E247" s="3">
        <v>546.0</v>
      </c>
      <c r="F247" s="2" t="s">
        <v>11</v>
      </c>
      <c r="G247" s="2" t="s">
        <v>35</v>
      </c>
      <c r="H247" s="2"/>
      <c r="I247" s="2"/>
      <c r="J247" s="2"/>
      <c r="K247" s="2"/>
    </row>
    <row r="248" ht="15.75" customHeight="1">
      <c r="A248" s="4" t="str">
        <f>HYPERLINK("https://stackoverflow.com/q/43906526", "43906526")</f>
        <v>43906526</v>
      </c>
      <c r="B248" s="1">
        <v>4.3906526E7</v>
      </c>
      <c r="C248" s="2" t="s">
        <v>1792</v>
      </c>
      <c r="D248" s="3">
        <v>0.0</v>
      </c>
      <c r="E248" s="3">
        <v>168.0</v>
      </c>
      <c r="F248" s="2" t="s">
        <v>11</v>
      </c>
      <c r="G248" s="2" t="s">
        <v>263</v>
      </c>
      <c r="H248" s="2"/>
      <c r="I248" s="2"/>
      <c r="J248" s="2"/>
      <c r="K248" s="2"/>
    </row>
    <row r="249" ht="15.75" customHeight="1">
      <c r="A249" s="4" t="str">
        <f>HYPERLINK("https://stackoverflow.com/q/43908577", "43908577")</f>
        <v>43908577</v>
      </c>
      <c r="B249" s="1">
        <v>4.3908577E7</v>
      </c>
      <c r="C249" s="2" t="s">
        <v>2736</v>
      </c>
      <c r="D249" s="3"/>
      <c r="E249" s="3">
        <v>49.0</v>
      </c>
      <c r="F249" s="9" t="s">
        <v>11</v>
      </c>
      <c r="G249" s="2" t="s">
        <v>18</v>
      </c>
      <c r="H249" s="2"/>
      <c r="I249" s="2"/>
      <c r="J249" s="2"/>
      <c r="K249" s="2"/>
    </row>
    <row r="250" ht="15.75" customHeight="1">
      <c r="A250" s="4" t="str">
        <f>HYPERLINK("https://stackoverflow.com/q/43919778", "43919778")</f>
        <v>43919778</v>
      </c>
      <c r="B250" s="1">
        <v>4.3919778E7</v>
      </c>
      <c r="C250" s="2" t="s">
        <v>1028</v>
      </c>
      <c r="D250" s="3">
        <v>1.0</v>
      </c>
      <c r="E250" s="3">
        <v>463.0</v>
      </c>
      <c r="F250" s="2" t="s">
        <v>20</v>
      </c>
      <c r="G250" s="2" t="s">
        <v>49</v>
      </c>
      <c r="H250" s="2" t="s">
        <v>21</v>
      </c>
      <c r="I250" s="2"/>
      <c r="J250" s="2"/>
      <c r="K250" s="2"/>
    </row>
    <row r="251" ht="15.75" customHeight="1">
      <c r="A251" s="4" t="str">
        <f>HYPERLINK("https://stackoverflow.com/q/43924709", "43924709")</f>
        <v>43924709</v>
      </c>
      <c r="B251" s="1">
        <v>4.3924709E7</v>
      </c>
      <c r="C251" s="2" t="s">
        <v>380</v>
      </c>
      <c r="D251" s="3"/>
      <c r="E251" s="3">
        <v>1344.0</v>
      </c>
      <c r="F251" s="2" t="s">
        <v>59</v>
      </c>
      <c r="G251" s="2" t="s">
        <v>21</v>
      </c>
      <c r="H251" s="2" t="s">
        <v>28</v>
      </c>
      <c r="I251" s="2"/>
      <c r="J251" s="2"/>
      <c r="K251" s="2"/>
    </row>
    <row r="252" ht="15.75" customHeight="1">
      <c r="A252" s="4" t="str">
        <f>HYPERLINK("https://stackoverflow.com/q/43937563", "43937563")</f>
        <v>43937563</v>
      </c>
      <c r="B252" s="1">
        <v>4.3937563E7</v>
      </c>
      <c r="C252" s="2" t="s">
        <v>1680</v>
      </c>
      <c r="D252" s="3"/>
      <c r="E252" s="3">
        <v>199.0</v>
      </c>
      <c r="F252" s="2" t="s">
        <v>11</v>
      </c>
      <c r="G252" s="2" t="s">
        <v>35</v>
      </c>
      <c r="H252" s="2"/>
      <c r="I252" s="2"/>
      <c r="J252" s="2"/>
      <c r="K252" s="2"/>
    </row>
    <row r="253" ht="15.75" customHeight="1">
      <c r="A253" s="4" t="str">
        <f>HYPERLINK("https://stackoverflow.com/q/43947704", "43947704")</f>
        <v>43947704</v>
      </c>
      <c r="B253" s="1">
        <v>4.3947704E7</v>
      </c>
      <c r="C253" s="2" t="s">
        <v>1845</v>
      </c>
      <c r="D253" s="3"/>
      <c r="E253" s="3">
        <v>158.0</v>
      </c>
      <c r="F253" s="2" t="s">
        <v>11</v>
      </c>
      <c r="G253" s="2" t="s">
        <v>30</v>
      </c>
      <c r="H253" s="2"/>
      <c r="I253" s="2"/>
      <c r="J253" s="2"/>
      <c r="K253" s="2"/>
    </row>
    <row r="254" ht="15.75" customHeight="1">
      <c r="A254" s="4" t="str">
        <f>HYPERLINK("https://stackoverflow.com/q/43965841", "43965841")</f>
        <v>43965841</v>
      </c>
      <c r="B254" s="1">
        <v>4.3965841E7</v>
      </c>
      <c r="C254" s="2" t="s">
        <v>2010</v>
      </c>
      <c r="D254" s="3"/>
      <c r="E254" s="3">
        <v>122.0</v>
      </c>
      <c r="F254" s="2" t="s">
        <v>11</v>
      </c>
      <c r="G254" s="2" t="s">
        <v>67</v>
      </c>
      <c r="H254" s="2"/>
      <c r="I254" s="2"/>
      <c r="J254" s="2"/>
      <c r="K254" s="2"/>
    </row>
    <row r="255" ht="15.75" customHeight="1">
      <c r="A255" s="4" t="str">
        <f>HYPERLINK("https://stackoverflow.com/q/43995641", "43995641")</f>
        <v>43995641</v>
      </c>
      <c r="B255" s="1">
        <v>4.3995641E7</v>
      </c>
      <c r="C255" s="2" t="s">
        <v>379</v>
      </c>
      <c r="D255" s="3"/>
      <c r="E255" s="3">
        <v>1345.0</v>
      </c>
      <c r="F255" s="2" t="s">
        <v>59</v>
      </c>
      <c r="G255" s="2" t="s">
        <v>21</v>
      </c>
      <c r="H255" s="2"/>
      <c r="I255" s="2"/>
      <c r="J255" s="2"/>
      <c r="K255" s="2"/>
    </row>
    <row r="256" ht="15.75" customHeight="1">
      <c r="A256" s="4" t="str">
        <f>HYPERLINK("https://stackoverflow.com/q/43995671", "43995671")</f>
        <v>43995671</v>
      </c>
      <c r="B256" s="1">
        <v>4.3995671E7</v>
      </c>
      <c r="C256" s="2" t="s">
        <v>641</v>
      </c>
      <c r="D256" s="3">
        <v>1.0</v>
      </c>
      <c r="E256" s="3">
        <v>816.0</v>
      </c>
      <c r="F256" s="2" t="s">
        <v>11</v>
      </c>
      <c r="G256" s="2" t="s">
        <v>25</v>
      </c>
      <c r="H256" s="2"/>
      <c r="I256" s="2"/>
      <c r="J256" s="2"/>
      <c r="K256" s="2"/>
    </row>
    <row r="257" ht="15.75" customHeight="1">
      <c r="A257" s="4" t="str">
        <f>HYPERLINK("https://stackoverflow.com/q/44005685", "44005685")</f>
        <v>44005685</v>
      </c>
      <c r="B257" s="1">
        <v>4.4005685E7</v>
      </c>
      <c r="C257" s="2" t="s">
        <v>1060</v>
      </c>
      <c r="D257" s="3"/>
      <c r="E257" s="3">
        <v>448.0</v>
      </c>
      <c r="F257" s="2" t="s">
        <v>11</v>
      </c>
      <c r="G257" s="2" t="s">
        <v>34</v>
      </c>
      <c r="H257" s="2" t="s">
        <v>21</v>
      </c>
      <c r="I257" s="2"/>
      <c r="J257" s="2"/>
      <c r="K257" s="2"/>
    </row>
    <row r="258" ht="15.75" customHeight="1">
      <c r="A258" s="4" t="str">
        <f>HYPERLINK("https://stackoverflow.com/q/44013975", "44013975")</f>
        <v>44013975</v>
      </c>
      <c r="B258" s="1">
        <v>4.4013975E7</v>
      </c>
      <c r="C258" s="2" t="s">
        <v>1572</v>
      </c>
      <c r="D258" s="3"/>
      <c r="E258" s="3">
        <v>226.0</v>
      </c>
      <c r="F258" s="2" t="s">
        <v>11</v>
      </c>
      <c r="G258" s="2" t="s">
        <v>56</v>
      </c>
      <c r="H258" s="2"/>
      <c r="I258" s="2"/>
      <c r="J258" s="2"/>
      <c r="K258" s="2"/>
    </row>
    <row r="259" ht="15.75" customHeight="1">
      <c r="A259" s="4" t="str">
        <f>HYPERLINK("https://stackoverflow.com/q/44025410", "44025410")</f>
        <v>44025410</v>
      </c>
      <c r="B259" s="1">
        <v>4.402541E7</v>
      </c>
      <c r="C259" s="2" t="s">
        <v>697</v>
      </c>
      <c r="D259" s="3"/>
      <c r="E259" s="3">
        <v>738.0</v>
      </c>
      <c r="F259" s="2" t="s">
        <v>72</v>
      </c>
      <c r="G259" s="2" t="s">
        <v>194</v>
      </c>
      <c r="H259" s="2" t="s">
        <v>506</v>
      </c>
      <c r="I259" s="2"/>
      <c r="J259" s="2"/>
      <c r="K259" s="2"/>
    </row>
    <row r="260" ht="15.75" customHeight="1">
      <c r="A260" s="4" t="str">
        <f>HYPERLINK("https://stackoverflow.com/q/44041037", "44041037")</f>
        <v>44041037</v>
      </c>
      <c r="B260" s="1">
        <v>4.4041037E7</v>
      </c>
      <c r="C260" s="2" t="s">
        <v>2317</v>
      </c>
      <c r="D260" s="3">
        <v>3.0</v>
      </c>
      <c r="E260" s="3">
        <v>83.0</v>
      </c>
      <c r="F260" s="9" t="s">
        <v>11</v>
      </c>
      <c r="G260" s="2" t="s">
        <v>18</v>
      </c>
      <c r="H260" s="2"/>
      <c r="I260" s="2"/>
      <c r="J260" s="2"/>
      <c r="K260" s="2"/>
    </row>
    <row r="261" ht="15.75" customHeight="1">
      <c r="A261" s="4" t="str">
        <f>HYPERLINK("https://stackoverflow.com/q/44050836", "44050836")</f>
        <v>44050836</v>
      </c>
      <c r="B261" s="1">
        <v>4.4050836E7</v>
      </c>
      <c r="C261" s="2" t="s">
        <v>326</v>
      </c>
      <c r="D261" s="3"/>
      <c r="E261" s="3">
        <v>1576.0</v>
      </c>
      <c r="F261" s="2" t="s">
        <v>11</v>
      </c>
      <c r="G261" s="2" t="s">
        <v>25</v>
      </c>
      <c r="H261" s="2" t="s">
        <v>49</v>
      </c>
      <c r="I261" s="2"/>
      <c r="J261" s="2"/>
      <c r="K261" s="2"/>
    </row>
    <row r="262" ht="15.75" customHeight="1">
      <c r="A262" s="4" t="str">
        <f>HYPERLINK("https://stackoverflow.com/q/44070042", "44070042")</f>
        <v>44070042</v>
      </c>
      <c r="B262" s="1">
        <v>4.4070042E7</v>
      </c>
      <c r="C262" s="2" t="s">
        <v>2400</v>
      </c>
      <c r="D262" s="3"/>
      <c r="E262" s="3">
        <v>75.0</v>
      </c>
      <c r="F262" s="2" t="s">
        <v>11</v>
      </c>
      <c r="G262" s="2" t="s">
        <v>30</v>
      </c>
      <c r="H262" s="2"/>
      <c r="I262" s="2"/>
      <c r="J262" s="2"/>
      <c r="K262" s="2"/>
    </row>
    <row r="263" ht="15.75" customHeight="1">
      <c r="A263" s="4" t="str">
        <f>HYPERLINK("https://stackoverflow.com/q/44073389", "44073389")</f>
        <v>44073389</v>
      </c>
      <c r="B263" s="1">
        <v>4.4073389E7</v>
      </c>
      <c r="C263" s="2" t="s">
        <v>2366</v>
      </c>
      <c r="D263" s="3"/>
      <c r="E263" s="3">
        <v>78.0</v>
      </c>
      <c r="F263" s="2" t="s">
        <v>11</v>
      </c>
      <c r="G263" s="2" t="s">
        <v>44</v>
      </c>
      <c r="H263" s="2" t="s">
        <v>34</v>
      </c>
      <c r="I263" s="2"/>
      <c r="J263" s="2"/>
      <c r="K263" s="2"/>
    </row>
    <row r="264" ht="15.75" customHeight="1">
      <c r="A264" s="4" t="str">
        <f>HYPERLINK("https://stackoverflow.com/q/44073502", "44073502")</f>
        <v>44073502</v>
      </c>
      <c r="B264" s="1">
        <v>4.4073502E7</v>
      </c>
      <c r="C264" s="2" t="s">
        <v>1686</v>
      </c>
      <c r="D264" s="3"/>
      <c r="E264" s="3">
        <v>197.0</v>
      </c>
      <c r="F264" s="2" t="s">
        <v>11</v>
      </c>
      <c r="G264" s="2" t="s">
        <v>44</v>
      </c>
      <c r="H264" s="2"/>
      <c r="I264" s="2"/>
      <c r="J264" s="2"/>
      <c r="K264" s="2"/>
    </row>
    <row r="265" ht="15.75" customHeight="1">
      <c r="A265" s="4" t="str">
        <f>HYPERLINK("https://stackoverflow.com/q/44076048", "44076048")</f>
        <v>44076048</v>
      </c>
      <c r="B265" s="1">
        <v>4.4076048E7</v>
      </c>
      <c r="C265" s="2" t="s">
        <v>927</v>
      </c>
      <c r="D265" s="3">
        <v>1.0</v>
      </c>
      <c r="E265" s="3">
        <v>523.0</v>
      </c>
      <c r="F265" s="2" t="s">
        <v>11</v>
      </c>
      <c r="G265" s="2" t="s">
        <v>25</v>
      </c>
      <c r="H265" s="2"/>
      <c r="I265" s="2"/>
      <c r="J265" s="2"/>
      <c r="K265" s="2"/>
    </row>
    <row r="266" ht="15.75" customHeight="1">
      <c r="A266" s="4" t="str">
        <f>HYPERLINK("https://stackoverflow.com/q/44078721", "44078721")</f>
        <v>44078721</v>
      </c>
      <c r="B266" s="1">
        <v>4.4078721E7</v>
      </c>
      <c r="C266" s="2" t="s">
        <v>1774</v>
      </c>
      <c r="D266" s="3">
        <v>0.0</v>
      </c>
      <c r="E266" s="3">
        <v>172.0</v>
      </c>
      <c r="F266" s="2" t="s">
        <v>11</v>
      </c>
      <c r="G266" s="2" t="s">
        <v>67</v>
      </c>
      <c r="H266" s="2"/>
      <c r="I266" s="2"/>
      <c r="J266" s="2"/>
      <c r="K266" s="2"/>
    </row>
    <row r="267" ht="15.75" customHeight="1">
      <c r="A267" s="4" t="str">
        <f>HYPERLINK("https://stackoverflow.com/q/44080566", "44080566")</f>
        <v>44080566</v>
      </c>
      <c r="B267" s="1">
        <v>4.4080566E7</v>
      </c>
      <c r="C267" s="2" t="s">
        <v>696</v>
      </c>
      <c r="D267" s="3"/>
      <c r="E267" s="3">
        <v>738.0</v>
      </c>
      <c r="F267" s="2" t="s">
        <v>11</v>
      </c>
      <c r="G267" s="2" t="s">
        <v>12</v>
      </c>
      <c r="H267" s="2"/>
      <c r="I267" s="2"/>
      <c r="J267" s="2"/>
      <c r="K267" s="2"/>
    </row>
    <row r="268" ht="15.75" customHeight="1">
      <c r="A268" s="4" t="str">
        <f>HYPERLINK("https://stackoverflow.com/q/44091275", "44091275")</f>
        <v>44091275</v>
      </c>
      <c r="B268" s="1">
        <v>4.4091275E7</v>
      </c>
      <c r="C268" s="2" t="s">
        <v>652</v>
      </c>
      <c r="D268" s="3">
        <v>2.0</v>
      </c>
      <c r="E268" s="3">
        <v>797.0</v>
      </c>
      <c r="F268" s="2" t="s">
        <v>11</v>
      </c>
      <c r="G268" s="2" t="s">
        <v>25</v>
      </c>
      <c r="H268" s="2"/>
      <c r="I268" s="2"/>
      <c r="J268" s="2"/>
      <c r="K268" s="2"/>
    </row>
    <row r="269" ht="15.75" customHeight="1">
      <c r="A269" s="4" t="str">
        <f>HYPERLINK("https://stackoverflow.com/q/44102892", "44102892")</f>
        <v>44102892</v>
      </c>
      <c r="B269" s="1">
        <v>4.4102892E7</v>
      </c>
      <c r="C269" s="2" t="s">
        <v>1324</v>
      </c>
      <c r="D269" s="3">
        <v>0.0</v>
      </c>
      <c r="E269" s="3">
        <v>329.0</v>
      </c>
      <c r="F269" s="2" t="s">
        <v>11</v>
      </c>
      <c r="G269" s="2" t="s">
        <v>35</v>
      </c>
      <c r="H269" s="2"/>
      <c r="I269" s="2"/>
      <c r="J269" s="2"/>
      <c r="K269" s="2"/>
    </row>
    <row r="270" ht="15.75" customHeight="1">
      <c r="A270" s="4" t="str">
        <f>HYPERLINK("https://stackoverflow.com/q/44106979", "44106979")</f>
        <v>44106979</v>
      </c>
      <c r="B270" s="1">
        <v>4.4106979E7</v>
      </c>
      <c r="C270" s="2" t="s">
        <v>1500</v>
      </c>
      <c r="D270" s="3"/>
      <c r="E270" s="3">
        <v>250.0</v>
      </c>
      <c r="F270" s="9" t="s">
        <v>11</v>
      </c>
      <c r="G270" s="2" t="s">
        <v>18</v>
      </c>
      <c r="H270" s="2" t="s">
        <v>44</v>
      </c>
      <c r="I270" s="2"/>
      <c r="J270" s="2"/>
      <c r="K270" s="2"/>
    </row>
    <row r="271" ht="15.75" customHeight="1">
      <c r="A271" s="4" t="str">
        <f>HYPERLINK("https://stackoverflow.com/q/44111993", "44111993")</f>
        <v>44111993</v>
      </c>
      <c r="B271" s="1">
        <v>4.4111993E7</v>
      </c>
      <c r="C271" s="2" t="s">
        <v>604</v>
      </c>
      <c r="D271" s="3"/>
      <c r="E271" s="3">
        <v>871.0</v>
      </c>
      <c r="F271" s="2" t="s">
        <v>11</v>
      </c>
      <c r="G271" s="2" t="s">
        <v>14</v>
      </c>
      <c r="H271" s="2"/>
      <c r="I271" s="2"/>
      <c r="J271" s="2"/>
      <c r="K271" s="2"/>
    </row>
    <row r="272" ht="15.75" customHeight="1">
      <c r="A272" s="4" t="str">
        <f>HYPERLINK("https://stackoverflow.com/q/44131065", "44131065")</f>
        <v>44131065</v>
      </c>
      <c r="B272" s="1">
        <v>4.4131065E7</v>
      </c>
      <c r="C272" s="2" t="s">
        <v>55</v>
      </c>
      <c r="D272" s="3">
        <v>1.0</v>
      </c>
      <c r="E272" s="3">
        <v>6909.0</v>
      </c>
      <c r="F272" s="2" t="s">
        <v>11</v>
      </c>
      <c r="G272" s="2" t="s">
        <v>56</v>
      </c>
      <c r="H272" s="2"/>
      <c r="I272" s="2"/>
      <c r="J272" s="2"/>
      <c r="K272" s="2"/>
    </row>
    <row r="273" ht="15.75" customHeight="1">
      <c r="A273" s="4" t="str">
        <f>HYPERLINK("https://stackoverflow.com/q/44136328", "44136328")</f>
        <v>44136328</v>
      </c>
      <c r="B273" s="1">
        <v>4.4136328E7</v>
      </c>
      <c r="C273" s="2" t="s">
        <v>1543</v>
      </c>
      <c r="D273" s="3"/>
      <c r="E273" s="3">
        <v>236.0</v>
      </c>
      <c r="F273" s="2" t="s">
        <v>72</v>
      </c>
      <c r="G273" s="2" t="s">
        <v>506</v>
      </c>
      <c r="H273" s="2" t="s">
        <v>194</v>
      </c>
      <c r="I273" s="2"/>
      <c r="J273" s="2"/>
      <c r="K273" s="2"/>
    </row>
    <row r="274" ht="15.75" customHeight="1">
      <c r="A274" s="4" t="str">
        <f>HYPERLINK("https://stackoverflow.com/q/44140332", "44140332")</f>
        <v>44140332</v>
      </c>
      <c r="B274" s="1">
        <v>4.4140332E7</v>
      </c>
      <c r="C274" s="2" t="s">
        <v>2308</v>
      </c>
      <c r="D274" s="3"/>
      <c r="E274" s="3">
        <v>84.0</v>
      </c>
      <c r="F274" s="2" t="s">
        <v>11</v>
      </c>
      <c r="G274" s="2" t="s">
        <v>183</v>
      </c>
      <c r="H274" s="2"/>
      <c r="I274" s="2"/>
      <c r="J274" s="2"/>
      <c r="K274" s="2"/>
    </row>
    <row r="275" ht="15.75" customHeight="1">
      <c r="A275" s="4" t="str">
        <f>HYPERLINK("https://stackoverflow.com/q/44145365", "44145365")</f>
        <v>44145365</v>
      </c>
      <c r="B275" s="1">
        <v>4.4145365E7</v>
      </c>
      <c r="C275" s="2" t="s">
        <v>2011</v>
      </c>
      <c r="D275" s="3"/>
      <c r="E275" s="3">
        <v>122.0</v>
      </c>
      <c r="F275" s="2" t="s">
        <v>11</v>
      </c>
      <c r="G275" s="2" t="s">
        <v>25</v>
      </c>
      <c r="H275" s="2"/>
      <c r="I275" s="2"/>
      <c r="J275" s="2"/>
      <c r="K275" s="2"/>
    </row>
    <row r="276" ht="15.75" customHeight="1">
      <c r="A276" s="4" t="str">
        <f>HYPERLINK("https://stackoverflow.com/q/44165995", "44165995")</f>
        <v>44165995</v>
      </c>
      <c r="B276" s="1">
        <v>4.4165995E7</v>
      </c>
      <c r="C276" s="2" t="s">
        <v>1239</v>
      </c>
      <c r="D276" s="3"/>
      <c r="E276" s="3">
        <v>356.0</v>
      </c>
      <c r="F276" s="2" t="s">
        <v>59</v>
      </c>
      <c r="G276" s="2" t="s">
        <v>28</v>
      </c>
      <c r="H276" s="2"/>
      <c r="I276" s="2"/>
      <c r="J276" s="2"/>
      <c r="K276" s="2"/>
    </row>
    <row r="277" ht="15.75" customHeight="1">
      <c r="A277" s="4" t="str">
        <f>HYPERLINK("https://stackoverflow.com/q/44178272", "44178272")</f>
        <v>44178272</v>
      </c>
      <c r="B277" s="1">
        <v>4.4178272E7</v>
      </c>
      <c r="C277" s="2" t="s">
        <v>912</v>
      </c>
      <c r="D277" s="3"/>
      <c r="E277" s="3">
        <v>540.0</v>
      </c>
      <c r="F277" s="2" t="s">
        <v>11</v>
      </c>
      <c r="G277" s="2" t="s">
        <v>67</v>
      </c>
      <c r="H277" s="2"/>
      <c r="I277" s="2"/>
      <c r="J277" s="2"/>
      <c r="K277" s="2"/>
    </row>
    <row r="278" ht="15.75" customHeight="1">
      <c r="A278" s="4" t="str">
        <f>HYPERLINK("https://stackoverflow.com/q/44178802", "44178802")</f>
        <v>44178802</v>
      </c>
      <c r="B278" s="1">
        <v>4.4178802E7</v>
      </c>
      <c r="C278" s="2" t="s">
        <v>2817</v>
      </c>
      <c r="D278" s="3"/>
      <c r="E278" s="3">
        <v>45.0</v>
      </c>
      <c r="F278" s="2" t="s">
        <v>11</v>
      </c>
      <c r="G278" s="2" t="s">
        <v>25</v>
      </c>
      <c r="H278" s="2" t="s">
        <v>12</v>
      </c>
      <c r="I278" s="2"/>
      <c r="J278" s="2"/>
      <c r="K278" s="2"/>
    </row>
    <row r="279" ht="15.75" customHeight="1">
      <c r="A279" s="4" t="str">
        <f>HYPERLINK("https://stackoverflow.com/q/44233707", "44233707")</f>
        <v>44233707</v>
      </c>
      <c r="B279" s="1">
        <v>4.4233707E7</v>
      </c>
      <c r="C279" s="2" t="s">
        <v>32</v>
      </c>
      <c r="D279" s="3">
        <v>1.0</v>
      </c>
      <c r="E279" s="3">
        <v>12439.0</v>
      </c>
      <c r="F279" s="2" t="s">
        <v>11</v>
      </c>
      <c r="G279" s="2" t="s">
        <v>25</v>
      </c>
      <c r="H279" s="2"/>
      <c r="I279" s="2"/>
      <c r="J279" s="2"/>
      <c r="K279" s="2"/>
    </row>
    <row r="280" ht="15.75" customHeight="1">
      <c r="A280" s="4" t="str">
        <f>HYPERLINK("https://stackoverflow.com/q/44242378", "44242378")</f>
        <v>44242378</v>
      </c>
      <c r="B280" s="1">
        <v>4.4242378E7</v>
      </c>
      <c r="C280" s="2" t="s">
        <v>94</v>
      </c>
      <c r="D280" s="3"/>
      <c r="E280" s="3">
        <v>4441.0</v>
      </c>
      <c r="F280" s="2" t="s">
        <v>11</v>
      </c>
      <c r="G280" s="2" t="s">
        <v>25</v>
      </c>
      <c r="H280" s="2"/>
      <c r="I280" s="2"/>
      <c r="J280" s="2"/>
      <c r="K280" s="2"/>
    </row>
    <row r="281" ht="15.75" customHeight="1">
      <c r="A281" s="4" t="str">
        <f>HYPERLINK("https://stackoverflow.com/q/44375912", "44375912")</f>
        <v>44375912</v>
      </c>
      <c r="B281" s="1">
        <v>4.4375912E7</v>
      </c>
      <c r="C281" s="2" t="s">
        <v>289</v>
      </c>
      <c r="D281" s="3"/>
      <c r="E281" s="3">
        <v>1755.0</v>
      </c>
      <c r="F281" s="2" t="s">
        <v>11</v>
      </c>
      <c r="G281" s="2" t="s">
        <v>30</v>
      </c>
      <c r="H281" s="2"/>
      <c r="I281" s="2"/>
      <c r="J281" s="2"/>
      <c r="K281" s="2"/>
    </row>
    <row r="282" ht="15.75" customHeight="1">
      <c r="A282" s="4" t="str">
        <f>HYPERLINK("https://stackoverflow.com/q/44565423", "44565423")</f>
        <v>44565423</v>
      </c>
      <c r="B282" s="1">
        <v>4.4565423E7</v>
      </c>
      <c r="C282" s="2" t="s">
        <v>76</v>
      </c>
      <c r="D282" s="3"/>
      <c r="E282" s="3">
        <v>5347.0</v>
      </c>
      <c r="F282" s="2" t="s">
        <v>11</v>
      </c>
      <c r="G282" s="2" t="s">
        <v>25</v>
      </c>
      <c r="H282" s="2"/>
      <c r="I282" s="2"/>
      <c r="J282" s="2"/>
      <c r="K282" s="2"/>
    </row>
    <row r="283" ht="15.75" customHeight="1">
      <c r="A283" s="4" t="str">
        <f>HYPERLINK("https://stackoverflow.com/q/45310234", "45310234")</f>
        <v>45310234</v>
      </c>
      <c r="B283" s="1">
        <v>4.5310234E7</v>
      </c>
      <c r="C283" s="2" t="s">
        <v>197</v>
      </c>
      <c r="D283" s="3"/>
      <c r="E283" s="3">
        <v>2355.0</v>
      </c>
      <c r="F283" s="2" t="s">
        <v>11</v>
      </c>
      <c r="G283" s="2" t="s">
        <v>44</v>
      </c>
      <c r="H283" s="2"/>
      <c r="I283" s="2"/>
      <c r="J283" s="2"/>
      <c r="K283" s="2"/>
    </row>
    <row r="284" ht="15.75" customHeight="1">
      <c r="A284" s="4" t="str">
        <f>HYPERLINK("https://stackoverflow.com/q/45442784", "45442784")</f>
        <v>45442784</v>
      </c>
      <c r="B284" s="1">
        <v>4.5442784E7</v>
      </c>
      <c r="C284" s="2" t="s">
        <v>107</v>
      </c>
      <c r="D284" s="3"/>
      <c r="E284" s="3">
        <v>3880.0</v>
      </c>
      <c r="F284" s="2" t="s">
        <v>11</v>
      </c>
      <c r="G284" s="2" t="s">
        <v>18</v>
      </c>
      <c r="H284" s="2"/>
      <c r="I284" s="2"/>
      <c r="J284" s="2"/>
      <c r="K284" s="2"/>
    </row>
    <row r="285" ht="15.75" customHeight="1">
      <c r="A285" s="4" t="str">
        <f>HYPERLINK("https://stackoverflow.com/q/45483554", "45483554")</f>
        <v>45483554</v>
      </c>
      <c r="B285" s="1">
        <v>4.5483554E7</v>
      </c>
      <c r="C285" s="2" t="s">
        <v>79</v>
      </c>
      <c r="D285" s="3"/>
      <c r="E285" s="3">
        <v>5048.0</v>
      </c>
      <c r="F285" s="2" t="s">
        <v>11</v>
      </c>
      <c r="G285" s="2" t="s">
        <v>25</v>
      </c>
      <c r="H285" s="2"/>
      <c r="I285" s="2"/>
      <c r="J285" s="2"/>
      <c r="K285" s="2"/>
    </row>
    <row r="286" ht="15.75" customHeight="1">
      <c r="A286" s="4" t="str">
        <f>HYPERLINK("https://stackoverflow.com/q/45555969", "45555969")</f>
        <v>45555969</v>
      </c>
      <c r="B286" s="1">
        <v>4.5555969E7</v>
      </c>
      <c r="C286" s="2" t="s">
        <v>2466</v>
      </c>
      <c r="D286" s="3"/>
      <c r="E286" s="3">
        <v>69.0</v>
      </c>
      <c r="F286" s="2" t="s">
        <v>72</v>
      </c>
      <c r="G286" s="2" t="s">
        <v>506</v>
      </c>
      <c r="H286" s="2"/>
      <c r="I286" s="2"/>
      <c r="J286" s="2"/>
      <c r="K286" s="2"/>
    </row>
    <row r="287" ht="15.75" customHeight="1">
      <c r="A287" s="4" t="str">
        <f>HYPERLINK("https://stackoverflow.com/q/45723760", "45723760")</f>
        <v>45723760</v>
      </c>
      <c r="B287" s="1">
        <v>4.572376E7</v>
      </c>
      <c r="C287" s="2" t="s">
        <v>1027</v>
      </c>
      <c r="D287" s="3"/>
      <c r="E287" s="3">
        <v>464.0</v>
      </c>
      <c r="F287" s="9" t="s">
        <v>11</v>
      </c>
      <c r="G287" s="2" t="s">
        <v>18</v>
      </c>
      <c r="H287" s="2"/>
      <c r="I287" s="2"/>
      <c r="J287" s="2"/>
      <c r="K287" s="2"/>
    </row>
    <row r="288" ht="15.75" customHeight="1">
      <c r="A288" s="4" t="str">
        <f>HYPERLINK("https://stackoverflow.com/q/45772221", "45772221")</f>
        <v>45772221</v>
      </c>
      <c r="B288" s="1">
        <v>4.5772221E7</v>
      </c>
      <c r="C288" s="2" t="s">
        <v>91</v>
      </c>
      <c r="D288" s="3"/>
      <c r="E288" s="3">
        <v>4496.0</v>
      </c>
      <c r="F288" s="2"/>
      <c r="G288" s="2" t="s">
        <v>23</v>
      </c>
      <c r="H288" s="2"/>
      <c r="I288" s="2"/>
      <c r="J288" s="2"/>
      <c r="K288" s="2"/>
    </row>
    <row r="289" ht="15.75" customHeight="1">
      <c r="A289" s="4" t="str">
        <f>HYPERLINK("https://stackoverflow.com/q/45834435", "45834435")</f>
        <v>45834435</v>
      </c>
      <c r="B289" s="1">
        <v>4.5834435E7</v>
      </c>
      <c r="C289" s="2" t="s">
        <v>126</v>
      </c>
      <c r="D289" s="3">
        <v>1.0</v>
      </c>
      <c r="E289" s="3">
        <v>3370.0</v>
      </c>
      <c r="F289" s="2" t="s">
        <v>11</v>
      </c>
      <c r="G289" s="2" t="s">
        <v>25</v>
      </c>
      <c r="H289" s="2"/>
      <c r="I289" s="2"/>
      <c r="J289" s="2"/>
      <c r="K289" s="2"/>
    </row>
    <row r="290" ht="15.75" customHeight="1">
      <c r="A290" s="4" t="str">
        <f>HYPERLINK("https://stackoverflow.com/q/45955538", "45955538")</f>
        <v>45955538</v>
      </c>
      <c r="B290" s="1">
        <v>4.5955538E7</v>
      </c>
      <c r="C290" s="2" t="s">
        <v>13</v>
      </c>
      <c r="D290" s="3">
        <v>8.0</v>
      </c>
      <c r="E290" s="3">
        <v>36486.0</v>
      </c>
      <c r="F290" s="2" t="s">
        <v>11</v>
      </c>
      <c r="G290" s="2" t="s">
        <v>14</v>
      </c>
      <c r="H290" s="2"/>
      <c r="I290" s="2"/>
      <c r="J290" s="2"/>
      <c r="K290" s="2"/>
    </row>
    <row r="291" ht="15.75" customHeight="1">
      <c r="A291" s="4" t="str">
        <f>HYPERLINK("https://stackoverflow.com/q/46067509", "46067509")</f>
        <v>46067509</v>
      </c>
      <c r="B291" s="1">
        <v>4.6067509E7</v>
      </c>
      <c r="C291" s="2" t="s">
        <v>667</v>
      </c>
      <c r="D291" s="3"/>
      <c r="E291" s="3">
        <v>781.0</v>
      </c>
      <c r="F291" s="2" t="s">
        <v>11</v>
      </c>
      <c r="G291" s="2" t="s">
        <v>12</v>
      </c>
      <c r="H291" s="2"/>
      <c r="I291" s="2"/>
      <c r="J291" s="2"/>
      <c r="K291" s="2"/>
    </row>
    <row r="292" ht="15.75" customHeight="1">
      <c r="A292" s="4" t="str">
        <f>HYPERLINK("https://stackoverflow.com/q/46067552", "46067552")</f>
        <v>46067552</v>
      </c>
      <c r="B292" s="1">
        <v>4.6067552E7</v>
      </c>
      <c r="C292" s="2" t="s">
        <v>242</v>
      </c>
      <c r="D292" s="3"/>
      <c r="E292" s="3">
        <v>2032.0</v>
      </c>
      <c r="F292" s="2" t="s">
        <v>11</v>
      </c>
      <c r="G292" s="2" t="s">
        <v>12</v>
      </c>
      <c r="H292" s="2"/>
      <c r="I292" s="2"/>
      <c r="J292" s="2"/>
      <c r="K292" s="2"/>
    </row>
    <row r="293" ht="15.75" customHeight="1">
      <c r="A293" s="4" t="str">
        <f>HYPERLINK("https://stackoverflow.com/q/46077840", "46077840")</f>
        <v>46077840</v>
      </c>
      <c r="B293" s="1">
        <v>4.607784E7</v>
      </c>
      <c r="C293" s="2" t="s">
        <v>1714</v>
      </c>
      <c r="D293" s="3"/>
      <c r="E293" s="3">
        <v>190.0</v>
      </c>
      <c r="F293" s="9" t="s">
        <v>11</v>
      </c>
      <c r="G293" s="2" t="s">
        <v>16</v>
      </c>
      <c r="H293" s="2"/>
      <c r="I293" s="2"/>
      <c r="J293" s="2"/>
      <c r="K293" s="2"/>
    </row>
    <row r="294" ht="15.75" customHeight="1">
      <c r="A294" s="4" t="str">
        <f>HYPERLINK("https://stackoverflow.com/q/46088465", "46088465")</f>
        <v>46088465</v>
      </c>
      <c r="B294" s="1">
        <v>4.6088465E7</v>
      </c>
      <c r="C294" s="2" t="s">
        <v>277</v>
      </c>
      <c r="D294" s="3">
        <v>2.0</v>
      </c>
      <c r="E294" s="3">
        <v>1813.0</v>
      </c>
      <c r="F294" s="2" t="s">
        <v>11</v>
      </c>
      <c r="G294" s="2" t="s">
        <v>67</v>
      </c>
      <c r="H294" s="2"/>
      <c r="I294" s="2"/>
      <c r="J294" s="2"/>
      <c r="K294" s="2"/>
    </row>
    <row r="295" ht="15.75" customHeight="1">
      <c r="A295" s="4" t="str">
        <f>HYPERLINK("https://stackoverflow.com/q/46090082", "46090082")</f>
        <v>46090082</v>
      </c>
      <c r="B295" s="1">
        <v>4.6090082E7</v>
      </c>
      <c r="C295" s="2" t="s">
        <v>1558</v>
      </c>
      <c r="D295" s="3">
        <v>1.0</v>
      </c>
      <c r="E295" s="3">
        <v>232.0</v>
      </c>
      <c r="F295" s="2" t="s">
        <v>11</v>
      </c>
      <c r="G295" s="2" t="s">
        <v>25</v>
      </c>
      <c r="H295" s="2"/>
      <c r="I295" s="2"/>
      <c r="J295" s="2"/>
      <c r="K295" s="2"/>
    </row>
    <row r="296" ht="15.75" customHeight="1">
      <c r="A296" s="4" t="str">
        <f>HYPERLINK("https://stackoverflow.com/q/46124156", "46124156")</f>
        <v>46124156</v>
      </c>
      <c r="B296" s="1">
        <v>4.6124156E7</v>
      </c>
      <c r="C296" s="2" t="s">
        <v>2449</v>
      </c>
      <c r="D296" s="3"/>
      <c r="E296" s="3">
        <v>70.0</v>
      </c>
      <c r="F296" s="9" t="s">
        <v>11</v>
      </c>
      <c r="G296" s="2" t="s">
        <v>18</v>
      </c>
      <c r="H296" s="2"/>
      <c r="I296" s="2"/>
      <c r="J296" s="2"/>
      <c r="K296" s="2"/>
    </row>
    <row r="297" ht="15.75" customHeight="1">
      <c r="A297" s="4" t="str">
        <f>HYPERLINK("https://stackoverflow.com/q/46144718", "46144718")</f>
        <v>46144718</v>
      </c>
      <c r="B297" s="1">
        <v>4.6144718E7</v>
      </c>
      <c r="C297" s="2" t="s">
        <v>1000</v>
      </c>
      <c r="D297" s="3"/>
      <c r="E297" s="3">
        <v>479.0</v>
      </c>
      <c r="F297" s="2" t="s">
        <v>11</v>
      </c>
      <c r="G297" s="2" t="s">
        <v>67</v>
      </c>
      <c r="H297" s="2"/>
      <c r="I297" s="2"/>
      <c r="J297" s="2"/>
      <c r="K297" s="2"/>
    </row>
    <row r="298" ht="15.75" customHeight="1">
      <c r="A298" s="4" t="str">
        <f>HYPERLINK("https://stackoverflow.com/q/46158698", "46158698")</f>
        <v>46158698</v>
      </c>
      <c r="B298" s="1">
        <v>4.6158698E7</v>
      </c>
      <c r="C298" s="2" t="s">
        <v>929</v>
      </c>
      <c r="D298" s="3"/>
      <c r="E298" s="3">
        <v>522.0</v>
      </c>
      <c r="F298" s="9" t="s">
        <v>11</v>
      </c>
      <c r="G298" s="2" t="s">
        <v>18</v>
      </c>
      <c r="H298" s="2"/>
      <c r="I298" s="2"/>
      <c r="J298" s="2"/>
      <c r="K298" s="2"/>
    </row>
    <row r="299" ht="15.75" customHeight="1">
      <c r="A299" s="4" t="str">
        <f>HYPERLINK("https://stackoverflow.com/q/46171283", "46171283")</f>
        <v>46171283</v>
      </c>
      <c r="B299" s="1">
        <v>4.6171283E7</v>
      </c>
      <c r="C299" s="2" t="s">
        <v>285</v>
      </c>
      <c r="D299" s="3">
        <v>1.0</v>
      </c>
      <c r="E299" s="3">
        <v>1793.0</v>
      </c>
      <c r="F299" s="2" t="s">
        <v>11</v>
      </c>
      <c r="G299" s="2" t="s">
        <v>73</v>
      </c>
      <c r="H299" s="2"/>
      <c r="I299" s="2"/>
      <c r="J299" s="2"/>
      <c r="K299" s="2"/>
    </row>
    <row r="300" ht="15.75" customHeight="1">
      <c r="A300" s="4" t="str">
        <f>HYPERLINK("https://stackoverflow.com/q/46193704", "46193704")</f>
        <v>46193704</v>
      </c>
      <c r="B300" s="1">
        <v>4.6193704E7</v>
      </c>
      <c r="C300" s="2" t="s">
        <v>1732</v>
      </c>
      <c r="D300" s="3"/>
      <c r="E300" s="3">
        <v>185.0</v>
      </c>
      <c r="F300" s="2" t="s">
        <v>11</v>
      </c>
      <c r="G300" s="2" t="s">
        <v>25</v>
      </c>
      <c r="H300" s="2"/>
      <c r="I300" s="2"/>
      <c r="J300" s="2"/>
      <c r="K300" s="2"/>
    </row>
    <row r="301" ht="15.75" customHeight="1">
      <c r="A301" s="4" t="str">
        <f>HYPERLINK("https://stackoverflow.com/q/46195839", "46195839")</f>
        <v>46195839</v>
      </c>
      <c r="B301" s="1">
        <v>4.6195839E7</v>
      </c>
      <c r="C301" s="2" t="s">
        <v>964</v>
      </c>
      <c r="D301" s="3"/>
      <c r="E301" s="3">
        <v>498.0</v>
      </c>
      <c r="F301" s="2" t="s">
        <v>59</v>
      </c>
      <c r="G301" s="2" t="s">
        <v>21</v>
      </c>
      <c r="H301" s="2"/>
      <c r="I301" s="2"/>
      <c r="J301" s="2"/>
      <c r="K301" s="2"/>
    </row>
    <row r="302" ht="15.75" customHeight="1">
      <c r="A302" s="4" t="str">
        <f>HYPERLINK("https://stackoverflow.com/q/46206200", "46206200")</f>
        <v>46206200</v>
      </c>
      <c r="B302" s="1">
        <v>4.62062E7</v>
      </c>
      <c r="C302" s="2" t="s">
        <v>2257</v>
      </c>
      <c r="D302" s="3"/>
      <c r="E302" s="3">
        <v>88.0</v>
      </c>
      <c r="F302" s="2" t="s">
        <v>11</v>
      </c>
      <c r="G302" s="2" t="s">
        <v>56</v>
      </c>
      <c r="H302" s="2"/>
      <c r="I302" s="2"/>
      <c r="J302" s="2"/>
      <c r="K302" s="2"/>
    </row>
    <row r="303" ht="15.75" customHeight="1">
      <c r="A303" s="4" t="str">
        <f>HYPERLINK("https://stackoverflow.com/q/46206207", "46206207")</f>
        <v>46206207</v>
      </c>
      <c r="B303" s="1">
        <v>4.6206207E7</v>
      </c>
      <c r="C303" s="2" t="s">
        <v>2421</v>
      </c>
      <c r="D303" s="3"/>
      <c r="E303" s="3">
        <v>73.0</v>
      </c>
      <c r="F303" s="2" t="s">
        <v>11</v>
      </c>
      <c r="G303" s="2" t="s">
        <v>25</v>
      </c>
      <c r="H303" s="2"/>
      <c r="I303" s="2"/>
      <c r="J303" s="2"/>
      <c r="K303" s="2"/>
    </row>
    <row r="304" ht="15.75" customHeight="1">
      <c r="A304" s="4" t="str">
        <f>HYPERLINK("https://stackoverflow.com/q/46211514", "46211514")</f>
        <v>46211514</v>
      </c>
      <c r="B304" s="1">
        <v>4.6211514E7</v>
      </c>
      <c r="C304" s="2" t="s">
        <v>659</v>
      </c>
      <c r="D304" s="3"/>
      <c r="E304" s="3">
        <v>791.0</v>
      </c>
      <c r="F304" s="2" t="s">
        <v>11</v>
      </c>
      <c r="G304" s="2" t="s">
        <v>18</v>
      </c>
      <c r="H304" s="2"/>
      <c r="I304" s="2"/>
      <c r="J304" s="2"/>
      <c r="K304" s="2"/>
    </row>
    <row r="305" ht="15.75" customHeight="1">
      <c r="A305" s="4" t="str">
        <f>HYPERLINK("https://stackoverflow.com/q/46226398", "46226398")</f>
        <v>46226398</v>
      </c>
      <c r="B305" s="1">
        <v>4.6226398E7</v>
      </c>
      <c r="C305" s="2" t="s">
        <v>1639</v>
      </c>
      <c r="D305" s="3"/>
      <c r="E305" s="3">
        <v>213.0</v>
      </c>
      <c r="F305" s="9" t="s">
        <v>11</v>
      </c>
      <c r="G305" s="2" t="s">
        <v>18</v>
      </c>
      <c r="H305" s="2"/>
      <c r="I305" s="2"/>
      <c r="J305" s="2"/>
      <c r="K305" s="2"/>
    </row>
    <row r="306" ht="15.75" customHeight="1">
      <c r="A306" s="4" t="str">
        <f>HYPERLINK("https://stackoverflow.com/q/46227182", "46227182")</f>
        <v>46227182</v>
      </c>
      <c r="B306" s="1">
        <v>4.6227182E7</v>
      </c>
      <c r="C306" s="2" t="s">
        <v>716</v>
      </c>
      <c r="D306" s="3"/>
      <c r="E306" s="3">
        <v>714.0</v>
      </c>
      <c r="F306" s="2" t="s">
        <v>11</v>
      </c>
      <c r="G306" s="2" t="s">
        <v>30</v>
      </c>
      <c r="H306" s="2"/>
      <c r="I306" s="2"/>
      <c r="J306" s="2"/>
      <c r="K306" s="2"/>
    </row>
    <row r="307" ht="15.75" customHeight="1">
      <c r="A307" s="4" t="str">
        <f>HYPERLINK("https://stackoverflow.com/q/46236405", "46236405")</f>
        <v>46236405</v>
      </c>
      <c r="B307" s="1">
        <v>4.6236405E7</v>
      </c>
      <c r="C307" s="2" t="s">
        <v>1828</v>
      </c>
      <c r="D307" s="3"/>
      <c r="E307" s="3">
        <v>162.0</v>
      </c>
      <c r="F307" s="2" t="s">
        <v>11</v>
      </c>
      <c r="G307" s="2" t="s">
        <v>12</v>
      </c>
      <c r="H307" s="2"/>
      <c r="I307" s="2"/>
      <c r="J307" s="2"/>
      <c r="K307" s="2"/>
    </row>
    <row r="308" ht="15.75" customHeight="1">
      <c r="A308" s="4" t="str">
        <f>HYPERLINK("https://stackoverflow.com/q/46238759", "46238759")</f>
        <v>46238759</v>
      </c>
      <c r="B308" s="1">
        <v>4.6238759E7</v>
      </c>
      <c r="C308" s="2" t="s">
        <v>1399</v>
      </c>
      <c r="D308" s="3"/>
      <c r="E308" s="3">
        <v>296.0</v>
      </c>
      <c r="F308" s="2" t="s">
        <v>11</v>
      </c>
      <c r="G308" s="2" t="s">
        <v>14</v>
      </c>
      <c r="H308" s="2"/>
      <c r="I308" s="2"/>
      <c r="J308" s="2"/>
      <c r="K308" s="2"/>
    </row>
    <row r="309" ht="15.75" customHeight="1">
      <c r="A309" s="4" t="str">
        <f>HYPERLINK("https://stackoverflow.com/q/46241015", "46241015")</f>
        <v>46241015</v>
      </c>
      <c r="B309" s="1">
        <v>4.6241015E7</v>
      </c>
      <c r="C309" s="2" t="s">
        <v>1035</v>
      </c>
      <c r="D309" s="3"/>
      <c r="E309" s="3">
        <v>461.0</v>
      </c>
      <c r="F309" s="2" t="s">
        <v>11</v>
      </c>
      <c r="G309" s="2" t="s">
        <v>34</v>
      </c>
      <c r="H309" s="2"/>
      <c r="I309" s="2"/>
      <c r="J309" s="2"/>
      <c r="K309" s="2"/>
    </row>
    <row r="310" ht="15.75" customHeight="1">
      <c r="A310" s="4" t="str">
        <f>HYPERLINK("https://stackoverflow.com/q/46250017", "46250017")</f>
        <v>46250017</v>
      </c>
      <c r="B310" s="1">
        <v>4.6250017E7</v>
      </c>
      <c r="C310" s="2" t="s">
        <v>407</v>
      </c>
      <c r="D310" s="3"/>
      <c r="E310" s="3">
        <v>1292.0</v>
      </c>
      <c r="F310" s="2" t="s">
        <v>11</v>
      </c>
      <c r="G310" s="2" t="s">
        <v>25</v>
      </c>
      <c r="H310" s="2"/>
      <c r="I310" s="2"/>
      <c r="J310" s="2"/>
      <c r="K310" s="2"/>
    </row>
    <row r="311" ht="15.75" customHeight="1">
      <c r="A311" s="4" t="str">
        <f>HYPERLINK("https://stackoverflow.com/q/46257017", "46257017")</f>
        <v>46257017</v>
      </c>
      <c r="B311" s="1">
        <v>4.6257017E7</v>
      </c>
      <c r="C311" s="2" t="s">
        <v>1147</v>
      </c>
      <c r="D311" s="3"/>
      <c r="E311" s="3">
        <v>400.0</v>
      </c>
      <c r="F311" s="2" t="s">
        <v>11</v>
      </c>
      <c r="G311" s="2" t="s">
        <v>67</v>
      </c>
      <c r="H311" s="2"/>
      <c r="I311" s="2"/>
      <c r="J311" s="2"/>
      <c r="K311" s="2"/>
    </row>
    <row r="312" ht="15.75" customHeight="1">
      <c r="A312" s="4" t="str">
        <f>HYPERLINK("https://stackoverflow.com/q/46271988", "46271988")</f>
        <v>46271988</v>
      </c>
      <c r="B312" s="1">
        <v>4.6271988E7</v>
      </c>
      <c r="C312" s="2" t="s">
        <v>2147</v>
      </c>
      <c r="D312" s="3"/>
      <c r="E312" s="3">
        <v>102.0</v>
      </c>
      <c r="F312" s="9" t="s">
        <v>11</v>
      </c>
      <c r="G312" s="2" t="s">
        <v>18</v>
      </c>
      <c r="H312" s="2"/>
      <c r="I312" s="2"/>
      <c r="J312" s="2"/>
      <c r="K312" s="2"/>
    </row>
    <row r="313" ht="15.75" customHeight="1">
      <c r="A313" s="4" t="str">
        <f>HYPERLINK("https://stackoverflow.com/q/46275169", "46275169")</f>
        <v>46275169</v>
      </c>
      <c r="B313" s="1">
        <v>4.6275169E7</v>
      </c>
      <c r="C313" s="2" t="s">
        <v>2006</v>
      </c>
      <c r="D313" s="3"/>
      <c r="E313" s="3">
        <v>123.0</v>
      </c>
      <c r="F313" s="9" t="s">
        <v>11</v>
      </c>
      <c r="G313" s="2" t="s">
        <v>18</v>
      </c>
      <c r="H313" s="2"/>
      <c r="I313" s="2"/>
      <c r="J313" s="2"/>
      <c r="K313" s="2"/>
    </row>
    <row r="314" ht="15.75" customHeight="1">
      <c r="A314" s="4" t="str">
        <f>HYPERLINK("https://stackoverflow.com/q/46277360", "46277360")</f>
        <v>46277360</v>
      </c>
      <c r="B314" s="1">
        <v>4.627736E7</v>
      </c>
      <c r="C314" s="2" t="s">
        <v>906</v>
      </c>
      <c r="D314" s="3"/>
      <c r="E314" s="3">
        <v>543.0</v>
      </c>
      <c r="F314" s="2" t="s">
        <v>11</v>
      </c>
      <c r="G314" s="2" t="s">
        <v>25</v>
      </c>
      <c r="H314" s="2"/>
      <c r="I314" s="2"/>
      <c r="J314" s="2"/>
      <c r="K314" s="2"/>
    </row>
    <row r="315" ht="15.75" customHeight="1">
      <c r="A315" s="4" t="str">
        <f>HYPERLINK("https://stackoverflow.com/q/46289453", "46289453")</f>
        <v>46289453</v>
      </c>
      <c r="B315" s="1">
        <v>4.6289453E7</v>
      </c>
      <c r="C315" s="2" t="s">
        <v>1736</v>
      </c>
      <c r="D315" s="3"/>
      <c r="E315" s="3">
        <v>183.0</v>
      </c>
      <c r="F315" s="2" t="s">
        <v>11</v>
      </c>
      <c r="G315" s="2" t="s">
        <v>30</v>
      </c>
      <c r="H315" s="2"/>
      <c r="I315" s="2"/>
      <c r="J315" s="2"/>
      <c r="K315" s="2"/>
    </row>
    <row r="316" ht="15.75" customHeight="1">
      <c r="A316" s="4" t="str">
        <f>HYPERLINK("https://stackoverflow.com/q/46295367", "46295367")</f>
        <v>46295367</v>
      </c>
      <c r="B316" s="1">
        <v>4.6295367E7</v>
      </c>
      <c r="C316" s="2" t="s">
        <v>1016</v>
      </c>
      <c r="D316" s="3">
        <v>1.0</v>
      </c>
      <c r="E316" s="3">
        <v>468.0</v>
      </c>
      <c r="F316" s="2" t="s">
        <v>11</v>
      </c>
      <c r="G316" s="2" t="s">
        <v>56</v>
      </c>
      <c r="H316" s="2"/>
      <c r="I316" s="2"/>
      <c r="J316" s="2"/>
      <c r="K316" s="2"/>
    </row>
    <row r="317" ht="15.75" customHeight="1">
      <c r="A317" s="4" t="str">
        <f>HYPERLINK("https://stackoverflow.com/q/46297894", "46297894")</f>
        <v>46297894</v>
      </c>
      <c r="B317" s="1">
        <v>4.6297894E7</v>
      </c>
      <c r="C317" s="2" t="s">
        <v>784</v>
      </c>
      <c r="D317" s="3"/>
      <c r="E317" s="3">
        <v>642.0</v>
      </c>
      <c r="F317" s="2" t="s">
        <v>86</v>
      </c>
      <c r="G317" s="2" t="s">
        <v>272</v>
      </c>
      <c r="H317" s="2"/>
      <c r="I317" s="2"/>
      <c r="J317" s="2"/>
      <c r="K317" s="2"/>
    </row>
    <row r="318" ht="15.75" customHeight="1">
      <c r="A318" s="4" t="str">
        <f>HYPERLINK("https://stackoverflow.com/q/46303370", "46303370")</f>
        <v>46303370</v>
      </c>
      <c r="B318" s="1">
        <v>4.630337E7</v>
      </c>
      <c r="C318" s="2" t="s">
        <v>156</v>
      </c>
      <c r="D318" s="3"/>
      <c r="E318" s="3">
        <v>2706.0</v>
      </c>
      <c r="F318" s="2" t="s">
        <v>11</v>
      </c>
      <c r="G318" s="2" t="s">
        <v>67</v>
      </c>
      <c r="H318" s="2"/>
      <c r="I318" s="2"/>
      <c r="J318" s="2"/>
      <c r="K318" s="2"/>
    </row>
    <row r="319" ht="15.75" customHeight="1">
      <c r="A319" s="4" t="str">
        <f>HYPERLINK("https://stackoverflow.com/q/46314967", "46314967")</f>
        <v>46314967</v>
      </c>
      <c r="B319" s="1">
        <v>4.6314967E7</v>
      </c>
      <c r="C319" s="2" t="s">
        <v>281</v>
      </c>
      <c r="D319" s="3"/>
      <c r="E319" s="3">
        <v>1805.0</v>
      </c>
      <c r="F319" s="2" t="s">
        <v>59</v>
      </c>
      <c r="G319" s="2" t="s">
        <v>25</v>
      </c>
      <c r="H319" s="2"/>
      <c r="I319" s="2"/>
      <c r="J319" s="2"/>
      <c r="K319" s="2"/>
    </row>
    <row r="320" ht="15.75" customHeight="1">
      <c r="A320" s="4" t="str">
        <f>HYPERLINK("https://stackoverflow.com/q/46321865", "46321865")</f>
        <v>46321865</v>
      </c>
      <c r="B320" s="1">
        <v>4.6321865E7</v>
      </c>
      <c r="C320" s="2" t="s">
        <v>664</v>
      </c>
      <c r="D320" s="3"/>
      <c r="E320" s="3">
        <v>783.0</v>
      </c>
      <c r="F320" s="2" t="s">
        <v>11</v>
      </c>
      <c r="G320" s="2" t="s">
        <v>56</v>
      </c>
      <c r="H320" s="2"/>
      <c r="I320" s="2"/>
      <c r="J320" s="2"/>
      <c r="K320" s="2"/>
    </row>
    <row r="321" ht="15.75" customHeight="1">
      <c r="A321" s="4" t="str">
        <f>HYPERLINK("https://stackoverflow.com/q/46330301", "46330301")</f>
        <v>46330301</v>
      </c>
      <c r="B321" s="1">
        <v>4.6330301E7</v>
      </c>
      <c r="C321" s="2" t="s">
        <v>1766</v>
      </c>
      <c r="D321" s="3"/>
      <c r="E321" s="3">
        <v>174.0</v>
      </c>
      <c r="F321" s="2" t="s">
        <v>11</v>
      </c>
      <c r="G321" s="2" t="s">
        <v>25</v>
      </c>
      <c r="H321" s="2" t="s">
        <v>21</v>
      </c>
      <c r="I321" s="2"/>
      <c r="J321" s="2"/>
      <c r="K321" s="2"/>
    </row>
    <row r="322" ht="15.75" customHeight="1">
      <c r="A322" s="4" t="str">
        <f>HYPERLINK("https://stackoverflow.com/q/46336305", "46336305")</f>
        <v>46336305</v>
      </c>
      <c r="B322" s="1">
        <v>4.6336305E7</v>
      </c>
      <c r="C322" s="2" t="s">
        <v>2242</v>
      </c>
      <c r="D322" s="3"/>
      <c r="E322" s="3">
        <v>90.0</v>
      </c>
      <c r="F322" s="2" t="s">
        <v>11</v>
      </c>
      <c r="G322" s="2" t="s">
        <v>263</v>
      </c>
      <c r="H322" s="2"/>
      <c r="I322" s="2"/>
      <c r="J322" s="2"/>
      <c r="K322" s="2"/>
    </row>
    <row r="323" ht="15.75" customHeight="1">
      <c r="A323" s="4" t="str">
        <f>HYPERLINK("https://stackoverflow.com/q/46340789", "46340789")</f>
        <v>46340789</v>
      </c>
      <c r="B323" s="1">
        <v>4.6340789E7</v>
      </c>
      <c r="C323" s="2" t="s">
        <v>2356</v>
      </c>
      <c r="D323" s="3">
        <v>1.0</v>
      </c>
      <c r="E323" s="3">
        <v>79.0</v>
      </c>
      <c r="F323" s="9" t="s">
        <v>11</v>
      </c>
      <c r="G323" s="2" t="s">
        <v>18</v>
      </c>
      <c r="H323" s="2"/>
      <c r="I323" s="2"/>
      <c r="J323" s="2"/>
      <c r="K323" s="2"/>
    </row>
    <row r="324" ht="15.75" customHeight="1">
      <c r="A324" s="4" t="str">
        <f>HYPERLINK("https://stackoverflow.com/q/46348449", "46348449")</f>
        <v>46348449</v>
      </c>
      <c r="B324" s="1">
        <v>4.6348449E7</v>
      </c>
      <c r="C324" s="2" t="s">
        <v>2541</v>
      </c>
      <c r="D324" s="3"/>
      <c r="E324" s="3">
        <v>64.0</v>
      </c>
      <c r="F324" s="2" t="s">
        <v>72</v>
      </c>
      <c r="G324" s="2" t="s">
        <v>506</v>
      </c>
      <c r="H324" s="2"/>
      <c r="I324" s="2"/>
      <c r="J324" s="2"/>
      <c r="K324" s="2"/>
    </row>
    <row r="325" ht="15.75" customHeight="1">
      <c r="A325" s="4" t="str">
        <f>HYPERLINK("https://stackoverflow.com/q/46362311", "46362311")</f>
        <v>46362311</v>
      </c>
      <c r="B325" s="1">
        <v>4.6362311E7</v>
      </c>
      <c r="C325" s="2" t="s">
        <v>1031</v>
      </c>
      <c r="D325" s="3"/>
      <c r="E325" s="3">
        <v>462.0</v>
      </c>
      <c r="F325" s="2" t="s">
        <v>11</v>
      </c>
      <c r="G325" s="2" t="s">
        <v>12</v>
      </c>
      <c r="H325" s="2"/>
      <c r="I325" s="2"/>
      <c r="J325" s="2"/>
      <c r="K325" s="2"/>
    </row>
    <row r="326" ht="15.75" customHeight="1">
      <c r="A326" s="4" t="str">
        <f>HYPERLINK("https://stackoverflow.com/q/46369742", "46369742")</f>
        <v>46369742</v>
      </c>
      <c r="B326" s="1">
        <v>4.6369742E7</v>
      </c>
      <c r="C326" s="2" t="s">
        <v>2801</v>
      </c>
      <c r="D326" s="3"/>
      <c r="E326" s="3">
        <v>46.0</v>
      </c>
      <c r="F326" s="2" t="s">
        <v>72</v>
      </c>
      <c r="G326" s="2" t="s">
        <v>506</v>
      </c>
      <c r="H326" s="2"/>
      <c r="I326" s="2"/>
      <c r="J326" s="2"/>
      <c r="K326" s="2"/>
    </row>
    <row r="327" ht="15.75" customHeight="1">
      <c r="A327" s="4" t="str">
        <f>HYPERLINK("https://stackoverflow.com/q/46378576", "46378576")</f>
        <v>46378576</v>
      </c>
      <c r="B327" s="1">
        <v>4.6378576E7</v>
      </c>
      <c r="C327" s="2" t="s">
        <v>2148</v>
      </c>
      <c r="D327" s="3"/>
      <c r="E327" s="3">
        <v>102.0</v>
      </c>
      <c r="F327" s="2" t="s">
        <v>11</v>
      </c>
      <c r="G327" s="2" t="s">
        <v>14</v>
      </c>
      <c r="H327" s="2"/>
      <c r="I327" s="2"/>
      <c r="J327" s="2"/>
      <c r="K327" s="2"/>
    </row>
    <row r="328" ht="15.75" customHeight="1">
      <c r="A328" s="4" t="str">
        <f>HYPERLINK("https://stackoverflow.com/q/46382002", "46382002")</f>
        <v>46382002</v>
      </c>
      <c r="B328" s="1">
        <v>4.6382002E7</v>
      </c>
      <c r="C328" s="2" t="s">
        <v>2131</v>
      </c>
      <c r="D328" s="3"/>
      <c r="E328" s="3">
        <v>105.0</v>
      </c>
      <c r="F328" s="2" t="s">
        <v>11</v>
      </c>
      <c r="G328" s="2" t="s">
        <v>25</v>
      </c>
      <c r="H328" s="2"/>
      <c r="I328" s="2"/>
      <c r="J328" s="2"/>
      <c r="K328" s="2"/>
    </row>
    <row r="329" ht="15.75" customHeight="1">
      <c r="A329" s="4" t="str">
        <f>HYPERLINK("https://stackoverflow.com/q/46387200", "46387200")</f>
        <v>46387200</v>
      </c>
      <c r="B329" s="1">
        <v>4.63872E7</v>
      </c>
      <c r="C329" s="2" t="s">
        <v>919</v>
      </c>
      <c r="D329" s="3"/>
      <c r="E329" s="3">
        <v>532.0</v>
      </c>
      <c r="F329" s="2" t="s">
        <v>11</v>
      </c>
      <c r="G329" s="2" t="s">
        <v>67</v>
      </c>
      <c r="H329" s="2"/>
      <c r="I329" s="2"/>
      <c r="J329" s="2"/>
      <c r="K329" s="2"/>
    </row>
    <row r="330" ht="15.75" customHeight="1">
      <c r="A330" s="4" t="str">
        <f>HYPERLINK("https://stackoverflow.com/q/46417978", "46417978")</f>
        <v>46417978</v>
      </c>
      <c r="B330" s="1">
        <v>4.6417978E7</v>
      </c>
      <c r="C330" s="2" t="s">
        <v>1173</v>
      </c>
      <c r="D330" s="3"/>
      <c r="E330" s="3">
        <v>387.0</v>
      </c>
      <c r="F330" s="9" t="s">
        <v>11</v>
      </c>
      <c r="G330" s="2" t="s">
        <v>18</v>
      </c>
      <c r="H330" s="2"/>
      <c r="I330" s="2"/>
      <c r="J330" s="2"/>
      <c r="K330" s="2"/>
    </row>
    <row r="331" ht="15.75" customHeight="1">
      <c r="A331" s="4" t="str">
        <f>HYPERLINK("https://stackoverflow.com/q/46421271", "46421271")</f>
        <v>46421271</v>
      </c>
      <c r="B331" s="1">
        <v>4.6421271E7</v>
      </c>
      <c r="C331" s="2" t="s">
        <v>548</v>
      </c>
      <c r="D331" s="3"/>
      <c r="E331" s="3">
        <v>982.0</v>
      </c>
      <c r="F331" s="2" t="s">
        <v>59</v>
      </c>
      <c r="G331" s="2" t="s">
        <v>538</v>
      </c>
      <c r="H331" s="2"/>
      <c r="I331" s="2"/>
      <c r="J331" s="2"/>
      <c r="K331" s="2"/>
    </row>
    <row r="332" ht="15.75" customHeight="1">
      <c r="A332" s="4" t="str">
        <f>HYPERLINK("https://stackoverflow.com/q/46422037", "46422037")</f>
        <v>46422037</v>
      </c>
      <c r="B332" s="1">
        <v>4.6422037E7</v>
      </c>
      <c r="C332" s="2" t="s">
        <v>282</v>
      </c>
      <c r="D332" s="3"/>
      <c r="E332" s="3">
        <v>1803.0</v>
      </c>
      <c r="F332" s="9" t="s">
        <v>11</v>
      </c>
      <c r="G332" s="2" t="s">
        <v>16</v>
      </c>
      <c r="H332" s="2"/>
      <c r="I332" s="2"/>
      <c r="J332" s="2"/>
      <c r="K332" s="2"/>
    </row>
    <row r="333" ht="15.75" customHeight="1">
      <c r="A333" s="4" t="str">
        <f>HYPERLINK("https://stackoverflow.com/q/46429884", "46429884")</f>
        <v>46429884</v>
      </c>
      <c r="B333" s="1">
        <v>4.6429884E7</v>
      </c>
      <c r="C333" s="2" t="s">
        <v>2509</v>
      </c>
      <c r="D333" s="3"/>
      <c r="E333" s="3">
        <v>66.0</v>
      </c>
      <c r="F333" s="9" t="s">
        <v>11</v>
      </c>
      <c r="G333" s="2" t="s">
        <v>18</v>
      </c>
      <c r="H333" s="2"/>
      <c r="I333" s="2"/>
      <c r="J333" s="2"/>
      <c r="K333" s="2"/>
    </row>
    <row r="334" ht="15.75" customHeight="1">
      <c r="A334" s="4" t="str">
        <f>HYPERLINK("https://stackoverflow.com/q/46447525", "46447525")</f>
        <v>46447525</v>
      </c>
      <c r="B334" s="1">
        <v>4.6447525E7</v>
      </c>
      <c r="C334" s="2" t="s">
        <v>2331</v>
      </c>
      <c r="D334" s="3"/>
      <c r="E334" s="3">
        <v>82.0</v>
      </c>
      <c r="F334" s="2" t="s">
        <v>11</v>
      </c>
      <c r="G334" s="2" t="s">
        <v>67</v>
      </c>
      <c r="H334" s="2"/>
      <c r="I334" s="2"/>
      <c r="J334" s="2"/>
      <c r="K334" s="2"/>
    </row>
    <row r="335" ht="15.75" customHeight="1">
      <c r="A335" s="4" t="str">
        <f>HYPERLINK("https://stackoverflow.com/q/46453448", "46453448")</f>
        <v>46453448</v>
      </c>
      <c r="B335" s="1">
        <v>4.6453448E7</v>
      </c>
      <c r="C335" s="2" t="s">
        <v>487</v>
      </c>
      <c r="D335" s="3"/>
      <c r="E335" s="3">
        <v>1110.0</v>
      </c>
      <c r="F335" s="2" t="s">
        <v>59</v>
      </c>
      <c r="G335" s="2" t="s">
        <v>28</v>
      </c>
      <c r="H335" s="2"/>
      <c r="I335" s="2"/>
      <c r="J335" s="2"/>
      <c r="K335" s="2"/>
    </row>
    <row r="336" ht="15.75" customHeight="1">
      <c r="A336" s="4" t="str">
        <f>HYPERLINK("https://stackoverflow.com/q/46463283", "46463283")</f>
        <v>46463283</v>
      </c>
      <c r="B336" s="1">
        <v>4.6463283E7</v>
      </c>
      <c r="C336" s="2" t="s">
        <v>880</v>
      </c>
      <c r="D336" s="3"/>
      <c r="E336" s="3">
        <v>560.0</v>
      </c>
      <c r="F336" s="2" t="s">
        <v>59</v>
      </c>
      <c r="G336" s="2" t="s">
        <v>28</v>
      </c>
      <c r="H336" s="2"/>
      <c r="I336" s="2"/>
      <c r="J336" s="2"/>
      <c r="K336" s="2"/>
    </row>
    <row r="337" ht="15.75" customHeight="1">
      <c r="A337" s="4" t="str">
        <f>HYPERLINK("https://stackoverflow.com/q/46482177", "46482177")</f>
        <v>46482177</v>
      </c>
      <c r="B337" s="1">
        <v>4.6482177E7</v>
      </c>
      <c r="C337" s="2" t="s">
        <v>569</v>
      </c>
      <c r="D337" s="3">
        <v>1.0</v>
      </c>
      <c r="E337" s="3">
        <v>934.0</v>
      </c>
      <c r="F337" s="2" t="s">
        <v>11</v>
      </c>
      <c r="G337" s="2" t="s">
        <v>18</v>
      </c>
      <c r="H337" s="2"/>
      <c r="I337" s="2"/>
      <c r="J337" s="2"/>
      <c r="K337" s="2"/>
    </row>
    <row r="338" ht="15.75" customHeight="1">
      <c r="A338" s="4" t="str">
        <f>HYPERLINK("https://stackoverflow.com/q/46483388", "46483388")</f>
        <v>46483388</v>
      </c>
      <c r="B338" s="1">
        <v>4.6483388E7</v>
      </c>
      <c r="C338" s="2" t="s">
        <v>1478</v>
      </c>
      <c r="D338" s="3"/>
      <c r="E338" s="3">
        <v>257.0</v>
      </c>
      <c r="F338" s="2" t="s">
        <v>11</v>
      </c>
      <c r="G338" s="2" t="s">
        <v>35</v>
      </c>
      <c r="H338" s="2"/>
      <c r="I338" s="2"/>
      <c r="J338" s="2"/>
      <c r="K338" s="2"/>
    </row>
    <row r="339" ht="15.75" customHeight="1">
      <c r="A339" s="4" t="str">
        <f>HYPERLINK("https://stackoverflow.com/q/46492413", "46492413")</f>
        <v>46492413</v>
      </c>
      <c r="B339" s="1">
        <v>4.6492413E7</v>
      </c>
      <c r="C339" s="2" t="s">
        <v>899</v>
      </c>
      <c r="D339" s="3"/>
      <c r="E339" s="3">
        <v>546.0</v>
      </c>
      <c r="F339" s="9" t="s">
        <v>11</v>
      </c>
      <c r="G339" s="2" t="s">
        <v>18</v>
      </c>
      <c r="H339" s="2"/>
      <c r="I339" s="2"/>
      <c r="J339" s="2"/>
      <c r="K339" s="2"/>
    </row>
    <row r="340" ht="15.75" customHeight="1">
      <c r="A340" s="4" t="str">
        <f>HYPERLINK("https://stackoverflow.com/q/46493441", "46493441")</f>
        <v>46493441</v>
      </c>
      <c r="B340" s="1">
        <v>4.6493441E7</v>
      </c>
      <c r="C340" s="2" t="s">
        <v>2802</v>
      </c>
      <c r="D340" s="3"/>
      <c r="E340" s="3">
        <v>46.0</v>
      </c>
      <c r="F340" s="2" t="s">
        <v>72</v>
      </c>
      <c r="G340" s="2" t="s">
        <v>506</v>
      </c>
      <c r="H340" s="2"/>
      <c r="I340" s="2"/>
      <c r="J340" s="2"/>
      <c r="K340" s="2"/>
    </row>
    <row r="341" ht="15.75" customHeight="1">
      <c r="A341" s="4" t="str">
        <f>HYPERLINK("https://stackoverflow.com/q/46495006", "46495006")</f>
        <v>46495006</v>
      </c>
      <c r="B341" s="1">
        <v>4.6495006E7</v>
      </c>
      <c r="C341" s="2" t="s">
        <v>2626</v>
      </c>
      <c r="D341" s="3"/>
      <c r="E341" s="3">
        <v>58.0</v>
      </c>
      <c r="F341" s="2" t="s">
        <v>72</v>
      </c>
      <c r="G341" s="2" t="s">
        <v>194</v>
      </c>
      <c r="H341" s="2"/>
      <c r="I341" s="2"/>
      <c r="J341" s="2"/>
      <c r="K341" s="2"/>
    </row>
    <row r="342" ht="15.75" customHeight="1">
      <c r="A342" s="4" t="str">
        <f>HYPERLINK("https://stackoverflow.com/q/46514457", "46514457")</f>
        <v>46514457</v>
      </c>
      <c r="B342" s="1">
        <v>4.6514457E7</v>
      </c>
      <c r="C342" s="2" t="s">
        <v>1781</v>
      </c>
      <c r="D342" s="3"/>
      <c r="E342" s="3">
        <v>171.0</v>
      </c>
      <c r="F342" s="2" t="s">
        <v>72</v>
      </c>
      <c r="G342" s="2" t="s">
        <v>506</v>
      </c>
      <c r="H342" s="2"/>
      <c r="I342" s="2"/>
      <c r="J342" s="2"/>
      <c r="K342" s="2"/>
    </row>
    <row r="343" ht="15.75" customHeight="1">
      <c r="A343" s="4" t="str">
        <f>HYPERLINK("https://stackoverflow.com/q/46537440", "46537440")</f>
        <v>46537440</v>
      </c>
      <c r="B343" s="1">
        <v>4.653744E7</v>
      </c>
      <c r="C343" s="2" t="s">
        <v>1869</v>
      </c>
      <c r="D343" s="3"/>
      <c r="E343" s="3">
        <v>153.0</v>
      </c>
      <c r="F343" s="9" t="s">
        <v>11</v>
      </c>
      <c r="G343" s="2" t="s">
        <v>16</v>
      </c>
      <c r="H343" s="2"/>
      <c r="I343" s="2"/>
      <c r="J343" s="2"/>
      <c r="K343" s="2"/>
    </row>
    <row r="344" ht="15.75" customHeight="1">
      <c r="A344" s="4" t="str">
        <f>HYPERLINK("https://stackoverflow.com/q/46541679", "46541679")</f>
        <v>46541679</v>
      </c>
      <c r="B344" s="1">
        <v>4.6541679E7</v>
      </c>
      <c r="C344" s="2" t="s">
        <v>2100</v>
      </c>
      <c r="D344" s="3"/>
      <c r="E344" s="3">
        <v>109.0</v>
      </c>
      <c r="F344" s="2" t="s">
        <v>11</v>
      </c>
      <c r="G344" s="2" t="s">
        <v>35</v>
      </c>
      <c r="H344" s="2"/>
      <c r="I344" s="2"/>
      <c r="J344" s="2"/>
      <c r="K344" s="2"/>
    </row>
    <row r="345" ht="15.75" customHeight="1">
      <c r="A345" s="4" t="str">
        <f>HYPERLINK("https://stackoverflow.com/q/46550925", "46550925")</f>
        <v>46550925</v>
      </c>
      <c r="B345" s="1">
        <v>4.6550925E7</v>
      </c>
      <c r="C345" s="2" t="s">
        <v>2581</v>
      </c>
      <c r="D345" s="3"/>
      <c r="E345" s="3">
        <v>61.0</v>
      </c>
      <c r="F345" s="2" t="s">
        <v>11</v>
      </c>
      <c r="G345" s="2" t="s">
        <v>21</v>
      </c>
      <c r="H345" s="2"/>
      <c r="I345" s="2"/>
      <c r="J345" s="2"/>
      <c r="K345" s="2"/>
    </row>
    <row r="346" ht="15.75" customHeight="1">
      <c r="A346" s="4" t="str">
        <f>HYPERLINK("https://stackoverflow.com/q/46558510", "46558510")</f>
        <v>46558510</v>
      </c>
      <c r="B346" s="1">
        <v>4.655851E7</v>
      </c>
      <c r="C346" s="2" t="s">
        <v>1480</v>
      </c>
      <c r="D346" s="3"/>
      <c r="E346" s="3">
        <v>256.0</v>
      </c>
      <c r="F346" s="2" t="s">
        <v>11</v>
      </c>
      <c r="G346" s="2" t="s">
        <v>263</v>
      </c>
      <c r="H346" s="2"/>
      <c r="I346" s="2"/>
      <c r="J346" s="2"/>
      <c r="K346" s="2"/>
    </row>
    <row r="347" ht="15.75" customHeight="1">
      <c r="A347" s="4" t="str">
        <f>HYPERLINK("https://stackoverflow.com/q/46565154", "46565154")</f>
        <v>46565154</v>
      </c>
      <c r="B347" s="1">
        <v>4.6565154E7</v>
      </c>
      <c r="C347" s="2" t="s">
        <v>2307</v>
      </c>
      <c r="D347" s="3"/>
      <c r="E347" s="3">
        <v>84.0</v>
      </c>
      <c r="F347" s="2" t="s">
        <v>20</v>
      </c>
      <c r="G347" s="2" t="s">
        <v>21</v>
      </c>
      <c r="H347" s="2"/>
      <c r="I347" s="2"/>
      <c r="J347" s="2"/>
      <c r="K347" s="2"/>
    </row>
    <row r="348" ht="15.75" customHeight="1">
      <c r="A348" s="4" t="str">
        <f>HYPERLINK("https://stackoverflow.com/q/46574894", "46574894")</f>
        <v>46574894</v>
      </c>
      <c r="B348" s="1">
        <v>4.6574894E7</v>
      </c>
      <c r="C348" s="2" t="s">
        <v>2149</v>
      </c>
      <c r="D348" s="3"/>
      <c r="E348" s="3">
        <v>102.0</v>
      </c>
      <c r="F348" s="2" t="s">
        <v>11</v>
      </c>
      <c r="G348" s="2" t="s">
        <v>28</v>
      </c>
      <c r="H348" s="2"/>
      <c r="I348" s="2"/>
      <c r="J348" s="2"/>
      <c r="K348" s="2"/>
    </row>
    <row r="349" ht="15.75" customHeight="1">
      <c r="A349" s="4" t="str">
        <f>HYPERLINK("https://stackoverflow.com/q/46595947", "46595947")</f>
        <v>46595947</v>
      </c>
      <c r="B349" s="1">
        <v>4.6595947E7</v>
      </c>
      <c r="C349" s="2" t="s">
        <v>2193</v>
      </c>
      <c r="D349" s="3">
        <v>1.0</v>
      </c>
      <c r="E349" s="3">
        <v>96.0</v>
      </c>
      <c r="F349" s="2" t="s">
        <v>11</v>
      </c>
      <c r="G349" s="2" t="s">
        <v>67</v>
      </c>
      <c r="H349" s="2"/>
      <c r="I349" s="2"/>
      <c r="J349" s="2"/>
      <c r="K349" s="2"/>
    </row>
    <row r="350" ht="15.75" customHeight="1">
      <c r="A350" s="4" t="str">
        <f>HYPERLINK("https://stackoverflow.com/q/46600731", "46600731")</f>
        <v>46600731</v>
      </c>
      <c r="B350" s="1">
        <v>4.6600731E7</v>
      </c>
      <c r="C350" s="2" t="s">
        <v>2279</v>
      </c>
      <c r="D350" s="3">
        <v>1.0</v>
      </c>
      <c r="E350" s="3">
        <v>86.0</v>
      </c>
      <c r="F350" s="2" t="s">
        <v>11</v>
      </c>
      <c r="G350" s="2" t="s">
        <v>28</v>
      </c>
      <c r="H350" s="2" t="s">
        <v>44</v>
      </c>
      <c r="I350" s="2"/>
      <c r="J350" s="2"/>
      <c r="K350" s="2"/>
    </row>
    <row r="351" ht="15.75" customHeight="1">
      <c r="A351" s="4" t="str">
        <f>HYPERLINK("https://stackoverflow.com/q/46606062", "46606062")</f>
        <v>46606062</v>
      </c>
      <c r="B351" s="1">
        <v>4.6606062E7</v>
      </c>
      <c r="C351" s="2" t="s">
        <v>390</v>
      </c>
      <c r="D351" s="3">
        <v>0.0</v>
      </c>
      <c r="E351" s="3">
        <v>1319.0</v>
      </c>
      <c r="F351" s="2" t="s">
        <v>11</v>
      </c>
      <c r="G351" s="2" t="s">
        <v>30</v>
      </c>
      <c r="H351" s="2"/>
      <c r="I351" s="2"/>
      <c r="J351" s="2"/>
      <c r="K351" s="2"/>
    </row>
    <row r="352" ht="15.75" customHeight="1">
      <c r="A352" s="4" t="str">
        <f>HYPERLINK("https://stackoverflow.com/q/46608926", "46608926")</f>
        <v>46608926</v>
      </c>
      <c r="B352" s="1">
        <v>4.6608926E7</v>
      </c>
      <c r="C352" s="2" t="s">
        <v>2492</v>
      </c>
      <c r="D352" s="3"/>
      <c r="E352" s="3">
        <v>67.0</v>
      </c>
      <c r="F352" s="2" t="s">
        <v>11</v>
      </c>
      <c r="G352" s="2" t="s">
        <v>14</v>
      </c>
      <c r="H352" s="2"/>
      <c r="I352" s="2"/>
      <c r="J352" s="2"/>
      <c r="K352" s="2"/>
    </row>
    <row r="353" ht="15.75" customHeight="1">
      <c r="A353" s="4" t="str">
        <f>HYPERLINK("https://stackoverflow.com/q/46612266", "46612266")</f>
        <v>46612266</v>
      </c>
      <c r="B353" s="1">
        <v>4.6612266E7</v>
      </c>
      <c r="C353" s="2" t="s">
        <v>318</v>
      </c>
      <c r="D353" s="3"/>
      <c r="E353" s="3">
        <v>1624.0</v>
      </c>
      <c r="F353" s="2" t="s">
        <v>11</v>
      </c>
      <c r="G353" s="2" t="s">
        <v>30</v>
      </c>
      <c r="H353" s="2"/>
      <c r="I353" s="2"/>
      <c r="J353" s="2"/>
      <c r="K353" s="2"/>
    </row>
    <row r="354" ht="15.75" customHeight="1">
      <c r="A354" s="4" t="str">
        <f>HYPERLINK("https://stackoverflow.com/q/46612872", "46612872")</f>
        <v>46612872</v>
      </c>
      <c r="B354" s="1">
        <v>4.6612872E7</v>
      </c>
      <c r="C354" s="2" t="s">
        <v>2658</v>
      </c>
      <c r="D354" s="3"/>
      <c r="E354" s="3">
        <v>56.0</v>
      </c>
      <c r="F354" s="2" t="s">
        <v>72</v>
      </c>
      <c r="G354" s="2" t="s">
        <v>194</v>
      </c>
      <c r="H354" s="2"/>
      <c r="I354" s="2"/>
      <c r="J354" s="2"/>
      <c r="K354" s="2"/>
    </row>
    <row r="355" ht="15.75" customHeight="1">
      <c r="A355" s="4" t="str">
        <f>HYPERLINK("https://stackoverflow.com/q/46614237", "46614237")</f>
        <v>46614237</v>
      </c>
      <c r="B355" s="1">
        <v>4.6614237E7</v>
      </c>
      <c r="C355" s="2" t="s">
        <v>2653</v>
      </c>
      <c r="D355" s="3">
        <v>1.0</v>
      </c>
      <c r="E355" s="3">
        <v>56.0</v>
      </c>
      <c r="F355" s="2" t="s">
        <v>59</v>
      </c>
      <c r="G355" s="2" t="s">
        <v>183</v>
      </c>
      <c r="H355" s="2"/>
      <c r="I355" s="2"/>
      <c r="J355" s="2"/>
      <c r="K355" s="2"/>
    </row>
    <row r="356" ht="15.75" customHeight="1">
      <c r="A356" s="4" t="str">
        <f>HYPERLINK("https://stackoverflow.com/q/46627009", "46627009")</f>
        <v>46627009</v>
      </c>
      <c r="B356" s="1">
        <v>4.6627009E7</v>
      </c>
      <c r="C356" s="2" t="s">
        <v>442</v>
      </c>
      <c r="D356" s="3"/>
      <c r="E356" s="3">
        <v>1216.0</v>
      </c>
      <c r="F356" s="2" t="s">
        <v>11</v>
      </c>
      <c r="G356" s="2" t="s">
        <v>25</v>
      </c>
      <c r="H356" s="2" t="s">
        <v>56</v>
      </c>
      <c r="I356" s="2"/>
      <c r="J356" s="2"/>
      <c r="K356" s="2"/>
    </row>
    <row r="357" ht="15.75" customHeight="1">
      <c r="A357" s="4" t="str">
        <f>HYPERLINK("https://stackoverflow.com/q/46636237", "46636237")</f>
        <v>46636237</v>
      </c>
      <c r="B357" s="1">
        <v>4.6636237E7</v>
      </c>
      <c r="C357" s="2" t="s">
        <v>50</v>
      </c>
      <c r="D357" s="3"/>
      <c r="E357" s="3">
        <v>7679.0</v>
      </c>
      <c r="F357" s="2" t="s">
        <v>11</v>
      </c>
      <c r="G357" s="2" t="s">
        <v>16</v>
      </c>
      <c r="H357" s="2"/>
      <c r="I357" s="2"/>
      <c r="J357" s="2"/>
      <c r="K357" s="2"/>
    </row>
    <row r="358" ht="15.75" customHeight="1">
      <c r="A358" s="4" t="str">
        <f>HYPERLINK("https://stackoverflow.com/q/46647666", "46647666")</f>
        <v>46647666</v>
      </c>
      <c r="B358" s="1">
        <v>4.6647666E7</v>
      </c>
      <c r="C358" s="2" t="s">
        <v>2450</v>
      </c>
      <c r="D358" s="3"/>
      <c r="E358" s="3">
        <v>70.0</v>
      </c>
      <c r="F358" s="2" t="s">
        <v>11</v>
      </c>
      <c r="G358" s="2" t="s">
        <v>44</v>
      </c>
      <c r="H358" s="2"/>
      <c r="I358" s="2"/>
      <c r="J358" s="2"/>
      <c r="K358" s="2"/>
    </row>
    <row r="359" ht="15.75" customHeight="1">
      <c r="A359" s="4" t="str">
        <f>HYPERLINK("https://stackoverflow.com/q/46647682", "46647682")</f>
        <v>46647682</v>
      </c>
      <c r="B359" s="1">
        <v>4.6647682E7</v>
      </c>
      <c r="C359" s="2" t="s">
        <v>509</v>
      </c>
      <c r="D359" s="3"/>
      <c r="E359" s="3">
        <v>1054.0</v>
      </c>
      <c r="F359" s="2" t="s">
        <v>11</v>
      </c>
      <c r="G359" s="2" t="s">
        <v>18</v>
      </c>
      <c r="H359" s="2"/>
      <c r="I359" s="2"/>
      <c r="J359" s="2"/>
      <c r="K359" s="2"/>
    </row>
    <row r="360" ht="15.75" customHeight="1">
      <c r="A360" s="4" t="str">
        <f>HYPERLINK("https://stackoverflow.com/q/46655042", "46655042")</f>
        <v>46655042</v>
      </c>
      <c r="B360" s="1">
        <v>4.6655042E7</v>
      </c>
      <c r="C360" s="2" t="s">
        <v>1970</v>
      </c>
      <c r="D360" s="3"/>
      <c r="E360" s="3">
        <v>132.0</v>
      </c>
      <c r="F360" s="2" t="s">
        <v>11</v>
      </c>
      <c r="G360" s="2" t="s">
        <v>14</v>
      </c>
      <c r="H360" s="2"/>
      <c r="I360" s="2"/>
      <c r="J360" s="2"/>
      <c r="K360" s="2"/>
    </row>
    <row r="361" ht="15.75" customHeight="1">
      <c r="A361" s="4" t="str">
        <f>HYPERLINK("https://stackoverflow.com/q/46669690", "46669690")</f>
        <v>46669690</v>
      </c>
      <c r="B361" s="1">
        <v>4.666969E7</v>
      </c>
      <c r="C361" s="2" t="s">
        <v>1768</v>
      </c>
      <c r="D361" s="3"/>
      <c r="E361" s="3">
        <v>174.0</v>
      </c>
      <c r="F361" s="2" t="s">
        <v>86</v>
      </c>
      <c r="G361" s="2" t="s">
        <v>87</v>
      </c>
      <c r="H361" s="2"/>
      <c r="I361" s="2"/>
      <c r="J361" s="2"/>
      <c r="K361" s="2"/>
    </row>
    <row r="362" ht="15.75" customHeight="1">
      <c r="A362" s="4" t="str">
        <f>HYPERLINK("https://stackoverflow.com/q/46681967", "46681967")</f>
        <v>46681967</v>
      </c>
      <c r="B362" s="1">
        <v>4.6681967E7</v>
      </c>
      <c r="C362" s="2" t="s">
        <v>1631</v>
      </c>
      <c r="D362" s="3"/>
      <c r="E362" s="3">
        <v>215.0</v>
      </c>
      <c r="F362" s="2" t="s">
        <v>11</v>
      </c>
      <c r="G362" s="2" t="s">
        <v>35</v>
      </c>
      <c r="H362" s="2"/>
      <c r="I362" s="2"/>
      <c r="J362" s="2"/>
      <c r="K362" s="2"/>
    </row>
    <row r="363" ht="15.75" customHeight="1">
      <c r="A363" s="4" t="str">
        <f>HYPERLINK("https://stackoverflow.com/q/46684369", "46684369")</f>
        <v>46684369</v>
      </c>
      <c r="B363" s="1">
        <v>4.6684369E7</v>
      </c>
      <c r="C363" s="2" t="s">
        <v>963</v>
      </c>
      <c r="D363" s="3"/>
      <c r="E363" s="3">
        <v>498.0</v>
      </c>
      <c r="F363" s="2" t="s">
        <v>20</v>
      </c>
      <c r="G363" s="2" t="s">
        <v>34</v>
      </c>
      <c r="H363" s="2" t="s">
        <v>21</v>
      </c>
      <c r="I363" s="2"/>
      <c r="J363" s="2"/>
      <c r="K363" s="2"/>
    </row>
    <row r="364" ht="15.75" customHeight="1">
      <c r="A364" s="4" t="str">
        <f>HYPERLINK("https://stackoverflow.com/q/46703013", "46703013")</f>
        <v>46703013</v>
      </c>
      <c r="B364" s="1">
        <v>4.6703013E7</v>
      </c>
      <c r="C364" s="2" t="s">
        <v>264</v>
      </c>
      <c r="D364" s="3"/>
      <c r="E364" s="3">
        <v>1889.0</v>
      </c>
      <c r="F364" s="2" t="s">
        <v>11</v>
      </c>
      <c r="G364" s="2" t="s">
        <v>18</v>
      </c>
      <c r="H364" s="2" t="s">
        <v>44</v>
      </c>
      <c r="I364" s="2"/>
      <c r="J364" s="2"/>
      <c r="K364" s="2"/>
    </row>
    <row r="365" ht="15.75" customHeight="1">
      <c r="A365" s="4" t="str">
        <f>HYPERLINK("https://stackoverflow.com/q/46705213", "46705213")</f>
        <v>46705213</v>
      </c>
      <c r="B365" s="1">
        <v>4.6705213E7</v>
      </c>
      <c r="C365" s="2" t="s">
        <v>1022</v>
      </c>
      <c r="D365" s="3"/>
      <c r="E365" s="3">
        <v>466.0</v>
      </c>
      <c r="F365" s="2" t="s">
        <v>537</v>
      </c>
      <c r="G365" s="2" t="s">
        <v>194</v>
      </c>
      <c r="H365" s="2"/>
      <c r="I365" s="2"/>
      <c r="J365" s="2"/>
      <c r="K365" s="2"/>
    </row>
    <row r="366" ht="15.75" customHeight="1">
      <c r="A366" s="4" t="str">
        <f>HYPERLINK("https://stackoverflow.com/q/46717398", "46717398")</f>
        <v>46717398</v>
      </c>
      <c r="B366" s="1">
        <v>4.6717398E7</v>
      </c>
      <c r="C366" s="2" t="s">
        <v>2243</v>
      </c>
      <c r="D366" s="3"/>
      <c r="E366" s="3">
        <v>90.0</v>
      </c>
      <c r="F366" s="2" t="s">
        <v>11</v>
      </c>
      <c r="G366" s="2" t="s">
        <v>25</v>
      </c>
      <c r="H366" s="2"/>
      <c r="I366" s="2"/>
      <c r="J366" s="2"/>
      <c r="K366" s="2"/>
    </row>
    <row r="367" ht="15.75" customHeight="1">
      <c r="A367" s="4" t="str">
        <f>HYPERLINK("https://stackoverflow.com/q/46732318", "46732318")</f>
        <v>46732318</v>
      </c>
      <c r="B367" s="1">
        <v>4.6732318E7</v>
      </c>
      <c r="C367" s="2" t="s">
        <v>1650</v>
      </c>
      <c r="D367" s="3"/>
      <c r="E367" s="3">
        <v>210.0</v>
      </c>
      <c r="F367" s="2" t="s">
        <v>537</v>
      </c>
      <c r="G367" s="2" t="s">
        <v>194</v>
      </c>
      <c r="H367" s="2"/>
      <c r="I367" s="2"/>
      <c r="J367" s="2"/>
      <c r="K367" s="2"/>
    </row>
    <row r="368" ht="15.75" customHeight="1">
      <c r="A368" s="4" t="str">
        <f>HYPERLINK("https://stackoverflow.com/q/46733068", "46733068")</f>
        <v>46733068</v>
      </c>
      <c r="B368" s="1">
        <v>4.6733068E7</v>
      </c>
      <c r="C368" s="2" t="s">
        <v>542</v>
      </c>
      <c r="D368" s="3"/>
      <c r="E368" s="3">
        <v>989.0</v>
      </c>
      <c r="F368" s="2" t="s">
        <v>11</v>
      </c>
      <c r="G368" s="2" t="s">
        <v>12</v>
      </c>
      <c r="H368" s="2"/>
      <c r="I368" s="2"/>
      <c r="J368" s="2"/>
      <c r="K368" s="2"/>
    </row>
    <row r="369" ht="15.75" customHeight="1">
      <c r="A369" s="4" t="str">
        <f>HYPERLINK("https://stackoverflow.com/q/46738962", "46738962")</f>
        <v>46738962</v>
      </c>
      <c r="B369" s="1">
        <v>4.6738962E7</v>
      </c>
      <c r="C369" s="2" t="s">
        <v>1808</v>
      </c>
      <c r="D369" s="3"/>
      <c r="E369" s="3">
        <v>165.0</v>
      </c>
      <c r="F369" s="2" t="s">
        <v>11</v>
      </c>
      <c r="G369" s="2" t="s">
        <v>12</v>
      </c>
      <c r="H369" s="2"/>
      <c r="I369" s="2"/>
      <c r="J369" s="2"/>
      <c r="K369" s="2"/>
    </row>
    <row r="370" ht="15.75" customHeight="1">
      <c r="A370" s="4" t="str">
        <f>HYPERLINK("https://stackoverflow.com/q/46739891", "46739891")</f>
        <v>46739891</v>
      </c>
      <c r="B370" s="1">
        <v>4.6739891E7</v>
      </c>
      <c r="C370" s="2" t="s">
        <v>1663</v>
      </c>
      <c r="D370" s="3">
        <v>0.0</v>
      </c>
      <c r="E370" s="3">
        <v>206.0</v>
      </c>
      <c r="F370" s="2" t="s">
        <v>11</v>
      </c>
      <c r="G370" s="2" t="s">
        <v>28</v>
      </c>
      <c r="H370" s="2"/>
      <c r="I370" s="2"/>
      <c r="J370" s="2"/>
      <c r="K370" s="2"/>
    </row>
    <row r="371" ht="15.75" customHeight="1">
      <c r="A371" s="4" t="str">
        <f>HYPERLINK("https://stackoverflow.com/q/46767048", "46767048")</f>
        <v>46767048</v>
      </c>
      <c r="B371" s="1">
        <v>4.6767048E7</v>
      </c>
      <c r="C371" s="2" t="s">
        <v>1681</v>
      </c>
      <c r="D371" s="3"/>
      <c r="E371" s="3">
        <v>199.0</v>
      </c>
      <c r="F371" s="2" t="s">
        <v>11</v>
      </c>
      <c r="G371" s="2" t="s">
        <v>28</v>
      </c>
      <c r="H371" s="2"/>
      <c r="I371" s="2"/>
      <c r="J371" s="2"/>
      <c r="K371" s="2"/>
    </row>
    <row r="372" ht="15.75" customHeight="1">
      <c r="A372" s="4" t="str">
        <f>HYPERLINK("https://stackoverflow.com/q/46776819", "46776819")</f>
        <v>46776819</v>
      </c>
      <c r="B372" s="1">
        <v>4.6776819E7</v>
      </c>
      <c r="C372" s="2" t="s">
        <v>1573</v>
      </c>
      <c r="D372" s="3"/>
      <c r="E372" s="3">
        <v>226.0</v>
      </c>
      <c r="F372" s="2" t="s">
        <v>11</v>
      </c>
      <c r="G372" s="2" t="s">
        <v>35</v>
      </c>
      <c r="H372" s="2"/>
      <c r="I372" s="2"/>
      <c r="J372" s="2"/>
      <c r="K372" s="2"/>
    </row>
    <row r="373" ht="15.75" customHeight="1">
      <c r="A373" s="4" t="str">
        <f>HYPERLINK("https://stackoverflow.com/q/46776955", "46776955")</f>
        <v>46776955</v>
      </c>
      <c r="B373" s="1">
        <v>4.6776955E7</v>
      </c>
      <c r="C373" s="2" t="s">
        <v>1244</v>
      </c>
      <c r="D373" s="3">
        <v>2.0</v>
      </c>
      <c r="E373" s="3">
        <v>354.0</v>
      </c>
      <c r="F373" s="2" t="s">
        <v>11</v>
      </c>
      <c r="G373" s="2" t="s">
        <v>30</v>
      </c>
      <c r="H373" s="2"/>
      <c r="I373" s="2"/>
      <c r="J373" s="2"/>
      <c r="K373" s="2"/>
    </row>
    <row r="374" ht="15.75" customHeight="1">
      <c r="A374" s="4" t="str">
        <f>HYPERLINK("https://stackoverflow.com/q/46779664", "46779664")</f>
        <v>46779664</v>
      </c>
      <c r="B374" s="1">
        <v>4.6779664E7</v>
      </c>
      <c r="C374" s="2" t="s">
        <v>982</v>
      </c>
      <c r="D374" s="3"/>
      <c r="E374" s="3">
        <v>487.0</v>
      </c>
      <c r="F374" s="9" t="s">
        <v>11</v>
      </c>
      <c r="G374" s="2" t="s">
        <v>18</v>
      </c>
      <c r="H374" s="2"/>
      <c r="I374" s="2"/>
      <c r="J374" s="2"/>
      <c r="K374" s="2"/>
    </row>
    <row r="375" ht="15.75" customHeight="1">
      <c r="A375" s="4" t="str">
        <f>HYPERLINK("https://stackoverflow.com/q/46798235", "46798235")</f>
        <v>46798235</v>
      </c>
      <c r="B375" s="1">
        <v>4.6798235E7</v>
      </c>
      <c r="C375" s="2" t="s">
        <v>722</v>
      </c>
      <c r="D375" s="3">
        <v>1.0</v>
      </c>
      <c r="E375" s="3">
        <v>711.0</v>
      </c>
      <c r="F375" s="2" t="s">
        <v>11</v>
      </c>
      <c r="G375" s="2" t="s">
        <v>14</v>
      </c>
      <c r="H375" s="2"/>
      <c r="I375" s="2"/>
      <c r="J375" s="2"/>
      <c r="K375" s="2"/>
    </row>
    <row r="376" ht="15.75" customHeight="1">
      <c r="A376" s="4" t="str">
        <f>HYPERLINK("https://stackoverflow.com/q/46798556", "46798556")</f>
        <v>46798556</v>
      </c>
      <c r="B376" s="1">
        <v>4.6798556E7</v>
      </c>
      <c r="C376" s="2" t="s">
        <v>2422</v>
      </c>
      <c r="D376" s="3"/>
      <c r="E376" s="3">
        <v>73.0</v>
      </c>
      <c r="F376" s="2" t="s">
        <v>11</v>
      </c>
      <c r="G376" s="2" t="s">
        <v>25</v>
      </c>
      <c r="H376" s="2"/>
      <c r="I376" s="2"/>
      <c r="J376" s="2"/>
      <c r="K376" s="2"/>
    </row>
    <row r="377" ht="15.75" customHeight="1">
      <c r="A377" s="4" t="str">
        <f>HYPERLINK("https://stackoverflow.com/q/46801400", "46801400")</f>
        <v>46801400</v>
      </c>
      <c r="B377" s="1">
        <v>4.68014E7</v>
      </c>
      <c r="C377" s="2" t="s">
        <v>1122</v>
      </c>
      <c r="D377" s="3">
        <v>1.0</v>
      </c>
      <c r="E377" s="3">
        <v>414.0</v>
      </c>
      <c r="F377" s="2" t="s">
        <v>11</v>
      </c>
      <c r="G377" s="2" t="s">
        <v>30</v>
      </c>
      <c r="H377" s="2"/>
      <c r="I377" s="2"/>
      <c r="J377" s="2"/>
      <c r="K377" s="2"/>
    </row>
    <row r="378" ht="15.75" customHeight="1">
      <c r="A378" s="4" t="str">
        <f>HYPERLINK("https://stackoverflow.com/q/46803436", "46803436")</f>
        <v>46803436</v>
      </c>
      <c r="B378" s="1">
        <v>4.6803436E7</v>
      </c>
      <c r="C378" s="2" t="s">
        <v>3167</v>
      </c>
      <c r="D378" s="3"/>
      <c r="E378" s="3">
        <v>29.0</v>
      </c>
      <c r="F378" s="2" t="s">
        <v>11</v>
      </c>
      <c r="G378" s="2" t="s">
        <v>12</v>
      </c>
      <c r="H378" s="2"/>
      <c r="I378" s="2"/>
      <c r="J378" s="2"/>
      <c r="K378" s="2"/>
    </row>
    <row r="379" ht="15.75" customHeight="1">
      <c r="A379" s="4" t="str">
        <f>HYPERLINK("https://stackoverflow.com/q/46837399", "46837399")</f>
        <v>46837399</v>
      </c>
      <c r="B379" s="1">
        <v>4.6837399E7</v>
      </c>
      <c r="C379" s="2" t="s">
        <v>1835</v>
      </c>
      <c r="D379" s="3"/>
      <c r="E379" s="3">
        <v>160.0</v>
      </c>
      <c r="F379" s="2" t="s">
        <v>11</v>
      </c>
      <c r="G379" s="2" t="s">
        <v>30</v>
      </c>
      <c r="H379" s="2"/>
      <c r="I379" s="2"/>
      <c r="J379" s="2"/>
      <c r="K379" s="2"/>
    </row>
    <row r="380" ht="15.75" customHeight="1">
      <c r="A380" s="4" t="str">
        <f>HYPERLINK("https://stackoverflow.com/q/46866935", "46866935")</f>
        <v>46866935</v>
      </c>
      <c r="B380" s="1">
        <v>4.6866935E7</v>
      </c>
      <c r="C380" s="2" t="s">
        <v>1557</v>
      </c>
      <c r="D380" s="3">
        <v>2.0</v>
      </c>
      <c r="E380" s="3">
        <v>232.0</v>
      </c>
      <c r="F380" s="2" t="s">
        <v>59</v>
      </c>
      <c r="G380" s="2" t="s">
        <v>28</v>
      </c>
      <c r="H380" s="2"/>
      <c r="I380" s="2"/>
      <c r="J380" s="2"/>
      <c r="K380" s="2"/>
    </row>
    <row r="381" ht="15.75" customHeight="1">
      <c r="A381" s="4" t="str">
        <f>HYPERLINK("https://stackoverflow.com/q/46874301", "46874301")</f>
        <v>46874301</v>
      </c>
      <c r="B381" s="1">
        <v>4.6874301E7</v>
      </c>
      <c r="C381" s="2" t="s">
        <v>2755</v>
      </c>
      <c r="D381" s="3">
        <v>0.0</v>
      </c>
      <c r="E381" s="3">
        <v>48.0</v>
      </c>
      <c r="F381" s="9" t="s">
        <v>11</v>
      </c>
      <c r="G381" s="2" t="s">
        <v>18</v>
      </c>
      <c r="H381" s="2"/>
      <c r="I381" s="2"/>
      <c r="J381" s="2"/>
      <c r="K381" s="2"/>
    </row>
    <row r="382" ht="15.75" customHeight="1">
      <c r="A382" s="4" t="str">
        <f>HYPERLINK("https://stackoverflow.com/q/46882235", "46882235")</f>
        <v>46882235</v>
      </c>
      <c r="B382" s="1">
        <v>4.6882235E7</v>
      </c>
      <c r="C382" s="2" t="s">
        <v>756</v>
      </c>
      <c r="D382" s="3">
        <v>1.0</v>
      </c>
      <c r="E382" s="3">
        <v>669.0</v>
      </c>
      <c r="F382" s="2" t="s">
        <v>11</v>
      </c>
      <c r="G382" s="2" t="s">
        <v>14</v>
      </c>
      <c r="H382" s="2"/>
      <c r="I382" s="2"/>
      <c r="J382" s="2"/>
      <c r="K382" s="2"/>
    </row>
    <row r="383" ht="15.75" customHeight="1">
      <c r="A383" s="4" t="str">
        <f>HYPERLINK("https://stackoverflow.com/q/46894604", "46894604")</f>
        <v>46894604</v>
      </c>
      <c r="B383" s="1">
        <v>4.6894604E7</v>
      </c>
      <c r="C383" s="2" t="s">
        <v>1814</v>
      </c>
      <c r="D383" s="3"/>
      <c r="E383" s="3">
        <v>164.0</v>
      </c>
      <c r="F383" s="2" t="s">
        <v>11</v>
      </c>
      <c r="G383" s="2" t="s">
        <v>25</v>
      </c>
      <c r="H383" s="2"/>
      <c r="I383" s="2"/>
      <c r="J383" s="2"/>
      <c r="K383" s="2"/>
    </row>
    <row r="384" ht="15.75" customHeight="1">
      <c r="A384" s="4" t="str">
        <f>HYPERLINK("https://stackoverflow.com/q/46921029", "46921029")</f>
        <v>46921029</v>
      </c>
      <c r="B384" s="1">
        <v>4.6921029E7</v>
      </c>
      <c r="C384" s="2" t="s">
        <v>1328</v>
      </c>
      <c r="D384" s="3"/>
      <c r="E384" s="3">
        <v>327.0</v>
      </c>
      <c r="F384" s="9" t="s">
        <v>11</v>
      </c>
      <c r="G384" s="2" t="s">
        <v>16</v>
      </c>
      <c r="H384" s="2"/>
      <c r="I384" s="2"/>
      <c r="J384" s="2"/>
      <c r="K384" s="2"/>
    </row>
    <row r="385" ht="15.75" customHeight="1">
      <c r="A385" s="4" t="str">
        <f>HYPERLINK("https://stackoverflow.com/q/46945536", "46945536")</f>
        <v>46945536</v>
      </c>
      <c r="B385" s="1">
        <v>4.6945536E7</v>
      </c>
      <c r="C385" s="2" t="s">
        <v>387</v>
      </c>
      <c r="D385" s="3"/>
      <c r="E385" s="3">
        <v>1323.0</v>
      </c>
      <c r="F385" s="2" t="s">
        <v>11</v>
      </c>
      <c r="G385" s="2" t="s">
        <v>56</v>
      </c>
      <c r="H385" s="2"/>
      <c r="I385" s="2"/>
      <c r="J385" s="2"/>
      <c r="K385" s="2"/>
    </row>
    <row r="386" ht="15.75" customHeight="1">
      <c r="A386" s="4" t="str">
        <f>HYPERLINK("https://stackoverflow.com/q/46966587", "46966587")</f>
        <v>46966587</v>
      </c>
      <c r="B386" s="1">
        <v>4.6966587E7</v>
      </c>
      <c r="C386" s="2" t="s">
        <v>464</v>
      </c>
      <c r="D386" s="3">
        <v>1.0</v>
      </c>
      <c r="E386" s="3">
        <v>1164.0</v>
      </c>
      <c r="F386" s="2" t="s">
        <v>72</v>
      </c>
      <c r="G386" s="2" t="s">
        <v>21</v>
      </c>
      <c r="H386" s="2"/>
      <c r="I386" s="2"/>
      <c r="J386" s="2"/>
      <c r="K386" s="2"/>
    </row>
    <row r="387" ht="15.75" customHeight="1">
      <c r="A387" s="4" t="str">
        <f>HYPERLINK("https://stackoverflow.com/q/46970906", "46970906")</f>
        <v>46970906</v>
      </c>
      <c r="B387" s="1">
        <v>4.6970906E7</v>
      </c>
      <c r="C387" s="2" t="s">
        <v>1879</v>
      </c>
      <c r="D387" s="3"/>
      <c r="E387" s="3">
        <v>151.0</v>
      </c>
      <c r="F387" s="2" t="s">
        <v>11</v>
      </c>
      <c r="G387" s="2" t="s">
        <v>35</v>
      </c>
      <c r="H387" s="2" t="s">
        <v>18</v>
      </c>
      <c r="I387" s="2"/>
      <c r="J387" s="2"/>
      <c r="K387" s="2"/>
    </row>
    <row r="388" ht="15.75" customHeight="1">
      <c r="A388" s="4" t="str">
        <f>HYPERLINK("https://stackoverflow.com/q/46974480", "46974480")</f>
        <v>46974480</v>
      </c>
      <c r="B388" s="1">
        <v>4.697448E7</v>
      </c>
      <c r="C388" s="2" t="s">
        <v>219</v>
      </c>
      <c r="D388" s="3"/>
      <c r="E388" s="3">
        <v>2194.0</v>
      </c>
      <c r="F388" s="9" t="s">
        <v>11</v>
      </c>
      <c r="G388" s="2" t="s">
        <v>16</v>
      </c>
      <c r="H388" s="2"/>
      <c r="I388" s="2"/>
      <c r="J388" s="2"/>
      <c r="K388" s="2"/>
    </row>
    <row r="389" ht="15.75" customHeight="1">
      <c r="A389" s="4" t="str">
        <f>HYPERLINK("https://stackoverflow.com/q/46976184", "46976184")</f>
        <v>46976184</v>
      </c>
      <c r="B389" s="1">
        <v>4.6976184E7</v>
      </c>
      <c r="C389" s="2" t="s">
        <v>1640</v>
      </c>
      <c r="D389" s="3"/>
      <c r="E389" s="3">
        <v>213.0</v>
      </c>
      <c r="F389" s="2" t="s">
        <v>11</v>
      </c>
      <c r="G389" s="2" t="s">
        <v>25</v>
      </c>
      <c r="H389" s="2"/>
      <c r="I389" s="2"/>
      <c r="J389" s="2"/>
      <c r="K389" s="2"/>
    </row>
    <row r="390" ht="15.75" customHeight="1">
      <c r="A390" s="4" t="str">
        <f>HYPERLINK("https://stackoverflow.com/q/46976482", "46976482")</f>
        <v>46976482</v>
      </c>
      <c r="B390" s="1">
        <v>4.6976482E7</v>
      </c>
      <c r="C390" s="2" t="s">
        <v>2334</v>
      </c>
      <c r="D390" s="3"/>
      <c r="E390" s="3">
        <v>82.0</v>
      </c>
      <c r="F390" s="2" t="s">
        <v>537</v>
      </c>
      <c r="G390" s="2" t="s">
        <v>194</v>
      </c>
      <c r="H390" s="2"/>
      <c r="I390" s="2"/>
      <c r="J390" s="2"/>
      <c r="K390" s="2"/>
    </row>
    <row r="391" ht="15.75" customHeight="1">
      <c r="A391" s="4" t="str">
        <f>HYPERLINK("https://stackoverflow.com/q/46978495", "46978495")</f>
        <v>46978495</v>
      </c>
      <c r="B391" s="1">
        <v>4.6978495E7</v>
      </c>
      <c r="C391" s="2" t="s">
        <v>1367</v>
      </c>
      <c r="D391" s="3"/>
      <c r="E391" s="3">
        <v>309.0</v>
      </c>
      <c r="F391" s="2" t="s">
        <v>11</v>
      </c>
      <c r="G391" s="2" t="s">
        <v>14</v>
      </c>
      <c r="H391" s="2"/>
      <c r="I391" s="2"/>
      <c r="J391" s="2"/>
      <c r="K391" s="2"/>
    </row>
    <row r="392" ht="15.75" customHeight="1">
      <c r="A392" s="4" t="str">
        <f>HYPERLINK("https://stackoverflow.com/q/46978829", "46978829")</f>
        <v>46978829</v>
      </c>
      <c r="B392" s="1">
        <v>4.6978829E7</v>
      </c>
      <c r="C392" s="2" t="s">
        <v>617</v>
      </c>
      <c r="D392" s="3"/>
      <c r="E392" s="3">
        <v>845.0</v>
      </c>
      <c r="F392" s="2" t="s">
        <v>11</v>
      </c>
      <c r="G392" s="2" t="s">
        <v>67</v>
      </c>
      <c r="H392" s="2" t="s">
        <v>16</v>
      </c>
      <c r="I392" s="2"/>
      <c r="J392" s="2"/>
      <c r="K392" s="2"/>
    </row>
    <row r="393" ht="15.75" customHeight="1">
      <c r="A393" s="4" t="str">
        <f>HYPERLINK("https://stackoverflow.com/q/46989444", "46989444")</f>
        <v>46989444</v>
      </c>
      <c r="B393" s="1">
        <v>4.6989444E7</v>
      </c>
      <c r="C393" s="2" t="s">
        <v>549</v>
      </c>
      <c r="D393" s="3"/>
      <c r="E393" s="3">
        <v>981.0</v>
      </c>
      <c r="F393" s="2" t="s">
        <v>11</v>
      </c>
      <c r="G393" s="2" t="s">
        <v>12</v>
      </c>
      <c r="H393" s="2"/>
      <c r="I393" s="2"/>
      <c r="J393" s="2"/>
      <c r="K393" s="2"/>
    </row>
    <row r="394" ht="15.75" customHeight="1">
      <c r="A394" s="4" t="str">
        <f>HYPERLINK("https://stackoverflow.com/q/47005811", "47005811")</f>
        <v>47005811</v>
      </c>
      <c r="B394" s="1">
        <v>4.7005811E7</v>
      </c>
      <c r="C394" s="2" t="s">
        <v>2032</v>
      </c>
      <c r="D394" s="3"/>
      <c r="E394" s="3">
        <v>119.0</v>
      </c>
      <c r="F394" s="2" t="s">
        <v>11</v>
      </c>
      <c r="G394" s="2" t="s">
        <v>35</v>
      </c>
      <c r="H394" s="2"/>
      <c r="I394" s="2"/>
      <c r="J394" s="2"/>
      <c r="K394" s="2"/>
    </row>
    <row r="395" ht="15.75" customHeight="1">
      <c r="A395" s="4" t="str">
        <f>HYPERLINK("https://stackoverflow.com/q/47013133", "47013133")</f>
        <v>47013133</v>
      </c>
      <c r="B395" s="1">
        <v>4.7013133E7</v>
      </c>
      <c r="C395" s="2" t="s">
        <v>1292</v>
      </c>
      <c r="D395" s="3"/>
      <c r="E395" s="3">
        <v>338.0</v>
      </c>
      <c r="F395" s="9" t="s">
        <v>11</v>
      </c>
      <c r="G395" s="2" t="s">
        <v>18</v>
      </c>
      <c r="H395" s="2"/>
      <c r="I395" s="2"/>
      <c r="J395" s="2"/>
      <c r="K395" s="2"/>
    </row>
    <row r="396" ht="15.75" customHeight="1">
      <c r="A396" s="4" t="str">
        <f>HYPERLINK("https://stackoverflow.com/q/47013716", "47013716")</f>
        <v>47013716</v>
      </c>
      <c r="B396" s="1">
        <v>4.7013716E7</v>
      </c>
      <c r="C396" s="2" t="s">
        <v>1910</v>
      </c>
      <c r="D396" s="3"/>
      <c r="E396" s="3">
        <v>145.0</v>
      </c>
      <c r="F396" s="2" t="s">
        <v>537</v>
      </c>
      <c r="G396" s="2" t="s">
        <v>14</v>
      </c>
      <c r="H396" s="2"/>
      <c r="I396" s="2"/>
      <c r="J396" s="2"/>
      <c r="K396" s="2"/>
    </row>
    <row r="397" ht="15.75" customHeight="1">
      <c r="A397" s="4" t="str">
        <f>HYPERLINK("https://stackoverflow.com/q/47025667", "47025667")</f>
        <v>47025667</v>
      </c>
      <c r="B397" s="1">
        <v>4.7025667E7</v>
      </c>
      <c r="C397" s="2" t="s">
        <v>1927</v>
      </c>
      <c r="D397" s="3"/>
      <c r="E397" s="3">
        <v>142.0</v>
      </c>
      <c r="F397" s="9" t="s">
        <v>11</v>
      </c>
      <c r="G397" s="2" t="s">
        <v>16</v>
      </c>
      <c r="H397" s="2"/>
      <c r="I397" s="2"/>
      <c r="J397" s="2"/>
      <c r="K397" s="2"/>
    </row>
    <row r="398" ht="15.75" customHeight="1">
      <c r="A398" s="4" t="str">
        <f>HYPERLINK("https://stackoverflow.com/q/47048165", "47048165")</f>
        <v>47048165</v>
      </c>
      <c r="B398" s="1">
        <v>4.7048165E7</v>
      </c>
      <c r="C398" s="2" t="s">
        <v>836</v>
      </c>
      <c r="D398" s="3"/>
      <c r="E398" s="3">
        <v>590.0</v>
      </c>
      <c r="F398" s="9" t="s">
        <v>11</v>
      </c>
      <c r="G398" s="2" t="s">
        <v>18</v>
      </c>
      <c r="H398" s="2"/>
      <c r="I398" s="2"/>
      <c r="J398" s="2"/>
      <c r="K398" s="2"/>
    </row>
    <row r="399" ht="15.75" customHeight="1">
      <c r="A399" s="4" t="str">
        <f>HYPERLINK("https://stackoverflow.com/q/47057239", "47057239")</f>
        <v>47057239</v>
      </c>
      <c r="B399" s="1">
        <v>4.7057239E7</v>
      </c>
      <c r="C399" s="2" t="s">
        <v>1994</v>
      </c>
      <c r="D399" s="3"/>
      <c r="E399" s="3">
        <v>126.0</v>
      </c>
      <c r="F399" s="2" t="s">
        <v>11</v>
      </c>
      <c r="G399" s="2" t="s">
        <v>25</v>
      </c>
      <c r="H399" s="2"/>
      <c r="I399" s="2"/>
      <c r="J399" s="2"/>
      <c r="K399" s="2"/>
    </row>
    <row r="400" ht="15.75" customHeight="1">
      <c r="A400" s="4" t="str">
        <f>HYPERLINK("https://stackoverflow.com/q/47060216", "47060216")</f>
        <v>47060216</v>
      </c>
      <c r="B400" s="1">
        <v>4.7060216E7</v>
      </c>
      <c r="C400" s="2" t="s">
        <v>934</v>
      </c>
      <c r="D400" s="3"/>
      <c r="E400" s="3">
        <v>518.0</v>
      </c>
      <c r="F400" s="2" t="s">
        <v>11</v>
      </c>
      <c r="G400" s="2" t="s">
        <v>38</v>
      </c>
      <c r="H400" s="2" t="s">
        <v>16</v>
      </c>
      <c r="I400" s="2"/>
      <c r="J400" s="2"/>
      <c r="K400" s="2"/>
    </row>
    <row r="401" ht="15.75" customHeight="1">
      <c r="A401" s="4" t="str">
        <f>HYPERLINK("https://stackoverflow.com/q/47084869", "47084869")</f>
        <v>47084869</v>
      </c>
      <c r="B401" s="1">
        <v>4.7084869E7</v>
      </c>
      <c r="C401" s="2" t="s">
        <v>287</v>
      </c>
      <c r="D401" s="3">
        <v>1.0</v>
      </c>
      <c r="E401" s="3">
        <v>1756.0</v>
      </c>
      <c r="F401" s="2" t="s">
        <v>11</v>
      </c>
      <c r="G401" s="2" t="s">
        <v>67</v>
      </c>
      <c r="H401" s="2"/>
      <c r="I401" s="2"/>
      <c r="J401" s="2"/>
      <c r="K401" s="2"/>
    </row>
    <row r="402" ht="15.75" customHeight="1">
      <c r="A402" s="4" t="str">
        <f>HYPERLINK("https://stackoverflow.com/q/47087186", "47087186")</f>
        <v>47087186</v>
      </c>
      <c r="B402" s="1">
        <v>4.7087186E7</v>
      </c>
      <c r="C402" s="2" t="s">
        <v>1551</v>
      </c>
      <c r="D402" s="3"/>
      <c r="E402" s="3">
        <v>234.0</v>
      </c>
      <c r="F402" s="2" t="s">
        <v>11</v>
      </c>
      <c r="G402" s="2" t="s">
        <v>12</v>
      </c>
      <c r="H402" s="2"/>
      <c r="I402" s="2"/>
      <c r="J402" s="2"/>
      <c r="K402" s="2"/>
    </row>
    <row r="403" ht="15.75" customHeight="1">
      <c r="A403" s="4" t="str">
        <f>HYPERLINK("https://stackoverflow.com/q/47104623", "47104623")</f>
        <v>47104623</v>
      </c>
      <c r="B403" s="1">
        <v>4.7104623E7</v>
      </c>
      <c r="C403" s="2" t="s">
        <v>950</v>
      </c>
      <c r="D403" s="3"/>
      <c r="E403" s="3">
        <v>508.0</v>
      </c>
      <c r="F403" s="2" t="s">
        <v>11</v>
      </c>
      <c r="G403" s="2" t="s">
        <v>25</v>
      </c>
      <c r="H403" s="2"/>
      <c r="I403" s="2"/>
      <c r="J403" s="2"/>
      <c r="K403" s="2"/>
    </row>
    <row r="404" ht="15.75" customHeight="1">
      <c r="A404" s="4" t="str">
        <f>HYPERLINK("https://stackoverflow.com/q/47107774", "47107774")</f>
        <v>47107774</v>
      </c>
      <c r="B404" s="1">
        <v>4.7107774E7</v>
      </c>
      <c r="C404" s="2" t="s">
        <v>761</v>
      </c>
      <c r="D404" s="3"/>
      <c r="E404" s="3">
        <v>666.0</v>
      </c>
      <c r="F404" s="2" t="s">
        <v>11</v>
      </c>
      <c r="G404" s="2" t="s">
        <v>12</v>
      </c>
      <c r="H404" s="2"/>
      <c r="I404" s="2"/>
      <c r="J404" s="2"/>
      <c r="K404" s="2"/>
    </row>
    <row r="405" ht="15.75" customHeight="1">
      <c r="A405" s="4" t="str">
        <f>HYPERLINK("https://stackoverflow.com/q/47174045", "47174045")</f>
        <v>47174045</v>
      </c>
      <c r="B405" s="1">
        <v>4.7174045E7</v>
      </c>
      <c r="C405" s="2" t="s">
        <v>1304</v>
      </c>
      <c r="D405" s="3"/>
      <c r="E405" s="3">
        <v>335.0</v>
      </c>
      <c r="F405" s="2" t="s">
        <v>11</v>
      </c>
      <c r="G405" s="2" t="s">
        <v>25</v>
      </c>
      <c r="H405" s="2"/>
      <c r="I405" s="2"/>
      <c r="J405" s="2"/>
      <c r="K405" s="2"/>
    </row>
    <row r="406" ht="15.75" customHeight="1">
      <c r="A406" s="4" t="str">
        <f>HYPERLINK("https://stackoverflow.com/q/47178776", "47178776")</f>
        <v>47178776</v>
      </c>
      <c r="B406" s="1">
        <v>4.7178776E7</v>
      </c>
      <c r="C406" s="2" t="s">
        <v>1167</v>
      </c>
      <c r="D406" s="3"/>
      <c r="E406" s="3">
        <v>389.0</v>
      </c>
      <c r="F406" s="2" t="s">
        <v>11</v>
      </c>
      <c r="G406" s="2" t="s">
        <v>25</v>
      </c>
      <c r="H406" s="2"/>
      <c r="I406" s="2"/>
      <c r="J406" s="2"/>
      <c r="K406" s="2"/>
    </row>
    <row r="407" ht="15.75" customHeight="1">
      <c r="A407" s="4" t="str">
        <f>HYPERLINK("https://stackoverflow.com/q/47178968", "47178968")</f>
        <v>47178968</v>
      </c>
      <c r="B407" s="1">
        <v>4.7178968E7</v>
      </c>
      <c r="C407" s="2" t="s">
        <v>763</v>
      </c>
      <c r="D407" s="3"/>
      <c r="E407" s="3">
        <v>662.0</v>
      </c>
      <c r="F407" s="2" t="s">
        <v>11</v>
      </c>
      <c r="G407" s="2" t="s">
        <v>25</v>
      </c>
      <c r="H407" s="2"/>
      <c r="I407" s="2"/>
      <c r="J407" s="2"/>
      <c r="K407" s="2"/>
    </row>
    <row r="408" ht="15.75" customHeight="1">
      <c r="A408" s="4" t="str">
        <f>HYPERLINK("https://stackoverflow.com/q/47189669", "47189669")</f>
        <v>47189669</v>
      </c>
      <c r="B408" s="1">
        <v>4.7189669E7</v>
      </c>
      <c r="C408" s="2" t="s">
        <v>96</v>
      </c>
      <c r="D408" s="3"/>
      <c r="E408" s="3">
        <v>4323.0</v>
      </c>
      <c r="F408" s="2" t="s">
        <v>11</v>
      </c>
      <c r="G408" s="2" t="s">
        <v>14</v>
      </c>
      <c r="H408" s="2"/>
      <c r="I408" s="2"/>
      <c r="J408" s="2"/>
      <c r="K408" s="2"/>
    </row>
    <row r="409" ht="15.75" customHeight="1">
      <c r="A409" s="4" t="str">
        <f>HYPERLINK("https://stackoverflow.com/q/47194231", "47194231")</f>
        <v>47194231</v>
      </c>
      <c r="B409" s="1">
        <v>4.7194231E7</v>
      </c>
      <c r="C409" s="2" t="s">
        <v>685</v>
      </c>
      <c r="D409" s="3">
        <v>1.0</v>
      </c>
      <c r="E409" s="3">
        <v>749.0</v>
      </c>
      <c r="F409" s="2" t="s">
        <v>72</v>
      </c>
      <c r="G409" s="2" t="s">
        <v>506</v>
      </c>
      <c r="H409" s="2"/>
      <c r="I409" s="2"/>
      <c r="J409" s="2"/>
      <c r="K409" s="2"/>
    </row>
    <row r="410" ht="15.75" customHeight="1">
      <c r="A410" s="4" t="str">
        <f>HYPERLINK("https://stackoverflow.com/q/47194805", "47194805")</f>
        <v>47194805</v>
      </c>
      <c r="B410" s="1">
        <v>4.7194805E7</v>
      </c>
      <c r="C410" s="2" t="s">
        <v>665</v>
      </c>
      <c r="D410" s="3"/>
      <c r="E410" s="3">
        <v>783.0</v>
      </c>
      <c r="F410" s="2" t="s">
        <v>11</v>
      </c>
      <c r="G410" s="2" t="s">
        <v>25</v>
      </c>
      <c r="H410" s="2"/>
      <c r="I410" s="2"/>
      <c r="J410" s="2"/>
      <c r="K410" s="2"/>
    </row>
    <row r="411" ht="15.75" customHeight="1">
      <c r="A411" s="4" t="str">
        <f>HYPERLINK("https://stackoverflow.com/q/47213805", "47213805")</f>
        <v>47213805</v>
      </c>
      <c r="B411" s="1">
        <v>4.7213805E7</v>
      </c>
      <c r="C411" s="2" t="s">
        <v>1076</v>
      </c>
      <c r="D411" s="3"/>
      <c r="E411" s="3">
        <v>440.0</v>
      </c>
      <c r="F411" s="2" t="s">
        <v>11</v>
      </c>
      <c r="G411" s="2" t="s">
        <v>21</v>
      </c>
      <c r="H411" s="2"/>
      <c r="I411" s="2"/>
      <c r="J411" s="2"/>
      <c r="K411" s="2"/>
    </row>
    <row r="412" ht="15.75" customHeight="1">
      <c r="A412" s="4" t="str">
        <f>HYPERLINK("https://stackoverflow.com/q/47236477", "47236477")</f>
        <v>47236477</v>
      </c>
      <c r="B412" s="1">
        <v>4.7236477E7</v>
      </c>
      <c r="C412" s="2" t="s">
        <v>754</v>
      </c>
      <c r="D412" s="3"/>
      <c r="E412" s="3">
        <v>672.0</v>
      </c>
      <c r="F412" s="2" t="s">
        <v>11</v>
      </c>
      <c r="G412" s="2" t="s">
        <v>35</v>
      </c>
      <c r="H412" s="2"/>
      <c r="I412" s="2"/>
      <c r="J412" s="2"/>
      <c r="K412" s="2"/>
    </row>
    <row r="413" ht="15.75" customHeight="1">
      <c r="A413" s="4" t="str">
        <f>HYPERLINK("https://stackoverflow.com/q/47254010", "47254010")</f>
        <v>47254010</v>
      </c>
      <c r="B413" s="1">
        <v>4.725401E7</v>
      </c>
      <c r="C413" s="2" t="s">
        <v>595</v>
      </c>
      <c r="D413" s="3"/>
      <c r="E413" s="3">
        <v>880.0</v>
      </c>
      <c r="F413" s="2" t="s">
        <v>86</v>
      </c>
      <c r="G413" s="2" t="s">
        <v>87</v>
      </c>
      <c r="H413" s="2"/>
      <c r="I413" s="2"/>
      <c r="J413" s="2"/>
      <c r="K413" s="2"/>
    </row>
    <row r="414" ht="15.75" customHeight="1">
      <c r="A414" s="4" t="str">
        <f>HYPERLINK("https://stackoverflow.com/q/47258597", "47258597")</f>
        <v>47258597</v>
      </c>
      <c r="B414" s="1">
        <v>4.7258597E7</v>
      </c>
      <c r="C414" s="2" t="s">
        <v>913</v>
      </c>
      <c r="D414" s="3"/>
      <c r="E414" s="3">
        <v>540.0</v>
      </c>
      <c r="F414" s="2" t="s">
        <v>11</v>
      </c>
      <c r="G414" s="2" t="s">
        <v>14</v>
      </c>
      <c r="H414" s="2"/>
      <c r="I414" s="2"/>
      <c r="J414" s="2"/>
      <c r="K414" s="2"/>
    </row>
    <row r="415" ht="15.75" customHeight="1">
      <c r="A415" s="4" t="str">
        <f>HYPERLINK("https://stackoverflow.com/q/47293778", "47293778")</f>
        <v>47293778</v>
      </c>
      <c r="B415" s="1">
        <v>4.7293778E7</v>
      </c>
      <c r="C415" s="2" t="s">
        <v>742</v>
      </c>
      <c r="D415" s="3">
        <v>4.0</v>
      </c>
      <c r="E415" s="3">
        <v>688.0</v>
      </c>
      <c r="F415" s="2" t="s">
        <v>11</v>
      </c>
      <c r="G415" s="2" t="s">
        <v>44</v>
      </c>
      <c r="H415" s="2"/>
      <c r="I415" s="2"/>
      <c r="J415" s="2"/>
      <c r="K415" s="2"/>
    </row>
    <row r="416" ht="15.75" customHeight="1">
      <c r="A416" s="4" t="str">
        <f>HYPERLINK("https://stackoverflow.com/q/47296300", "47296300")</f>
        <v>47296300</v>
      </c>
      <c r="B416" s="1">
        <v>4.72963E7</v>
      </c>
      <c r="C416" s="2" t="s">
        <v>757</v>
      </c>
      <c r="D416" s="3">
        <v>1.0</v>
      </c>
      <c r="E416" s="3">
        <v>669.0</v>
      </c>
      <c r="F416" s="2" t="s">
        <v>11</v>
      </c>
      <c r="G416" s="2" t="s">
        <v>25</v>
      </c>
      <c r="H416" s="2"/>
      <c r="I416" s="2"/>
      <c r="J416" s="2"/>
      <c r="K416" s="2"/>
    </row>
    <row r="417" ht="15.75" customHeight="1">
      <c r="A417" s="4" t="str">
        <f>HYPERLINK("https://stackoverflow.com/q/47305630", "47305630")</f>
        <v>47305630</v>
      </c>
      <c r="B417" s="1">
        <v>4.730563E7</v>
      </c>
      <c r="C417" s="2" t="s">
        <v>1597</v>
      </c>
      <c r="D417" s="3"/>
      <c r="E417" s="3">
        <v>221.0</v>
      </c>
      <c r="F417" s="9" t="s">
        <v>11</v>
      </c>
      <c r="G417" s="2" t="s">
        <v>18</v>
      </c>
      <c r="H417" s="2"/>
      <c r="I417" s="2"/>
      <c r="J417" s="2"/>
      <c r="K417" s="2"/>
    </row>
    <row r="418" ht="15.75" customHeight="1">
      <c r="A418" s="4" t="str">
        <f>HYPERLINK("https://stackoverflow.com/q/47317006", "47317006")</f>
        <v>47317006</v>
      </c>
      <c r="B418" s="1">
        <v>4.7317006E7</v>
      </c>
      <c r="C418" s="2" t="s">
        <v>1274</v>
      </c>
      <c r="D418" s="3">
        <v>1.0</v>
      </c>
      <c r="E418" s="3">
        <v>343.0</v>
      </c>
      <c r="F418" s="2" t="s">
        <v>11</v>
      </c>
      <c r="G418" s="2" t="s">
        <v>14</v>
      </c>
      <c r="H418" s="2"/>
      <c r="I418" s="2"/>
      <c r="J418" s="2"/>
      <c r="K418" s="2"/>
    </row>
    <row r="419" ht="15.75" customHeight="1">
      <c r="A419" s="4" t="str">
        <f>HYPERLINK("https://stackoverflow.com/q/47333242", "47333242")</f>
        <v>47333242</v>
      </c>
      <c r="B419" s="1">
        <v>4.7333242E7</v>
      </c>
      <c r="C419" s="2" t="s">
        <v>2399</v>
      </c>
      <c r="D419" s="3"/>
      <c r="E419" s="3">
        <v>75.0</v>
      </c>
      <c r="F419" s="2" t="s">
        <v>59</v>
      </c>
      <c r="G419" s="2" t="s">
        <v>21</v>
      </c>
      <c r="H419" s="2" t="s">
        <v>25</v>
      </c>
      <c r="I419" s="2"/>
      <c r="J419" s="2"/>
      <c r="K419" s="2"/>
    </row>
    <row r="420" ht="15.75" customHeight="1">
      <c r="A420" s="4" t="str">
        <f>HYPERLINK("https://stackoverflow.com/q/47336062", "47336062")</f>
        <v>47336062</v>
      </c>
      <c r="B420" s="1">
        <v>4.7336062E7</v>
      </c>
      <c r="C420" s="2" t="s">
        <v>348</v>
      </c>
      <c r="D420" s="3"/>
      <c r="E420" s="3">
        <v>1483.0</v>
      </c>
      <c r="F420" s="2" t="s">
        <v>11</v>
      </c>
      <c r="G420" s="2" t="s">
        <v>56</v>
      </c>
      <c r="H420" s="2"/>
      <c r="I420" s="2"/>
      <c r="J420" s="2"/>
      <c r="K420" s="2"/>
    </row>
    <row r="421" ht="15.75" customHeight="1">
      <c r="A421" s="4" t="str">
        <f>HYPERLINK("https://stackoverflow.com/q/47345382", "47345382")</f>
        <v>47345382</v>
      </c>
      <c r="B421" s="1">
        <v>4.7345382E7</v>
      </c>
      <c r="C421" s="2" t="s">
        <v>688</v>
      </c>
      <c r="D421" s="3"/>
      <c r="E421" s="3">
        <v>746.0</v>
      </c>
      <c r="F421" s="2" t="s">
        <v>11</v>
      </c>
      <c r="G421" s="2" t="s">
        <v>25</v>
      </c>
      <c r="H421" s="2"/>
      <c r="I421" s="2"/>
      <c r="J421" s="2"/>
      <c r="K421" s="2"/>
    </row>
    <row r="422" ht="15.75" customHeight="1">
      <c r="A422" s="4" t="str">
        <f>HYPERLINK("https://stackoverflow.com/q/47358219", "47358219")</f>
        <v>47358219</v>
      </c>
      <c r="B422" s="1">
        <v>4.7358219E7</v>
      </c>
      <c r="C422" s="2" t="s">
        <v>935</v>
      </c>
      <c r="D422" s="3"/>
      <c r="E422" s="3">
        <v>517.0</v>
      </c>
      <c r="F422" s="2" t="s">
        <v>11</v>
      </c>
      <c r="G422" s="2" t="s">
        <v>35</v>
      </c>
      <c r="H422" s="2"/>
      <c r="I422" s="2"/>
      <c r="J422" s="2"/>
      <c r="K422" s="2"/>
    </row>
    <row r="423" ht="15.75" customHeight="1">
      <c r="A423" s="4" t="str">
        <f>HYPERLINK("https://stackoverflow.com/q/47378071", "47378071")</f>
        <v>47378071</v>
      </c>
      <c r="B423" s="1">
        <v>4.7378071E7</v>
      </c>
      <c r="C423" s="2" t="s">
        <v>939</v>
      </c>
      <c r="D423" s="3"/>
      <c r="E423" s="3">
        <v>514.0</v>
      </c>
      <c r="F423" s="2" t="s">
        <v>11</v>
      </c>
      <c r="G423" s="2" t="s">
        <v>35</v>
      </c>
      <c r="H423" s="2" t="s">
        <v>18</v>
      </c>
      <c r="I423" s="2"/>
      <c r="J423" s="2"/>
      <c r="K423" s="2"/>
    </row>
    <row r="424" ht="15.75" customHeight="1">
      <c r="A424" s="4" t="str">
        <f>HYPERLINK("https://stackoverflow.com/q/47388164", "47388164")</f>
        <v>47388164</v>
      </c>
      <c r="B424" s="1">
        <v>4.7388164E7</v>
      </c>
      <c r="C424" s="2" t="s">
        <v>852</v>
      </c>
      <c r="D424" s="3"/>
      <c r="E424" s="3">
        <v>579.0</v>
      </c>
      <c r="F424" s="2" t="s">
        <v>11</v>
      </c>
      <c r="G424" s="2" t="s">
        <v>18</v>
      </c>
      <c r="H424" s="2"/>
      <c r="I424" s="2"/>
      <c r="J424" s="2"/>
      <c r="K424" s="2"/>
    </row>
    <row r="425" ht="15.75" customHeight="1">
      <c r="A425" s="4" t="str">
        <f>HYPERLINK("https://stackoverflow.com/q/47393775", "47393775")</f>
        <v>47393775</v>
      </c>
      <c r="B425" s="1">
        <v>4.7393775E7</v>
      </c>
      <c r="C425" s="2" t="s">
        <v>812</v>
      </c>
      <c r="D425" s="3"/>
      <c r="E425" s="3">
        <v>611.0</v>
      </c>
      <c r="F425" s="2" t="s">
        <v>11</v>
      </c>
      <c r="G425" s="2" t="s">
        <v>73</v>
      </c>
      <c r="H425" s="2"/>
      <c r="I425" s="2"/>
      <c r="J425" s="2"/>
      <c r="K425" s="2"/>
    </row>
    <row r="426" ht="15.75" customHeight="1">
      <c r="A426" s="4" t="str">
        <f>HYPERLINK("https://stackoverflow.com/q/47430596", "47430596")</f>
        <v>47430596</v>
      </c>
      <c r="B426" s="1">
        <v>4.7430596E7</v>
      </c>
      <c r="C426" s="2" t="s">
        <v>658</v>
      </c>
      <c r="D426" s="3">
        <v>1.0</v>
      </c>
      <c r="E426" s="3">
        <v>791.0</v>
      </c>
      <c r="F426" s="2" t="s">
        <v>11</v>
      </c>
      <c r="G426" s="2" t="s">
        <v>18</v>
      </c>
      <c r="H426" s="2"/>
      <c r="I426" s="2"/>
      <c r="J426" s="2"/>
      <c r="K426" s="2"/>
    </row>
    <row r="427" ht="15.75" customHeight="1">
      <c r="A427" s="4" t="str">
        <f>HYPERLINK("https://stackoverflow.com/q/47432384", "47432384")</f>
        <v>47432384</v>
      </c>
      <c r="B427" s="1">
        <v>4.7432384E7</v>
      </c>
      <c r="C427" s="2" t="s">
        <v>315</v>
      </c>
      <c r="D427" s="3"/>
      <c r="E427" s="3">
        <v>1636.0</v>
      </c>
      <c r="F427" s="9" t="s">
        <v>11</v>
      </c>
      <c r="G427" s="2" t="s">
        <v>16</v>
      </c>
      <c r="H427" s="2"/>
      <c r="I427" s="2"/>
      <c r="J427" s="2"/>
      <c r="K427" s="2"/>
    </row>
    <row r="428" ht="15.75" customHeight="1">
      <c r="A428" s="4" t="str">
        <f>HYPERLINK("https://stackoverflow.com/q/47437912", "47437912")</f>
        <v>47437912</v>
      </c>
      <c r="B428" s="1">
        <v>4.7437912E7</v>
      </c>
      <c r="C428" s="2" t="s">
        <v>340</v>
      </c>
      <c r="D428" s="3">
        <v>1.0</v>
      </c>
      <c r="E428" s="3">
        <v>1526.0</v>
      </c>
      <c r="F428" s="2" t="s">
        <v>11</v>
      </c>
      <c r="G428" s="2" t="s">
        <v>25</v>
      </c>
      <c r="H428" s="2"/>
      <c r="I428" s="2"/>
      <c r="J428" s="2"/>
      <c r="K428" s="2"/>
    </row>
    <row r="429" ht="15.75" customHeight="1">
      <c r="A429" s="4" t="str">
        <f>HYPERLINK("https://stackoverflow.com/q/47442099", "47442099")</f>
        <v>47442099</v>
      </c>
      <c r="B429" s="1">
        <v>4.7442099E7</v>
      </c>
      <c r="C429" s="2" t="s">
        <v>1505</v>
      </c>
      <c r="D429" s="3"/>
      <c r="E429" s="3">
        <v>249.0</v>
      </c>
      <c r="F429" s="2" t="s">
        <v>11</v>
      </c>
      <c r="G429" s="2" t="s">
        <v>35</v>
      </c>
      <c r="H429" s="2"/>
      <c r="I429" s="2"/>
      <c r="J429" s="2"/>
      <c r="K429" s="2"/>
    </row>
    <row r="430" ht="15.75" customHeight="1">
      <c r="A430" s="4" t="str">
        <f>HYPERLINK("https://stackoverflow.com/q/47451392", "47451392")</f>
        <v>47451392</v>
      </c>
      <c r="B430" s="1">
        <v>4.7451392E7</v>
      </c>
      <c r="C430" s="2" t="s">
        <v>1588</v>
      </c>
      <c r="D430" s="3"/>
      <c r="E430" s="3">
        <v>223.0</v>
      </c>
      <c r="F430" s="9" t="s">
        <v>11</v>
      </c>
      <c r="G430" s="2" t="s">
        <v>16</v>
      </c>
      <c r="H430" s="2"/>
      <c r="I430" s="2"/>
      <c r="J430" s="2"/>
      <c r="K430" s="2"/>
    </row>
    <row r="431" ht="15.75" customHeight="1">
      <c r="A431" s="4" t="str">
        <f>HYPERLINK("https://stackoverflow.com/q/47497901", "47497901")</f>
        <v>47497901</v>
      </c>
      <c r="B431" s="1">
        <v>4.7497901E7</v>
      </c>
      <c r="C431" s="2" t="s">
        <v>2756</v>
      </c>
      <c r="D431" s="3"/>
      <c r="E431" s="3">
        <v>48.0</v>
      </c>
      <c r="F431" s="2" t="s">
        <v>11</v>
      </c>
      <c r="G431" s="2" t="s">
        <v>12</v>
      </c>
      <c r="H431" s="2"/>
      <c r="I431" s="2"/>
      <c r="J431" s="2"/>
      <c r="K431" s="2"/>
    </row>
    <row r="432" ht="15.75" customHeight="1">
      <c r="A432" s="4" t="str">
        <f>HYPERLINK("https://stackoverflow.com/q/47505898", "47505898")</f>
        <v>47505898</v>
      </c>
      <c r="B432" s="1">
        <v>4.7505898E7</v>
      </c>
      <c r="C432" s="2" t="s">
        <v>3404</v>
      </c>
      <c r="D432" s="3"/>
      <c r="E432" s="3">
        <v>18.0</v>
      </c>
      <c r="F432" s="2" t="s">
        <v>11</v>
      </c>
      <c r="G432" s="2" t="s">
        <v>21</v>
      </c>
      <c r="H432" s="2"/>
      <c r="I432" s="2"/>
      <c r="J432" s="2"/>
      <c r="K432" s="2"/>
    </row>
    <row r="433" ht="15.75" customHeight="1">
      <c r="A433" s="4" t="str">
        <f>HYPERLINK("https://stackoverflow.com/q/47515082", "47515082")</f>
        <v>47515082</v>
      </c>
      <c r="B433" s="1">
        <v>4.7515082E7</v>
      </c>
      <c r="C433" s="2" t="s">
        <v>708</v>
      </c>
      <c r="D433" s="3"/>
      <c r="E433" s="3">
        <v>726.0</v>
      </c>
      <c r="F433" s="2" t="s">
        <v>11</v>
      </c>
      <c r="G433" s="2" t="s">
        <v>14</v>
      </c>
      <c r="H433" s="2"/>
      <c r="I433" s="2"/>
      <c r="J433" s="2"/>
      <c r="K433" s="2"/>
    </row>
    <row r="434" ht="15.75" customHeight="1">
      <c r="A434" s="4" t="str">
        <f>HYPERLINK("https://stackoverflow.com/q/47518599", "47518599")</f>
        <v>47518599</v>
      </c>
      <c r="B434" s="1">
        <v>4.7518599E7</v>
      </c>
      <c r="C434" s="2" t="s">
        <v>1129</v>
      </c>
      <c r="D434" s="3">
        <v>1.0</v>
      </c>
      <c r="E434" s="3">
        <v>410.0</v>
      </c>
      <c r="F434" s="2" t="s">
        <v>11</v>
      </c>
      <c r="G434" s="2" t="s">
        <v>67</v>
      </c>
      <c r="H434" s="2"/>
      <c r="I434" s="2"/>
      <c r="J434" s="2"/>
      <c r="K434" s="2"/>
    </row>
    <row r="435" ht="15.75" customHeight="1">
      <c r="A435" s="4" t="str">
        <f>HYPERLINK("https://stackoverflow.com/q/47520197", "47520197")</f>
        <v>47520197</v>
      </c>
      <c r="B435" s="1">
        <v>4.7520197E7</v>
      </c>
      <c r="C435" s="2" t="s">
        <v>1095</v>
      </c>
      <c r="D435" s="3"/>
      <c r="E435" s="3">
        <v>429.0</v>
      </c>
      <c r="F435" s="2" t="s">
        <v>11</v>
      </c>
      <c r="G435" s="2" t="s">
        <v>28</v>
      </c>
      <c r="H435" s="2"/>
      <c r="I435" s="2"/>
      <c r="J435" s="2"/>
      <c r="K435" s="2"/>
    </row>
    <row r="436" ht="15.75" customHeight="1">
      <c r="A436" s="4" t="str">
        <f>HYPERLINK("https://stackoverflow.com/q/47522277", "47522277")</f>
        <v>47522277</v>
      </c>
      <c r="B436" s="1">
        <v>4.7522277E7</v>
      </c>
      <c r="C436" s="2" t="s">
        <v>1372</v>
      </c>
      <c r="D436" s="3"/>
      <c r="E436" s="3">
        <v>307.0</v>
      </c>
      <c r="F436" s="2" t="s">
        <v>11</v>
      </c>
      <c r="G436" s="2" t="s">
        <v>28</v>
      </c>
      <c r="H436" s="2"/>
      <c r="I436" s="2"/>
      <c r="J436" s="2"/>
      <c r="K436" s="2"/>
    </row>
    <row r="437" ht="15.75" customHeight="1">
      <c r="A437" s="4" t="str">
        <f>HYPERLINK("https://stackoverflow.com/q/47564757", "47564757")</f>
        <v>47564757</v>
      </c>
      <c r="B437" s="1">
        <v>4.7564757E7</v>
      </c>
      <c r="C437" s="2" t="s">
        <v>2083</v>
      </c>
      <c r="D437" s="3"/>
      <c r="E437" s="3">
        <v>112.0</v>
      </c>
      <c r="F437" s="2" t="s">
        <v>11</v>
      </c>
      <c r="G437" s="2" t="s">
        <v>12</v>
      </c>
      <c r="H437" s="2"/>
      <c r="I437" s="2"/>
      <c r="J437" s="2"/>
      <c r="K437" s="2"/>
    </row>
    <row r="438" ht="15.75" customHeight="1">
      <c r="A438" s="4" t="str">
        <f>HYPERLINK("https://stackoverflow.com/q/47617463", "47617463")</f>
        <v>47617463</v>
      </c>
      <c r="B438" s="1">
        <v>4.7617463E7</v>
      </c>
      <c r="C438" s="2" t="s">
        <v>591</v>
      </c>
      <c r="D438" s="3"/>
      <c r="E438" s="3">
        <v>884.0</v>
      </c>
      <c r="F438" s="2" t="s">
        <v>11</v>
      </c>
      <c r="G438" s="2" t="s">
        <v>14</v>
      </c>
      <c r="H438" s="2"/>
      <c r="I438" s="2"/>
      <c r="J438" s="2"/>
      <c r="K438" s="2"/>
    </row>
    <row r="439" ht="15.75" customHeight="1">
      <c r="A439" s="4" t="str">
        <f>HYPERLINK("https://stackoverflow.com/q/47628734", "47628734")</f>
        <v>47628734</v>
      </c>
      <c r="B439" s="1">
        <v>4.7628734E7</v>
      </c>
      <c r="C439" s="2" t="s">
        <v>3315</v>
      </c>
      <c r="D439" s="3"/>
      <c r="E439" s="3">
        <v>23.0</v>
      </c>
      <c r="F439" s="2" t="s">
        <v>11</v>
      </c>
      <c r="G439" s="2" t="s">
        <v>49</v>
      </c>
      <c r="H439" s="2"/>
      <c r="I439" s="2"/>
      <c r="J439" s="2"/>
      <c r="K439" s="2"/>
    </row>
    <row r="440" ht="15.75" customHeight="1">
      <c r="A440" s="4" t="str">
        <f>HYPERLINK("https://stackoverflow.com/q/47688993", "47688993")</f>
        <v>47688993</v>
      </c>
      <c r="B440" s="1">
        <v>4.7688993E7</v>
      </c>
      <c r="C440" s="2" t="s">
        <v>1851</v>
      </c>
      <c r="D440" s="3"/>
      <c r="E440" s="3">
        <v>157.0</v>
      </c>
      <c r="F440" s="2" t="s">
        <v>11</v>
      </c>
      <c r="G440" s="2" t="s">
        <v>35</v>
      </c>
      <c r="H440" s="2"/>
      <c r="I440" s="2"/>
      <c r="J440" s="2"/>
      <c r="K440" s="2"/>
    </row>
    <row r="441" ht="15.75" customHeight="1">
      <c r="A441" s="4" t="str">
        <f>HYPERLINK("https://stackoverflow.com/q/47704069", "47704069")</f>
        <v>47704069</v>
      </c>
      <c r="B441" s="1">
        <v>4.7704069E7</v>
      </c>
      <c r="C441" s="2" t="s">
        <v>681</v>
      </c>
      <c r="D441" s="3"/>
      <c r="E441" s="3">
        <v>757.0</v>
      </c>
      <c r="F441" s="2" t="s">
        <v>59</v>
      </c>
      <c r="G441" s="2" t="s">
        <v>21</v>
      </c>
      <c r="H441" s="2"/>
      <c r="I441" s="2"/>
      <c r="J441" s="2"/>
      <c r="K441" s="2"/>
    </row>
    <row r="442" ht="15.75" customHeight="1">
      <c r="A442" s="4" t="str">
        <f>HYPERLINK("https://stackoverflow.com/q/47705174", "47705174")</f>
        <v>47705174</v>
      </c>
      <c r="B442" s="1">
        <v>4.7705174E7</v>
      </c>
      <c r="C442" s="2" t="s">
        <v>955</v>
      </c>
      <c r="D442" s="3"/>
      <c r="E442" s="3">
        <v>504.0</v>
      </c>
      <c r="F442" s="2" t="s">
        <v>11</v>
      </c>
      <c r="G442" s="2" t="s">
        <v>12</v>
      </c>
      <c r="H442" s="2"/>
      <c r="I442" s="2"/>
      <c r="J442" s="2"/>
      <c r="K442" s="2"/>
    </row>
    <row r="443" ht="15.75" customHeight="1">
      <c r="A443" s="4" t="str">
        <f>HYPERLINK("https://stackoverflow.com/q/47706182", "47706182")</f>
        <v>47706182</v>
      </c>
      <c r="B443" s="1">
        <v>4.7706182E7</v>
      </c>
      <c r="C443" s="2" t="s">
        <v>649</v>
      </c>
      <c r="D443" s="3"/>
      <c r="E443" s="3">
        <v>802.0</v>
      </c>
      <c r="F443" s="9" t="s">
        <v>11</v>
      </c>
      <c r="G443" s="2" t="s">
        <v>16</v>
      </c>
      <c r="H443" s="2"/>
      <c r="I443" s="2"/>
      <c r="J443" s="2"/>
      <c r="K443" s="2"/>
    </row>
    <row r="444" ht="15.75" customHeight="1">
      <c r="A444" s="4" t="str">
        <f>HYPERLINK("https://stackoverflow.com/q/47731051", "47731051")</f>
        <v>47731051</v>
      </c>
      <c r="B444" s="1">
        <v>4.7731051E7</v>
      </c>
      <c r="C444" s="2" t="s">
        <v>1296</v>
      </c>
      <c r="D444" s="3"/>
      <c r="E444" s="3">
        <v>337.0</v>
      </c>
      <c r="F444" s="2" t="s">
        <v>11</v>
      </c>
      <c r="G444" s="2" t="s">
        <v>12</v>
      </c>
      <c r="H444" s="2"/>
      <c r="I444" s="2"/>
      <c r="J444" s="2"/>
      <c r="K444" s="2"/>
    </row>
    <row r="445" ht="15.75" customHeight="1">
      <c r="A445" s="4" t="str">
        <f>HYPERLINK("https://stackoverflow.com/q/47732539", "47732539")</f>
        <v>47732539</v>
      </c>
      <c r="B445" s="1">
        <v>4.7732539E7</v>
      </c>
      <c r="C445" s="2" t="s">
        <v>266</v>
      </c>
      <c r="D445" s="3">
        <v>0.0</v>
      </c>
      <c r="E445" s="3">
        <v>1868.0</v>
      </c>
      <c r="F445" s="2" t="s">
        <v>11</v>
      </c>
      <c r="G445" s="2" t="s">
        <v>18</v>
      </c>
      <c r="H445" s="2"/>
      <c r="I445" s="2"/>
      <c r="J445" s="2"/>
      <c r="K445" s="2"/>
    </row>
    <row r="446" ht="15.75" customHeight="1">
      <c r="A446" s="4" t="str">
        <f>HYPERLINK("https://stackoverflow.com/q/47737631", "47737631")</f>
        <v>47737631</v>
      </c>
      <c r="B446" s="1">
        <v>4.7737631E7</v>
      </c>
      <c r="C446" s="2" t="s">
        <v>375</v>
      </c>
      <c r="D446" s="3"/>
      <c r="E446" s="3">
        <v>1363.0</v>
      </c>
      <c r="F446" s="2" t="s">
        <v>11</v>
      </c>
      <c r="G446" s="2" t="s">
        <v>25</v>
      </c>
      <c r="H446" s="2"/>
      <c r="I446" s="2"/>
      <c r="J446" s="2"/>
      <c r="K446" s="2"/>
    </row>
    <row r="447" ht="15.75" customHeight="1">
      <c r="A447" s="4" t="str">
        <f>HYPERLINK("https://stackoverflow.com/q/47742984", "47742984")</f>
        <v>47742984</v>
      </c>
      <c r="B447" s="1">
        <v>4.7742984E7</v>
      </c>
      <c r="C447" s="2" t="s">
        <v>864</v>
      </c>
      <c r="D447" s="3"/>
      <c r="E447" s="3">
        <v>567.0</v>
      </c>
      <c r="F447" s="2" t="s">
        <v>11</v>
      </c>
      <c r="G447" s="2" t="s">
        <v>25</v>
      </c>
      <c r="H447" s="2"/>
      <c r="I447" s="2"/>
      <c r="J447" s="2"/>
      <c r="K447" s="2"/>
    </row>
    <row r="448" ht="15.75" customHeight="1">
      <c r="A448" s="4" t="str">
        <f>HYPERLINK("https://stackoverflow.com/q/47749485", "47749485")</f>
        <v>47749485</v>
      </c>
      <c r="B448" s="1">
        <v>4.7749485E7</v>
      </c>
      <c r="C448" s="2" t="s">
        <v>1793</v>
      </c>
      <c r="D448" s="3"/>
      <c r="E448" s="3">
        <v>168.0</v>
      </c>
      <c r="F448" s="2" t="s">
        <v>11</v>
      </c>
      <c r="G448" s="2" t="s">
        <v>30</v>
      </c>
      <c r="H448" s="2" t="s">
        <v>34</v>
      </c>
      <c r="I448" s="2"/>
      <c r="J448" s="2"/>
      <c r="K448" s="2"/>
    </row>
    <row r="449" ht="15.75" customHeight="1">
      <c r="A449" s="4" t="str">
        <f>HYPERLINK("https://stackoverflow.com/q/47762700", "47762700")</f>
        <v>47762700</v>
      </c>
      <c r="B449" s="1">
        <v>4.77627E7</v>
      </c>
      <c r="C449" s="2" t="s">
        <v>1231</v>
      </c>
      <c r="D449" s="3"/>
      <c r="E449" s="3">
        <v>359.0</v>
      </c>
      <c r="F449" s="2" t="s">
        <v>11</v>
      </c>
      <c r="G449" s="2" t="s">
        <v>44</v>
      </c>
      <c r="H449" s="2"/>
      <c r="I449" s="2"/>
      <c r="J449" s="2"/>
      <c r="K449" s="2"/>
    </row>
    <row r="450" ht="15.75" customHeight="1">
      <c r="A450" s="4" t="str">
        <f>HYPERLINK("https://stackoverflow.com/q/47764200", "47764200")</f>
        <v>47764200</v>
      </c>
      <c r="B450" s="1">
        <v>4.77642E7</v>
      </c>
      <c r="C450" s="2" t="s">
        <v>882</v>
      </c>
      <c r="D450" s="3">
        <v>1.0</v>
      </c>
      <c r="E450" s="3">
        <v>559.0</v>
      </c>
      <c r="F450" s="2" t="s">
        <v>11</v>
      </c>
      <c r="G450" s="2" t="s">
        <v>25</v>
      </c>
      <c r="H450" s="2"/>
      <c r="I450" s="2"/>
      <c r="J450" s="2"/>
      <c r="K450" s="2"/>
    </row>
    <row r="451" ht="15.75" customHeight="1">
      <c r="A451" s="4" t="str">
        <f>HYPERLINK("https://stackoverflow.com/q/47772835", "47772835")</f>
        <v>47772835</v>
      </c>
      <c r="B451" s="1">
        <v>4.7772835E7</v>
      </c>
      <c r="C451" s="2" t="s">
        <v>1424</v>
      </c>
      <c r="D451" s="3"/>
      <c r="E451" s="3">
        <v>284.0</v>
      </c>
      <c r="F451" s="9" t="s">
        <v>11</v>
      </c>
      <c r="G451" s="2" t="s">
        <v>16</v>
      </c>
      <c r="H451" s="2"/>
      <c r="I451" s="2"/>
      <c r="J451" s="2"/>
      <c r="K451" s="2"/>
    </row>
    <row r="452" ht="15.75" customHeight="1">
      <c r="A452" s="4" t="str">
        <f>HYPERLINK("https://stackoverflow.com/q/47795639", "47795639")</f>
        <v>47795639</v>
      </c>
      <c r="B452" s="1">
        <v>4.7795639E7</v>
      </c>
      <c r="C452" s="2" t="s">
        <v>1446</v>
      </c>
      <c r="D452" s="3"/>
      <c r="E452" s="3">
        <v>272.0</v>
      </c>
      <c r="F452" s="2" t="s">
        <v>537</v>
      </c>
      <c r="G452" s="2" t="s">
        <v>21</v>
      </c>
      <c r="H452" s="2" t="s">
        <v>21</v>
      </c>
      <c r="I452" s="2"/>
      <c r="J452" s="2"/>
      <c r="K452" s="2"/>
    </row>
    <row r="453" ht="15.75" customHeight="1">
      <c r="A453" s="4" t="str">
        <f>HYPERLINK("https://stackoverflow.com/q/47800766", "47800766")</f>
        <v>47800766</v>
      </c>
      <c r="B453" s="1">
        <v>4.7800766E7</v>
      </c>
      <c r="C453" s="2" t="s">
        <v>2175</v>
      </c>
      <c r="D453" s="3"/>
      <c r="E453" s="3">
        <v>99.0</v>
      </c>
      <c r="F453" s="9" t="s">
        <v>11</v>
      </c>
      <c r="G453" s="2" t="s">
        <v>18</v>
      </c>
      <c r="H453" s="2"/>
      <c r="I453" s="2"/>
      <c r="J453" s="2"/>
      <c r="K453" s="2"/>
    </row>
    <row r="454" ht="15.75" customHeight="1">
      <c r="A454" s="4" t="str">
        <f>HYPERLINK("https://stackoverflow.com/q/47801654", "47801654")</f>
        <v>47801654</v>
      </c>
      <c r="B454" s="1">
        <v>4.7801654E7</v>
      </c>
      <c r="C454" s="2" t="s">
        <v>796</v>
      </c>
      <c r="D454" s="3"/>
      <c r="E454" s="3">
        <v>627.0</v>
      </c>
      <c r="F454" s="2" t="s">
        <v>11</v>
      </c>
      <c r="G454" s="2" t="s">
        <v>67</v>
      </c>
      <c r="H454" s="2"/>
      <c r="I454" s="2"/>
      <c r="J454" s="2"/>
      <c r="K454" s="2"/>
    </row>
    <row r="455" ht="15.75" customHeight="1">
      <c r="A455" s="4" t="str">
        <f>HYPERLINK("https://stackoverflow.com/q/47802967", "47802967")</f>
        <v>47802967</v>
      </c>
      <c r="B455" s="1">
        <v>4.7802967E7</v>
      </c>
      <c r="C455" s="2" t="s">
        <v>431</v>
      </c>
      <c r="D455" s="3"/>
      <c r="E455" s="3">
        <v>1237.0</v>
      </c>
      <c r="F455" s="2" t="s">
        <v>11</v>
      </c>
      <c r="G455" s="2" t="s">
        <v>12</v>
      </c>
      <c r="H455" s="2" t="s">
        <v>25</v>
      </c>
      <c r="I455" s="2"/>
      <c r="J455" s="2"/>
      <c r="K455" s="2"/>
    </row>
    <row r="456" ht="15.75" customHeight="1">
      <c r="A456" s="4" t="str">
        <f>HYPERLINK("https://stackoverflow.com/q/47803698", "47803698")</f>
        <v>47803698</v>
      </c>
      <c r="B456" s="1">
        <v>4.7803698E7</v>
      </c>
      <c r="C456" s="2" t="s">
        <v>82</v>
      </c>
      <c r="D456" s="3"/>
      <c r="E456" s="3">
        <v>4950.0</v>
      </c>
      <c r="F456" s="2" t="s">
        <v>11</v>
      </c>
      <c r="G456" s="2" t="s">
        <v>67</v>
      </c>
      <c r="H456" s="2"/>
      <c r="I456" s="2"/>
      <c r="J456" s="2"/>
      <c r="K456" s="2"/>
    </row>
    <row r="457" ht="15.75" customHeight="1">
      <c r="A457" s="4" t="str">
        <f>HYPERLINK("https://stackoverflow.com/q/47817723", "47817723")</f>
        <v>47817723</v>
      </c>
      <c r="B457" s="1">
        <v>4.7817723E7</v>
      </c>
      <c r="C457" s="2" t="s">
        <v>672</v>
      </c>
      <c r="D457" s="3">
        <v>1.0</v>
      </c>
      <c r="E457" s="3">
        <v>772.0</v>
      </c>
      <c r="F457" s="2" t="s">
        <v>11</v>
      </c>
      <c r="G457" s="2" t="s">
        <v>21</v>
      </c>
      <c r="H457" s="2" t="s">
        <v>14</v>
      </c>
      <c r="I457" s="2"/>
      <c r="J457" s="2"/>
      <c r="K457" s="2"/>
    </row>
    <row r="458" ht="15.75" customHeight="1">
      <c r="A458" s="4" t="str">
        <f>HYPERLINK("https://stackoverflow.com/q/47820165", "47820165")</f>
        <v>47820165</v>
      </c>
      <c r="B458" s="1">
        <v>4.7820165E7</v>
      </c>
      <c r="C458" s="2" t="s">
        <v>848</v>
      </c>
      <c r="D458" s="3"/>
      <c r="E458" s="3">
        <v>581.0</v>
      </c>
      <c r="F458" s="2" t="s">
        <v>59</v>
      </c>
      <c r="G458" s="2" t="s">
        <v>28</v>
      </c>
      <c r="H458" s="2"/>
      <c r="I458" s="2"/>
      <c r="J458" s="2"/>
      <c r="K458" s="2"/>
    </row>
    <row r="459" ht="15.75" customHeight="1">
      <c r="A459" s="4" t="str">
        <f>HYPERLINK("https://stackoverflow.com/q/47820479", "47820479")</f>
        <v>47820479</v>
      </c>
      <c r="B459" s="1">
        <v>4.7820479E7</v>
      </c>
      <c r="C459" s="2" t="s">
        <v>1602</v>
      </c>
      <c r="D459" s="3"/>
      <c r="E459" s="3">
        <v>220.0</v>
      </c>
      <c r="F459" s="2" t="s">
        <v>11</v>
      </c>
      <c r="G459" s="2" t="s">
        <v>12</v>
      </c>
      <c r="H459" s="2"/>
      <c r="I459" s="2"/>
      <c r="J459" s="2"/>
      <c r="K459" s="2"/>
    </row>
    <row r="460" ht="15.75" customHeight="1">
      <c r="A460" s="4" t="str">
        <f>HYPERLINK("https://stackoverflow.com/q/47823345", "47823345")</f>
        <v>47823345</v>
      </c>
      <c r="B460" s="1">
        <v>4.7823345E7</v>
      </c>
      <c r="C460" s="2" t="s">
        <v>849</v>
      </c>
      <c r="D460" s="3">
        <v>1.0</v>
      </c>
      <c r="E460" s="3">
        <v>580.0</v>
      </c>
      <c r="F460" s="2" t="s">
        <v>59</v>
      </c>
      <c r="G460" s="2" t="s">
        <v>538</v>
      </c>
      <c r="H460" s="2"/>
      <c r="I460" s="2"/>
      <c r="J460" s="2"/>
      <c r="K460" s="2"/>
    </row>
    <row r="461" ht="15.75" customHeight="1">
      <c r="A461" s="4" t="str">
        <f>HYPERLINK("https://stackoverflow.com/q/47830107", "47830107")</f>
        <v>47830107</v>
      </c>
      <c r="B461" s="1">
        <v>4.7830107E7</v>
      </c>
      <c r="C461" s="2" t="s">
        <v>693</v>
      </c>
      <c r="D461" s="3"/>
      <c r="E461" s="3">
        <v>740.0</v>
      </c>
      <c r="F461" s="2" t="s">
        <v>11</v>
      </c>
      <c r="G461" s="2" t="s">
        <v>67</v>
      </c>
      <c r="H461" s="2" t="s">
        <v>25</v>
      </c>
      <c r="I461" s="2"/>
      <c r="J461" s="2"/>
      <c r="K461" s="2"/>
    </row>
    <row r="462" ht="15.75" customHeight="1">
      <c r="A462" s="4" t="str">
        <f>HYPERLINK("https://stackoverflow.com/q/47886587", "47886587")</f>
        <v>47886587</v>
      </c>
      <c r="B462" s="1">
        <v>4.7886587E7</v>
      </c>
      <c r="C462" s="2" t="s">
        <v>896</v>
      </c>
      <c r="D462" s="3"/>
      <c r="E462" s="3">
        <v>549.0</v>
      </c>
      <c r="F462" s="2" t="s">
        <v>11</v>
      </c>
      <c r="G462" s="2" t="s">
        <v>12</v>
      </c>
      <c r="H462" s="2"/>
      <c r="I462" s="2"/>
      <c r="J462" s="2"/>
      <c r="K462" s="2"/>
    </row>
    <row r="463" ht="15.75" customHeight="1">
      <c r="A463" s="4" t="str">
        <f>HYPERLINK("https://stackoverflow.com/q/47910518", "47910518")</f>
        <v>47910518</v>
      </c>
      <c r="B463" s="1">
        <v>4.7910518E7</v>
      </c>
      <c r="C463" s="2" t="s">
        <v>1481</v>
      </c>
      <c r="D463" s="3"/>
      <c r="E463" s="3">
        <v>256.0</v>
      </c>
      <c r="F463" s="2" t="s">
        <v>11</v>
      </c>
      <c r="G463" s="2" t="s">
        <v>25</v>
      </c>
      <c r="H463" s="2"/>
      <c r="I463" s="2"/>
      <c r="J463" s="2"/>
      <c r="K463" s="2"/>
    </row>
    <row r="464" ht="15.75" customHeight="1">
      <c r="A464" s="4" t="str">
        <f>HYPERLINK("https://stackoverflow.com/q/47943399", "47943399")</f>
        <v>47943399</v>
      </c>
      <c r="B464" s="1">
        <v>4.7943399E7</v>
      </c>
      <c r="C464" s="2" t="s">
        <v>1198</v>
      </c>
      <c r="D464" s="3"/>
      <c r="E464" s="3">
        <v>374.0</v>
      </c>
      <c r="F464" s="2" t="s">
        <v>11</v>
      </c>
      <c r="G464" s="2" t="s">
        <v>67</v>
      </c>
      <c r="H464" s="2"/>
      <c r="I464" s="2"/>
      <c r="J464" s="2"/>
      <c r="K464" s="2"/>
    </row>
    <row r="465" ht="15.75" customHeight="1">
      <c r="A465" s="13" t="str">
        <f>HYPERLINK("https://stackoverflow.com/q/48001643", "48001643")</f>
        <v>48001643</v>
      </c>
      <c r="B465" s="1">
        <v>4.8001643E7</v>
      </c>
      <c r="C465" s="14" t="s">
        <v>85</v>
      </c>
      <c r="D465" s="15"/>
      <c r="E465" s="15">
        <v>4826.0</v>
      </c>
      <c r="F465" s="14" t="s">
        <v>86</v>
      </c>
      <c r="G465" s="14" t="s">
        <v>87</v>
      </c>
      <c r="H465" s="14"/>
      <c r="I465" s="14"/>
      <c r="J465" s="14"/>
      <c r="K465" s="14"/>
      <c r="L465" s="16"/>
      <c r="M465" s="16"/>
    </row>
    <row r="466" ht="15.75" customHeight="1">
      <c r="A466" s="4" t="str">
        <f>HYPERLINK("https://stackoverflow.com/q/48026832", "48026832")</f>
        <v>48026832</v>
      </c>
      <c r="B466" s="1">
        <v>4.8026832E7</v>
      </c>
      <c r="C466" s="2" t="s">
        <v>1556</v>
      </c>
      <c r="D466" s="3"/>
      <c r="E466" s="3">
        <v>233.0</v>
      </c>
      <c r="F466" s="2" t="s">
        <v>11</v>
      </c>
      <c r="G466" s="2" t="s">
        <v>67</v>
      </c>
      <c r="H466" s="2"/>
      <c r="I466" s="2"/>
      <c r="J466" s="2"/>
      <c r="K466" s="2"/>
    </row>
    <row r="467" ht="15.75" customHeight="1">
      <c r="A467" s="4" t="str">
        <f>HYPERLINK("https://stackoverflow.com/q/48054534", "48054534")</f>
        <v>48054534</v>
      </c>
      <c r="B467" s="1">
        <v>4.8054534E7</v>
      </c>
      <c r="C467" s="2" t="s">
        <v>1601</v>
      </c>
      <c r="D467" s="3"/>
      <c r="E467" s="3">
        <v>220.0</v>
      </c>
      <c r="F467" s="2" t="s">
        <v>59</v>
      </c>
      <c r="G467" s="2" t="s">
        <v>28</v>
      </c>
      <c r="H467" s="2"/>
      <c r="I467" s="2"/>
      <c r="J467" s="2"/>
      <c r="K467" s="2"/>
    </row>
    <row r="468" ht="15.75" customHeight="1">
      <c r="A468" s="4" t="str">
        <f>HYPERLINK("https://stackoverflow.com/q/48082476", "48082476")</f>
        <v>48082476</v>
      </c>
      <c r="B468" s="1">
        <v>4.8082476E7</v>
      </c>
      <c r="C468" s="2" t="s">
        <v>2216</v>
      </c>
      <c r="D468" s="3"/>
      <c r="E468" s="3">
        <v>93.0</v>
      </c>
      <c r="F468" s="2" t="s">
        <v>11</v>
      </c>
      <c r="G468" s="2" t="s">
        <v>67</v>
      </c>
      <c r="H468" s="2"/>
      <c r="I468" s="2"/>
      <c r="J468" s="2"/>
      <c r="K468" s="2"/>
    </row>
    <row r="469" ht="15.75" customHeight="1">
      <c r="A469" s="4" t="str">
        <f>HYPERLINK("https://stackoverflow.com/q/48089860", "48089860")</f>
        <v>48089860</v>
      </c>
      <c r="B469" s="1">
        <v>4.808986E7</v>
      </c>
      <c r="C469" s="2" t="s">
        <v>364</v>
      </c>
      <c r="D469" s="3"/>
      <c r="E469" s="3">
        <v>1432.0</v>
      </c>
      <c r="F469" s="2" t="s">
        <v>11</v>
      </c>
      <c r="G469" s="2" t="s">
        <v>18</v>
      </c>
      <c r="H469" s="2"/>
      <c r="I469" s="2"/>
      <c r="J469" s="2"/>
      <c r="K469" s="2"/>
    </row>
    <row r="470" ht="15.75" customHeight="1">
      <c r="A470" s="4" t="str">
        <f>HYPERLINK("https://stackoverflow.com/q/48091397", "48091397")</f>
        <v>48091397</v>
      </c>
      <c r="B470" s="1">
        <v>4.8091397E7</v>
      </c>
      <c r="C470" s="2" t="s">
        <v>1740</v>
      </c>
      <c r="D470" s="3"/>
      <c r="E470" s="3">
        <v>181.0</v>
      </c>
      <c r="F470" s="9" t="s">
        <v>11</v>
      </c>
      <c r="G470" s="2" t="s">
        <v>18</v>
      </c>
      <c r="H470" s="2"/>
      <c r="I470" s="2"/>
      <c r="J470" s="2"/>
      <c r="K470" s="2"/>
    </row>
    <row r="471" ht="15.75" customHeight="1">
      <c r="A471" s="4" t="str">
        <f>HYPERLINK("https://stackoverflow.com/q/48105880", "48105880")</f>
        <v>48105880</v>
      </c>
      <c r="B471" s="1">
        <v>4.810588E7</v>
      </c>
      <c r="C471" s="2" t="s">
        <v>1293</v>
      </c>
      <c r="D471" s="3"/>
      <c r="E471" s="3">
        <v>338.0</v>
      </c>
      <c r="F471" s="9" t="s">
        <v>11</v>
      </c>
      <c r="G471" s="2" t="s">
        <v>18</v>
      </c>
      <c r="H471" s="2"/>
      <c r="I471" s="2"/>
      <c r="J471" s="2"/>
      <c r="K471" s="2"/>
    </row>
    <row r="472" ht="15.75" customHeight="1">
      <c r="A472" s="4" t="str">
        <f>HYPERLINK("https://stackoverflow.com/q/48119162", "48119162")</f>
        <v>48119162</v>
      </c>
      <c r="B472" s="1">
        <v>4.8119162E7</v>
      </c>
      <c r="C472" s="2" t="s">
        <v>101</v>
      </c>
      <c r="D472" s="3"/>
      <c r="E472" s="3">
        <v>4174.0</v>
      </c>
      <c r="F472" s="2" t="s">
        <v>11</v>
      </c>
      <c r="G472" s="2" t="s">
        <v>18</v>
      </c>
      <c r="H472" s="2" t="s">
        <v>25</v>
      </c>
      <c r="I472" s="2"/>
      <c r="J472" s="2"/>
      <c r="K472" s="2"/>
    </row>
    <row r="473" ht="15.75" customHeight="1">
      <c r="A473" s="4" t="str">
        <f>HYPERLINK("https://stackoverflow.com/q/48158928", "48158928")</f>
        <v>48158928</v>
      </c>
      <c r="B473" s="1">
        <v>4.8158928E7</v>
      </c>
      <c r="C473" s="2" t="s">
        <v>332</v>
      </c>
      <c r="D473" s="3"/>
      <c r="E473" s="3">
        <v>1556.0</v>
      </c>
      <c r="F473" s="2" t="s">
        <v>11</v>
      </c>
      <c r="G473" s="2" t="s">
        <v>18</v>
      </c>
      <c r="H473" s="2"/>
      <c r="I473" s="2"/>
      <c r="J473" s="2"/>
      <c r="K473" s="2"/>
    </row>
    <row r="474" ht="15.75" customHeight="1">
      <c r="A474" s="4" t="str">
        <f>HYPERLINK("https://stackoverflow.com/q/48168891", "48168891")</f>
        <v>48168891</v>
      </c>
      <c r="B474" s="1">
        <v>4.8168891E7</v>
      </c>
      <c r="C474" s="2" t="s">
        <v>3270</v>
      </c>
      <c r="D474" s="3"/>
      <c r="E474" s="3">
        <v>25.0</v>
      </c>
      <c r="F474" s="9" t="s">
        <v>11</v>
      </c>
      <c r="G474" s="2" t="s">
        <v>18</v>
      </c>
      <c r="H474" s="2"/>
      <c r="I474" s="2"/>
      <c r="J474" s="2"/>
      <c r="K474" s="2"/>
    </row>
    <row r="475" ht="15.75" customHeight="1">
      <c r="A475" s="4" t="str">
        <f>HYPERLINK("https://stackoverflow.com/q/48185677", "48185677")</f>
        <v>48185677</v>
      </c>
      <c r="B475" s="1">
        <v>4.8185677E7</v>
      </c>
      <c r="C475" s="2" t="s">
        <v>3271</v>
      </c>
      <c r="D475" s="3"/>
      <c r="E475" s="3">
        <v>25.0</v>
      </c>
      <c r="F475" s="2" t="s">
        <v>11</v>
      </c>
      <c r="G475" s="2" t="s">
        <v>14</v>
      </c>
      <c r="H475" s="2" t="s">
        <v>25</v>
      </c>
      <c r="I475" s="2"/>
      <c r="J475" s="2"/>
      <c r="K475" s="2"/>
    </row>
    <row r="476" ht="15.75" customHeight="1">
      <c r="A476" s="4" t="str">
        <f>HYPERLINK("https://stackoverflow.com/q/48190454", "48190454")</f>
        <v>48190454</v>
      </c>
      <c r="B476" s="1">
        <v>4.8190454E7</v>
      </c>
      <c r="C476" s="2" t="s">
        <v>2359</v>
      </c>
      <c r="D476" s="3"/>
      <c r="E476" s="3">
        <v>79.0</v>
      </c>
      <c r="F476" s="2" t="s">
        <v>11</v>
      </c>
      <c r="G476" s="2" t="s">
        <v>14</v>
      </c>
      <c r="H476" s="2"/>
      <c r="I476" s="2"/>
      <c r="J476" s="2"/>
      <c r="K476" s="2"/>
    </row>
    <row r="477" ht="15.75" customHeight="1">
      <c r="A477" s="4" t="str">
        <f>HYPERLINK("https://stackoverflow.com/q/48267239", "48267239")</f>
        <v>48267239</v>
      </c>
      <c r="B477" s="1">
        <v>4.8267239E7</v>
      </c>
      <c r="C477" s="2" t="s">
        <v>1013</v>
      </c>
      <c r="D477" s="3">
        <v>0.0</v>
      </c>
      <c r="E477" s="3">
        <v>469.0</v>
      </c>
      <c r="F477" s="2" t="s">
        <v>11</v>
      </c>
      <c r="G477" s="2" t="s">
        <v>67</v>
      </c>
      <c r="H477" s="2"/>
      <c r="I477" s="2"/>
      <c r="J477" s="2"/>
      <c r="K477" s="2"/>
    </row>
    <row r="478" ht="15.75" customHeight="1">
      <c r="A478" s="4" t="str">
        <f>HYPERLINK("https://stackoverflow.com/q/48279047", "48279047")</f>
        <v>48279047</v>
      </c>
      <c r="B478" s="1">
        <v>4.8279047E7</v>
      </c>
      <c r="C478" s="2" t="s">
        <v>2247</v>
      </c>
      <c r="D478" s="3"/>
      <c r="E478" s="3">
        <v>89.0</v>
      </c>
      <c r="F478" s="2" t="s">
        <v>11</v>
      </c>
      <c r="G478" s="2" t="s">
        <v>183</v>
      </c>
      <c r="H478" s="2"/>
      <c r="I478" s="2"/>
      <c r="J478" s="2"/>
      <c r="K478" s="2"/>
    </row>
    <row r="479" ht="15.75" customHeight="1">
      <c r="A479" s="4" t="str">
        <f>HYPERLINK("https://stackoverflow.com/q/48439073", "48439073")</f>
        <v>48439073</v>
      </c>
      <c r="B479" s="1">
        <v>4.8439073E7</v>
      </c>
      <c r="C479" s="2" t="s">
        <v>60</v>
      </c>
      <c r="D479" s="3">
        <v>1.0</v>
      </c>
      <c r="E479" s="3">
        <v>6376.0</v>
      </c>
      <c r="F479" s="2" t="s">
        <v>11</v>
      </c>
      <c r="G479" s="2" t="s">
        <v>25</v>
      </c>
      <c r="H479" s="2"/>
      <c r="I479" s="2"/>
      <c r="J479" s="2"/>
      <c r="K479" s="2"/>
    </row>
    <row r="480" ht="15.75" customHeight="1">
      <c r="A480" s="4" t="str">
        <f>HYPERLINK("https://stackoverflow.com/q/48611208", "48611208")</f>
        <v>48611208</v>
      </c>
      <c r="B480" s="1">
        <v>4.8611208E7</v>
      </c>
      <c r="C480" s="2" t="s">
        <v>88</v>
      </c>
      <c r="D480" s="3"/>
      <c r="E480" s="3">
        <v>4748.0</v>
      </c>
      <c r="F480" s="2" t="s">
        <v>11</v>
      </c>
      <c r="G480" s="2" t="s">
        <v>18</v>
      </c>
      <c r="H480" s="2"/>
      <c r="I480" s="2"/>
      <c r="J480" s="2"/>
      <c r="K480" s="2"/>
    </row>
    <row r="481" ht="15.75" customHeight="1">
      <c r="A481" s="4" t="str">
        <f>HYPERLINK("https://stackoverflow.com/q/48646795", "48646795")</f>
        <v>48646795</v>
      </c>
      <c r="B481" s="1">
        <v>4.8646795E7</v>
      </c>
      <c r="C481" s="2" t="s">
        <v>98</v>
      </c>
      <c r="D481" s="3">
        <v>1.0</v>
      </c>
      <c r="E481" s="3">
        <v>4302.0</v>
      </c>
      <c r="F481" s="2" t="s">
        <v>11</v>
      </c>
      <c r="G481" s="2" t="s">
        <v>25</v>
      </c>
      <c r="H481" s="2"/>
      <c r="I481" s="2"/>
      <c r="J481" s="2"/>
      <c r="K481" s="2"/>
    </row>
    <row r="482" ht="15.75" customHeight="1">
      <c r="A482" s="4" t="str">
        <f>HYPERLINK("https://stackoverflow.com/q/49006215", "49006215")</f>
        <v>49006215</v>
      </c>
      <c r="B482" s="1">
        <v>4.9006215E7</v>
      </c>
      <c r="C482" s="2" t="s">
        <v>66</v>
      </c>
      <c r="D482" s="3"/>
      <c r="E482" s="3">
        <v>5959.0</v>
      </c>
      <c r="F482" s="2" t="s">
        <v>11</v>
      </c>
      <c r="G482" s="2" t="s">
        <v>67</v>
      </c>
      <c r="H482" s="2"/>
      <c r="I482" s="2"/>
      <c r="J482" s="2"/>
      <c r="K482" s="2"/>
    </row>
    <row r="483" ht="15.75" customHeight="1">
      <c r="A483" s="4" t="str">
        <f>HYPERLINK("https://stackoverflow.com/q/49033921", "49033921")</f>
        <v>49033921</v>
      </c>
      <c r="B483" s="1">
        <v>4.9033921E7</v>
      </c>
      <c r="C483" s="2" t="s">
        <v>54</v>
      </c>
      <c r="D483" s="3"/>
      <c r="E483" s="3">
        <v>6949.0</v>
      </c>
      <c r="F483" s="2" t="s">
        <v>11</v>
      </c>
      <c r="G483" s="2" t="s">
        <v>25</v>
      </c>
      <c r="H483" s="2"/>
      <c r="I483" s="2"/>
      <c r="J483" s="2"/>
      <c r="K483" s="2"/>
    </row>
    <row r="484" ht="15.75" customHeight="1">
      <c r="A484" s="4" t="str">
        <f>HYPERLINK("https://stackoverflow.com/q/49419372", "49419372")</f>
        <v>49419372</v>
      </c>
      <c r="B484" s="1">
        <v>4.9419372E7</v>
      </c>
      <c r="C484" s="2" t="s">
        <v>2116</v>
      </c>
      <c r="D484" s="3"/>
      <c r="E484" s="3">
        <v>107.0</v>
      </c>
      <c r="F484" s="2" t="s">
        <v>11</v>
      </c>
      <c r="G484" s="2" t="s">
        <v>538</v>
      </c>
      <c r="H484" s="2"/>
      <c r="I484" s="2"/>
      <c r="J484" s="2"/>
      <c r="K484" s="2"/>
    </row>
    <row r="485" ht="15.75" customHeight="1">
      <c r="A485" s="4" t="str">
        <f>HYPERLINK("https://stackoverflow.com/q/49424033", "49424033")</f>
        <v>49424033</v>
      </c>
      <c r="B485" s="1">
        <v>4.9424033E7</v>
      </c>
      <c r="C485" s="2" t="s">
        <v>830</v>
      </c>
      <c r="D485" s="3"/>
      <c r="E485" s="3">
        <v>595.0</v>
      </c>
      <c r="F485" s="2" t="s">
        <v>11</v>
      </c>
      <c r="G485" s="2" t="s">
        <v>67</v>
      </c>
      <c r="H485" s="2"/>
      <c r="I485" s="2"/>
      <c r="J485" s="2"/>
      <c r="K485" s="2"/>
    </row>
    <row r="486" ht="15.75" customHeight="1">
      <c r="A486" s="4" t="str">
        <f>HYPERLINK("https://stackoverflow.com/q/49666940", "49666940")</f>
        <v>49666940</v>
      </c>
      <c r="B486" s="1">
        <v>4.966694E7</v>
      </c>
      <c r="C486" s="2" t="s">
        <v>594</v>
      </c>
      <c r="D486" s="3">
        <v>1.0</v>
      </c>
      <c r="E486" s="3">
        <v>880.0</v>
      </c>
      <c r="F486" s="2" t="s">
        <v>11</v>
      </c>
      <c r="G486" s="2" t="s">
        <v>25</v>
      </c>
      <c r="H486" s="2"/>
      <c r="I486" s="2"/>
      <c r="J486" s="2"/>
      <c r="K486" s="2"/>
    </row>
    <row r="487" ht="15.75" customHeight="1">
      <c r="A487" s="4" t="str">
        <f>HYPERLINK("https://stackoverflow.com/q/50415065", "50415065")</f>
        <v>50415065</v>
      </c>
      <c r="B487" s="1">
        <v>5.0415065E7</v>
      </c>
      <c r="C487" s="2" t="s">
        <v>92</v>
      </c>
      <c r="D487" s="3"/>
      <c r="E487" s="3">
        <v>4481.0</v>
      </c>
      <c r="F487" s="2" t="s">
        <v>11</v>
      </c>
      <c r="G487" s="2" t="s">
        <v>25</v>
      </c>
      <c r="H487" s="2"/>
      <c r="I487" s="2"/>
      <c r="J487" s="2"/>
      <c r="K487" s="2"/>
    </row>
    <row r="488" ht="15.75" customHeight="1">
      <c r="A488" s="4" t="str">
        <f>HYPERLINK("https://stackoverflow.com/q/50444796", "50444796")</f>
        <v>50444796</v>
      </c>
      <c r="B488" s="1">
        <v>5.0444796E7</v>
      </c>
      <c r="C488" s="2" t="s">
        <v>57</v>
      </c>
      <c r="D488" s="3"/>
      <c r="E488" s="3">
        <v>6876.0</v>
      </c>
      <c r="F488" s="2" t="s">
        <v>11</v>
      </c>
      <c r="G488" s="2" t="s">
        <v>25</v>
      </c>
      <c r="H488" s="2"/>
      <c r="I488" s="2"/>
      <c r="J488" s="2"/>
      <c r="K488" s="2"/>
    </row>
    <row r="489" ht="15.75" customHeight="1">
      <c r="A489" s="4" t="str">
        <f>HYPERLINK("https://stackoverflow.com/q/50447594", "50447594")</f>
        <v>50447594</v>
      </c>
      <c r="B489" s="1">
        <v>5.0447594E7</v>
      </c>
      <c r="C489" s="2" t="s">
        <v>41</v>
      </c>
      <c r="D489" s="3">
        <v>1.0</v>
      </c>
      <c r="E489" s="3">
        <v>9211.0</v>
      </c>
      <c r="F489" s="2" t="s">
        <v>11</v>
      </c>
      <c r="G489" s="2" t="s">
        <v>25</v>
      </c>
      <c r="H489" s="2"/>
      <c r="I489" s="2"/>
      <c r="J489" s="2"/>
      <c r="K489" s="2"/>
    </row>
    <row r="490" ht="15.75" customHeight="1">
      <c r="A490" s="4" t="str">
        <f>HYPERLINK("https://stackoverflow.com/q/50775621", "50775621")</f>
        <v>50775621</v>
      </c>
      <c r="B490" s="1">
        <v>5.0775621E7</v>
      </c>
      <c r="C490" s="2" t="s">
        <v>83</v>
      </c>
      <c r="D490" s="3">
        <v>1.0</v>
      </c>
      <c r="E490" s="3">
        <v>4863.0</v>
      </c>
      <c r="F490" s="2" t="s">
        <v>11</v>
      </c>
      <c r="G490" s="2" t="s">
        <v>84</v>
      </c>
      <c r="H490" s="2"/>
      <c r="I490" s="2"/>
      <c r="J490" s="2"/>
      <c r="K490" s="2"/>
    </row>
    <row r="491" ht="15.75" customHeight="1">
      <c r="A491" s="4" t="str">
        <f>HYPERLINK("https://stackoverflow.com/q/51050661", "51050661")</f>
        <v>51050661</v>
      </c>
      <c r="B491" s="1">
        <v>5.1050661E7</v>
      </c>
      <c r="C491" s="2" t="s">
        <v>93</v>
      </c>
      <c r="D491" s="3"/>
      <c r="E491" s="3">
        <v>4462.0</v>
      </c>
      <c r="F491" s="2" t="s">
        <v>11</v>
      </c>
      <c r="G491" s="2" t="s">
        <v>14</v>
      </c>
      <c r="H491" s="2"/>
      <c r="I491" s="2"/>
      <c r="J491" s="2"/>
      <c r="K491" s="2"/>
    </row>
    <row r="492" ht="15.75" customHeight="1">
      <c r="A492" s="4" t="str">
        <f>HYPERLINK("https://stackoverflow.com/q/51171853", "51171853")</f>
        <v>51171853</v>
      </c>
      <c r="B492" s="1">
        <v>5.1171853E7</v>
      </c>
      <c r="C492" s="2" t="s">
        <v>99</v>
      </c>
      <c r="D492" s="3"/>
      <c r="E492" s="3">
        <v>4196.0</v>
      </c>
      <c r="F492" s="2" t="s">
        <v>11</v>
      </c>
      <c r="G492" s="2" t="s">
        <v>56</v>
      </c>
      <c r="H492" s="2"/>
      <c r="I492" s="2"/>
      <c r="J492" s="2"/>
      <c r="K492" s="2"/>
    </row>
    <row r="493" ht="15.75" customHeight="1">
      <c r="A493" s="4" t="str">
        <f>HYPERLINK("https://stackoverflow.com/q/51308896", "51308896")</f>
        <v>51308896</v>
      </c>
      <c r="B493" s="1">
        <v>5.1308896E7</v>
      </c>
      <c r="C493" s="2" t="s">
        <v>1637</v>
      </c>
      <c r="D493" s="3">
        <v>1.0</v>
      </c>
      <c r="E493" s="3">
        <v>213.0</v>
      </c>
      <c r="F493" s="2" t="s">
        <v>11</v>
      </c>
      <c r="G493" s="2" t="s">
        <v>44</v>
      </c>
      <c r="H493" s="2"/>
      <c r="I493" s="2"/>
      <c r="J493" s="2"/>
      <c r="K493" s="2"/>
    </row>
    <row r="494" ht="15.75" customHeight="1">
      <c r="A494" s="4" t="str">
        <f>HYPERLINK("https://stackoverflow.com/q/51312073", "51312073")</f>
        <v>51312073</v>
      </c>
      <c r="B494" s="1">
        <v>5.1312073E7</v>
      </c>
      <c r="C494" s="2" t="s">
        <v>900</v>
      </c>
      <c r="D494" s="3"/>
      <c r="E494" s="3">
        <v>546.0</v>
      </c>
      <c r="F494" s="2" t="s">
        <v>11</v>
      </c>
      <c r="G494" s="2" t="s">
        <v>73</v>
      </c>
      <c r="H494" s="2"/>
      <c r="I494" s="2"/>
      <c r="J494" s="2"/>
      <c r="K494" s="2"/>
    </row>
    <row r="495" ht="15.75" customHeight="1">
      <c r="A495" s="4" t="str">
        <f>HYPERLINK("https://stackoverflow.com/q/51324328", "51324328")</f>
        <v>51324328</v>
      </c>
      <c r="B495" s="1">
        <v>5.1324328E7</v>
      </c>
      <c r="C495" s="2" t="s">
        <v>1322</v>
      </c>
      <c r="D495" s="3"/>
      <c r="E495" s="3">
        <v>330.0</v>
      </c>
      <c r="F495" s="2" t="s">
        <v>11</v>
      </c>
      <c r="G495" s="2" t="s">
        <v>44</v>
      </c>
      <c r="H495" s="2"/>
      <c r="I495" s="2"/>
      <c r="J495" s="2"/>
      <c r="K495" s="2"/>
    </row>
    <row r="496" ht="15.75" customHeight="1">
      <c r="A496" s="4" t="str">
        <f>HYPERLINK("https://stackoverflow.com/q/51351353", "51351353")</f>
        <v>51351353</v>
      </c>
      <c r="B496" s="1">
        <v>5.1351353E7</v>
      </c>
      <c r="C496" s="2" t="s">
        <v>279</v>
      </c>
      <c r="D496" s="3">
        <v>1.0</v>
      </c>
      <c r="E496" s="3">
        <v>1807.0</v>
      </c>
      <c r="F496" s="2" t="s">
        <v>11</v>
      </c>
      <c r="G496" s="2" t="s">
        <v>18</v>
      </c>
      <c r="H496" s="2"/>
      <c r="I496" s="2"/>
      <c r="J496" s="2"/>
      <c r="K496" s="2"/>
    </row>
    <row r="497" ht="15.75" customHeight="1">
      <c r="A497" s="4" t="str">
        <f>HYPERLINK("https://stackoverflow.com/q/51352265", "51352265")</f>
        <v>51352265</v>
      </c>
      <c r="B497" s="1">
        <v>5.1352265E7</v>
      </c>
      <c r="C497" s="2" t="s">
        <v>168</v>
      </c>
      <c r="D497" s="3"/>
      <c r="E497" s="3">
        <v>2597.0</v>
      </c>
      <c r="F497" s="2" t="s">
        <v>11</v>
      </c>
      <c r="G497" s="2" t="s">
        <v>12</v>
      </c>
      <c r="H497" s="2"/>
      <c r="I497" s="2"/>
      <c r="J497" s="2"/>
      <c r="K497" s="2"/>
    </row>
    <row r="498" ht="15.75" customHeight="1">
      <c r="A498" s="4" t="str">
        <f>HYPERLINK("https://stackoverflow.com/q/51352351", "51352351")</f>
        <v>51352351</v>
      </c>
      <c r="B498" s="1">
        <v>5.1352351E7</v>
      </c>
      <c r="C498" s="2" t="s">
        <v>1852</v>
      </c>
      <c r="D498" s="3"/>
      <c r="E498" s="3">
        <v>157.0</v>
      </c>
      <c r="F498" s="2" t="s">
        <v>11</v>
      </c>
      <c r="G498" s="2" t="s">
        <v>25</v>
      </c>
      <c r="H498" s="2"/>
      <c r="I498" s="2"/>
      <c r="J498" s="2"/>
      <c r="K498" s="2"/>
    </row>
    <row r="499" ht="15.75" customHeight="1">
      <c r="A499" s="4" t="str">
        <f>HYPERLINK("https://stackoverflow.com/q/51352700", "51352700")</f>
        <v>51352700</v>
      </c>
      <c r="B499" s="1">
        <v>5.13527E7</v>
      </c>
      <c r="C499" s="2" t="s">
        <v>1829</v>
      </c>
      <c r="D499" s="3"/>
      <c r="E499" s="3">
        <v>162.0</v>
      </c>
      <c r="F499" s="2" t="s">
        <v>11</v>
      </c>
      <c r="G499" s="2" t="s">
        <v>12</v>
      </c>
      <c r="H499" s="2"/>
      <c r="I499" s="2"/>
      <c r="J499" s="2"/>
      <c r="K499" s="2"/>
    </row>
    <row r="500" ht="15.75" customHeight="1">
      <c r="A500" s="4" t="str">
        <f>HYPERLINK("https://stackoverflow.com/q/51360587", "51360587")</f>
        <v>51360587</v>
      </c>
      <c r="B500" s="1">
        <v>5.1360587E7</v>
      </c>
      <c r="C500" s="2" t="s">
        <v>1101</v>
      </c>
      <c r="D500" s="3">
        <v>3.0</v>
      </c>
      <c r="E500" s="3">
        <v>426.0</v>
      </c>
      <c r="F500" s="2" t="s">
        <v>11</v>
      </c>
      <c r="G500" s="2" t="s">
        <v>35</v>
      </c>
      <c r="H500" s="2"/>
      <c r="I500" s="2"/>
      <c r="J500" s="2"/>
      <c r="K500" s="2"/>
    </row>
    <row r="501" ht="15.75" customHeight="1">
      <c r="A501" s="4" t="str">
        <f>HYPERLINK("https://stackoverflow.com/q/51364441", "51364441")</f>
        <v>51364441</v>
      </c>
      <c r="B501" s="1">
        <v>5.1364441E7</v>
      </c>
      <c r="C501" s="2" t="s">
        <v>1350</v>
      </c>
      <c r="D501" s="3"/>
      <c r="E501" s="3">
        <v>318.0</v>
      </c>
      <c r="F501" s="9" t="s">
        <v>11</v>
      </c>
      <c r="G501" s="2" t="s">
        <v>16</v>
      </c>
      <c r="H501" s="2"/>
      <c r="I501" s="2"/>
      <c r="J501" s="2"/>
      <c r="K501" s="2"/>
    </row>
    <row r="502" ht="15.75" customHeight="1">
      <c r="A502" s="4" t="str">
        <f>HYPERLINK("https://stackoverflow.com/q/51364575", "51364575")</f>
        <v>51364575</v>
      </c>
      <c r="B502" s="1">
        <v>5.1364575E7</v>
      </c>
      <c r="C502" s="2" t="s">
        <v>1599</v>
      </c>
      <c r="D502" s="3">
        <v>1.0</v>
      </c>
      <c r="E502" s="3">
        <v>220.0</v>
      </c>
      <c r="F502" s="9" t="s">
        <v>11</v>
      </c>
      <c r="G502" s="2" t="s">
        <v>16</v>
      </c>
      <c r="H502" s="2"/>
      <c r="I502" s="2"/>
      <c r="J502" s="2"/>
      <c r="K502" s="2"/>
    </row>
    <row r="503" ht="15.75" customHeight="1">
      <c r="A503" s="4" t="str">
        <f>HYPERLINK("https://stackoverflow.com/q/51369708", "51369708")</f>
        <v>51369708</v>
      </c>
      <c r="B503" s="1">
        <v>5.1369708E7</v>
      </c>
      <c r="C503" s="2" t="s">
        <v>1398</v>
      </c>
      <c r="D503" s="3">
        <v>0.0</v>
      </c>
      <c r="E503" s="3">
        <v>296.0</v>
      </c>
      <c r="F503" s="2" t="s">
        <v>11</v>
      </c>
      <c r="G503" s="2" t="s">
        <v>25</v>
      </c>
      <c r="H503" s="2"/>
      <c r="I503" s="2"/>
      <c r="J503" s="2"/>
      <c r="K503" s="2"/>
    </row>
    <row r="504" ht="15.75" customHeight="1">
      <c r="A504" s="4" t="str">
        <f>HYPERLINK("https://stackoverflow.com/q/51380757", "51380757")</f>
        <v>51380757</v>
      </c>
      <c r="B504" s="1">
        <v>5.1380757E7</v>
      </c>
      <c r="C504" s="2" t="s">
        <v>2107</v>
      </c>
      <c r="D504" s="3"/>
      <c r="E504" s="3">
        <v>108.0</v>
      </c>
      <c r="F504" s="2" t="s">
        <v>11</v>
      </c>
      <c r="G504" s="2" t="s">
        <v>34</v>
      </c>
      <c r="H504" s="2"/>
      <c r="I504" s="2"/>
      <c r="J504" s="2"/>
      <c r="K504" s="2"/>
    </row>
    <row r="505" ht="15.75" customHeight="1">
      <c r="A505" s="4" t="str">
        <f>HYPERLINK("https://stackoverflow.com/q/51381243", "51381243")</f>
        <v>51381243</v>
      </c>
      <c r="B505" s="1">
        <v>5.1381243E7</v>
      </c>
      <c r="C505" s="2" t="s">
        <v>1032</v>
      </c>
      <c r="D505" s="3"/>
      <c r="E505" s="3">
        <v>462.0</v>
      </c>
      <c r="F505" s="2" t="s">
        <v>11</v>
      </c>
      <c r="G505" s="2" t="s">
        <v>21</v>
      </c>
      <c r="H505" s="2"/>
      <c r="I505" s="2"/>
      <c r="J505" s="2"/>
      <c r="K505" s="2"/>
    </row>
    <row r="506" ht="15.75" customHeight="1">
      <c r="A506" s="4" t="str">
        <f>HYPERLINK("https://stackoverflow.com/q/51381376", "51381376")</f>
        <v>51381376</v>
      </c>
      <c r="B506" s="1">
        <v>5.1381376E7</v>
      </c>
      <c r="C506" s="2" t="s">
        <v>1735</v>
      </c>
      <c r="D506" s="3"/>
      <c r="E506" s="3">
        <v>184.0</v>
      </c>
      <c r="F506" s="2" t="s">
        <v>59</v>
      </c>
      <c r="G506" s="2" t="s">
        <v>28</v>
      </c>
      <c r="H506" s="2"/>
      <c r="I506" s="2"/>
      <c r="J506" s="2"/>
      <c r="K506" s="2"/>
    </row>
    <row r="507" ht="15.75" customHeight="1">
      <c r="A507" s="4" t="str">
        <f>HYPERLINK("https://stackoverflow.com/q/51383918", "51383918")</f>
        <v>51383918</v>
      </c>
      <c r="B507" s="1">
        <v>5.1383918E7</v>
      </c>
      <c r="C507" s="2" t="s">
        <v>515</v>
      </c>
      <c r="D507" s="3"/>
      <c r="E507" s="3">
        <v>1036.0</v>
      </c>
      <c r="F507" s="2" t="s">
        <v>11</v>
      </c>
      <c r="G507" s="2" t="s">
        <v>67</v>
      </c>
      <c r="H507" s="2"/>
      <c r="I507" s="2"/>
      <c r="J507" s="2"/>
      <c r="K507" s="2"/>
    </row>
    <row r="508" ht="15.75" customHeight="1">
      <c r="A508" s="4" t="str">
        <f>HYPERLINK("https://stackoverflow.com/q/51384016", "51384016")</f>
        <v>51384016</v>
      </c>
      <c r="B508" s="1">
        <v>5.1384016E7</v>
      </c>
      <c r="C508" s="2" t="s">
        <v>1468</v>
      </c>
      <c r="D508" s="3"/>
      <c r="E508" s="3">
        <v>262.0</v>
      </c>
      <c r="F508" s="9" t="s">
        <v>11</v>
      </c>
      <c r="G508" s="2" t="s">
        <v>18</v>
      </c>
      <c r="H508" s="2" t="s">
        <v>34</v>
      </c>
      <c r="I508" s="2"/>
      <c r="J508" s="2"/>
      <c r="K508" s="2"/>
    </row>
    <row r="509" ht="15.75" customHeight="1">
      <c r="A509" s="4" t="str">
        <f>HYPERLINK("https://stackoverflow.com/q/51389551", "51389551")</f>
        <v>51389551</v>
      </c>
      <c r="B509" s="1">
        <v>5.1389551E7</v>
      </c>
      <c r="C509" s="2" t="s">
        <v>1581</v>
      </c>
      <c r="D509" s="3"/>
      <c r="E509" s="3">
        <v>225.0</v>
      </c>
      <c r="F509" s="2" t="s">
        <v>11</v>
      </c>
      <c r="G509" s="2" t="s">
        <v>73</v>
      </c>
      <c r="H509" s="2"/>
      <c r="I509" s="2"/>
      <c r="J509" s="2"/>
      <c r="K509" s="2"/>
    </row>
    <row r="510" ht="15.75" customHeight="1">
      <c r="A510" s="4" t="str">
        <f>HYPERLINK("https://stackoverflow.com/q/51432021", "51432021")</f>
        <v>51432021</v>
      </c>
      <c r="B510" s="1">
        <v>5.1432021E7</v>
      </c>
      <c r="C510" s="2" t="s">
        <v>2479</v>
      </c>
      <c r="D510" s="3"/>
      <c r="E510" s="3">
        <v>68.0</v>
      </c>
      <c r="F510" s="2" t="s">
        <v>11</v>
      </c>
      <c r="G510" s="2" t="s">
        <v>25</v>
      </c>
      <c r="H510" s="2"/>
      <c r="I510" s="2"/>
      <c r="J510" s="2"/>
      <c r="K510" s="2"/>
    </row>
    <row r="511" ht="15.75" customHeight="1">
      <c r="A511" s="4" t="str">
        <f>HYPERLINK("https://stackoverflow.com/q/51443599", "51443599")</f>
        <v>51443599</v>
      </c>
      <c r="B511" s="1">
        <v>5.1443599E7</v>
      </c>
      <c r="C511" s="2" t="s">
        <v>42</v>
      </c>
      <c r="D511" s="3"/>
      <c r="E511" s="3">
        <v>8627.0</v>
      </c>
      <c r="F511" s="2" t="s">
        <v>11</v>
      </c>
      <c r="G511" s="2" t="s">
        <v>12</v>
      </c>
      <c r="H511" s="2"/>
      <c r="I511" s="2"/>
      <c r="J511" s="2"/>
      <c r="K511" s="2"/>
    </row>
    <row r="512" ht="15.75" customHeight="1">
      <c r="A512" s="4" t="str">
        <f>HYPERLINK("https://stackoverflow.com/q/51580416", "51580416")</f>
        <v>51580416</v>
      </c>
      <c r="B512" s="1">
        <v>5.1580416E7</v>
      </c>
      <c r="C512" s="2" t="s">
        <v>283</v>
      </c>
      <c r="D512" s="3"/>
      <c r="E512" s="3">
        <v>1800.0</v>
      </c>
      <c r="F512" s="2" t="s">
        <v>11</v>
      </c>
      <c r="G512" s="2" t="s">
        <v>25</v>
      </c>
      <c r="H512" s="2"/>
      <c r="I512" s="2"/>
      <c r="J512" s="2"/>
      <c r="K512" s="2"/>
    </row>
    <row r="513" ht="15.75" customHeight="1">
      <c r="A513" s="4" t="str">
        <f>HYPERLINK("https://stackoverflow.com/q/51737007", "51737007")</f>
        <v>51737007</v>
      </c>
      <c r="B513" s="1">
        <v>5.1737007E7</v>
      </c>
      <c r="C513" s="2" t="s">
        <v>269</v>
      </c>
      <c r="D513" s="3"/>
      <c r="E513" s="3">
        <v>1851.0</v>
      </c>
      <c r="F513" s="2" t="s">
        <v>11</v>
      </c>
      <c r="G513" s="2" t="s">
        <v>183</v>
      </c>
      <c r="H513" s="2"/>
      <c r="I513" s="2"/>
      <c r="J513" s="2"/>
      <c r="K513" s="2"/>
    </row>
    <row r="514" ht="15.75" customHeight="1">
      <c r="A514" s="4" t="str">
        <f>HYPERLINK("https://stackoverflow.com/q/51884008", "51884008")</f>
        <v>51884008</v>
      </c>
      <c r="B514" s="1">
        <v>5.1884008E7</v>
      </c>
      <c r="C514" s="2" t="s">
        <v>1477</v>
      </c>
      <c r="D514" s="3"/>
      <c r="E514" s="3">
        <v>257.0</v>
      </c>
      <c r="F514" s="2" t="s">
        <v>20</v>
      </c>
      <c r="G514" s="2" t="s">
        <v>34</v>
      </c>
      <c r="H514" s="2"/>
      <c r="I514" s="2"/>
      <c r="J514" s="2"/>
      <c r="K514" s="2"/>
    </row>
    <row r="515" ht="15.75" customHeight="1">
      <c r="A515" s="4" t="str">
        <f>HYPERLINK("https://stackoverflow.com/q/52704291", "52704291")</f>
        <v>52704291</v>
      </c>
      <c r="B515" s="1">
        <v>5.2704291E7</v>
      </c>
      <c r="C515" s="2" t="s">
        <v>37</v>
      </c>
      <c r="D515" s="3"/>
      <c r="E515" s="3">
        <v>11776.0</v>
      </c>
      <c r="F515" s="2" t="s">
        <v>11</v>
      </c>
      <c r="G515" s="2" t="s">
        <v>38</v>
      </c>
      <c r="H515" s="2"/>
      <c r="I515" s="2"/>
      <c r="J515" s="2"/>
      <c r="K515" s="2"/>
    </row>
    <row r="516" ht="15.75" customHeight="1">
      <c r="A516" s="4" t="str">
        <f>HYPERLINK("https://stackoverflow.com/q/52744026", "52744026")</f>
        <v>52744026</v>
      </c>
      <c r="B516" s="1">
        <v>5.2744026E7</v>
      </c>
      <c r="C516" s="2" t="s">
        <v>1156</v>
      </c>
      <c r="D516" s="3"/>
      <c r="E516" s="3">
        <v>394.0</v>
      </c>
      <c r="F516" s="2" t="s">
        <v>11</v>
      </c>
      <c r="G516" s="2" t="s">
        <v>56</v>
      </c>
      <c r="H516" s="2"/>
      <c r="I516" s="2"/>
      <c r="J516" s="2"/>
      <c r="K516" s="2"/>
    </row>
    <row r="517" ht="15.75" customHeight="1">
      <c r="A517" s="4" t="str">
        <f>HYPERLINK("https://stackoverflow.com/q/52762374", "52762374")</f>
        <v>52762374</v>
      </c>
      <c r="B517" s="1">
        <v>5.2762374E7</v>
      </c>
      <c r="C517" s="2" t="s">
        <v>182</v>
      </c>
      <c r="D517" s="3"/>
      <c r="E517" s="3">
        <v>2471.0</v>
      </c>
      <c r="F517" s="2" t="s">
        <v>86</v>
      </c>
      <c r="G517" s="2" t="s">
        <v>183</v>
      </c>
      <c r="H517" s="2"/>
      <c r="I517" s="2"/>
      <c r="J517" s="2"/>
      <c r="K517" s="2"/>
    </row>
    <row r="518" ht="15.75" customHeight="1">
      <c r="A518" s="4" t="str">
        <f>HYPERLINK("https://stackoverflow.com/q/52764400", "52764400")</f>
        <v>52764400</v>
      </c>
      <c r="B518" s="1">
        <v>5.27644E7</v>
      </c>
      <c r="C518" s="2" t="s">
        <v>89</v>
      </c>
      <c r="D518" s="3"/>
      <c r="E518" s="3">
        <v>4690.0</v>
      </c>
      <c r="F518" s="2" t="s">
        <v>11</v>
      </c>
      <c r="G518" s="2" t="s">
        <v>84</v>
      </c>
      <c r="H518" s="2"/>
      <c r="I518" s="2"/>
      <c r="J518" s="2"/>
      <c r="K518" s="2"/>
    </row>
    <row r="519" ht="15.75" customHeight="1">
      <c r="A519" s="4" t="str">
        <f>HYPERLINK("https://stackoverflow.com/q/52831801", "52831801")</f>
        <v>52831801</v>
      </c>
      <c r="B519" s="1">
        <v>5.2831801E7</v>
      </c>
      <c r="C519" s="2" t="s">
        <v>1959</v>
      </c>
      <c r="D519" s="3"/>
      <c r="E519" s="3">
        <v>134.0</v>
      </c>
      <c r="F519" s="9" t="s">
        <v>11</v>
      </c>
      <c r="G519" s="2" t="s">
        <v>18</v>
      </c>
      <c r="H519" s="2"/>
      <c r="I519" s="2"/>
      <c r="J519" s="2"/>
      <c r="K519" s="2"/>
    </row>
    <row r="520" ht="15.75" customHeight="1">
      <c r="A520" s="4" t="str">
        <f>HYPERLINK("https://stackoverflow.com/q/52836878", "52836878")</f>
        <v>52836878</v>
      </c>
      <c r="B520" s="1">
        <v>5.2836878E7</v>
      </c>
      <c r="C520" s="2" t="s">
        <v>3058</v>
      </c>
      <c r="D520" s="3"/>
      <c r="E520" s="3">
        <v>33.0</v>
      </c>
      <c r="F520" s="2" t="s">
        <v>11</v>
      </c>
      <c r="G520" s="2" t="s">
        <v>67</v>
      </c>
      <c r="H520" s="2"/>
      <c r="I520" s="2"/>
      <c r="J520" s="2"/>
      <c r="K520" s="2"/>
    </row>
    <row r="521" ht="15.75" customHeight="1">
      <c r="A521" s="4" t="str">
        <f>HYPERLINK("https://stackoverflow.com/q/52952265", "52952265")</f>
        <v>52952265</v>
      </c>
      <c r="B521" s="1">
        <v>5.2952265E7</v>
      </c>
      <c r="C521" s="2" t="s">
        <v>2569</v>
      </c>
      <c r="D521" s="3"/>
      <c r="E521" s="3">
        <v>62.0</v>
      </c>
      <c r="F521" s="2" t="s">
        <v>72</v>
      </c>
      <c r="G521" s="2" t="s">
        <v>2269</v>
      </c>
      <c r="H521" s="2"/>
      <c r="I521" s="2"/>
      <c r="J521" s="2"/>
      <c r="K521" s="2"/>
    </row>
    <row r="522" ht="15.75" customHeight="1">
      <c r="A522" s="4" t="str">
        <f>HYPERLINK("https://stackoverflow.com/q/53286917", "53286917")</f>
        <v>53286917</v>
      </c>
      <c r="B522" s="1">
        <v>5.3286917E7</v>
      </c>
      <c r="C522" s="2" t="s">
        <v>102</v>
      </c>
      <c r="D522" s="3"/>
      <c r="E522" s="3">
        <v>4174.0</v>
      </c>
      <c r="F522" s="2" t="s">
        <v>11</v>
      </c>
      <c r="G522" s="2" t="s">
        <v>25</v>
      </c>
      <c r="H522" s="2" t="s">
        <v>34</v>
      </c>
      <c r="I522" s="2"/>
      <c r="J522" s="2"/>
      <c r="K522" s="2"/>
    </row>
    <row r="523" ht="15.75" customHeight="1">
      <c r="A523" s="4" t="str">
        <f>HYPERLINK("https://stackoverflow.com/q/53826899", "53826899")</f>
        <v>53826899</v>
      </c>
      <c r="B523" s="1">
        <v>5.3826899E7</v>
      </c>
      <c r="C523" s="2" t="s">
        <v>2910</v>
      </c>
      <c r="D523" s="3"/>
      <c r="E523" s="3">
        <v>40.0</v>
      </c>
      <c r="F523" s="2" t="s">
        <v>59</v>
      </c>
      <c r="G523" s="2" t="s">
        <v>28</v>
      </c>
      <c r="H523" s="2"/>
      <c r="I523" s="2"/>
      <c r="J523" s="2"/>
      <c r="K523" s="2"/>
    </row>
    <row r="524" ht="15.75" customHeight="1">
      <c r="A524" s="4" t="str">
        <f>HYPERLINK("https://stackoverflow.com/q/53838659", "53838659")</f>
        <v>53838659</v>
      </c>
      <c r="B524" s="1">
        <v>5.3838659E7</v>
      </c>
      <c r="C524" s="2" t="s">
        <v>2440</v>
      </c>
      <c r="D524" s="3"/>
      <c r="E524" s="3">
        <v>71.0</v>
      </c>
      <c r="F524" s="2" t="s">
        <v>11</v>
      </c>
      <c r="G524" s="2" t="s">
        <v>14</v>
      </c>
      <c r="H524" s="2"/>
      <c r="I524" s="2"/>
      <c r="J524" s="2"/>
      <c r="K524" s="2"/>
    </row>
    <row r="525" ht="15.75" customHeight="1">
      <c r="A525" s="4" t="str">
        <f>HYPERLINK("https://stackoverflow.com/q/53843335", "53843335")</f>
        <v>53843335</v>
      </c>
      <c r="B525" s="1">
        <v>5.3843335E7</v>
      </c>
      <c r="C525" s="2" t="s">
        <v>2033</v>
      </c>
      <c r="D525" s="3"/>
      <c r="E525" s="3">
        <v>119.0</v>
      </c>
      <c r="F525" s="2" t="s">
        <v>11</v>
      </c>
      <c r="G525" s="2" t="s">
        <v>56</v>
      </c>
      <c r="H525" s="2"/>
      <c r="I525" s="2"/>
      <c r="J525" s="2"/>
      <c r="K525" s="2"/>
    </row>
    <row r="526" ht="15.75" customHeight="1">
      <c r="A526" s="4" t="str">
        <f>HYPERLINK("https://stackoverflow.com/q/53843585", "53843585")</f>
        <v>53843585</v>
      </c>
      <c r="B526" s="1">
        <v>5.3843585E7</v>
      </c>
      <c r="C526" s="2" t="s">
        <v>313</v>
      </c>
      <c r="D526" s="3"/>
      <c r="E526" s="3">
        <v>1639.0</v>
      </c>
      <c r="F526" s="2" t="s">
        <v>11</v>
      </c>
      <c r="G526" s="2" t="s">
        <v>12</v>
      </c>
      <c r="H526" s="2"/>
      <c r="I526" s="2"/>
      <c r="J526" s="2"/>
      <c r="K526" s="2"/>
    </row>
    <row r="527" ht="15.75" customHeight="1">
      <c r="A527" s="4" t="str">
        <f>HYPERLINK("https://stackoverflow.com/q/53843783", "53843783")</f>
        <v>53843783</v>
      </c>
      <c r="B527" s="1">
        <v>5.3843783E7</v>
      </c>
      <c r="C527" s="2" t="s">
        <v>2451</v>
      </c>
      <c r="D527" s="3"/>
      <c r="E527" s="3">
        <v>70.0</v>
      </c>
      <c r="F527" s="2" t="s">
        <v>11</v>
      </c>
      <c r="G527" s="2" t="s">
        <v>67</v>
      </c>
      <c r="H527" s="2" t="s">
        <v>25</v>
      </c>
      <c r="I527" s="2"/>
      <c r="J527" s="2"/>
      <c r="K527" s="2"/>
    </row>
    <row r="528" ht="15.75" customHeight="1">
      <c r="A528" s="4" t="str">
        <f>HYPERLINK("https://stackoverflow.com/q/53862192", "53862192")</f>
        <v>53862192</v>
      </c>
      <c r="B528" s="1">
        <v>5.3862192E7</v>
      </c>
      <c r="C528" s="2" t="s">
        <v>2480</v>
      </c>
      <c r="D528" s="3"/>
      <c r="E528" s="3">
        <v>68.0</v>
      </c>
      <c r="F528" s="2" t="s">
        <v>11</v>
      </c>
      <c r="G528" s="2" t="s">
        <v>30</v>
      </c>
      <c r="H528" s="2"/>
      <c r="I528" s="2"/>
      <c r="J528" s="2"/>
      <c r="K528" s="2"/>
    </row>
    <row r="529" ht="15.75" customHeight="1">
      <c r="A529" s="4" t="str">
        <f>HYPERLINK("https://stackoverflow.com/q/53874059", "53874059")</f>
        <v>53874059</v>
      </c>
      <c r="B529" s="1">
        <v>5.3874059E7</v>
      </c>
      <c r="C529" s="2" t="s">
        <v>2044</v>
      </c>
      <c r="D529" s="3"/>
      <c r="E529" s="3">
        <v>118.0</v>
      </c>
      <c r="F529" s="2" t="s">
        <v>11</v>
      </c>
      <c r="G529" s="2" t="s">
        <v>12</v>
      </c>
      <c r="H529" s="2"/>
      <c r="I529" s="2"/>
      <c r="J529" s="2"/>
      <c r="K529" s="2"/>
    </row>
    <row r="530" ht="15.75" customHeight="1">
      <c r="A530" s="4" t="str">
        <f>HYPERLINK("https://stackoverflow.com/q/53884162", "53884162")</f>
        <v>53884162</v>
      </c>
      <c r="B530" s="1">
        <v>5.3884162E7</v>
      </c>
      <c r="C530" s="2" t="s">
        <v>1451</v>
      </c>
      <c r="D530" s="3"/>
      <c r="E530" s="3">
        <v>270.0</v>
      </c>
      <c r="F530" s="2" t="s">
        <v>72</v>
      </c>
      <c r="G530" s="2" t="s">
        <v>506</v>
      </c>
      <c r="H530" s="2"/>
      <c r="I530" s="2"/>
      <c r="J530" s="2"/>
      <c r="K530" s="2"/>
    </row>
    <row r="531" ht="15.75" customHeight="1">
      <c r="A531" s="4" t="str">
        <f>HYPERLINK("https://stackoverflow.com/q/53884595", "53884595")</f>
        <v>53884595</v>
      </c>
      <c r="B531" s="1">
        <v>5.3884595E7</v>
      </c>
      <c r="C531" s="2" t="s">
        <v>1719</v>
      </c>
      <c r="D531" s="3"/>
      <c r="E531" s="3">
        <v>188.0</v>
      </c>
      <c r="F531" s="2" t="s">
        <v>537</v>
      </c>
      <c r="G531" s="2" t="s">
        <v>25</v>
      </c>
      <c r="H531" s="2"/>
      <c r="I531" s="2"/>
      <c r="J531" s="2"/>
      <c r="K531" s="2"/>
    </row>
    <row r="532" ht="15.75" customHeight="1">
      <c r="A532" s="4" t="str">
        <f>HYPERLINK("https://stackoverflow.com/q/53887719", "53887719")</f>
        <v>53887719</v>
      </c>
      <c r="B532" s="1">
        <v>5.3887719E7</v>
      </c>
      <c r="C532" s="2" t="s">
        <v>2150</v>
      </c>
      <c r="D532" s="3"/>
      <c r="E532" s="3">
        <v>102.0</v>
      </c>
      <c r="F532" s="2" t="s">
        <v>11</v>
      </c>
      <c r="G532" s="2" t="s">
        <v>263</v>
      </c>
      <c r="H532" s="2"/>
      <c r="I532" s="2"/>
      <c r="J532" s="2"/>
      <c r="K532" s="2"/>
    </row>
    <row r="533" ht="15.75" customHeight="1">
      <c r="A533" s="4" t="str">
        <f>HYPERLINK("https://stackoverflow.com/q/53891777", "53891777")</f>
        <v>53891777</v>
      </c>
      <c r="B533" s="1">
        <v>5.3891777E7</v>
      </c>
      <c r="C533" s="2" t="s">
        <v>2558</v>
      </c>
      <c r="D533" s="3"/>
      <c r="E533" s="3">
        <v>63.0</v>
      </c>
      <c r="F533" s="9" t="s">
        <v>11</v>
      </c>
      <c r="G533" s="2" t="s">
        <v>18</v>
      </c>
      <c r="H533" s="2"/>
      <c r="I533" s="2"/>
      <c r="J533" s="2"/>
      <c r="K533" s="2"/>
    </row>
    <row r="534" ht="15.75" customHeight="1">
      <c r="A534" s="4" t="str">
        <f>HYPERLINK("https://stackoverflow.com/q/53916396", "53916396")</f>
        <v>53916396</v>
      </c>
      <c r="B534" s="1">
        <v>5.3916396E7</v>
      </c>
      <c r="C534" s="2" t="s">
        <v>1165</v>
      </c>
      <c r="D534" s="3"/>
      <c r="E534" s="3">
        <v>390.0</v>
      </c>
      <c r="F534" s="2" t="s">
        <v>11</v>
      </c>
      <c r="G534" s="2" t="s">
        <v>12</v>
      </c>
      <c r="H534" s="2"/>
      <c r="I534" s="2"/>
      <c r="J534" s="2"/>
      <c r="K534" s="2"/>
    </row>
    <row r="535" ht="15.75" customHeight="1">
      <c r="A535" s="4" t="str">
        <f>HYPERLINK("https://stackoverflow.com/q/53930543", "53930543")</f>
        <v>53930543</v>
      </c>
      <c r="B535" s="1">
        <v>5.3930543E7</v>
      </c>
      <c r="C535" s="2" t="s">
        <v>2268</v>
      </c>
      <c r="D535" s="3"/>
      <c r="E535" s="3">
        <v>87.0</v>
      </c>
      <c r="F535" s="2" t="s">
        <v>537</v>
      </c>
      <c r="G535" s="2" t="s">
        <v>2269</v>
      </c>
      <c r="H535" s="2"/>
      <c r="I535" s="2"/>
      <c r="J535" s="2"/>
      <c r="K535" s="2"/>
    </row>
    <row r="536" ht="15.75" customHeight="1">
      <c r="A536" s="4" t="str">
        <f>HYPERLINK("https://stackoverflow.com/q/53933243", "53933243")</f>
        <v>53933243</v>
      </c>
      <c r="B536" s="1">
        <v>5.3933243E7</v>
      </c>
      <c r="C536" s="2" t="s">
        <v>1157</v>
      </c>
      <c r="D536" s="3"/>
      <c r="E536" s="3">
        <v>394.0</v>
      </c>
      <c r="F536" s="2" t="s">
        <v>72</v>
      </c>
      <c r="G536" s="2" t="s">
        <v>506</v>
      </c>
      <c r="H536" s="2"/>
      <c r="I536" s="2"/>
      <c r="J536" s="2"/>
      <c r="K536" s="2"/>
    </row>
    <row r="537" ht="15.75" customHeight="1">
      <c r="A537" s="4" t="str">
        <f>HYPERLINK("https://stackoverflow.com/q/53937189", "53937189")</f>
        <v>53937189</v>
      </c>
      <c r="B537" s="1">
        <v>5.3937189E7</v>
      </c>
      <c r="C537" s="2" t="s">
        <v>1756</v>
      </c>
      <c r="D537" s="3">
        <v>1.0</v>
      </c>
      <c r="E537" s="3">
        <v>176.0</v>
      </c>
      <c r="F537" s="2" t="s">
        <v>11</v>
      </c>
      <c r="G537" s="2" t="s">
        <v>30</v>
      </c>
      <c r="H537" s="2"/>
      <c r="I537" s="2"/>
      <c r="J537" s="2"/>
      <c r="K537" s="2"/>
    </row>
    <row r="538" ht="15.75" customHeight="1">
      <c r="A538" s="4" t="str">
        <f>HYPERLINK("https://stackoverflow.com/q/53942601", "53942601")</f>
        <v>53942601</v>
      </c>
      <c r="B538" s="1">
        <v>5.3942601E7</v>
      </c>
      <c r="C538" s="2" t="s">
        <v>1899</v>
      </c>
      <c r="D538" s="3"/>
      <c r="E538" s="3">
        <v>147.0</v>
      </c>
      <c r="F538" s="2" t="s">
        <v>11</v>
      </c>
      <c r="G538" s="2" t="s">
        <v>12</v>
      </c>
      <c r="H538" s="2"/>
      <c r="I538" s="2"/>
      <c r="J538" s="2"/>
      <c r="K538" s="2"/>
    </row>
    <row r="539" ht="15.75" customHeight="1">
      <c r="A539" s="4" t="str">
        <f>HYPERLINK("https://stackoverflow.com/q/53944354", "53944354")</f>
        <v>53944354</v>
      </c>
      <c r="B539" s="1">
        <v>5.3944354E7</v>
      </c>
      <c r="C539" s="2" t="s">
        <v>1860</v>
      </c>
      <c r="D539" s="3">
        <v>1.0</v>
      </c>
      <c r="E539" s="3">
        <v>155.0</v>
      </c>
      <c r="F539" s="2" t="s">
        <v>11</v>
      </c>
      <c r="G539" s="2" t="s">
        <v>73</v>
      </c>
      <c r="H539" s="2"/>
      <c r="I539" s="2"/>
      <c r="J539" s="2"/>
      <c r="K539" s="2"/>
    </row>
    <row r="540" ht="15.75" customHeight="1">
      <c r="A540" s="4" t="str">
        <f>HYPERLINK("https://stackoverflow.com/q/53961151", "53961151")</f>
        <v>53961151</v>
      </c>
      <c r="B540" s="1">
        <v>5.3961151E7</v>
      </c>
      <c r="C540" s="2" t="s">
        <v>2776</v>
      </c>
      <c r="D540" s="3"/>
      <c r="E540" s="3">
        <v>47.0</v>
      </c>
      <c r="F540" s="2" t="s">
        <v>11</v>
      </c>
      <c r="G540" s="2" t="s">
        <v>67</v>
      </c>
      <c r="H540" s="2" t="s">
        <v>56</v>
      </c>
      <c r="I540" s="2"/>
      <c r="J540" s="2"/>
      <c r="K540" s="2"/>
    </row>
    <row r="541" ht="15.75" customHeight="1">
      <c r="A541" s="4" t="str">
        <f>HYPERLINK("https://stackoverflow.com/q/53966488", "53966488")</f>
        <v>53966488</v>
      </c>
      <c r="B541" s="1">
        <v>5.3966488E7</v>
      </c>
      <c r="C541" s="2" t="s">
        <v>3208</v>
      </c>
      <c r="D541" s="3"/>
      <c r="E541" s="3">
        <v>27.0</v>
      </c>
      <c r="F541" s="9" t="s">
        <v>11</v>
      </c>
      <c r="G541" s="2" t="s">
        <v>18</v>
      </c>
      <c r="H541" s="2"/>
      <c r="I541" s="2"/>
      <c r="J541" s="2"/>
      <c r="K541" s="2"/>
    </row>
    <row r="542" ht="15.75" customHeight="1">
      <c r="A542" s="4" t="str">
        <f>HYPERLINK("https://stackoverflow.com/q/53970869", "53970869")</f>
        <v>53970869</v>
      </c>
      <c r="B542" s="1">
        <v>5.3970869E7</v>
      </c>
      <c r="C542" s="2" t="s">
        <v>585</v>
      </c>
      <c r="D542" s="3"/>
      <c r="E542" s="3">
        <v>892.0</v>
      </c>
      <c r="F542" s="2" t="s">
        <v>11</v>
      </c>
      <c r="G542" s="2" t="s">
        <v>18</v>
      </c>
      <c r="H542" s="2"/>
      <c r="I542" s="2"/>
      <c r="J542" s="2"/>
      <c r="K542" s="2"/>
    </row>
    <row r="543" ht="15.75" customHeight="1">
      <c r="A543" s="4" t="str">
        <f>HYPERLINK("https://stackoverflow.com/q/53990868", "53990868")</f>
        <v>53990868</v>
      </c>
      <c r="B543" s="1">
        <v>5.3990868E7</v>
      </c>
      <c r="C543" s="2" t="s">
        <v>2684</v>
      </c>
      <c r="D543" s="3"/>
      <c r="E543" s="3">
        <v>53.0</v>
      </c>
      <c r="F543" s="2" t="s">
        <v>11</v>
      </c>
      <c r="G543" s="2" t="s">
        <v>25</v>
      </c>
      <c r="H543" s="2"/>
      <c r="I543" s="2"/>
      <c r="J543" s="2"/>
      <c r="K543" s="2"/>
    </row>
    <row r="544" ht="15.75" customHeight="1">
      <c r="A544" s="4" t="str">
        <f>HYPERLINK("https://stackoverflow.com/q/54005457", "54005457")</f>
        <v>54005457</v>
      </c>
      <c r="B544" s="1">
        <v>5.4005457E7</v>
      </c>
      <c r="C544" s="2" t="s">
        <v>2389</v>
      </c>
      <c r="D544" s="3"/>
      <c r="E544" s="3">
        <v>76.0</v>
      </c>
      <c r="F544" s="9" t="s">
        <v>11</v>
      </c>
      <c r="G544" s="2" t="s">
        <v>18</v>
      </c>
      <c r="H544" s="2"/>
      <c r="I544" s="2"/>
      <c r="J544" s="2"/>
      <c r="K544" s="2"/>
    </row>
    <row r="545" ht="15.75" customHeight="1">
      <c r="A545" s="4" t="str">
        <f>HYPERLINK("https://stackoverflow.com/q/54011731", "54011731")</f>
        <v>54011731</v>
      </c>
      <c r="B545" s="1">
        <v>5.4011731E7</v>
      </c>
      <c r="C545" s="2" t="s">
        <v>2158</v>
      </c>
      <c r="D545" s="3"/>
      <c r="E545" s="3">
        <v>101.0</v>
      </c>
      <c r="F545" s="9" t="s">
        <v>11</v>
      </c>
      <c r="G545" s="2" t="s">
        <v>18</v>
      </c>
      <c r="H545" s="2"/>
      <c r="I545" s="2"/>
      <c r="J545" s="2"/>
      <c r="K545" s="2"/>
    </row>
    <row r="546" ht="15.75" customHeight="1">
      <c r="A546" s="4" t="str">
        <f>HYPERLINK("https://stackoverflow.com/q/54011765", "54011765")</f>
        <v>54011765</v>
      </c>
      <c r="B546" s="1">
        <v>5.4011765E7</v>
      </c>
      <c r="C546" s="2" t="s">
        <v>2527</v>
      </c>
      <c r="D546" s="3"/>
      <c r="E546" s="3">
        <v>65.0</v>
      </c>
      <c r="F546" s="2" t="s">
        <v>11</v>
      </c>
      <c r="G546" s="2" t="s">
        <v>25</v>
      </c>
      <c r="H546" s="2"/>
      <c r="I546" s="2"/>
      <c r="J546" s="2"/>
      <c r="K546" s="2"/>
    </row>
    <row r="547" ht="15.75" customHeight="1">
      <c r="A547" s="4" t="str">
        <f>HYPERLINK("https://stackoverflow.com/q/54042741", "54042741")</f>
        <v>54042741</v>
      </c>
      <c r="B547" s="1">
        <v>5.4042741E7</v>
      </c>
      <c r="C547" s="2" t="s">
        <v>2248</v>
      </c>
      <c r="D547" s="3"/>
      <c r="E547" s="3">
        <v>89.0</v>
      </c>
      <c r="F547" s="9" t="s">
        <v>11</v>
      </c>
      <c r="G547" s="2" t="s">
        <v>16</v>
      </c>
      <c r="H547" s="2"/>
      <c r="I547" s="2"/>
      <c r="J547" s="2"/>
      <c r="K547" s="2"/>
    </row>
    <row r="548" ht="15.75" customHeight="1">
      <c r="A548" s="4" t="str">
        <f>HYPERLINK("https://stackoverflow.com/q/54045187", "54045187")</f>
        <v>54045187</v>
      </c>
      <c r="B548" s="1">
        <v>5.4045187E7</v>
      </c>
      <c r="C548" s="2" t="s">
        <v>1720</v>
      </c>
      <c r="D548" s="3"/>
      <c r="E548" s="3">
        <v>187.0</v>
      </c>
      <c r="F548" s="9" t="s">
        <v>11</v>
      </c>
      <c r="G548" s="2" t="s">
        <v>16</v>
      </c>
      <c r="H548" s="2"/>
      <c r="I548" s="2"/>
      <c r="J548" s="2"/>
      <c r="K548" s="2"/>
    </row>
    <row r="549" ht="15.75" customHeight="1">
      <c r="A549" s="4" t="str">
        <f>HYPERLINK("https://stackoverflow.com/q/54049205", "54049205")</f>
        <v>54049205</v>
      </c>
      <c r="B549" s="1">
        <v>5.4049205E7</v>
      </c>
      <c r="C549" s="2" t="s">
        <v>1892</v>
      </c>
      <c r="D549" s="3"/>
      <c r="E549" s="3">
        <v>148.0</v>
      </c>
      <c r="F549" s="2" t="s">
        <v>11</v>
      </c>
      <c r="G549" s="2" t="s">
        <v>14</v>
      </c>
      <c r="H549" s="2"/>
      <c r="I549" s="2"/>
      <c r="J549" s="2"/>
      <c r="K549" s="2"/>
    </row>
    <row r="550" ht="15.75" customHeight="1">
      <c r="A550" s="4" t="str">
        <f>HYPERLINK("https://stackoverflow.com/q/54060551", "54060551")</f>
        <v>54060551</v>
      </c>
      <c r="B550" s="1">
        <v>5.4060551E7</v>
      </c>
      <c r="C550" s="2" t="s">
        <v>2090</v>
      </c>
      <c r="D550" s="3"/>
      <c r="E550" s="3">
        <v>111.0</v>
      </c>
      <c r="F550" s="2" t="s">
        <v>11</v>
      </c>
      <c r="G550" s="2" t="s">
        <v>67</v>
      </c>
      <c r="H550" s="2"/>
      <c r="I550" s="2"/>
      <c r="J550" s="2"/>
      <c r="K550" s="2"/>
    </row>
    <row r="551" ht="15.75" customHeight="1">
      <c r="A551" s="4" t="str">
        <f>HYPERLINK("https://stackoverflow.com/q/54060686", "54060686")</f>
        <v>54060686</v>
      </c>
      <c r="B551" s="1">
        <v>5.4060686E7</v>
      </c>
      <c r="C551" s="2" t="s">
        <v>1943</v>
      </c>
      <c r="D551" s="3"/>
      <c r="E551" s="3">
        <v>138.0</v>
      </c>
      <c r="F551" s="2" t="s">
        <v>11</v>
      </c>
      <c r="G551" s="2" t="s">
        <v>12</v>
      </c>
      <c r="H551" s="2"/>
      <c r="I551" s="2"/>
      <c r="J551" s="2"/>
      <c r="K551" s="2"/>
    </row>
    <row r="552" ht="15.75" customHeight="1">
      <c r="A552" s="4" t="str">
        <f>HYPERLINK("https://stackoverflow.com/q/54066925", "54066925")</f>
        <v>54066925</v>
      </c>
      <c r="B552" s="1">
        <v>5.4066925E7</v>
      </c>
      <c r="C552" s="2" t="s">
        <v>543</v>
      </c>
      <c r="D552" s="3"/>
      <c r="E552" s="3">
        <v>989.0</v>
      </c>
      <c r="F552" s="9" t="s">
        <v>11</v>
      </c>
      <c r="G552" s="2" t="s">
        <v>16</v>
      </c>
      <c r="H552" s="2"/>
      <c r="I552" s="2"/>
      <c r="J552" s="2"/>
      <c r="K552" s="2"/>
    </row>
    <row r="553" ht="15.75" customHeight="1">
      <c r="A553" s="4" t="str">
        <f>HYPERLINK("https://stackoverflow.com/q/54068351", "54068351")</f>
        <v>54068351</v>
      </c>
      <c r="B553" s="1">
        <v>5.4068351E7</v>
      </c>
      <c r="C553" s="2" t="s">
        <v>3091</v>
      </c>
      <c r="D553" s="3"/>
      <c r="E553" s="3">
        <v>32.0</v>
      </c>
      <c r="F553" s="2" t="s">
        <v>11</v>
      </c>
      <c r="G553" s="2" t="s">
        <v>25</v>
      </c>
      <c r="H553" s="2"/>
      <c r="I553" s="2"/>
      <c r="J553" s="2"/>
      <c r="K553" s="2"/>
    </row>
    <row r="554" ht="15.75" customHeight="1">
      <c r="A554" s="4" t="str">
        <f>HYPERLINK("https://stackoverflow.com/q/54069553", "54069553")</f>
        <v>54069553</v>
      </c>
      <c r="B554" s="1">
        <v>5.4069553E7</v>
      </c>
      <c r="C554" s="2" t="s">
        <v>2599</v>
      </c>
      <c r="D554" s="3"/>
      <c r="E554" s="3">
        <v>60.0</v>
      </c>
      <c r="F554" s="2" t="s">
        <v>11</v>
      </c>
      <c r="G554" s="2" t="s">
        <v>21</v>
      </c>
      <c r="H554" s="17"/>
      <c r="I554" s="2"/>
      <c r="J554" s="2"/>
      <c r="K554" s="2"/>
    </row>
    <row r="555" ht="15.75" customHeight="1">
      <c r="A555" s="4" t="str">
        <f>HYPERLINK("https://stackoverflow.com/q/54077904", "54077904")</f>
        <v>54077904</v>
      </c>
      <c r="B555" s="1">
        <v>5.4077904E7</v>
      </c>
      <c r="C555" s="2" t="s">
        <v>1576</v>
      </c>
      <c r="D555" s="3"/>
      <c r="E555" s="3">
        <v>226.0</v>
      </c>
      <c r="F555" s="2" t="s">
        <v>537</v>
      </c>
      <c r="G555" s="2" t="s">
        <v>194</v>
      </c>
      <c r="H555" s="2"/>
      <c r="I555" s="2"/>
      <c r="J555" s="2"/>
      <c r="K555" s="2"/>
    </row>
    <row r="556" ht="15.75" customHeight="1">
      <c r="A556" s="4" t="str">
        <f>HYPERLINK("https://stackoverflow.com/q/54079576", "54079576")</f>
        <v>54079576</v>
      </c>
      <c r="B556" s="1">
        <v>5.4079576E7</v>
      </c>
      <c r="C556" s="2" t="s">
        <v>596</v>
      </c>
      <c r="D556" s="3">
        <v>1.0</v>
      </c>
      <c r="E556" s="3">
        <v>879.0</v>
      </c>
      <c r="F556" s="2" t="s">
        <v>11</v>
      </c>
      <c r="G556" s="2" t="s">
        <v>67</v>
      </c>
      <c r="H556" s="2"/>
      <c r="I556" s="2"/>
      <c r="J556" s="2"/>
      <c r="K556" s="2"/>
    </row>
    <row r="557" ht="15.75" customHeight="1">
      <c r="A557" s="4" t="str">
        <f>HYPERLINK("https://stackoverflow.com/q/54105367", "54105367")</f>
        <v>54105367</v>
      </c>
      <c r="B557" s="1">
        <v>5.4105367E7</v>
      </c>
      <c r="C557" s="2" t="s">
        <v>635</v>
      </c>
      <c r="D557" s="3"/>
      <c r="E557" s="3">
        <v>821.0</v>
      </c>
      <c r="F557" s="2" t="s">
        <v>11</v>
      </c>
      <c r="G557" s="2" t="s">
        <v>67</v>
      </c>
      <c r="H557" s="2"/>
      <c r="I557" s="2"/>
      <c r="J557" s="2"/>
      <c r="K557" s="2"/>
    </row>
    <row r="558" ht="15.75" customHeight="1">
      <c r="A558" s="4" t="str">
        <f>HYPERLINK("https://stackoverflow.com/q/54113212", "54113212")</f>
        <v>54113212</v>
      </c>
      <c r="B558" s="1">
        <v>5.4113212E7</v>
      </c>
      <c r="C558" s="2" t="s">
        <v>656</v>
      </c>
      <c r="D558" s="3"/>
      <c r="E558" s="3">
        <v>794.0</v>
      </c>
      <c r="F558" s="2"/>
      <c r="G558" s="2" t="s">
        <v>23</v>
      </c>
      <c r="H558" s="2"/>
      <c r="I558" s="2"/>
      <c r="J558" s="2"/>
      <c r="K558" s="2"/>
    </row>
    <row r="559" ht="15.75" customHeight="1">
      <c r="A559" s="4" t="str">
        <f>HYPERLINK("https://stackoverflow.com/q/54114480", "54114480")</f>
        <v>54114480</v>
      </c>
      <c r="B559" s="1">
        <v>5.411448E7</v>
      </c>
      <c r="C559" s="2" t="s">
        <v>3293</v>
      </c>
      <c r="D559" s="3"/>
      <c r="E559" s="3">
        <v>24.0</v>
      </c>
      <c r="F559" s="2" t="s">
        <v>11</v>
      </c>
      <c r="G559" s="2" t="s">
        <v>67</v>
      </c>
      <c r="H559" s="2"/>
      <c r="I559" s="2"/>
      <c r="J559" s="2"/>
      <c r="K559" s="2"/>
    </row>
    <row r="560" ht="15.75" customHeight="1">
      <c r="A560" s="4" t="str">
        <f>HYPERLINK("https://stackoverflow.com/q/54118895", "54118895")</f>
        <v>54118895</v>
      </c>
      <c r="B560" s="1">
        <v>5.4118895E7</v>
      </c>
      <c r="C560" s="2" t="s">
        <v>3059</v>
      </c>
      <c r="D560" s="3"/>
      <c r="E560" s="3">
        <v>33.0</v>
      </c>
      <c r="F560" s="2" t="s">
        <v>11</v>
      </c>
      <c r="G560" s="2" t="s">
        <v>12</v>
      </c>
      <c r="H560" s="2"/>
      <c r="I560" s="2"/>
      <c r="J560" s="2"/>
      <c r="K560" s="2"/>
    </row>
    <row r="561" ht="15.75" customHeight="1">
      <c r="A561" s="4" t="str">
        <f>HYPERLINK("https://stackoverflow.com/q/54161244", "54161244")</f>
        <v>54161244</v>
      </c>
      <c r="B561" s="1">
        <v>5.4161244E7</v>
      </c>
      <c r="C561" s="2" t="s">
        <v>3318</v>
      </c>
      <c r="D561" s="3"/>
      <c r="E561" s="3">
        <v>23.0</v>
      </c>
      <c r="F561" s="2" t="s">
        <v>86</v>
      </c>
      <c r="G561" s="2" t="s">
        <v>272</v>
      </c>
      <c r="H561" s="2"/>
      <c r="I561" s="2"/>
      <c r="J561" s="2"/>
      <c r="K561" s="2"/>
    </row>
    <row r="562" ht="15.75" customHeight="1">
      <c r="A562" s="4" t="str">
        <f>HYPERLINK("https://stackoverflow.com/q/54178050", "54178050")</f>
        <v>54178050</v>
      </c>
      <c r="B562" s="1">
        <v>5.417805E7</v>
      </c>
      <c r="C562" s="2" t="s">
        <v>1497</v>
      </c>
      <c r="D562" s="3"/>
      <c r="E562" s="3">
        <v>251.0</v>
      </c>
      <c r="F562" s="9" t="s">
        <v>11</v>
      </c>
      <c r="G562" s="2" t="s">
        <v>18</v>
      </c>
      <c r="H562" s="2"/>
      <c r="I562" s="2"/>
      <c r="J562" s="2"/>
      <c r="K562" s="2"/>
    </row>
    <row r="563" ht="15.75" customHeight="1">
      <c r="A563" s="4" t="str">
        <f>HYPERLINK("https://stackoverflow.com/q/54186801", "54186801")</f>
        <v>54186801</v>
      </c>
      <c r="B563" s="1">
        <v>5.4186801E7</v>
      </c>
      <c r="C563" s="2" t="s">
        <v>2737</v>
      </c>
      <c r="D563" s="3"/>
      <c r="E563" s="3">
        <v>49.0</v>
      </c>
      <c r="F563" s="2" t="s">
        <v>11</v>
      </c>
      <c r="G563" s="2" t="s">
        <v>44</v>
      </c>
      <c r="H563" s="2"/>
      <c r="I563" s="2"/>
      <c r="J563" s="2"/>
      <c r="K563" s="2"/>
    </row>
    <row r="564" ht="15.75" customHeight="1">
      <c r="A564" s="4" t="str">
        <f>HYPERLINK("https://stackoverflow.com/q/54192453", "54192453")</f>
        <v>54192453</v>
      </c>
      <c r="B564" s="1">
        <v>5.4192453E7</v>
      </c>
      <c r="C564" s="2" t="s">
        <v>1815</v>
      </c>
      <c r="D564" s="3"/>
      <c r="E564" s="3">
        <v>164.0</v>
      </c>
      <c r="F564" s="2" t="s">
        <v>11</v>
      </c>
      <c r="G564" s="2" t="s">
        <v>30</v>
      </c>
      <c r="H564" s="2"/>
      <c r="I564" s="2"/>
      <c r="J564" s="2"/>
      <c r="K564" s="2"/>
    </row>
    <row r="565" ht="15.75" customHeight="1">
      <c r="A565" s="4" t="str">
        <f>HYPERLINK("https://stackoverflow.com/q/54200067", "54200067")</f>
        <v>54200067</v>
      </c>
      <c r="B565" s="1">
        <v>5.4200067E7</v>
      </c>
      <c r="C565" s="2" t="s">
        <v>3274</v>
      </c>
      <c r="D565" s="3"/>
      <c r="E565" s="3">
        <v>25.0</v>
      </c>
      <c r="F565" s="2" t="s">
        <v>72</v>
      </c>
      <c r="G565" s="2" t="s">
        <v>506</v>
      </c>
      <c r="H565" s="2"/>
      <c r="I565" s="2"/>
      <c r="J565" s="2"/>
      <c r="K565" s="2"/>
    </row>
    <row r="566" ht="15.75" customHeight="1">
      <c r="A566" s="4" t="str">
        <f>HYPERLINK("https://stackoverflow.com/q/54216119", "54216119")</f>
        <v>54216119</v>
      </c>
      <c r="B566" s="1">
        <v>5.4216119E7</v>
      </c>
      <c r="C566" s="2" t="s">
        <v>1130</v>
      </c>
      <c r="D566" s="3">
        <v>1.0</v>
      </c>
      <c r="E566" s="3">
        <v>410.0</v>
      </c>
      <c r="F566" s="2" t="s">
        <v>11</v>
      </c>
      <c r="G566" s="2" t="s">
        <v>18</v>
      </c>
      <c r="H566" s="2"/>
      <c r="I566" s="2"/>
      <c r="J566" s="2"/>
      <c r="K566" s="2"/>
    </row>
    <row r="567" ht="15.75" customHeight="1">
      <c r="A567" s="4" t="str">
        <f>HYPERLINK("https://stackoverflow.com/q/54223484", "54223484")</f>
        <v>54223484</v>
      </c>
      <c r="B567" s="1">
        <v>5.4223484E7</v>
      </c>
      <c r="C567" s="2" t="s">
        <v>1760</v>
      </c>
      <c r="D567" s="3"/>
      <c r="E567" s="3">
        <v>175.0</v>
      </c>
      <c r="F567" s="2" t="s">
        <v>20</v>
      </c>
      <c r="G567" s="2" t="s">
        <v>21</v>
      </c>
      <c r="H567" s="2"/>
      <c r="I567" s="2"/>
      <c r="J567" s="2"/>
      <c r="K567" s="2"/>
    </row>
    <row r="568" ht="15.75" customHeight="1">
      <c r="A568" s="4" t="str">
        <f>HYPERLINK("https://stackoverflow.com/q/54235734", "54235734")</f>
        <v>54235734</v>
      </c>
      <c r="B568" s="1">
        <v>5.4235734E7</v>
      </c>
      <c r="C568" s="2" t="s">
        <v>2757</v>
      </c>
      <c r="D568" s="3"/>
      <c r="E568" s="3">
        <v>48.0</v>
      </c>
      <c r="F568" s="9" t="s">
        <v>11</v>
      </c>
      <c r="G568" s="2" t="s">
        <v>18</v>
      </c>
      <c r="H568" s="2"/>
      <c r="I568" s="2"/>
      <c r="J568" s="2"/>
      <c r="K568" s="2"/>
    </row>
    <row r="569" ht="15.75" customHeight="1">
      <c r="A569" s="4" t="str">
        <f>HYPERLINK("https://stackoverflow.com/q/54241538", "54241538")</f>
        <v>54241538</v>
      </c>
      <c r="B569" s="1">
        <v>5.4241538E7</v>
      </c>
      <c r="C569" s="2" t="s">
        <v>1383</v>
      </c>
      <c r="D569" s="3"/>
      <c r="E569" s="3">
        <v>303.0</v>
      </c>
      <c r="F569" s="2" t="s">
        <v>11</v>
      </c>
      <c r="G569" s="2" t="s">
        <v>56</v>
      </c>
      <c r="H569" s="2"/>
      <c r="I569" s="2"/>
      <c r="J569" s="2"/>
      <c r="K569" s="2"/>
    </row>
    <row r="570" ht="15.75" customHeight="1">
      <c r="A570" s="4" t="str">
        <f>HYPERLINK("https://stackoverflow.com/q/54248770", "54248770")</f>
        <v>54248770</v>
      </c>
      <c r="B570" s="1">
        <v>5.424877E7</v>
      </c>
      <c r="C570" s="2" t="s">
        <v>2367</v>
      </c>
      <c r="D570" s="3"/>
      <c r="E570" s="3">
        <v>78.0</v>
      </c>
      <c r="F570" s="2" t="s">
        <v>11</v>
      </c>
      <c r="G570" s="2" t="s">
        <v>12</v>
      </c>
      <c r="H570" s="2"/>
      <c r="I570" s="2"/>
      <c r="J570" s="2"/>
      <c r="K570" s="2"/>
    </row>
    <row r="571" ht="15.75" customHeight="1">
      <c r="A571" s="4" t="str">
        <f>HYPERLINK("https://stackoverflow.com/q/54270158", "54270158")</f>
        <v>54270158</v>
      </c>
      <c r="B571" s="1">
        <v>5.4270158E7</v>
      </c>
      <c r="C571" s="2" t="s">
        <v>683</v>
      </c>
      <c r="D571" s="3"/>
      <c r="E571" s="3">
        <v>752.0</v>
      </c>
      <c r="F571" s="2" t="s">
        <v>11</v>
      </c>
      <c r="G571" s="2" t="s">
        <v>18</v>
      </c>
      <c r="H571" s="2"/>
      <c r="I571" s="2"/>
      <c r="J571" s="2"/>
      <c r="K571" s="2"/>
    </row>
    <row r="572" ht="15.75" customHeight="1">
      <c r="A572" s="4" t="str">
        <f>HYPERLINK("https://stackoverflow.com/q/54271510", "54271510")</f>
        <v>54271510</v>
      </c>
      <c r="B572" s="1">
        <v>5.427151E7</v>
      </c>
      <c r="C572" s="2" t="s">
        <v>1440</v>
      </c>
      <c r="D572" s="3">
        <v>1.0</v>
      </c>
      <c r="E572" s="3">
        <v>276.0</v>
      </c>
      <c r="F572" s="9" t="s">
        <v>11</v>
      </c>
      <c r="G572" s="2" t="s">
        <v>16</v>
      </c>
      <c r="H572" s="2"/>
      <c r="I572" s="2"/>
      <c r="J572" s="2"/>
      <c r="K572" s="2"/>
    </row>
    <row r="573" ht="15.75" customHeight="1">
      <c r="A573" s="4" t="str">
        <f>HYPERLINK("https://stackoverflow.com/q/54285728", "54285728")</f>
        <v>54285728</v>
      </c>
      <c r="B573" s="1">
        <v>5.4285728E7</v>
      </c>
      <c r="C573" s="2" t="s">
        <v>2912</v>
      </c>
      <c r="D573" s="3"/>
      <c r="E573" s="3">
        <v>40.0</v>
      </c>
      <c r="F573" s="2" t="s">
        <v>11</v>
      </c>
      <c r="G573" s="2" t="s">
        <v>67</v>
      </c>
      <c r="H573" s="2"/>
      <c r="I573" s="2"/>
      <c r="J573" s="2"/>
      <c r="K573" s="2"/>
    </row>
    <row r="574" ht="15.75" customHeight="1">
      <c r="A574" s="4" t="str">
        <f>HYPERLINK("https://stackoverflow.com/q/54288494", "54288494")</f>
        <v>54288494</v>
      </c>
      <c r="B574" s="1">
        <v>5.4288494E7</v>
      </c>
      <c r="C574" s="2" t="s">
        <v>2420</v>
      </c>
      <c r="D574" s="3">
        <v>1.0</v>
      </c>
      <c r="E574" s="3">
        <v>73.0</v>
      </c>
      <c r="F574" s="2" t="s">
        <v>11</v>
      </c>
      <c r="G574" s="2" t="s">
        <v>12</v>
      </c>
      <c r="H574" s="2"/>
      <c r="I574" s="2"/>
      <c r="J574" s="2"/>
      <c r="K574" s="2"/>
    </row>
    <row r="575" ht="15.75" customHeight="1">
      <c r="A575" s="4" t="str">
        <f>HYPERLINK("https://stackoverflow.com/q/54291354", "54291354")</f>
        <v>54291354</v>
      </c>
      <c r="B575" s="1">
        <v>5.4291354E7</v>
      </c>
      <c r="C575" s="2" t="s">
        <v>789</v>
      </c>
      <c r="D575" s="3"/>
      <c r="E575" s="3">
        <v>636.0</v>
      </c>
      <c r="F575" s="2" t="s">
        <v>11</v>
      </c>
      <c r="G575" s="2" t="s">
        <v>56</v>
      </c>
      <c r="H575" s="2" t="s">
        <v>18</v>
      </c>
      <c r="I575" s="2"/>
      <c r="J575" s="2"/>
      <c r="K575" s="2"/>
    </row>
    <row r="576" ht="15.75" customHeight="1">
      <c r="A576" s="4" t="str">
        <f>HYPERLINK("https://stackoverflow.com/q/54291428", "54291428")</f>
        <v>54291428</v>
      </c>
      <c r="B576" s="1">
        <v>5.4291428E7</v>
      </c>
      <c r="C576" s="2" t="s">
        <v>1717</v>
      </c>
      <c r="D576" s="3"/>
      <c r="E576" s="3">
        <v>189.0</v>
      </c>
      <c r="F576" s="2" t="s">
        <v>11</v>
      </c>
      <c r="G576" s="2" t="s">
        <v>25</v>
      </c>
      <c r="H576" s="2"/>
      <c r="I576" s="2"/>
      <c r="J576" s="2"/>
      <c r="K576" s="2"/>
    </row>
    <row r="577" ht="15.75" customHeight="1">
      <c r="A577" s="4" t="str">
        <f>HYPERLINK("https://stackoverflow.com/q/54316826", "54316826")</f>
        <v>54316826</v>
      </c>
      <c r="B577" s="1">
        <v>5.4316826E7</v>
      </c>
      <c r="C577" s="2" t="s">
        <v>1661</v>
      </c>
      <c r="D577" s="3"/>
      <c r="E577" s="3">
        <v>207.0</v>
      </c>
      <c r="F577" s="2" t="s">
        <v>11</v>
      </c>
      <c r="G577" s="2" t="s">
        <v>28</v>
      </c>
      <c r="H577" s="2"/>
      <c r="I577" s="2"/>
      <c r="J577" s="2"/>
      <c r="K577" s="2"/>
    </row>
    <row r="578" ht="15.75" customHeight="1">
      <c r="A578" s="4" t="str">
        <f>HYPERLINK("https://stackoverflow.com/q/54321038", "54321038")</f>
        <v>54321038</v>
      </c>
      <c r="B578" s="1">
        <v>5.4321038E7</v>
      </c>
      <c r="C578" s="2" t="s">
        <v>2685</v>
      </c>
      <c r="D578" s="3"/>
      <c r="E578" s="3">
        <v>53.0</v>
      </c>
      <c r="F578" s="2" t="s">
        <v>11</v>
      </c>
      <c r="G578" s="2" t="s">
        <v>56</v>
      </c>
      <c r="H578" s="2"/>
      <c r="I578" s="2"/>
      <c r="J578" s="2"/>
      <c r="K578" s="2"/>
    </row>
    <row r="579" ht="15.75" customHeight="1">
      <c r="A579" s="4" t="str">
        <f>HYPERLINK("https://stackoverflow.com/q/54323760", "54323760")</f>
        <v>54323760</v>
      </c>
      <c r="B579" s="1">
        <v>5.432376E7</v>
      </c>
      <c r="C579" s="2" t="s">
        <v>1400</v>
      </c>
      <c r="D579" s="3"/>
      <c r="E579" s="3">
        <v>296.0</v>
      </c>
      <c r="F579" s="2" t="s">
        <v>11</v>
      </c>
      <c r="G579" s="2" t="s">
        <v>35</v>
      </c>
      <c r="H579" s="2"/>
      <c r="I579" s="2"/>
      <c r="J579" s="2"/>
      <c r="K579" s="2"/>
    </row>
    <row r="580" ht="15.75" customHeight="1">
      <c r="A580" s="4" t="str">
        <f>HYPERLINK("https://stackoverflow.com/q/54346725", "54346725")</f>
        <v>54346725</v>
      </c>
      <c r="B580" s="1">
        <v>5.4346725E7</v>
      </c>
      <c r="C580" s="2" t="s">
        <v>351</v>
      </c>
      <c r="D580" s="3">
        <v>1.0</v>
      </c>
      <c r="E580" s="3">
        <v>1468.0</v>
      </c>
      <c r="F580" s="2" t="s">
        <v>11</v>
      </c>
      <c r="G580" s="2" t="s">
        <v>25</v>
      </c>
      <c r="H580" s="2"/>
      <c r="I580" s="2"/>
      <c r="J580" s="2"/>
      <c r="K580" s="2"/>
    </row>
    <row r="581" ht="15.75" customHeight="1">
      <c r="A581" s="4" t="str">
        <f>HYPERLINK("https://stackoverflow.com/q/54350879", "54350879")</f>
        <v>54350879</v>
      </c>
      <c r="B581" s="1">
        <v>5.4350879E7</v>
      </c>
      <c r="C581" s="2" t="s">
        <v>2539</v>
      </c>
      <c r="D581" s="3"/>
      <c r="E581" s="3">
        <v>64.0</v>
      </c>
      <c r="F581" s="2" t="s">
        <v>59</v>
      </c>
      <c r="G581" s="2" t="s">
        <v>28</v>
      </c>
      <c r="H581" s="2"/>
      <c r="I581" s="2"/>
      <c r="J581" s="2"/>
      <c r="K581" s="2"/>
    </row>
    <row r="582" ht="15.75" customHeight="1">
      <c r="A582" s="4" t="str">
        <f>HYPERLINK("https://stackoverflow.com/q/54352320", "54352320")</f>
        <v>54352320</v>
      </c>
      <c r="B582" s="1">
        <v>5.435232E7</v>
      </c>
      <c r="C582" s="2" t="s">
        <v>1888</v>
      </c>
      <c r="D582" s="3"/>
      <c r="E582" s="3">
        <v>149.0</v>
      </c>
      <c r="F582" s="2" t="s">
        <v>11</v>
      </c>
      <c r="G582" s="2" t="s">
        <v>44</v>
      </c>
      <c r="H582" s="2"/>
      <c r="I582" s="2"/>
      <c r="J582" s="2"/>
      <c r="K582" s="2"/>
    </row>
    <row r="583" ht="15.75" customHeight="1">
      <c r="A583" s="4" t="str">
        <f>HYPERLINK("https://stackoverflow.com/q/54363950", "54363950")</f>
        <v>54363950</v>
      </c>
      <c r="B583" s="1">
        <v>5.436395E7</v>
      </c>
      <c r="C583" s="2" t="s">
        <v>1741</v>
      </c>
      <c r="D583" s="3"/>
      <c r="E583" s="3">
        <v>181.0</v>
      </c>
      <c r="F583" s="9" t="s">
        <v>11</v>
      </c>
      <c r="G583" s="2" t="s">
        <v>18</v>
      </c>
      <c r="H583" s="2"/>
      <c r="I583" s="2"/>
      <c r="J583" s="2"/>
      <c r="K583" s="2"/>
    </row>
    <row r="584" ht="15.75" customHeight="1">
      <c r="A584" s="4" t="str">
        <f>HYPERLINK("https://stackoverflow.com/q/54365658", "54365658")</f>
        <v>54365658</v>
      </c>
      <c r="B584" s="1">
        <v>5.4365658E7</v>
      </c>
      <c r="C584" s="2" t="s">
        <v>2390</v>
      </c>
      <c r="D584" s="3"/>
      <c r="E584" s="3">
        <v>76.0</v>
      </c>
      <c r="F584" s="2" t="s">
        <v>11</v>
      </c>
      <c r="G584" s="2" t="s">
        <v>28</v>
      </c>
      <c r="H584" s="2"/>
      <c r="I584" s="2"/>
      <c r="J584" s="2"/>
      <c r="K584" s="2"/>
    </row>
    <row r="585" ht="15.75" customHeight="1">
      <c r="A585" s="4" t="str">
        <f>HYPERLINK("https://stackoverflow.com/q/54372408", "54372408")</f>
        <v>54372408</v>
      </c>
      <c r="B585" s="1">
        <v>5.4372408E7</v>
      </c>
      <c r="C585" s="2" t="s">
        <v>684</v>
      </c>
      <c r="D585" s="3"/>
      <c r="E585" s="3">
        <v>752.0</v>
      </c>
      <c r="F585" s="2" t="s">
        <v>11</v>
      </c>
      <c r="G585" s="2" t="s">
        <v>67</v>
      </c>
      <c r="H585" s="2"/>
      <c r="I585" s="2"/>
      <c r="J585" s="2"/>
      <c r="K585" s="2"/>
    </row>
    <row r="586" ht="15.75" customHeight="1">
      <c r="A586" s="4" t="str">
        <f>HYPERLINK("https://stackoverflow.com/q/54373790", "54373790")</f>
        <v>54373790</v>
      </c>
      <c r="B586" s="1">
        <v>5.437379E7</v>
      </c>
      <c r="C586" s="2" t="s">
        <v>2075</v>
      </c>
      <c r="D586" s="3"/>
      <c r="E586" s="3">
        <v>113.0</v>
      </c>
      <c r="F586" s="9" t="s">
        <v>11</v>
      </c>
      <c r="G586" s="2" t="s">
        <v>18</v>
      </c>
      <c r="H586" s="2" t="s">
        <v>56</v>
      </c>
      <c r="I586" s="2"/>
      <c r="J586" s="2"/>
      <c r="K586" s="2"/>
    </row>
    <row r="587" ht="15.75" customHeight="1">
      <c r="A587" s="4" t="str">
        <f>HYPERLINK("https://stackoverflow.com/q/54392707", "54392707")</f>
        <v>54392707</v>
      </c>
      <c r="B587" s="1">
        <v>5.4392707E7</v>
      </c>
      <c r="C587" s="2" t="s">
        <v>2656</v>
      </c>
      <c r="D587" s="3"/>
      <c r="E587" s="3">
        <v>56.0</v>
      </c>
      <c r="F587" s="2" t="s">
        <v>11</v>
      </c>
      <c r="G587" s="2" t="s">
        <v>28</v>
      </c>
      <c r="H587" s="2"/>
      <c r="I587" s="2"/>
      <c r="J587" s="2"/>
      <c r="K587" s="2"/>
    </row>
    <row r="588" ht="15.75" customHeight="1">
      <c r="A588" s="4" t="str">
        <f>HYPERLINK("https://stackoverflow.com/q/54396214", "54396214")</f>
        <v>54396214</v>
      </c>
      <c r="B588" s="1">
        <v>5.4396214E7</v>
      </c>
      <c r="C588" s="2" t="s">
        <v>970</v>
      </c>
      <c r="D588" s="3"/>
      <c r="E588" s="3">
        <v>494.0</v>
      </c>
      <c r="F588" s="9" t="s">
        <v>11</v>
      </c>
      <c r="G588" s="2" t="s">
        <v>16</v>
      </c>
      <c r="H588" s="2"/>
      <c r="I588" s="2"/>
      <c r="J588" s="2"/>
      <c r="K588" s="2"/>
    </row>
    <row r="589" ht="15.75" customHeight="1">
      <c r="A589" s="4" t="str">
        <f>HYPERLINK("https://stackoverflow.com/q/54398761", "54398761")</f>
        <v>54398761</v>
      </c>
      <c r="B589" s="1">
        <v>5.4398761E7</v>
      </c>
      <c r="C589" s="2" t="s">
        <v>2176</v>
      </c>
      <c r="D589" s="3"/>
      <c r="E589" s="3">
        <v>99.0</v>
      </c>
      <c r="F589" s="2" t="s">
        <v>11</v>
      </c>
      <c r="G589" s="2" t="s">
        <v>12</v>
      </c>
      <c r="H589" s="2"/>
      <c r="I589" s="2"/>
      <c r="J589" s="2"/>
      <c r="K589" s="2"/>
    </row>
    <row r="590" ht="15.75" customHeight="1">
      <c r="A590" s="4" t="str">
        <f>HYPERLINK("https://stackoverflow.com/q/54403490", "54403490")</f>
        <v>54403490</v>
      </c>
      <c r="B590" s="1">
        <v>5.440349E7</v>
      </c>
      <c r="C590" s="2" t="s">
        <v>690</v>
      </c>
      <c r="D590" s="3"/>
      <c r="E590" s="3">
        <v>744.0</v>
      </c>
      <c r="F590" s="2" t="s">
        <v>11</v>
      </c>
      <c r="G590" s="2" t="s">
        <v>25</v>
      </c>
      <c r="H590" s="2"/>
      <c r="I590" s="2"/>
      <c r="J590" s="2"/>
      <c r="K590" s="2"/>
    </row>
    <row r="591" ht="15.75" customHeight="1">
      <c r="A591" s="4" t="str">
        <f>HYPERLINK("https://stackoverflow.com/q/54406837", "54406837")</f>
        <v>54406837</v>
      </c>
      <c r="B591" s="1">
        <v>5.4406837E7</v>
      </c>
      <c r="C591" s="2" t="s">
        <v>1934</v>
      </c>
      <c r="D591" s="3"/>
      <c r="E591" s="3">
        <v>141.0</v>
      </c>
      <c r="F591" s="2" t="s">
        <v>11</v>
      </c>
      <c r="G591" s="2" t="s">
        <v>35</v>
      </c>
      <c r="H591" s="2"/>
      <c r="I591" s="2"/>
      <c r="J591" s="2"/>
      <c r="K591" s="2"/>
    </row>
    <row r="592" ht="15.75" customHeight="1">
      <c r="A592" s="4" t="str">
        <f>HYPERLINK("https://stackoverflow.com/q/54446152", "54446152")</f>
        <v>54446152</v>
      </c>
      <c r="B592" s="1">
        <v>5.4446152E7</v>
      </c>
      <c r="C592" s="2" t="s">
        <v>1616</v>
      </c>
      <c r="D592" s="3"/>
      <c r="E592" s="3">
        <v>218.0</v>
      </c>
      <c r="F592" s="2" t="s">
        <v>11</v>
      </c>
      <c r="G592" s="2" t="s">
        <v>25</v>
      </c>
      <c r="H592" s="2"/>
      <c r="I592" s="2"/>
      <c r="J592" s="2"/>
      <c r="K592" s="2"/>
    </row>
    <row r="593" ht="15.75" customHeight="1">
      <c r="A593" s="4" t="str">
        <f>HYPERLINK("https://stackoverflow.com/q/54446465", "54446465")</f>
        <v>54446465</v>
      </c>
      <c r="B593" s="1">
        <v>5.4446465E7</v>
      </c>
      <c r="C593" s="2" t="s">
        <v>2024</v>
      </c>
      <c r="D593" s="3"/>
      <c r="E593" s="3">
        <v>120.0</v>
      </c>
      <c r="F593" s="2" t="s">
        <v>11</v>
      </c>
      <c r="G593" s="2" t="s">
        <v>84</v>
      </c>
      <c r="H593" s="2"/>
      <c r="I593" s="2"/>
      <c r="J593" s="2"/>
      <c r="K593" s="2"/>
    </row>
    <row r="594" ht="15.75" customHeight="1">
      <c r="A594" s="4" t="str">
        <f>HYPERLINK("https://stackoverflow.com/q/54462153", "54462153")</f>
        <v>54462153</v>
      </c>
      <c r="B594" s="1">
        <v>5.4462153E7</v>
      </c>
      <c r="C594" s="2" t="s">
        <v>2857</v>
      </c>
      <c r="D594" s="3"/>
      <c r="E594" s="3">
        <v>43.0</v>
      </c>
      <c r="F594" s="2" t="s">
        <v>11</v>
      </c>
      <c r="G594" s="2" t="s">
        <v>67</v>
      </c>
      <c r="H594" s="2"/>
      <c r="I594" s="2"/>
      <c r="J594" s="2"/>
      <c r="K594" s="2"/>
    </row>
    <row r="595" ht="15.75" customHeight="1">
      <c r="A595" s="4" t="str">
        <f>HYPERLINK("https://stackoverflow.com/q/54468229", "54468229")</f>
        <v>54468229</v>
      </c>
      <c r="B595" s="1">
        <v>5.4468229E7</v>
      </c>
      <c r="C595" s="2" t="s">
        <v>1310</v>
      </c>
      <c r="D595" s="3"/>
      <c r="E595" s="3">
        <v>333.0</v>
      </c>
      <c r="F595" s="2" t="s">
        <v>11</v>
      </c>
      <c r="G595" s="2" t="s">
        <v>14</v>
      </c>
      <c r="H595" s="2"/>
      <c r="I595" s="2"/>
      <c r="J595" s="2"/>
      <c r="K595" s="2"/>
    </row>
    <row r="596" ht="15.75" customHeight="1">
      <c r="A596" s="4" t="str">
        <f>HYPERLINK("https://stackoverflow.com/q/54472908", "54472908")</f>
        <v>54472908</v>
      </c>
      <c r="B596" s="1">
        <v>5.4472908E7</v>
      </c>
      <c r="C596" s="2" t="s">
        <v>2007</v>
      </c>
      <c r="D596" s="3"/>
      <c r="E596" s="3">
        <v>123.0</v>
      </c>
      <c r="F596" s="2" t="s">
        <v>11</v>
      </c>
      <c r="G596" s="2" t="s">
        <v>25</v>
      </c>
      <c r="H596" s="2"/>
      <c r="I596" s="2"/>
      <c r="J596" s="2"/>
      <c r="K596" s="2"/>
    </row>
    <row r="597" ht="15.75" customHeight="1">
      <c r="A597" s="4" t="str">
        <f>HYPERLINK("https://stackoverflow.com/q/54473192", "54473192")</f>
        <v>54473192</v>
      </c>
      <c r="B597" s="1">
        <v>5.4473192E7</v>
      </c>
      <c r="C597" s="2" t="s">
        <v>2091</v>
      </c>
      <c r="D597" s="3"/>
      <c r="E597" s="3">
        <v>111.0</v>
      </c>
      <c r="F597" s="2" t="s">
        <v>11</v>
      </c>
      <c r="G597" s="2" t="s">
        <v>12</v>
      </c>
      <c r="H597" s="2"/>
      <c r="I597" s="2"/>
      <c r="J597" s="2"/>
      <c r="K597" s="2"/>
    </row>
    <row r="598" ht="15.75" customHeight="1">
      <c r="A598" s="4" t="str">
        <f>HYPERLINK("https://stackoverflow.com/q/54474013", "54474013")</f>
        <v>54474013</v>
      </c>
      <c r="B598" s="1">
        <v>5.4474013E7</v>
      </c>
      <c r="C598" s="2" t="s">
        <v>1405</v>
      </c>
      <c r="D598" s="3"/>
      <c r="E598" s="3">
        <v>294.0</v>
      </c>
      <c r="F598" s="2" t="s">
        <v>59</v>
      </c>
      <c r="G598" s="2" t="s">
        <v>21</v>
      </c>
      <c r="H598" s="2"/>
      <c r="I598" s="2"/>
      <c r="J598" s="2"/>
      <c r="K598" s="2"/>
    </row>
    <row r="599" ht="15.75" customHeight="1">
      <c r="A599" s="4" t="str">
        <f>HYPERLINK("https://stackoverflow.com/q/54475094", "54475094")</f>
        <v>54475094</v>
      </c>
      <c r="B599" s="1">
        <v>5.4475094E7</v>
      </c>
      <c r="C599" s="2" t="s">
        <v>1816</v>
      </c>
      <c r="D599" s="3"/>
      <c r="E599" s="3">
        <v>164.0</v>
      </c>
      <c r="F599" s="2" t="s">
        <v>11</v>
      </c>
      <c r="G599" s="2" t="s">
        <v>34</v>
      </c>
      <c r="H599" s="2"/>
      <c r="I599" s="2"/>
      <c r="J599" s="2"/>
      <c r="K599" s="2"/>
    </row>
    <row r="600" ht="15.75" customHeight="1">
      <c r="A600" s="4" t="str">
        <f>HYPERLINK("https://stackoverflow.com/q/54477736", "54477736")</f>
        <v>54477736</v>
      </c>
      <c r="B600" s="1">
        <v>5.4477736E7</v>
      </c>
      <c r="C600" s="2" t="s">
        <v>746</v>
      </c>
      <c r="D600" s="3">
        <v>1.0</v>
      </c>
      <c r="E600" s="3">
        <v>685.0</v>
      </c>
      <c r="F600" s="2" t="s">
        <v>11</v>
      </c>
      <c r="G600" s="2" t="s">
        <v>30</v>
      </c>
      <c r="H600" s="2"/>
      <c r="I600" s="2"/>
      <c r="J600" s="2"/>
      <c r="K600" s="2"/>
    </row>
    <row r="601" ht="15.75" customHeight="1">
      <c r="A601" s="4" t="str">
        <f>HYPERLINK("https://stackoverflow.com/q/54478438", "54478438")</f>
        <v>54478438</v>
      </c>
      <c r="B601" s="1">
        <v>5.4478438E7</v>
      </c>
      <c r="C601" s="2" t="s">
        <v>1738</v>
      </c>
      <c r="D601" s="3"/>
      <c r="E601" s="3">
        <v>182.0</v>
      </c>
      <c r="F601" s="2" t="s">
        <v>11</v>
      </c>
      <c r="G601" s="2" t="s">
        <v>56</v>
      </c>
      <c r="H601" s="2"/>
      <c r="I601" s="2"/>
      <c r="J601" s="2"/>
      <c r="K601" s="2"/>
    </row>
    <row r="602" ht="15.75" customHeight="1">
      <c r="A602" s="4" t="str">
        <f>HYPERLINK("https://stackoverflow.com/q/54484732", "54484732")</f>
        <v>54484732</v>
      </c>
      <c r="B602" s="1">
        <v>5.4484732E7</v>
      </c>
      <c r="C602" s="2" t="s">
        <v>701</v>
      </c>
      <c r="D602" s="3"/>
      <c r="E602" s="3">
        <v>732.0</v>
      </c>
      <c r="F602" s="2" t="s">
        <v>11</v>
      </c>
      <c r="G602" s="2" t="s">
        <v>12</v>
      </c>
      <c r="H602" s="2"/>
      <c r="I602" s="2"/>
      <c r="J602" s="2"/>
      <c r="K602" s="2"/>
    </row>
    <row r="603" ht="15.75" customHeight="1">
      <c r="A603" s="4" t="str">
        <f>HYPERLINK("https://stackoverflow.com/q/54515593", "54515593")</f>
        <v>54515593</v>
      </c>
      <c r="B603" s="1">
        <v>5.4515593E7</v>
      </c>
      <c r="C603" s="2" t="s">
        <v>1390</v>
      </c>
      <c r="D603" s="3"/>
      <c r="E603" s="3">
        <v>300.0</v>
      </c>
      <c r="F603" s="2" t="s">
        <v>11</v>
      </c>
      <c r="G603" s="2" t="s">
        <v>12</v>
      </c>
      <c r="H603" s="2"/>
      <c r="I603" s="2"/>
      <c r="J603" s="2"/>
      <c r="K603" s="2"/>
    </row>
    <row r="604" ht="15.75" customHeight="1">
      <c r="A604" s="4" t="str">
        <f>HYPERLINK("https://stackoverflow.com/q/54520497", "54520497")</f>
        <v>54520497</v>
      </c>
      <c r="B604" s="1">
        <v>5.4520497E7</v>
      </c>
      <c r="C604" s="2" t="s">
        <v>736</v>
      </c>
      <c r="D604" s="3"/>
      <c r="E604" s="3">
        <v>699.0</v>
      </c>
      <c r="F604" s="9" t="s">
        <v>11</v>
      </c>
      <c r="G604" s="2" t="s">
        <v>18</v>
      </c>
      <c r="H604" s="2"/>
      <c r="I604" s="2"/>
      <c r="J604" s="2"/>
      <c r="K604" s="2"/>
    </row>
    <row r="605" ht="15.75" customHeight="1">
      <c r="A605" s="4" t="str">
        <f>HYPERLINK("https://stackoverflow.com/q/54521407", "54521407")</f>
        <v>54521407</v>
      </c>
      <c r="B605" s="1">
        <v>5.4521407E7</v>
      </c>
      <c r="C605" s="2" t="s">
        <v>2738</v>
      </c>
      <c r="D605" s="3"/>
      <c r="E605" s="3">
        <v>49.0</v>
      </c>
      <c r="F605" s="2" t="s">
        <v>11</v>
      </c>
      <c r="G605" s="2" t="s">
        <v>14</v>
      </c>
      <c r="H605" s="2"/>
      <c r="I605" s="2"/>
      <c r="J605" s="2"/>
      <c r="K605" s="2"/>
    </row>
    <row r="606" ht="15.75" customHeight="1">
      <c r="A606" s="4" t="str">
        <f>HYPERLINK("https://stackoverflow.com/q/54522800", "54522800")</f>
        <v>54522800</v>
      </c>
      <c r="B606" s="1">
        <v>5.45228E7</v>
      </c>
      <c r="C606" s="2" t="s">
        <v>965</v>
      </c>
      <c r="D606" s="3"/>
      <c r="E606" s="3">
        <v>497.0</v>
      </c>
      <c r="F606" s="2" t="s">
        <v>11</v>
      </c>
      <c r="G606" s="2" t="s">
        <v>28</v>
      </c>
      <c r="H606" s="2"/>
      <c r="I606" s="2"/>
      <c r="J606" s="2"/>
      <c r="K606" s="2"/>
    </row>
    <row r="607" ht="15.75" customHeight="1">
      <c r="A607" s="4" t="str">
        <f>HYPERLINK("https://stackoverflow.com/q/54526634", "54526634")</f>
        <v>54526634</v>
      </c>
      <c r="B607" s="1">
        <v>5.4526634E7</v>
      </c>
      <c r="C607" s="2" t="s">
        <v>1617</v>
      </c>
      <c r="D607" s="3"/>
      <c r="E607" s="3">
        <v>218.0</v>
      </c>
      <c r="F607" s="2" t="s">
        <v>11</v>
      </c>
      <c r="G607" s="2" t="s">
        <v>25</v>
      </c>
      <c r="H607" s="2"/>
      <c r="I607" s="2"/>
      <c r="J607" s="2"/>
      <c r="K607" s="2"/>
    </row>
    <row r="608" ht="15.75" customHeight="1">
      <c r="A608" s="4" t="str">
        <f>HYPERLINK("https://stackoverflow.com/q/54531836", "54531836")</f>
        <v>54531836</v>
      </c>
      <c r="B608" s="1">
        <v>5.4531836E7</v>
      </c>
      <c r="C608" s="2" t="s">
        <v>2713</v>
      </c>
      <c r="D608" s="3"/>
      <c r="E608" s="3">
        <v>51.0</v>
      </c>
      <c r="F608" s="2" t="s">
        <v>11</v>
      </c>
      <c r="G608" s="2" t="s">
        <v>25</v>
      </c>
      <c r="H608" s="2"/>
      <c r="I608" s="2"/>
      <c r="J608" s="2"/>
      <c r="K608" s="2"/>
    </row>
    <row r="609" ht="15.75" customHeight="1">
      <c r="A609" s="4" t="str">
        <f>HYPERLINK("https://stackoverflow.com/q/54532079", "54532079")</f>
        <v>54532079</v>
      </c>
      <c r="B609" s="1">
        <v>5.4532079E7</v>
      </c>
      <c r="C609" s="2" t="s">
        <v>1092</v>
      </c>
      <c r="D609" s="3">
        <v>1.0</v>
      </c>
      <c r="E609" s="3">
        <v>431.0</v>
      </c>
      <c r="F609" s="2" t="s">
        <v>11</v>
      </c>
      <c r="G609" s="2" t="s">
        <v>56</v>
      </c>
      <c r="H609" s="2"/>
      <c r="I609" s="2"/>
      <c r="J609" s="2"/>
      <c r="K609" s="2"/>
    </row>
    <row r="610" ht="15.75" customHeight="1">
      <c r="A610" s="4" t="str">
        <f>HYPERLINK("https://stackoverflow.com/q/54548422", "54548422")</f>
        <v>54548422</v>
      </c>
      <c r="B610" s="1">
        <v>5.4548422E7</v>
      </c>
      <c r="C610" s="2" t="s">
        <v>1351</v>
      </c>
      <c r="D610" s="3"/>
      <c r="E610" s="3">
        <v>318.0</v>
      </c>
      <c r="F610" s="2" t="s">
        <v>11</v>
      </c>
      <c r="G610" s="2" t="s">
        <v>35</v>
      </c>
      <c r="H610" s="2"/>
      <c r="I610" s="2"/>
      <c r="J610" s="2"/>
      <c r="K610" s="2"/>
    </row>
    <row r="611" ht="15.75" customHeight="1">
      <c r="A611" s="4" t="str">
        <f>HYPERLINK("https://stackoverflow.com/q/54548490", "54548490")</f>
        <v>54548490</v>
      </c>
      <c r="B611" s="1">
        <v>5.454849E7</v>
      </c>
      <c r="C611" s="2" t="s">
        <v>1817</v>
      </c>
      <c r="D611" s="3"/>
      <c r="E611" s="3">
        <v>164.0</v>
      </c>
      <c r="F611" s="2" t="s">
        <v>11</v>
      </c>
      <c r="G611" s="2" t="s">
        <v>25</v>
      </c>
      <c r="H611" s="2"/>
      <c r="I611" s="2"/>
      <c r="J611" s="2"/>
      <c r="K611" s="2"/>
    </row>
    <row r="612" ht="15.75" customHeight="1">
      <c r="A612" s="4" t="str">
        <f>HYPERLINK("https://stackoverflow.com/q/54554531", "54554531")</f>
        <v>54554531</v>
      </c>
      <c r="B612" s="1">
        <v>5.4554531E7</v>
      </c>
      <c r="C612" s="2" t="s">
        <v>1807</v>
      </c>
      <c r="D612" s="3"/>
      <c r="E612" s="3">
        <v>165.0</v>
      </c>
      <c r="F612" s="2" t="s">
        <v>59</v>
      </c>
      <c r="G612" s="2" t="s">
        <v>21</v>
      </c>
      <c r="H612" s="2"/>
      <c r="I612" s="2"/>
      <c r="J612" s="2"/>
      <c r="K612" s="2"/>
    </row>
    <row r="613" ht="15.75" customHeight="1">
      <c r="A613" s="4" t="str">
        <f>HYPERLINK("https://stackoverflow.com/q/54557467", "54557467")</f>
        <v>54557467</v>
      </c>
      <c r="B613" s="1">
        <v>5.4557467E7</v>
      </c>
      <c r="C613" s="2" t="s">
        <v>2575</v>
      </c>
      <c r="D613" s="3"/>
      <c r="E613" s="3">
        <v>62.0</v>
      </c>
      <c r="F613" s="2"/>
      <c r="G613" s="2" t="s">
        <v>23</v>
      </c>
      <c r="H613" s="2"/>
      <c r="I613" s="2"/>
      <c r="J613" s="2"/>
      <c r="K613" s="2"/>
    </row>
    <row r="614" ht="15.75" customHeight="1">
      <c r="A614" s="4" t="str">
        <f>HYPERLINK("https://stackoverflow.com/q/54563348", "54563348")</f>
        <v>54563348</v>
      </c>
      <c r="B614" s="1">
        <v>5.4563348E7</v>
      </c>
      <c r="C614" s="2" t="s">
        <v>854</v>
      </c>
      <c r="D614" s="3">
        <v>1.0</v>
      </c>
      <c r="E614" s="3">
        <v>576.0</v>
      </c>
      <c r="F614" s="2" t="s">
        <v>11</v>
      </c>
      <c r="G614" s="2" t="s">
        <v>73</v>
      </c>
      <c r="H614" s="2"/>
      <c r="I614" s="2"/>
      <c r="J614" s="2"/>
      <c r="K614" s="2"/>
    </row>
    <row r="615" ht="15.75" customHeight="1">
      <c r="A615" s="4" t="str">
        <f>HYPERLINK("https://stackoverflow.com/q/54574451", "54574451")</f>
        <v>54574451</v>
      </c>
      <c r="B615" s="1">
        <v>5.4574451E7</v>
      </c>
      <c r="C615" s="2" t="s">
        <v>1750</v>
      </c>
      <c r="D615" s="3"/>
      <c r="E615" s="3">
        <v>179.0</v>
      </c>
      <c r="F615" s="2" t="s">
        <v>11</v>
      </c>
      <c r="G615" s="2" t="s">
        <v>25</v>
      </c>
      <c r="H615" s="2"/>
      <c r="I615" s="2"/>
      <c r="J615" s="2"/>
      <c r="K615" s="2"/>
    </row>
    <row r="616" ht="15.75" customHeight="1">
      <c r="A616" s="4" t="str">
        <f>HYPERLINK("https://stackoverflow.com/q/54574872", "54574872")</f>
        <v>54574872</v>
      </c>
      <c r="B616" s="1">
        <v>5.4574872E7</v>
      </c>
      <c r="C616" s="2" t="s">
        <v>2202</v>
      </c>
      <c r="D616" s="3"/>
      <c r="E616" s="3">
        <v>95.0</v>
      </c>
      <c r="F616" s="9" t="s">
        <v>11</v>
      </c>
      <c r="G616" s="2" t="s">
        <v>18</v>
      </c>
      <c r="H616" s="2"/>
      <c r="I616" s="2"/>
      <c r="J616" s="2"/>
      <c r="K616" s="2"/>
    </row>
    <row r="617" ht="15.75" customHeight="1">
      <c r="A617" s="4" t="str">
        <f>HYPERLINK("https://stackoverflow.com/q/54575273", "54575273")</f>
        <v>54575273</v>
      </c>
      <c r="B617" s="1">
        <v>5.4575273E7</v>
      </c>
      <c r="C617" s="2" t="s">
        <v>2002</v>
      </c>
      <c r="D617" s="3"/>
      <c r="E617" s="3">
        <v>124.0</v>
      </c>
      <c r="F617" s="2" t="s">
        <v>11</v>
      </c>
      <c r="G617" s="2" t="s">
        <v>12</v>
      </c>
      <c r="H617" s="2"/>
      <c r="I617" s="2"/>
      <c r="J617" s="2"/>
      <c r="K617" s="2"/>
    </row>
    <row r="618" ht="15.75" customHeight="1">
      <c r="A618" s="4" t="str">
        <f>HYPERLINK("https://stackoverflow.com/q/54577431", "54577431")</f>
        <v>54577431</v>
      </c>
      <c r="B618" s="1">
        <v>5.4577431E7</v>
      </c>
      <c r="C618" s="2" t="s">
        <v>1749</v>
      </c>
      <c r="D618" s="3"/>
      <c r="E618" s="3">
        <v>179.0</v>
      </c>
      <c r="F618" s="2" t="s">
        <v>59</v>
      </c>
      <c r="G618" s="2" t="s">
        <v>538</v>
      </c>
      <c r="H618" s="2"/>
      <c r="I618" s="2"/>
      <c r="J618" s="2"/>
      <c r="K618" s="2"/>
    </row>
    <row r="619" ht="15.75" customHeight="1">
      <c r="A619" s="4" t="str">
        <f>HYPERLINK("https://stackoverflow.com/q/54577461", "54577461")</f>
        <v>54577461</v>
      </c>
      <c r="B619" s="1">
        <v>5.4577461E7</v>
      </c>
      <c r="C619" s="2" t="s">
        <v>2401</v>
      </c>
      <c r="D619" s="3"/>
      <c r="E619" s="3">
        <v>75.0</v>
      </c>
      <c r="F619" s="2" t="s">
        <v>11</v>
      </c>
      <c r="G619" s="2" t="s">
        <v>12</v>
      </c>
      <c r="H619" s="2"/>
      <c r="I619" s="2"/>
      <c r="J619" s="2"/>
      <c r="K619" s="2"/>
    </row>
    <row r="620" ht="15.75" customHeight="1">
      <c r="A620" s="4" t="str">
        <f>HYPERLINK("https://stackoverflow.com/q/54603982", "54603982")</f>
        <v>54603982</v>
      </c>
      <c r="B620" s="1">
        <v>5.4603982E7</v>
      </c>
      <c r="C620" s="2" t="s">
        <v>1413</v>
      </c>
      <c r="D620" s="3"/>
      <c r="E620" s="3">
        <v>289.0</v>
      </c>
      <c r="F620" s="2" t="s">
        <v>11</v>
      </c>
      <c r="G620" s="2" t="s">
        <v>14</v>
      </c>
      <c r="H620" s="2"/>
      <c r="I620" s="2"/>
      <c r="J620" s="2"/>
      <c r="K620" s="2"/>
    </row>
    <row r="621" ht="15.75" customHeight="1">
      <c r="A621" s="4" t="str">
        <f>HYPERLINK("https://stackoverflow.com/q/54604041", "54604041")</f>
        <v>54604041</v>
      </c>
      <c r="B621" s="1">
        <v>5.4604041E7</v>
      </c>
      <c r="C621" s="2" t="s">
        <v>769</v>
      </c>
      <c r="D621" s="3"/>
      <c r="E621" s="3">
        <v>658.0</v>
      </c>
      <c r="F621" s="2" t="s">
        <v>11</v>
      </c>
      <c r="G621" s="2" t="s">
        <v>67</v>
      </c>
      <c r="H621" s="2"/>
      <c r="I621" s="2"/>
      <c r="J621" s="2"/>
      <c r="K621" s="2"/>
    </row>
    <row r="622" ht="15.75" customHeight="1">
      <c r="A622" s="4" t="str">
        <f>HYPERLINK("https://stackoverflow.com/q/54618164", "54618164")</f>
        <v>54618164</v>
      </c>
      <c r="B622" s="1">
        <v>5.4618164E7</v>
      </c>
      <c r="C622" s="2" t="s">
        <v>2402</v>
      </c>
      <c r="D622" s="3"/>
      <c r="E622" s="3">
        <v>75.0</v>
      </c>
      <c r="F622" s="9" t="s">
        <v>11</v>
      </c>
      <c r="G622" s="2" t="s">
        <v>18</v>
      </c>
      <c r="H622" s="2"/>
      <c r="I622" s="2"/>
      <c r="J622" s="2"/>
      <c r="K622" s="2"/>
    </row>
    <row r="623" ht="15.75" customHeight="1">
      <c r="A623" s="4" t="str">
        <f>HYPERLINK("https://stackoverflow.com/q/54622703", "54622703")</f>
        <v>54622703</v>
      </c>
      <c r="B623" s="1">
        <v>5.4622703E7</v>
      </c>
      <c r="C623" s="2" t="s">
        <v>3186</v>
      </c>
      <c r="D623" s="3"/>
      <c r="E623" s="3">
        <v>28.0</v>
      </c>
      <c r="F623" s="2" t="s">
        <v>11</v>
      </c>
      <c r="G623" s="2" t="s">
        <v>14</v>
      </c>
      <c r="H623" s="2"/>
      <c r="I623" s="2"/>
      <c r="J623" s="2"/>
      <c r="K623" s="2"/>
    </row>
    <row r="624" ht="15.75" customHeight="1">
      <c r="A624" s="4" t="str">
        <f>HYPERLINK("https://stackoverflow.com/q/54639927", "54639927")</f>
        <v>54639927</v>
      </c>
      <c r="B624" s="1">
        <v>5.4639927E7</v>
      </c>
      <c r="C624" s="2" t="s">
        <v>801</v>
      </c>
      <c r="D624" s="3"/>
      <c r="E624" s="3">
        <v>623.0</v>
      </c>
      <c r="F624" s="2" t="s">
        <v>11</v>
      </c>
      <c r="G624" s="2" t="s">
        <v>30</v>
      </c>
      <c r="H624" s="2"/>
      <c r="I624" s="2"/>
      <c r="J624" s="2"/>
      <c r="K624" s="2"/>
    </row>
    <row r="625" ht="15.75" customHeight="1">
      <c r="A625" s="4" t="str">
        <f>HYPERLINK("https://stackoverflow.com/q/54646038", "54646038")</f>
        <v>54646038</v>
      </c>
      <c r="B625" s="1">
        <v>5.4646038E7</v>
      </c>
      <c r="C625" s="2" t="s">
        <v>3294</v>
      </c>
      <c r="D625" s="3"/>
      <c r="E625" s="3">
        <v>24.0</v>
      </c>
      <c r="F625" s="2" t="s">
        <v>11</v>
      </c>
      <c r="G625" s="2" t="s">
        <v>25</v>
      </c>
      <c r="H625" s="2"/>
      <c r="I625" s="2"/>
      <c r="J625" s="2"/>
      <c r="K625" s="2"/>
    </row>
    <row r="626" ht="15.75" customHeight="1">
      <c r="A626" s="4" t="str">
        <f>HYPERLINK("https://stackoverflow.com/q/54662808", "54662808")</f>
        <v>54662808</v>
      </c>
      <c r="B626" s="1">
        <v>5.4662808E7</v>
      </c>
      <c r="C626" s="2" t="s">
        <v>2452</v>
      </c>
      <c r="D626" s="3"/>
      <c r="E626" s="3">
        <v>70.0</v>
      </c>
      <c r="F626" s="2" t="s">
        <v>11</v>
      </c>
      <c r="G626" s="2" t="s">
        <v>35</v>
      </c>
      <c r="H626" s="2" t="s">
        <v>272</v>
      </c>
      <c r="I626" s="2"/>
      <c r="J626" s="2"/>
      <c r="K626" s="2"/>
    </row>
    <row r="627" ht="15.75" customHeight="1">
      <c r="A627" s="4" t="str">
        <f>HYPERLINK("https://stackoverflow.com/q/54666018", "54666018")</f>
        <v>54666018</v>
      </c>
      <c r="B627" s="1">
        <v>5.4666018E7</v>
      </c>
      <c r="C627" s="2" t="s">
        <v>2701</v>
      </c>
      <c r="D627" s="3"/>
      <c r="E627" s="3">
        <v>52.0</v>
      </c>
      <c r="F627" s="2" t="s">
        <v>11</v>
      </c>
      <c r="G627" s="2" t="s">
        <v>25</v>
      </c>
      <c r="H627" s="2"/>
      <c r="I627" s="2"/>
      <c r="J627" s="2"/>
      <c r="K627" s="2"/>
    </row>
    <row r="628" ht="15.75" customHeight="1">
      <c r="A628" s="4" t="str">
        <f>HYPERLINK("https://stackoverflow.com/q/54666876", "54666876")</f>
        <v>54666876</v>
      </c>
      <c r="B628" s="1">
        <v>5.4666876E7</v>
      </c>
      <c r="C628" s="2" t="s">
        <v>971</v>
      </c>
      <c r="D628" s="3"/>
      <c r="E628" s="3">
        <v>494.0</v>
      </c>
      <c r="F628" s="2" t="s">
        <v>11</v>
      </c>
      <c r="G628" s="2" t="s">
        <v>35</v>
      </c>
      <c r="H628" s="2"/>
      <c r="I628" s="2"/>
      <c r="J628" s="2"/>
      <c r="K628" s="2"/>
    </row>
    <row r="629" ht="15.75" customHeight="1">
      <c r="A629" s="4" t="str">
        <f>HYPERLINK("https://stackoverflow.com/q/54678756", "54678756")</f>
        <v>54678756</v>
      </c>
      <c r="B629" s="1">
        <v>5.4678756E7</v>
      </c>
      <c r="C629" s="2" t="s">
        <v>2944</v>
      </c>
      <c r="D629" s="3"/>
      <c r="E629" s="3">
        <v>38.0</v>
      </c>
      <c r="F629" s="2" t="s">
        <v>11</v>
      </c>
      <c r="G629" s="2" t="s">
        <v>14</v>
      </c>
      <c r="H629" s="2"/>
      <c r="I629" s="2"/>
      <c r="J629" s="2"/>
      <c r="K629" s="2"/>
    </row>
    <row r="630" ht="15.75" customHeight="1">
      <c r="A630" s="4" t="str">
        <f>HYPERLINK("https://stackoverflow.com/q/54688078", "54688078")</f>
        <v>54688078</v>
      </c>
      <c r="B630" s="1">
        <v>5.4688078E7</v>
      </c>
      <c r="C630" s="2" t="s">
        <v>1983</v>
      </c>
      <c r="D630" s="3"/>
      <c r="E630" s="3">
        <v>128.0</v>
      </c>
      <c r="F630" s="2" t="s">
        <v>11</v>
      </c>
      <c r="G630" s="2" t="s">
        <v>84</v>
      </c>
      <c r="H630" s="2"/>
      <c r="I630" s="2"/>
      <c r="J630" s="2"/>
      <c r="K630" s="2"/>
    </row>
    <row r="631" ht="15.75" customHeight="1">
      <c r="A631" s="4" t="str">
        <f>HYPERLINK("https://stackoverflow.com/q/54695712", "54695712")</f>
        <v>54695712</v>
      </c>
      <c r="B631" s="1">
        <v>5.4695712E7</v>
      </c>
      <c r="C631" s="2" t="s">
        <v>2332</v>
      </c>
      <c r="D631" s="3"/>
      <c r="E631" s="3">
        <v>82.0</v>
      </c>
      <c r="F631" s="2" t="s">
        <v>11</v>
      </c>
      <c r="G631" s="2" t="s">
        <v>12</v>
      </c>
      <c r="H631" s="2"/>
      <c r="I631" s="2"/>
      <c r="J631" s="2"/>
      <c r="K631" s="2"/>
    </row>
    <row r="632" ht="15.75" customHeight="1">
      <c r="A632" s="4" t="str">
        <f>HYPERLINK("https://stackoverflow.com/q/54700894", "54700894")</f>
        <v>54700894</v>
      </c>
      <c r="B632" s="1">
        <v>5.4700894E7</v>
      </c>
      <c r="C632" s="2" t="s">
        <v>1245</v>
      </c>
      <c r="D632" s="3"/>
      <c r="E632" s="3">
        <v>354.0</v>
      </c>
      <c r="F632" s="2" t="s">
        <v>11</v>
      </c>
      <c r="G632" s="2" t="s">
        <v>56</v>
      </c>
      <c r="H632" s="2"/>
      <c r="I632" s="2"/>
      <c r="J632" s="2"/>
      <c r="K632" s="2"/>
    </row>
    <row r="633" ht="15.75" customHeight="1">
      <c r="A633" s="4" t="str">
        <f>HYPERLINK("https://stackoverflow.com/q/54714252", "54714252")</f>
        <v>54714252</v>
      </c>
      <c r="B633" s="1">
        <v>5.4714252E7</v>
      </c>
      <c r="C633" s="2" t="s">
        <v>582</v>
      </c>
      <c r="D633" s="3"/>
      <c r="E633" s="3">
        <v>904.0</v>
      </c>
      <c r="F633" s="2" t="s">
        <v>11</v>
      </c>
      <c r="G633" s="2" t="s">
        <v>14</v>
      </c>
      <c r="H633" s="2"/>
      <c r="I633" s="2"/>
      <c r="J633" s="2"/>
      <c r="K633" s="2"/>
    </row>
    <row r="634" ht="15.75" customHeight="1">
      <c r="A634" s="4" t="str">
        <f>HYPERLINK("https://stackoverflow.com/q/54734086", "54734086")</f>
        <v>54734086</v>
      </c>
      <c r="B634" s="1">
        <v>5.4734086E7</v>
      </c>
      <c r="C634" s="2" t="s">
        <v>2266</v>
      </c>
      <c r="D634" s="3"/>
      <c r="E634" s="3">
        <v>87.0</v>
      </c>
      <c r="F634" s="2" t="s">
        <v>11</v>
      </c>
      <c r="G634" s="2" t="s">
        <v>30</v>
      </c>
      <c r="H634" s="2"/>
      <c r="I634" s="2"/>
      <c r="J634" s="2"/>
      <c r="K634" s="2"/>
    </row>
    <row r="635" ht="15.75" customHeight="1">
      <c r="A635" s="4" t="str">
        <f>HYPERLINK("https://stackoverflow.com/q/54741436", "54741436")</f>
        <v>54741436</v>
      </c>
      <c r="B635" s="1">
        <v>5.4741436E7</v>
      </c>
      <c r="C635" s="2" t="s">
        <v>1574</v>
      </c>
      <c r="D635" s="3"/>
      <c r="E635" s="3">
        <v>226.0</v>
      </c>
      <c r="F635" s="2" t="s">
        <v>11</v>
      </c>
      <c r="G635" s="2" t="s">
        <v>263</v>
      </c>
      <c r="H635" s="2"/>
      <c r="I635" s="2"/>
      <c r="J635" s="2"/>
      <c r="K635" s="2"/>
    </row>
    <row r="636" ht="15.75" customHeight="1">
      <c r="A636" s="4" t="str">
        <f>HYPERLINK("https://stackoverflow.com/q/54747323", "54747323")</f>
        <v>54747323</v>
      </c>
      <c r="B636" s="1">
        <v>5.4747323E7</v>
      </c>
      <c r="C636" s="2" t="s">
        <v>1589</v>
      </c>
      <c r="D636" s="3"/>
      <c r="E636" s="3">
        <v>223.0</v>
      </c>
      <c r="F636" s="9" t="s">
        <v>11</v>
      </c>
      <c r="G636" s="2" t="s">
        <v>18</v>
      </c>
      <c r="H636" s="2"/>
      <c r="I636" s="2"/>
      <c r="J636" s="2"/>
      <c r="K636" s="2"/>
    </row>
    <row r="637" ht="15.75" customHeight="1">
      <c r="A637" s="4" t="str">
        <f>HYPERLINK("https://stackoverflow.com/q/54751381", "54751381")</f>
        <v>54751381</v>
      </c>
      <c r="B637" s="1">
        <v>5.4751381E7</v>
      </c>
      <c r="C637" s="2" t="s">
        <v>339</v>
      </c>
      <c r="D637" s="3"/>
      <c r="E637" s="3">
        <v>1543.0</v>
      </c>
      <c r="F637" s="2" t="s">
        <v>11</v>
      </c>
      <c r="G637" s="2" t="s">
        <v>25</v>
      </c>
      <c r="H637" s="2"/>
      <c r="I637" s="2"/>
      <c r="J637" s="2"/>
      <c r="K637" s="2"/>
    </row>
    <row r="638" ht="15.75" customHeight="1">
      <c r="A638" s="4" t="str">
        <f>HYPERLINK("https://stackoverflow.com/q/54754818", "54754818")</f>
        <v>54754818</v>
      </c>
      <c r="B638" s="1">
        <v>5.4754818E7</v>
      </c>
      <c r="C638" s="2" t="s">
        <v>1455</v>
      </c>
      <c r="D638" s="3"/>
      <c r="E638" s="3">
        <v>268.0</v>
      </c>
      <c r="F638" s="2" t="s">
        <v>11</v>
      </c>
      <c r="G638" s="2" t="s">
        <v>35</v>
      </c>
      <c r="H638" s="2"/>
      <c r="I638" s="2"/>
      <c r="J638" s="2"/>
      <c r="K638" s="2"/>
    </row>
    <row r="639" ht="15.75" customHeight="1">
      <c r="A639" s="4" t="str">
        <f>HYPERLINK("https://stackoverflow.com/q/54757002", "54757002")</f>
        <v>54757002</v>
      </c>
      <c r="B639" s="1">
        <v>5.4757002E7</v>
      </c>
      <c r="C639" s="2" t="s">
        <v>2894</v>
      </c>
      <c r="D639" s="3"/>
      <c r="E639" s="3">
        <v>41.0</v>
      </c>
      <c r="F639" s="2" t="s">
        <v>11</v>
      </c>
      <c r="G639" s="2" t="s">
        <v>30</v>
      </c>
      <c r="H639" s="2"/>
      <c r="I639" s="2"/>
      <c r="J639" s="2"/>
      <c r="K639" s="2"/>
    </row>
    <row r="640" ht="15.75" customHeight="1">
      <c r="A640" s="4" t="str">
        <f>HYPERLINK("https://stackoverflow.com/q/54760591", "54760591")</f>
        <v>54760591</v>
      </c>
      <c r="B640" s="1">
        <v>5.4760591E7</v>
      </c>
      <c r="C640" s="2" t="s">
        <v>1798</v>
      </c>
      <c r="D640" s="3"/>
      <c r="E640" s="3">
        <v>167.0</v>
      </c>
      <c r="F640" s="2" t="s">
        <v>11</v>
      </c>
      <c r="G640" s="2" t="s">
        <v>25</v>
      </c>
      <c r="H640" s="2"/>
      <c r="I640" s="2"/>
      <c r="J640" s="2"/>
      <c r="K640" s="2"/>
    </row>
    <row r="641" ht="15.75" customHeight="1">
      <c r="A641" s="4" t="str">
        <f>HYPERLINK("https://stackoverflow.com/q/54773028", "54773028")</f>
        <v>54773028</v>
      </c>
      <c r="B641" s="1">
        <v>5.4773028E7</v>
      </c>
      <c r="C641" s="2" t="s">
        <v>3138</v>
      </c>
      <c r="D641" s="3"/>
      <c r="E641" s="3">
        <v>30.0</v>
      </c>
      <c r="F641" s="2" t="s">
        <v>11</v>
      </c>
      <c r="G641" s="2" t="s">
        <v>14</v>
      </c>
      <c r="H641" s="2"/>
      <c r="I641" s="2"/>
      <c r="J641" s="2"/>
      <c r="K641" s="2"/>
    </row>
    <row r="642" ht="15.75" customHeight="1">
      <c r="A642" s="4" t="str">
        <f>HYPERLINK("https://stackoverflow.com/q/54790585", "54790585")</f>
        <v>54790585</v>
      </c>
      <c r="B642" s="1">
        <v>5.4790585E7</v>
      </c>
      <c r="C642" s="2" t="s">
        <v>2465</v>
      </c>
      <c r="D642" s="3">
        <v>1.0</v>
      </c>
      <c r="E642" s="3">
        <v>69.0</v>
      </c>
      <c r="F642" s="2" t="s">
        <v>11</v>
      </c>
      <c r="G642" s="2" t="s">
        <v>194</v>
      </c>
      <c r="H642" s="2"/>
      <c r="I642" s="2"/>
      <c r="J642" s="2"/>
      <c r="K642" s="2"/>
    </row>
    <row r="643" ht="15.75" customHeight="1">
      <c r="A643" s="4" t="str">
        <f>HYPERLINK("https://stackoverflow.com/q/54800171", "54800171")</f>
        <v>54800171</v>
      </c>
      <c r="B643" s="1">
        <v>5.4800171E7</v>
      </c>
      <c r="C643" s="2" t="s">
        <v>2840</v>
      </c>
      <c r="D643" s="3"/>
      <c r="E643" s="3">
        <v>44.0</v>
      </c>
      <c r="F643" s="2" t="s">
        <v>11</v>
      </c>
      <c r="G643" s="2" t="s">
        <v>67</v>
      </c>
      <c r="H643" s="2"/>
      <c r="I643" s="2"/>
      <c r="J643" s="2"/>
      <c r="K643" s="2"/>
    </row>
    <row r="644" ht="15.75" customHeight="1">
      <c r="A644" s="4" t="str">
        <f>HYPERLINK("https://stackoverflow.com/q/54822913", "54822913")</f>
        <v>54822913</v>
      </c>
      <c r="B644" s="1">
        <v>5.4822913E7</v>
      </c>
      <c r="C644" s="2" t="s">
        <v>1145</v>
      </c>
      <c r="D644" s="3"/>
      <c r="E644" s="3">
        <v>402.0</v>
      </c>
      <c r="F644" s="2" t="s">
        <v>11</v>
      </c>
      <c r="G644" s="2" t="s">
        <v>25</v>
      </c>
      <c r="H644" s="2"/>
      <c r="I644" s="2"/>
      <c r="J644" s="2"/>
      <c r="K644" s="2"/>
    </row>
    <row r="645" ht="15.75" customHeight="1">
      <c r="A645" s="4" t="str">
        <f>HYPERLINK("https://stackoverflow.com/q/54828156", "54828156")</f>
        <v>54828156</v>
      </c>
      <c r="B645" s="1">
        <v>5.4828156E7</v>
      </c>
      <c r="C645" s="2" t="s">
        <v>3187</v>
      </c>
      <c r="D645" s="3"/>
      <c r="E645" s="3">
        <v>28.0</v>
      </c>
      <c r="F645" s="2" t="s">
        <v>11</v>
      </c>
      <c r="G645" s="2" t="s">
        <v>14</v>
      </c>
      <c r="H645" s="2"/>
      <c r="I645" s="2"/>
      <c r="J645" s="2"/>
      <c r="K645" s="2"/>
    </row>
    <row r="646" ht="15.75" customHeight="1">
      <c r="A646" s="4" t="str">
        <f>HYPERLINK("https://stackoverflow.com/q/54829314", "54829314")</f>
        <v>54829314</v>
      </c>
      <c r="B646" s="1">
        <v>5.4829314E7</v>
      </c>
      <c r="C646" s="2" t="s">
        <v>1704</v>
      </c>
      <c r="D646" s="3"/>
      <c r="E646" s="3">
        <v>192.0</v>
      </c>
      <c r="F646" s="9" t="s">
        <v>11</v>
      </c>
      <c r="G646" s="2" t="s">
        <v>18</v>
      </c>
      <c r="H646" s="2"/>
      <c r="I646" s="2"/>
      <c r="J646" s="2"/>
      <c r="K646" s="2"/>
    </row>
    <row r="647" ht="15.75" customHeight="1">
      <c r="A647" s="4" t="str">
        <f>HYPERLINK("https://stackoverflow.com/q/54841101", "54841101")</f>
        <v>54841101</v>
      </c>
      <c r="B647" s="1">
        <v>5.4841101E7</v>
      </c>
      <c r="C647" s="2" t="s">
        <v>2980</v>
      </c>
      <c r="D647" s="3"/>
      <c r="E647" s="3">
        <v>36.0</v>
      </c>
      <c r="F647" s="2" t="s">
        <v>20</v>
      </c>
      <c r="G647" s="2" t="s">
        <v>21</v>
      </c>
      <c r="H647" s="2"/>
      <c r="I647" s="2"/>
      <c r="J647" s="2"/>
      <c r="K647" s="2"/>
    </row>
    <row r="648" ht="15.75" customHeight="1">
      <c r="A648" s="4" t="str">
        <f>HYPERLINK("https://stackoverflow.com/q/54848296", "54848296")</f>
        <v>54848296</v>
      </c>
      <c r="B648" s="1">
        <v>5.4848296E7</v>
      </c>
      <c r="C648" s="2" t="s">
        <v>1514</v>
      </c>
      <c r="D648" s="3"/>
      <c r="E648" s="3">
        <v>245.0</v>
      </c>
      <c r="F648" s="2" t="s">
        <v>11</v>
      </c>
      <c r="G648" s="2" t="s">
        <v>38</v>
      </c>
      <c r="H648" s="2"/>
      <c r="I648" s="2"/>
      <c r="J648" s="2"/>
      <c r="K648" s="2"/>
    </row>
    <row r="649" ht="15.75" customHeight="1">
      <c r="A649" s="4" t="str">
        <f>HYPERLINK("https://stackoverflow.com/q/54857737", "54857737")</f>
        <v>54857737</v>
      </c>
      <c r="B649" s="1">
        <v>5.4857737E7</v>
      </c>
      <c r="C649" s="2" t="s">
        <v>2375</v>
      </c>
      <c r="D649" s="3">
        <v>1.0</v>
      </c>
      <c r="E649" s="3">
        <v>77.0</v>
      </c>
      <c r="F649" s="2" t="s">
        <v>11</v>
      </c>
      <c r="G649" s="2" t="s">
        <v>44</v>
      </c>
      <c r="H649" s="2"/>
      <c r="I649" s="2"/>
      <c r="J649" s="2"/>
      <c r="K649" s="2"/>
    </row>
    <row r="650" ht="15.75" customHeight="1">
      <c r="A650" s="4" t="str">
        <f>HYPERLINK("https://stackoverflow.com/q/54868399", "54868399")</f>
        <v>54868399</v>
      </c>
      <c r="B650" s="1">
        <v>5.4868399E7</v>
      </c>
      <c r="C650" s="2" t="s">
        <v>284</v>
      </c>
      <c r="D650" s="3">
        <v>0.0</v>
      </c>
      <c r="E650" s="3">
        <v>1796.0</v>
      </c>
      <c r="F650" s="2" t="s">
        <v>11</v>
      </c>
      <c r="G650" s="2" t="s">
        <v>18</v>
      </c>
      <c r="H650" s="2"/>
      <c r="I650" s="2"/>
      <c r="J650" s="2"/>
      <c r="K650" s="2"/>
    </row>
    <row r="651" ht="15.75" customHeight="1">
      <c r="A651" s="4" t="str">
        <f>HYPERLINK("https://stackoverflow.com/q/54881057", "54881057")</f>
        <v>54881057</v>
      </c>
      <c r="B651" s="1">
        <v>5.4881057E7</v>
      </c>
      <c r="C651" s="2" t="s">
        <v>2453</v>
      </c>
      <c r="D651" s="3"/>
      <c r="E651" s="3">
        <v>70.0</v>
      </c>
      <c r="F651" s="2" t="s">
        <v>11</v>
      </c>
      <c r="G651" s="2" t="s">
        <v>35</v>
      </c>
      <c r="H651" s="2"/>
      <c r="I651" s="2"/>
      <c r="J651" s="2"/>
      <c r="K651" s="2"/>
    </row>
    <row r="652" ht="15.75" customHeight="1">
      <c r="A652" s="4" t="str">
        <f>HYPERLINK("https://stackoverflow.com/q/54884332", "54884332")</f>
        <v>54884332</v>
      </c>
      <c r="B652" s="1">
        <v>5.4884332E7</v>
      </c>
      <c r="C652" s="2" t="s">
        <v>1493</v>
      </c>
      <c r="D652" s="3"/>
      <c r="E652" s="3">
        <v>252.0</v>
      </c>
      <c r="F652" s="2" t="s">
        <v>11</v>
      </c>
      <c r="G652" s="2" t="s">
        <v>56</v>
      </c>
      <c r="H652" s="2"/>
      <c r="I652" s="2"/>
      <c r="J652" s="2"/>
      <c r="K652" s="2"/>
    </row>
    <row r="653" ht="15.75" customHeight="1">
      <c r="A653" s="4" t="str">
        <f>HYPERLINK("https://stackoverflow.com/q/54894563", "54894563")</f>
        <v>54894563</v>
      </c>
      <c r="B653" s="1">
        <v>5.4894563E7</v>
      </c>
      <c r="C653" s="2" t="s">
        <v>2267</v>
      </c>
      <c r="D653" s="3"/>
      <c r="E653" s="3">
        <v>87.0</v>
      </c>
      <c r="F653" s="2" t="s">
        <v>11</v>
      </c>
      <c r="G653" s="2" t="s">
        <v>35</v>
      </c>
      <c r="H653" s="2"/>
      <c r="I653" s="2"/>
      <c r="J653" s="2"/>
      <c r="K653" s="2"/>
    </row>
    <row r="654" ht="15.75" customHeight="1">
      <c r="A654" s="4" t="str">
        <f>HYPERLINK("https://stackoverflow.com/q/54900592", "54900592")</f>
        <v>54900592</v>
      </c>
      <c r="B654" s="1">
        <v>5.4900592E7</v>
      </c>
      <c r="C654" s="2" t="s">
        <v>2777</v>
      </c>
      <c r="D654" s="3"/>
      <c r="E654" s="3">
        <v>47.0</v>
      </c>
      <c r="F654" s="2" t="s">
        <v>11</v>
      </c>
      <c r="G654" s="2" t="s">
        <v>21</v>
      </c>
      <c r="H654" s="2"/>
      <c r="I654" s="2"/>
      <c r="J654" s="2"/>
      <c r="K654" s="2"/>
    </row>
    <row r="655" ht="15.75" customHeight="1">
      <c r="A655" s="4" t="str">
        <f>HYPERLINK("https://stackoverflow.com/q/54901001", "54901001")</f>
        <v>54901001</v>
      </c>
      <c r="B655" s="1">
        <v>5.4901001E7</v>
      </c>
      <c r="C655" s="2" t="s">
        <v>2689</v>
      </c>
      <c r="D655" s="3"/>
      <c r="E655" s="3">
        <v>53.0</v>
      </c>
      <c r="F655" s="2" t="s">
        <v>537</v>
      </c>
      <c r="G655" s="2" t="s">
        <v>194</v>
      </c>
      <c r="H655" s="2"/>
      <c r="I655" s="2"/>
      <c r="J655" s="2"/>
      <c r="K655" s="2"/>
    </row>
    <row r="656" ht="15.75" customHeight="1">
      <c r="A656" s="4" t="str">
        <f>HYPERLINK("https://stackoverflow.com/q/54902191", "54902191")</f>
        <v>54902191</v>
      </c>
      <c r="B656" s="1">
        <v>5.4902191E7</v>
      </c>
      <c r="C656" s="2" t="s">
        <v>1080</v>
      </c>
      <c r="D656" s="3"/>
      <c r="E656" s="3">
        <v>439.0</v>
      </c>
      <c r="F656" s="2" t="s">
        <v>11</v>
      </c>
      <c r="G656" s="2" t="s">
        <v>30</v>
      </c>
      <c r="H656" s="2"/>
      <c r="I656" s="2"/>
      <c r="J656" s="2"/>
      <c r="K656" s="2"/>
    </row>
    <row r="657" ht="15.75" customHeight="1">
      <c r="A657" s="4" t="str">
        <f>HYPERLINK("https://stackoverflow.com/q/54902614", "54902614")</f>
        <v>54902614</v>
      </c>
      <c r="B657" s="1">
        <v>5.4902614E7</v>
      </c>
      <c r="C657" s="2" t="s">
        <v>2686</v>
      </c>
      <c r="D657" s="3"/>
      <c r="E657" s="3">
        <v>53.0</v>
      </c>
      <c r="F657" s="2" t="s">
        <v>11</v>
      </c>
      <c r="G657" s="2" t="s">
        <v>194</v>
      </c>
      <c r="H657" s="2"/>
      <c r="I657" s="2"/>
      <c r="J657" s="2"/>
      <c r="K657" s="2"/>
    </row>
    <row r="658" ht="15.75" customHeight="1">
      <c r="A658" s="4" t="str">
        <f>HYPERLINK("https://stackoverflow.com/q/54906258", "54906258")</f>
        <v>54906258</v>
      </c>
      <c r="B658" s="1">
        <v>5.4906258E7</v>
      </c>
      <c r="C658" s="2" t="s">
        <v>275</v>
      </c>
      <c r="D658" s="3">
        <v>1.0</v>
      </c>
      <c r="E658" s="3">
        <v>1829.0</v>
      </c>
      <c r="F658" s="2" t="s">
        <v>11</v>
      </c>
      <c r="G658" s="2" t="s">
        <v>44</v>
      </c>
      <c r="H658" s="2"/>
      <c r="I658" s="2"/>
      <c r="J658" s="2"/>
      <c r="K658" s="2"/>
    </row>
    <row r="659" ht="15.75" customHeight="1">
      <c r="A659" s="4" t="str">
        <f>HYPERLINK("https://stackoverflow.com/q/54906295", "54906295")</f>
        <v>54906295</v>
      </c>
      <c r="B659" s="1">
        <v>5.4906295E7</v>
      </c>
      <c r="C659" s="2" t="s">
        <v>209</v>
      </c>
      <c r="D659" s="3"/>
      <c r="E659" s="3">
        <v>2257.0</v>
      </c>
      <c r="F659" s="2" t="s">
        <v>86</v>
      </c>
      <c r="G659" s="2" t="s">
        <v>87</v>
      </c>
      <c r="H659" s="2"/>
      <c r="I659" s="2"/>
      <c r="J659" s="2"/>
      <c r="K659" s="2"/>
    </row>
    <row r="660" ht="15.75" customHeight="1">
      <c r="A660" s="4" t="str">
        <f>HYPERLINK("https://stackoverflow.com/q/54910488", "54910488")</f>
        <v>54910488</v>
      </c>
      <c r="B660" s="1">
        <v>5.4910488E7</v>
      </c>
      <c r="C660" s="2" t="s">
        <v>1903</v>
      </c>
      <c r="D660" s="3">
        <v>2.0</v>
      </c>
      <c r="E660" s="3">
        <v>146.0</v>
      </c>
      <c r="F660" s="2" t="s">
        <v>11</v>
      </c>
      <c r="G660" s="2" t="s">
        <v>12</v>
      </c>
      <c r="H660" s="2"/>
      <c r="I660" s="2"/>
      <c r="J660" s="2"/>
      <c r="K660" s="2"/>
    </row>
    <row r="661" ht="15.75" customHeight="1">
      <c r="A661" s="4" t="str">
        <f>HYPERLINK("https://stackoverflow.com/q/54920348", "54920348")</f>
        <v>54920348</v>
      </c>
      <c r="B661" s="1">
        <v>5.4920348E7</v>
      </c>
      <c r="C661" s="2" t="s">
        <v>1710</v>
      </c>
      <c r="D661" s="3"/>
      <c r="E661" s="3">
        <v>191.0</v>
      </c>
      <c r="F661" s="2" t="s">
        <v>11</v>
      </c>
      <c r="G661" s="2" t="s">
        <v>35</v>
      </c>
      <c r="H661" s="2"/>
      <c r="I661" s="2"/>
      <c r="J661" s="2"/>
      <c r="K661" s="2"/>
    </row>
    <row r="662" ht="15.75" customHeight="1">
      <c r="A662" s="4" t="str">
        <f>HYPERLINK("https://stackoverflow.com/q/54925179", "54925179")</f>
        <v>54925179</v>
      </c>
      <c r="B662" s="1">
        <v>5.4925179E7</v>
      </c>
      <c r="C662" s="2" t="s">
        <v>62</v>
      </c>
      <c r="D662" s="3"/>
      <c r="E662" s="3">
        <v>6126.0</v>
      </c>
      <c r="F662" s="2" t="s">
        <v>11</v>
      </c>
      <c r="G662" s="2" t="s">
        <v>25</v>
      </c>
      <c r="H662" s="2"/>
      <c r="I662" s="2"/>
      <c r="J662" s="2"/>
      <c r="K662" s="2"/>
    </row>
    <row r="663" ht="15.75" customHeight="1">
      <c r="A663" s="4" t="str">
        <f>HYPERLINK("https://stackoverflow.com/q/54935102", "54935102")</f>
        <v>54935102</v>
      </c>
      <c r="B663" s="1">
        <v>5.4935102E7</v>
      </c>
      <c r="C663" s="2" t="s">
        <v>1609</v>
      </c>
      <c r="D663" s="3"/>
      <c r="E663" s="3">
        <v>219.0</v>
      </c>
      <c r="F663" s="2" t="s">
        <v>11</v>
      </c>
      <c r="G663" s="2" t="s">
        <v>28</v>
      </c>
      <c r="H663" s="2"/>
      <c r="I663" s="2"/>
      <c r="J663" s="2"/>
      <c r="K663" s="2"/>
    </row>
    <row r="664" ht="15.75" customHeight="1">
      <c r="A664" s="4" t="str">
        <f>HYPERLINK("https://stackoverflow.com/q/54936924", "54936924")</f>
        <v>54936924</v>
      </c>
      <c r="B664" s="1">
        <v>5.4936924E7</v>
      </c>
      <c r="C664" s="2" t="s">
        <v>2567</v>
      </c>
      <c r="D664" s="3"/>
      <c r="E664" s="3">
        <v>62.0</v>
      </c>
      <c r="F664" s="2" t="s">
        <v>11</v>
      </c>
      <c r="G664" s="2" t="s">
        <v>25</v>
      </c>
      <c r="H664" s="2"/>
      <c r="I664" s="2"/>
      <c r="J664" s="2"/>
      <c r="K664" s="2"/>
    </row>
    <row r="665" ht="15.75" customHeight="1">
      <c r="A665" s="4" t="str">
        <f>HYPERLINK("https://stackoverflow.com/q/54937175", "54937175")</f>
        <v>54937175</v>
      </c>
      <c r="B665" s="1">
        <v>5.4937175E7</v>
      </c>
      <c r="C665" s="2" t="s">
        <v>1012</v>
      </c>
      <c r="D665" s="3"/>
      <c r="E665" s="3">
        <v>470.0</v>
      </c>
      <c r="F665" s="9" t="s">
        <v>11</v>
      </c>
      <c r="G665" s="2" t="s">
        <v>16</v>
      </c>
      <c r="H665" s="2"/>
      <c r="I665" s="2"/>
      <c r="J665" s="2"/>
      <c r="K665" s="2"/>
    </row>
    <row r="666" ht="15.75" customHeight="1">
      <c r="A666" s="4" t="str">
        <f>HYPERLINK("https://stackoverflow.com/q/54945975", "54945975")</f>
        <v>54945975</v>
      </c>
      <c r="B666" s="1">
        <v>5.4945975E7</v>
      </c>
      <c r="C666" s="2" t="s">
        <v>1977</v>
      </c>
      <c r="D666" s="3"/>
      <c r="E666" s="3">
        <v>129.0</v>
      </c>
      <c r="F666" s="9" t="s">
        <v>11</v>
      </c>
      <c r="G666" s="2" t="s">
        <v>18</v>
      </c>
      <c r="H666" s="2"/>
      <c r="I666" s="2"/>
      <c r="J666" s="2"/>
      <c r="K666" s="2"/>
    </row>
    <row r="667" ht="15.75" customHeight="1">
      <c r="A667" s="4" t="str">
        <f>HYPERLINK("https://stackoverflow.com/q/54951696", "54951696")</f>
        <v>54951696</v>
      </c>
      <c r="B667" s="1">
        <v>5.4951696E7</v>
      </c>
      <c r="C667" s="2" t="s">
        <v>2818</v>
      </c>
      <c r="D667" s="3"/>
      <c r="E667" s="3">
        <v>45.0</v>
      </c>
      <c r="F667" s="2" t="s">
        <v>11</v>
      </c>
      <c r="G667" s="2" t="s">
        <v>25</v>
      </c>
      <c r="H667" s="2"/>
      <c r="I667" s="2"/>
      <c r="J667" s="2"/>
      <c r="K667" s="2"/>
    </row>
    <row r="668" ht="15.75" customHeight="1">
      <c r="A668" s="4" t="str">
        <f>HYPERLINK("https://stackoverflow.com/q/54960110", "54960110")</f>
        <v>54960110</v>
      </c>
      <c r="B668" s="1">
        <v>5.496011E7</v>
      </c>
      <c r="C668" s="2" t="s">
        <v>2913</v>
      </c>
      <c r="D668" s="3"/>
      <c r="E668" s="3">
        <v>40.0</v>
      </c>
      <c r="F668" s="2" t="s">
        <v>11</v>
      </c>
      <c r="G668" s="2" t="s">
        <v>14</v>
      </c>
      <c r="H668" s="2"/>
      <c r="I668" s="2"/>
      <c r="J668" s="2"/>
      <c r="K668" s="2"/>
    </row>
    <row r="669" ht="15.75" customHeight="1">
      <c r="A669" s="4" t="str">
        <f>HYPERLINK("https://stackoverflow.com/q/54967399", "54967399")</f>
        <v>54967399</v>
      </c>
      <c r="B669" s="1">
        <v>5.4967399E7</v>
      </c>
      <c r="C669" s="2" t="s">
        <v>1174</v>
      </c>
      <c r="D669" s="3"/>
      <c r="E669" s="3">
        <v>387.0</v>
      </c>
      <c r="F669" s="2" t="s">
        <v>11</v>
      </c>
      <c r="G669" s="2" t="s">
        <v>30</v>
      </c>
      <c r="H669" s="2"/>
      <c r="I669" s="2"/>
      <c r="J669" s="2"/>
      <c r="K669" s="2"/>
    </row>
    <row r="670" ht="15.75" customHeight="1">
      <c r="A670" s="4" t="str">
        <f>HYPERLINK("https://stackoverflow.com/q/54980076", "54980076")</f>
        <v>54980076</v>
      </c>
      <c r="B670" s="1">
        <v>5.4980076E7</v>
      </c>
      <c r="C670" s="2" t="s">
        <v>2982</v>
      </c>
      <c r="D670" s="3"/>
      <c r="E670" s="3">
        <v>36.0</v>
      </c>
      <c r="F670" s="2" t="s">
        <v>11</v>
      </c>
      <c r="G670" s="2" t="s">
        <v>35</v>
      </c>
      <c r="H670" s="2"/>
      <c r="I670" s="2"/>
      <c r="J670" s="2"/>
      <c r="K670" s="2"/>
    </row>
    <row r="671" ht="15.75" customHeight="1">
      <c r="A671" s="4" t="str">
        <f>HYPERLINK("https://stackoverflow.com/q/54987992", "54987992")</f>
        <v>54987992</v>
      </c>
      <c r="B671" s="1">
        <v>5.4987992E7</v>
      </c>
      <c r="C671" s="2" t="s">
        <v>1559</v>
      </c>
      <c r="D671" s="3"/>
      <c r="E671" s="3">
        <v>232.0</v>
      </c>
      <c r="F671" s="2" t="s">
        <v>11</v>
      </c>
      <c r="G671" s="2" t="s">
        <v>67</v>
      </c>
      <c r="H671" s="2"/>
      <c r="I671" s="2"/>
      <c r="J671" s="2"/>
      <c r="K671" s="2"/>
    </row>
    <row r="672" ht="15.75" customHeight="1">
      <c r="A672" s="4" t="str">
        <f>HYPERLINK("https://stackoverflow.com/q/54991854", "54991854")</f>
        <v>54991854</v>
      </c>
      <c r="B672" s="1">
        <v>5.4991854E7</v>
      </c>
      <c r="C672" s="2" t="s">
        <v>958</v>
      </c>
      <c r="D672" s="3">
        <v>1.0</v>
      </c>
      <c r="E672" s="3">
        <v>500.0</v>
      </c>
      <c r="F672" s="2" t="s">
        <v>11</v>
      </c>
      <c r="G672" s="2" t="s">
        <v>25</v>
      </c>
      <c r="H672" s="2"/>
      <c r="I672" s="2"/>
      <c r="J672" s="2"/>
      <c r="K672" s="2"/>
    </row>
    <row r="673" ht="15.75" customHeight="1">
      <c r="A673" s="4" t="str">
        <f>HYPERLINK("https://stackoverflow.com/q/54995158", "54995158")</f>
        <v>54995158</v>
      </c>
      <c r="B673" s="1">
        <v>5.4995158E7</v>
      </c>
      <c r="C673" s="2" t="s">
        <v>1528</v>
      </c>
      <c r="D673" s="3"/>
      <c r="E673" s="3">
        <v>240.0</v>
      </c>
      <c r="F673" s="2" t="s">
        <v>11</v>
      </c>
      <c r="G673" s="2" t="s">
        <v>25</v>
      </c>
      <c r="H673" s="2"/>
      <c r="I673" s="2"/>
      <c r="J673" s="2"/>
      <c r="K673" s="2"/>
    </row>
    <row r="674" ht="15.75" customHeight="1">
      <c r="A674" s="4" t="str">
        <f>HYPERLINK("https://stackoverflow.com/q/55000264", "55000264")</f>
        <v>55000264</v>
      </c>
      <c r="B674" s="1">
        <v>5.5000264E7</v>
      </c>
      <c r="C674" s="2" t="s">
        <v>489</v>
      </c>
      <c r="D674" s="3"/>
      <c r="E674" s="3">
        <v>1106.0</v>
      </c>
      <c r="F674" s="2" t="s">
        <v>11</v>
      </c>
      <c r="G674" s="2" t="s">
        <v>18</v>
      </c>
      <c r="H674" s="2"/>
      <c r="I674" s="2"/>
      <c r="J674" s="2"/>
      <c r="K674" s="2"/>
    </row>
    <row r="675" ht="15.75" customHeight="1">
      <c r="A675" s="4" t="str">
        <f>HYPERLINK("https://stackoverflow.com/q/55005441", "55005441")</f>
        <v>55005441</v>
      </c>
      <c r="B675" s="1">
        <v>5.5005441E7</v>
      </c>
      <c r="C675" s="2" t="s">
        <v>2228</v>
      </c>
      <c r="D675" s="3"/>
      <c r="E675" s="3">
        <v>92.0</v>
      </c>
      <c r="F675" s="2" t="s">
        <v>59</v>
      </c>
      <c r="G675" s="2" t="s">
        <v>28</v>
      </c>
      <c r="H675" s="2"/>
      <c r="I675" s="2"/>
      <c r="J675" s="2"/>
      <c r="K675" s="2"/>
    </row>
    <row r="676" ht="15.75" customHeight="1">
      <c r="A676" s="4" t="str">
        <f>HYPERLINK("https://stackoverflow.com/q/55006077", "55006077")</f>
        <v>55006077</v>
      </c>
      <c r="B676" s="1">
        <v>5.5006077E7</v>
      </c>
      <c r="C676" s="2" t="s">
        <v>2177</v>
      </c>
      <c r="D676" s="3"/>
      <c r="E676" s="3">
        <v>99.0</v>
      </c>
      <c r="F676" s="9" t="s">
        <v>11</v>
      </c>
      <c r="G676" s="2" t="s">
        <v>18</v>
      </c>
      <c r="H676" s="2"/>
      <c r="I676" s="2"/>
      <c r="J676" s="2"/>
      <c r="K676" s="2"/>
    </row>
    <row r="677" ht="15.75" customHeight="1">
      <c r="A677" s="4" t="str">
        <f>HYPERLINK("https://stackoverflow.com/q/55009565", "55009565")</f>
        <v>55009565</v>
      </c>
      <c r="B677" s="1">
        <v>5.5009565E7</v>
      </c>
      <c r="C677" s="2" t="s">
        <v>198</v>
      </c>
      <c r="D677" s="3"/>
      <c r="E677" s="3">
        <v>2345.0</v>
      </c>
      <c r="F677" s="2" t="s">
        <v>11</v>
      </c>
      <c r="G677" s="2" t="s">
        <v>25</v>
      </c>
      <c r="H677" s="2"/>
      <c r="I677" s="2"/>
      <c r="J677" s="2"/>
      <c r="K677" s="2"/>
    </row>
    <row r="678" ht="15.75" customHeight="1">
      <c r="A678" s="4" t="str">
        <f>HYPERLINK("https://stackoverflow.com/q/55010103", "55010103")</f>
        <v>55010103</v>
      </c>
      <c r="B678" s="1">
        <v>5.5010103E7</v>
      </c>
      <c r="C678" s="2" t="s">
        <v>2615</v>
      </c>
      <c r="D678" s="3"/>
      <c r="E678" s="3">
        <v>59.0</v>
      </c>
      <c r="F678" s="9" t="s">
        <v>11</v>
      </c>
      <c r="G678" s="2" t="s">
        <v>18</v>
      </c>
      <c r="H678" s="2"/>
      <c r="I678" s="2"/>
      <c r="J678" s="2"/>
      <c r="K678" s="2"/>
    </row>
    <row r="679" ht="15.75" customHeight="1">
      <c r="A679" s="4" t="str">
        <f>HYPERLINK("https://stackoverflow.com/q/55010153", "55010153")</f>
        <v>55010153</v>
      </c>
      <c r="B679" s="1">
        <v>5.5010153E7</v>
      </c>
      <c r="C679" s="2" t="s">
        <v>2687</v>
      </c>
      <c r="D679" s="3"/>
      <c r="E679" s="3">
        <v>53.0</v>
      </c>
      <c r="F679" s="2" t="s">
        <v>11</v>
      </c>
      <c r="G679" s="2" t="s">
        <v>12</v>
      </c>
      <c r="H679" s="2"/>
      <c r="I679" s="2"/>
      <c r="J679" s="2"/>
      <c r="K679" s="2"/>
    </row>
    <row r="680" ht="15.75" customHeight="1">
      <c r="A680" s="4" t="str">
        <f>HYPERLINK("https://stackoverflow.com/q/55024778", "55024778")</f>
        <v>55024778</v>
      </c>
      <c r="B680" s="1">
        <v>5.5024778E7</v>
      </c>
      <c r="C680" s="2" t="s">
        <v>1940</v>
      </c>
      <c r="D680" s="3">
        <v>1.0</v>
      </c>
      <c r="E680" s="3">
        <v>139.0</v>
      </c>
      <c r="F680" s="2" t="s">
        <v>11</v>
      </c>
      <c r="G680" s="2" t="s">
        <v>25</v>
      </c>
      <c r="H680" s="2"/>
      <c r="I680" s="2"/>
      <c r="J680" s="2"/>
      <c r="K680" s="2"/>
    </row>
    <row r="681" ht="15.75" customHeight="1">
      <c r="A681" s="4" t="str">
        <f>HYPERLINK("https://stackoverflow.com/q/55026722", "55026722")</f>
        <v>55026722</v>
      </c>
      <c r="B681" s="1">
        <v>5.5026722E7</v>
      </c>
      <c r="C681" s="2" t="s">
        <v>1780</v>
      </c>
      <c r="D681" s="3">
        <v>1.0</v>
      </c>
      <c r="E681" s="3">
        <v>171.0</v>
      </c>
      <c r="F681" s="2" t="s">
        <v>11</v>
      </c>
      <c r="G681" s="2" t="s">
        <v>538</v>
      </c>
      <c r="H681" s="2"/>
      <c r="I681" s="2"/>
      <c r="J681" s="2"/>
      <c r="K681" s="2"/>
    </row>
    <row r="682" ht="15.75" customHeight="1">
      <c r="A682" s="4" t="str">
        <f>HYPERLINK("https://stackoverflow.com/q/55043215", "55043215")</f>
        <v>55043215</v>
      </c>
      <c r="B682" s="1">
        <v>5.5043215E7</v>
      </c>
      <c r="C682" s="2" t="s">
        <v>1870</v>
      </c>
      <c r="D682" s="3"/>
      <c r="E682" s="3">
        <v>153.0</v>
      </c>
      <c r="F682" s="2" t="s">
        <v>537</v>
      </c>
      <c r="G682" s="2" t="s">
        <v>194</v>
      </c>
      <c r="H682" s="2"/>
      <c r="I682" s="2"/>
      <c r="J682" s="2"/>
      <c r="K682" s="2"/>
    </row>
    <row r="683" ht="15.75" customHeight="1">
      <c r="A683" s="4" t="str">
        <f>HYPERLINK("https://stackoverflow.com/q/55048122", "55048122")</f>
        <v>55048122</v>
      </c>
      <c r="B683" s="1">
        <v>5.5048122E7</v>
      </c>
      <c r="C683" s="2" t="s">
        <v>1836</v>
      </c>
      <c r="D683" s="3"/>
      <c r="E683" s="3">
        <v>160.0</v>
      </c>
      <c r="F683" s="2" t="s">
        <v>11</v>
      </c>
      <c r="G683" s="2" t="s">
        <v>25</v>
      </c>
      <c r="H683" s="2"/>
      <c r="I683" s="2"/>
      <c r="J683" s="2"/>
      <c r="K683" s="2"/>
    </row>
    <row r="684" ht="15.75" customHeight="1">
      <c r="A684" s="4" t="str">
        <f>HYPERLINK("https://stackoverflow.com/q/55050411", "55050411")</f>
        <v>55050411</v>
      </c>
      <c r="B684" s="1">
        <v>5.5050411E7</v>
      </c>
      <c r="C684" s="2" t="s">
        <v>2841</v>
      </c>
      <c r="D684" s="3"/>
      <c r="E684" s="3">
        <v>44.0</v>
      </c>
      <c r="F684" s="9" t="s">
        <v>11</v>
      </c>
      <c r="G684" s="2" t="s">
        <v>16</v>
      </c>
      <c r="H684" s="2"/>
      <c r="I684" s="2"/>
      <c r="J684" s="2"/>
      <c r="K684" s="2"/>
    </row>
    <row r="685" ht="15.75" customHeight="1">
      <c r="A685" s="4" t="str">
        <f>HYPERLINK("https://stackoverflow.com/q/55064804", "55064804")</f>
        <v>55064804</v>
      </c>
      <c r="B685" s="1">
        <v>5.5064804E7</v>
      </c>
      <c r="C685" s="2" t="s">
        <v>1978</v>
      </c>
      <c r="D685" s="3"/>
      <c r="E685" s="3">
        <v>129.0</v>
      </c>
      <c r="F685" s="2" t="s">
        <v>11</v>
      </c>
      <c r="G685" s="2" t="s">
        <v>35</v>
      </c>
      <c r="H685" s="2"/>
      <c r="I685" s="2"/>
      <c r="J685" s="2"/>
      <c r="K685" s="2"/>
    </row>
    <row r="686" ht="15.75" customHeight="1">
      <c r="A686" s="4" t="str">
        <f>HYPERLINK("https://stackoverflow.com/q/55068186", "55068186")</f>
        <v>55068186</v>
      </c>
      <c r="B686" s="1">
        <v>5.5068186E7</v>
      </c>
      <c r="C686" s="2" t="s">
        <v>3121</v>
      </c>
      <c r="D686" s="3"/>
      <c r="E686" s="3">
        <v>31.0</v>
      </c>
      <c r="F686" s="2" t="s">
        <v>72</v>
      </c>
      <c r="G686" s="2" t="s">
        <v>506</v>
      </c>
      <c r="H686" s="2"/>
      <c r="I686" s="2"/>
      <c r="J686" s="2"/>
      <c r="K686" s="2"/>
    </row>
    <row r="687" ht="15.75" customHeight="1">
      <c r="A687" s="4" t="str">
        <f>HYPERLINK("https://stackoverflow.com/q/55072078", "55072078")</f>
        <v>55072078</v>
      </c>
      <c r="B687" s="1">
        <v>5.5072078E7</v>
      </c>
      <c r="C687" s="2" t="s">
        <v>1734</v>
      </c>
      <c r="D687" s="3">
        <v>1.0</v>
      </c>
      <c r="E687" s="3">
        <v>184.0</v>
      </c>
      <c r="F687" s="2" t="s">
        <v>537</v>
      </c>
      <c r="G687" s="2" t="s">
        <v>194</v>
      </c>
      <c r="H687" s="2"/>
      <c r="I687" s="2"/>
      <c r="J687" s="2"/>
      <c r="K687" s="2"/>
    </row>
    <row r="688" ht="15.75" customHeight="1">
      <c r="A688" s="4" t="str">
        <f>HYPERLINK("https://stackoverflow.com/q/55075917", "55075917")</f>
        <v>55075917</v>
      </c>
      <c r="B688" s="1">
        <v>5.5075917E7</v>
      </c>
      <c r="C688" s="2" t="s">
        <v>3354</v>
      </c>
      <c r="D688" s="3"/>
      <c r="E688" s="3">
        <v>21.0</v>
      </c>
      <c r="F688" s="9" t="s">
        <v>11</v>
      </c>
      <c r="G688" s="2" t="s">
        <v>18</v>
      </c>
      <c r="H688" s="2"/>
      <c r="I688" s="2"/>
      <c r="J688" s="2"/>
      <c r="K688" s="2"/>
    </row>
    <row r="689" ht="15.75" customHeight="1">
      <c r="A689" s="4" t="str">
        <f>HYPERLINK("https://stackoverflow.com/q/55090674", "55090674")</f>
        <v>55090674</v>
      </c>
      <c r="B689" s="1">
        <v>5.5090674E7</v>
      </c>
      <c r="C689" s="2" t="s">
        <v>3114</v>
      </c>
      <c r="D689" s="3">
        <v>1.0</v>
      </c>
      <c r="E689" s="3">
        <v>31.0</v>
      </c>
      <c r="F689" s="9" t="s">
        <v>11</v>
      </c>
      <c r="G689" s="2" t="s">
        <v>16</v>
      </c>
      <c r="H689" s="2"/>
      <c r="I689" s="2"/>
      <c r="J689" s="2"/>
      <c r="K689" s="2"/>
    </row>
    <row r="690" ht="15.75" customHeight="1">
      <c r="A690" s="4" t="str">
        <f>HYPERLINK("https://stackoverflow.com/q/55101284", "55101284")</f>
        <v>55101284</v>
      </c>
      <c r="B690" s="1">
        <v>5.5101284E7</v>
      </c>
      <c r="C690" s="2" t="s">
        <v>1395</v>
      </c>
      <c r="D690" s="3"/>
      <c r="E690" s="3">
        <v>299.0</v>
      </c>
      <c r="F690" s="2" t="s">
        <v>11</v>
      </c>
      <c r="G690" s="2" t="s">
        <v>35</v>
      </c>
      <c r="H690" s="2"/>
      <c r="I690" s="2"/>
      <c r="J690" s="2"/>
      <c r="K690" s="2"/>
    </row>
    <row r="691" ht="15.75" customHeight="1">
      <c r="A691" s="4" t="str">
        <f>HYPERLINK("https://stackoverflow.com/q/55104440", "55104440")</f>
        <v>55104440</v>
      </c>
      <c r="B691" s="1">
        <v>5.510444E7</v>
      </c>
      <c r="C691" s="2" t="s">
        <v>2377</v>
      </c>
      <c r="D691" s="3"/>
      <c r="E691" s="3">
        <v>77.0</v>
      </c>
      <c r="F691" s="9" t="s">
        <v>11</v>
      </c>
      <c r="G691" s="2" t="s">
        <v>16</v>
      </c>
      <c r="H691" s="2"/>
      <c r="I691" s="2"/>
      <c r="J691" s="2"/>
      <c r="K691" s="2"/>
    </row>
    <row r="692" ht="15.75" customHeight="1">
      <c r="A692" s="4" t="str">
        <f>HYPERLINK("https://stackoverflow.com/q/55116523", "55116523")</f>
        <v>55116523</v>
      </c>
      <c r="B692" s="1">
        <v>5.5116523E7</v>
      </c>
      <c r="C692" s="2" t="s">
        <v>2946</v>
      </c>
      <c r="D692" s="3"/>
      <c r="E692" s="3">
        <v>38.0</v>
      </c>
      <c r="F692" s="2" t="s">
        <v>537</v>
      </c>
      <c r="G692" s="2" t="s">
        <v>73</v>
      </c>
      <c r="H692" s="2"/>
      <c r="I692" s="2"/>
      <c r="J692" s="2"/>
      <c r="K692" s="2"/>
    </row>
    <row r="693" ht="15.75" customHeight="1">
      <c r="A693" s="4" t="str">
        <f>HYPERLINK("https://stackoverflow.com/q/55118699", "55118699")</f>
        <v>55118699</v>
      </c>
      <c r="B693" s="1">
        <v>5.5118699E7</v>
      </c>
      <c r="C693" s="2" t="s">
        <v>1097</v>
      </c>
      <c r="D693" s="3">
        <v>0.0</v>
      </c>
      <c r="E693" s="3">
        <v>428.0</v>
      </c>
      <c r="F693" s="9" t="s">
        <v>11</v>
      </c>
      <c r="G693" s="2" t="s">
        <v>16</v>
      </c>
      <c r="H693" s="2"/>
      <c r="I693" s="2"/>
      <c r="J693" s="2"/>
      <c r="K693" s="2"/>
    </row>
    <row r="694" ht="15.75" customHeight="1">
      <c r="A694" s="4" t="str">
        <f>HYPERLINK("https://stackoverflow.com/q/55122901", "55122901")</f>
        <v>55122901</v>
      </c>
      <c r="B694" s="1">
        <v>5.5122901E7</v>
      </c>
      <c r="C694" s="2" t="s">
        <v>1099</v>
      </c>
      <c r="D694" s="3"/>
      <c r="E694" s="3">
        <v>427.0</v>
      </c>
      <c r="F694" s="2" t="s">
        <v>11</v>
      </c>
      <c r="G694" s="2" t="s">
        <v>25</v>
      </c>
      <c r="H694" s="2"/>
      <c r="I694" s="2"/>
      <c r="J694" s="2"/>
      <c r="K694" s="2"/>
    </row>
    <row r="695" ht="15.75" customHeight="1">
      <c r="A695" s="4" t="str">
        <f>HYPERLINK("https://stackoverflow.com/q/55126170", "55126170")</f>
        <v>55126170</v>
      </c>
      <c r="B695" s="1">
        <v>5.512617E7</v>
      </c>
      <c r="C695" s="2" t="s">
        <v>1954</v>
      </c>
      <c r="D695" s="3"/>
      <c r="E695" s="3">
        <v>136.0</v>
      </c>
      <c r="F695" s="9" t="s">
        <v>11</v>
      </c>
      <c r="G695" s="2" t="s">
        <v>16</v>
      </c>
      <c r="H695" s="2" t="s">
        <v>30</v>
      </c>
      <c r="I695" s="2"/>
      <c r="J695" s="2"/>
      <c r="K695" s="2"/>
    </row>
    <row r="696" ht="15.75" customHeight="1">
      <c r="A696" s="4" t="str">
        <f>HYPERLINK("https://stackoverflow.com/q/55136468", "55136468")</f>
        <v>55136468</v>
      </c>
      <c r="B696" s="1">
        <v>5.5136468E7</v>
      </c>
      <c r="C696" s="2" t="s">
        <v>1565</v>
      </c>
      <c r="D696" s="3"/>
      <c r="E696" s="3">
        <v>228.0</v>
      </c>
      <c r="F696" s="9" t="s">
        <v>11</v>
      </c>
      <c r="G696" s="2" t="s">
        <v>18</v>
      </c>
      <c r="H696" s="2"/>
      <c r="I696" s="2"/>
      <c r="J696" s="2"/>
      <c r="K696" s="2"/>
    </row>
    <row r="697" ht="15.75" customHeight="1">
      <c r="A697" s="4" t="str">
        <f>HYPERLINK("https://stackoverflow.com/q/55137884", "55137884")</f>
        <v>55137884</v>
      </c>
      <c r="B697" s="1">
        <v>5.5137884E7</v>
      </c>
      <c r="C697" s="2" t="s">
        <v>2378</v>
      </c>
      <c r="D697" s="3"/>
      <c r="E697" s="3">
        <v>77.0</v>
      </c>
      <c r="F697" s="2" t="s">
        <v>11</v>
      </c>
      <c r="G697" s="2" t="s">
        <v>12</v>
      </c>
      <c r="H697" s="2"/>
      <c r="I697" s="2"/>
      <c r="J697" s="2"/>
      <c r="K697" s="2"/>
    </row>
    <row r="698" ht="15.75" customHeight="1">
      <c r="A698" s="4" t="str">
        <f>HYPERLINK("https://stackoverflow.com/q/55143718", "55143718")</f>
        <v>55143718</v>
      </c>
      <c r="B698" s="1">
        <v>5.5143718E7</v>
      </c>
      <c r="C698" s="2" t="s">
        <v>2430</v>
      </c>
      <c r="D698" s="3"/>
      <c r="E698" s="3">
        <v>72.0</v>
      </c>
      <c r="F698" s="2" t="s">
        <v>11</v>
      </c>
      <c r="G698" s="2" t="s">
        <v>67</v>
      </c>
      <c r="H698" s="2"/>
      <c r="I698" s="2"/>
      <c r="J698" s="2"/>
      <c r="K698" s="2"/>
    </row>
    <row r="699" ht="15.75" customHeight="1">
      <c r="A699" s="4" t="str">
        <f>HYPERLINK("https://stackoverflow.com/q/55161617", "55161617")</f>
        <v>55161617</v>
      </c>
      <c r="B699" s="1">
        <v>5.5161617E7</v>
      </c>
      <c r="C699" s="2" t="s">
        <v>2403</v>
      </c>
      <c r="D699" s="3"/>
      <c r="E699" s="3">
        <v>75.0</v>
      </c>
      <c r="F699" s="2" t="s">
        <v>11</v>
      </c>
      <c r="G699" s="2" t="s">
        <v>44</v>
      </c>
      <c r="H699" s="2"/>
      <c r="I699" s="2"/>
      <c r="J699" s="2"/>
      <c r="K699" s="2"/>
    </row>
    <row r="700" ht="15.75" customHeight="1">
      <c r="A700" s="4" t="str">
        <f>HYPERLINK("https://stackoverflow.com/q/55164994", "55164994")</f>
        <v>55164994</v>
      </c>
      <c r="B700" s="1">
        <v>5.5164994E7</v>
      </c>
      <c r="C700" s="2" t="s">
        <v>2360</v>
      </c>
      <c r="D700" s="3"/>
      <c r="E700" s="3">
        <v>79.0</v>
      </c>
      <c r="F700" s="2" t="s">
        <v>11</v>
      </c>
      <c r="G700" s="2" t="s">
        <v>67</v>
      </c>
      <c r="H700" s="2"/>
      <c r="I700" s="2"/>
      <c r="J700" s="2"/>
      <c r="K700" s="2"/>
    </row>
    <row r="701" ht="15.75" customHeight="1">
      <c r="A701" s="4" t="str">
        <f>HYPERLINK("https://stackoverflow.com/q/55168898", "55168898")</f>
        <v>55168898</v>
      </c>
      <c r="B701" s="1">
        <v>5.5168898E7</v>
      </c>
      <c r="C701" s="2" t="s">
        <v>234</v>
      </c>
      <c r="D701" s="3"/>
      <c r="E701" s="3">
        <v>2097.0</v>
      </c>
      <c r="F701" s="2" t="s">
        <v>11</v>
      </c>
      <c r="G701" s="2" t="s">
        <v>67</v>
      </c>
      <c r="H701" s="2"/>
      <c r="I701" s="2"/>
      <c r="J701" s="2"/>
      <c r="K701" s="2"/>
    </row>
    <row r="702" ht="15.75" customHeight="1">
      <c r="A702" s="4" t="str">
        <f>HYPERLINK("https://stackoverflow.com/q/55176954", "55176954")</f>
        <v>55176954</v>
      </c>
      <c r="B702" s="1">
        <v>5.5176954E7</v>
      </c>
      <c r="C702" s="2" t="s">
        <v>2319</v>
      </c>
      <c r="D702" s="3"/>
      <c r="E702" s="3">
        <v>83.0</v>
      </c>
      <c r="F702" s="2" t="s">
        <v>11</v>
      </c>
      <c r="G702" s="2" t="s">
        <v>25</v>
      </c>
      <c r="H702" s="2"/>
      <c r="I702" s="2"/>
      <c r="J702" s="2"/>
      <c r="K702" s="2"/>
    </row>
    <row r="703" ht="15.75" customHeight="1">
      <c r="A703" s="4" t="str">
        <f>HYPERLINK("https://stackoverflow.com/q/55178584", "55178584")</f>
        <v>55178584</v>
      </c>
      <c r="B703" s="1">
        <v>5.5178584E7</v>
      </c>
      <c r="C703" s="2" t="s">
        <v>2683</v>
      </c>
      <c r="D703" s="3">
        <v>0.0</v>
      </c>
      <c r="E703" s="3">
        <v>53.0</v>
      </c>
      <c r="F703" s="2" t="s">
        <v>11</v>
      </c>
      <c r="G703" s="2" t="s">
        <v>67</v>
      </c>
      <c r="H703" s="2"/>
      <c r="I703" s="2"/>
      <c r="J703" s="2"/>
      <c r="K703" s="2"/>
    </row>
    <row r="704" ht="15.75" customHeight="1">
      <c r="A704" s="4" t="str">
        <f>HYPERLINK("https://stackoverflow.com/q/55179755", "55179755")</f>
        <v>55179755</v>
      </c>
      <c r="B704" s="1">
        <v>5.5179755E7</v>
      </c>
      <c r="C704" s="2" t="s">
        <v>2379</v>
      </c>
      <c r="D704" s="3"/>
      <c r="E704" s="3">
        <v>77.0</v>
      </c>
      <c r="F704" s="9" t="s">
        <v>11</v>
      </c>
      <c r="G704" s="2" t="s">
        <v>18</v>
      </c>
      <c r="H704" s="2"/>
      <c r="I704" s="2"/>
      <c r="J704" s="2"/>
      <c r="K704" s="2"/>
    </row>
    <row r="705" ht="15.75" customHeight="1">
      <c r="A705" s="4" t="str">
        <f>HYPERLINK("https://stackoverflow.com/q/55193693", "55193693")</f>
        <v>55193693</v>
      </c>
      <c r="B705" s="1">
        <v>5.5193693E7</v>
      </c>
      <c r="C705" s="2" t="s">
        <v>2673</v>
      </c>
      <c r="D705" s="3"/>
      <c r="E705" s="3">
        <v>54.0</v>
      </c>
      <c r="F705" s="2" t="s">
        <v>11</v>
      </c>
      <c r="G705" s="2" t="s">
        <v>44</v>
      </c>
      <c r="H705" s="2"/>
      <c r="I705" s="2"/>
      <c r="J705" s="2"/>
      <c r="K705" s="2"/>
    </row>
    <row r="706" ht="15.75" customHeight="1">
      <c r="A706" s="4" t="str">
        <f>HYPERLINK("https://stackoverflow.com/q/55196502", "55196502")</f>
        <v>55196502</v>
      </c>
      <c r="B706" s="1">
        <v>5.5196502E7</v>
      </c>
      <c r="C706" s="2" t="s">
        <v>2778</v>
      </c>
      <c r="D706" s="3"/>
      <c r="E706" s="3">
        <v>47.0</v>
      </c>
      <c r="F706" s="9" t="s">
        <v>11</v>
      </c>
      <c r="G706" s="2" t="s">
        <v>16</v>
      </c>
      <c r="H706" s="2"/>
      <c r="I706" s="2"/>
      <c r="J706" s="2"/>
      <c r="K706" s="2"/>
    </row>
    <row r="707" ht="15.75" customHeight="1">
      <c r="A707" s="4" t="str">
        <f>HYPERLINK("https://stackoverflow.com/q/55207558", "55207558")</f>
        <v>55207558</v>
      </c>
      <c r="B707" s="1">
        <v>5.5207558E7</v>
      </c>
      <c r="C707" s="2" t="s">
        <v>2186</v>
      </c>
      <c r="D707" s="3">
        <v>1.0</v>
      </c>
      <c r="E707" s="3">
        <v>97.0</v>
      </c>
      <c r="F707" s="2" t="s">
        <v>59</v>
      </c>
      <c r="G707" s="2" t="s">
        <v>538</v>
      </c>
      <c r="H707" s="2"/>
      <c r="I707" s="2"/>
      <c r="J707" s="2"/>
      <c r="K707" s="2"/>
    </row>
    <row r="708" ht="15.75" customHeight="1">
      <c r="A708" s="4" t="str">
        <f>HYPERLINK("https://stackoverflow.com/q/55212167", "55212167")</f>
        <v>55212167</v>
      </c>
      <c r="B708" s="1">
        <v>5.5212167E7</v>
      </c>
      <c r="C708" s="2" t="s">
        <v>1802</v>
      </c>
      <c r="D708" s="3"/>
      <c r="E708" s="3">
        <v>166.0</v>
      </c>
      <c r="F708" s="2" t="s">
        <v>11</v>
      </c>
      <c r="G708" s="2" t="s">
        <v>35</v>
      </c>
      <c r="H708" s="2"/>
      <c r="I708" s="2"/>
      <c r="J708" s="2"/>
      <c r="K708" s="2"/>
    </row>
    <row r="709" ht="15.75" customHeight="1">
      <c r="A709" s="4" t="str">
        <f>HYPERLINK("https://stackoverflow.com/q/55217961", "55217961")</f>
        <v>55217961</v>
      </c>
      <c r="B709" s="1">
        <v>5.5217961E7</v>
      </c>
      <c r="C709" s="2" t="s">
        <v>1345</v>
      </c>
      <c r="D709" s="3"/>
      <c r="E709" s="3">
        <v>321.0</v>
      </c>
      <c r="F709" s="2" t="s">
        <v>11</v>
      </c>
      <c r="G709" s="2" t="s">
        <v>12</v>
      </c>
      <c r="H709" s="2"/>
      <c r="I709" s="2"/>
      <c r="J709" s="2"/>
      <c r="K709" s="2"/>
    </row>
    <row r="710" ht="15.75" customHeight="1">
      <c r="A710" s="4" t="str">
        <f>HYPERLINK("https://stackoverflow.com/q/55219295", "55219295")</f>
        <v>55219295</v>
      </c>
      <c r="B710" s="1">
        <v>5.5219295E7</v>
      </c>
      <c r="C710" s="2" t="s">
        <v>3115</v>
      </c>
      <c r="D710" s="3">
        <v>1.0</v>
      </c>
      <c r="E710" s="3">
        <v>31.0</v>
      </c>
      <c r="F710" s="2" t="s">
        <v>11</v>
      </c>
      <c r="G710" s="2" t="s">
        <v>25</v>
      </c>
      <c r="H710" s="2"/>
      <c r="I710" s="2"/>
      <c r="J710" s="2"/>
      <c r="K710" s="2"/>
    </row>
    <row r="711" ht="15.75" customHeight="1">
      <c r="A711" s="4" t="str">
        <f>HYPERLINK("https://stackoverflow.com/q/55220499", "55220499")</f>
        <v>55220499</v>
      </c>
      <c r="B711" s="1">
        <v>5.5220499E7</v>
      </c>
      <c r="C711" s="2" t="s">
        <v>1119</v>
      </c>
      <c r="D711" s="3"/>
      <c r="E711" s="3">
        <v>415.0</v>
      </c>
      <c r="F711" s="2" t="s">
        <v>59</v>
      </c>
      <c r="G711" s="2" t="s">
        <v>21</v>
      </c>
      <c r="H711" s="2" t="s">
        <v>28</v>
      </c>
      <c r="I711" s="2"/>
      <c r="J711" s="2"/>
      <c r="K711" s="2"/>
    </row>
    <row r="712" ht="15.75" customHeight="1">
      <c r="A712" s="4" t="str">
        <f>HYPERLINK("https://stackoverflow.com/q/55220739", "55220739")</f>
        <v>55220739</v>
      </c>
      <c r="B712" s="1">
        <v>5.5220739E7</v>
      </c>
      <c r="C712" s="2" t="s">
        <v>2657</v>
      </c>
      <c r="D712" s="3"/>
      <c r="E712" s="3">
        <v>56.0</v>
      </c>
      <c r="F712" s="9" t="s">
        <v>11</v>
      </c>
      <c r="G712" s="2" t="s">
        <v>16</v>
      </c>
      <c r="H712" s="2"/>
      <c r="I712" s="2"/>
      <c r="J712" s="2"/>
      <c r="K712" s="2"/>
    </row>
    <row r="713" ht="15.75" customHeight="1">
      <c r="A713" s="4" t="str">
        <f>HYPERLINK("https://stackoverflow.com/q/55238384", "55238384")</f>
        <v>55238384</v>
      </c>
      <c r="B713" s="1">
        <v>5.5238384E7</v>
      </c>
      <c r="C713" s="2" t="s">
        <v>2099</v>
      </c>
      <c r="D713" s="3"/>
      <c r="E713" s="3">
        <v>109.0</v>
      </c>
      <c r="F713" s="2" t="s">
        <v>59</v>
      </c>
      <c r="G713" s="2" t="s">
        <v>21</v>
      </c>
      <c r="H713" s="2"/>
      <c r="I713" s="2"/>
      <c r="J713" s="2"/>
      <c r="K713" s="2"/>
    </row>
    <row r="714" ht="15.75" customHeight="1">
      <c r="A714" s="4" t="str">
        <f>HYPERLINK("https://stackoverflow.com/q/55240089", "55240089")</f>
        <v>55240089</v>
      </c>
      <c r="B714" s="1">
        <v>5.5240089E7</v>
      </c>
      <c r="C714" s="2" t="s">
        <v>2490</v>
      </c>
      <c r="D714" s="3">
        <v>1.0</v>
      </c>
      <c r="E714" s="3">
        <v>67.0</v>
      </c>
      <c r="F714" s="2" t="s">
        <v>11</v>
      </c>
      <c r="G714" s="2" t="s">
        <v>21</v>
      </c>
      <c r="H714" s="2" t="s">
        <v>25</v>
      </c>
      <c r="I714" s="2"/>
      <c r="J714" s="2"/>
      <c r="K714" s="2"/>
    </row>
    <row r="715" ht="15.75" customHeight="1">
      <c r="A715" s="4" t="str">
        <f>HYPERLINK("https://stackoverflow.com/q/55240373", "55240373")</f>
        <v>55240373</v>
      </c>
      <c r="B715" s="1">
        <v>5.5240373E7</v>
      </c>
      <c r="C715" s="2" t="s">
        <v>2842</v>
      </c>
      <c r="D715" s="3"/>
      <c r="E715" s="3">
        <v>44.0</v>
      </c>
      <c r="F715" s="9" t="s">
        <v>11</v>
      </c>
      <c r="G715" s="2" t="s">
        <v>18</v>
      </c>
      <c r="H715" s="2"/>
      <c r="I715" s="2"/>
      <c r="J715" s="2"/>
      <c r="K715" s="2"/>
    </row>
    <row r="716" ht="15.75" customHeight="1">
      <c r="A716" s="4" t="str">
        <f>HYPERLINK("https://stackoverflow.com/q/55242183", "55242183")</f>
        <v>55242183</v>
      </c>
      <c r="B716" s="1">
        <v>5.5242183E7</v>
      </c>
      <c r="C716" s="2" t="s">
        <v>807</v>
      </c>
      <c r="D716" s="3"/>
      <c r="E716" s="3">
        <v>616.0</v>
      </c>
      <c r="F716" s="2" t="s">
        <v>11</v>
      </c>
      <c r="G716" s="2" t="s">
        <v>67</v>
      </c>
      <c r="H716" s="2"/>
      <c r="I716" s="2"/>
      <c r="J716" s="2"/>
      <c r="K716" s="2"/>
    </row>
    <row r="717" ht="15.75" customHeight="1">
      <c r="A717" s="4" t="str">
        <f>HYPERLINK("https://stackoverflow.com/q/55244842", "55244842")</f>
        <v>55244842</v>
      </c>
      <c r="B717" s="1">
        <v>5.5244842E7</v>
      </c>
      <c r="C717" s="2" t="s">
        <v>2716</v>
      </c>
      <c r="D717" s="3"/>
      <c r="E717" s="3">
        <v>51.0</v>
      </c>
      <c r="F717" s="2"/>
      <c r="G717" s="2" t="s">
        <v>23</v>
      </c>
      <c r="H717" s="2"/>
      <c r="I717" s="2"/>
      <c r="J717" s="2"/>
      <c r="K717" s="2"/>
    </row>
    <row r="718" ht="15.75" customHeight="1">
      <c r="A718" s="4" t="str">
        <f>HYPERLINK("https://stackoverflow.com/q/55269741", "55269741")</f>
        <v>55269741</v>
      </c>
      <c r="B718" s="1">
        <v>5.5269741E7</v>
      </c>
      <c r="C718" s="2" t="s">
        <v>1081</v>
      </c>
      <c r="D718" s="3"/>
      <c r="E718" s="3">
        <v>439.0</v>
      </c>
      <c r="F718" s="2" t="s">
        <v>11</v>
      </c>
      <c r="G718" s="2" t="s">
        <v>25</v>
      </c>
      <c r="H718" s="2"/>
      <c r="I718" s="2"/>
      <c r="J718" s="2"/>
      <c r="K718" s="2"/>
    </row>
    <row r="719" ht="15.75" customHeight="1">
      <c r="A719" s="4" t="str">
        <f>HYPERLINK("https://stackoverflow.com/q/55275485", "55275485")</f>
        <v>55275485</v>
      </c>
      <c r="B719" s="1">
        <v>5.5275485E7</v>
      </c>
      <c r="C719" s="2" t="s">
        <v>3243</v>
      </c>
      <c r="D719" s="3"/>
      <c r="E719" s="3">
        <v>26.0</v>
      </c>
      <c r="F719" s="9" t="s">
        <v>11</v>
      </c>
      <c r="G719" s="2" t="s">
        <v>18</v>
      </c>
      <c r="H719" s="2"/>
      <c r="I719" s="2"/>
      <c r="J719" s="2"/>
      <c r="K719" s="2"/>
    </row>
    <row r="720" ht="15.75" customHeight="1">
      <c r="A720" s="4" t="str">
        <f>HYPERLINK("https://stackoverflow.com/q/55283256", "55283256")</f>
        <v>55283256</v>
      </c>
      <c r="B720" s="1">
        <v>5.5283256E7</v>
      </c>
      <c r="C720" s="2" t="s">
        <v>805</v>
      </c>
      <c r="D720" s="3">
        <v>2.0</v>
      </c>
      <c r="E720" s="3">
        <v>619.0</v>
      </c>
      <c r="F720" s="9" t="s">
        <v>11</v>
      </c>
      <c r="G720" s="2" t="s">
        <v>18</v>
      </c>
      <c r="H720" s="2"/>
      <c r="I720" s="2"/>
      <c r="J720" s="2"/>
      <c r="K720" s="2"/>
    </row>
    <row r="721" ht="15.75" customHeight="1">
      <c r="A721" s="4" t="str">
        <f>HYPERLINK("https://stackoverflow.com/q/55283966", "55283966")</f>
        <v>55283966</v>
      </c>
      <c r="B721" s="1">
        <v>5.5283966E7</v>
      </c>
      <c r="C721" s="2" t="s">
        <v>2012</v>
      </c>
      <c r="D721" s="3"/>
      <c r="E721" s="3">
        <v>122.0</v>
      </c>
      <c r="F721" s="9" t="s">
        <v>11</v>
      </c>
      <c r="G721" s="2" t="s">
        <v>16</v>
      </c>
      <c r="H721" s="2"/>
      <c r="I721" s="2"/>
      <c r="J721" s="2"/>
      <c r="K721" s="2"/>
    </row>
    <row r="722" ht="15.75" customHeight="1">
      <c r="A722" s="4" t="str">
        <f>HYPERLINK("https://stackoverflow.com/q/55286040", "55286040")</f>
        <v>55286040</v>
      </c>
      <c r="B722" s="1">
        <v>5.528604E7</v>
      </c>
      <c r="C722" s="2" t="s">
        <v>2045</v>
      </c>
      <c r="D722" s="3"/>
      <c r="E722" s="3">
        <v>118.0</v>
      </c>
      <c r="F722" s="9" t="s">
        <v>11</v>
      </c>
      <c r="G722" s="2" t="s">
        <v>18</v>
      </c>
      <c r="H722" s="2" t="s">
        <v>12</v>
      </c>
      <c r="I722" s="2"/>
      <c r="J722" s="2"/>
      <c r="K722" s="2"/>
    </row>
    <row r="723" ht="15.75" customHeight="1">
      <c r="A723" s="4" t="str">
        <f>HYPERLINK("https://stackoverflow.com/q/55297256", "55297256")</f>
        <v>55297256</v>
      </c>
      <c r="B723" s="1">
        <v>5.5297256E7</v>
      </c>
      <c r="C723" s="2" t="s">
        <v>2025</v>
      </c>
      <c r="D723" s="3"/>
      <c r="E723" s="3">
        <v>120.0</v>
      </c>
      <c r="F723" s="2" t="s">
        <v>11</v>
      </c>
      <c r="G723" s="2" t="s">
        <v>34</v>
      </c>
      <c r="H723" s="2" t="s">
        <v>30</v>
      </c>
      <c r="I723" s="2"/>
      <c r="J723" s="2"/>
      <c r="K723" s="2"/>
    </row>
    <row r="724" ht="15.75" customHeight="1">
      <c r="A724" s="4" t="str">
        <f>HYPERLINK("https://stackoverflow.com/q/55299725", "55299725")</f>
        <v>55299725</v>
      </c>
      <c r="B724" s="1">
        <v>5.5299725E7</v>
      </c>
      <c r="C724" s="2" t="s">
        <v>924</v>
      </c>
      <c r="D724" s="3">
        <v>1.0</v>
      </c>
      <c r="E724" s="3">
        <v>528.0</v>
      </c>
      <c r="F724" s="2" t="s">
        <v>11</v>
      </c>
      <c r="G724" s="2" t="s">
        <v>25</v>
      </c>
      <c r="H724" s="2" t="s">
        <v>18</v>
      </c>
      <c r="I724" s="2"/>
      <c r="J724" s="2"/>
      <c r="K724" s="2"/>
    </row>
    <row r="725" ht="15.75" customHeight="1">
      <c r="A725" s="4" t="str">
        <f>HYPERLINK("https://stackoverflow.com/q/55300016", "55300016")</f>
        <v>55300016</v>
      </c>
      <c r="B725" s="1">
        <v>5.5300016E7</v>
      </c>
      <c r="C725" s="2" t="s">
        <v>3060</v>
      </c>
      <c r="D725" s="3"/>
      <c r="E725" s="3">
        <v>33.0</v>
      </c>
      <c r="F725" s="2" t="s">
        <v>11</v>
      </c>
      <c r="G725" s="2" t="s">
        <v>12</v>
      </c>
      <c r="H725" s="2"/>
      <c r="I725" s="2"/>
      <c r="J725" s="2"/>
      <c r="K725" s="2"/>
    </row>
    <row r="726" ht="15.75" customHeight="1">
      <c r="A726" s="4" t="str">
        <f>HYPERLINK("https://stackoverflow.com/q/55304547", "55304547")</f>
        <v>55304547</v>
      </c>
      <c r="B726" s="1">
        <v>5.5304547E7</v>
      </c>
      <c r="C726" s="2" t="s">
        <v>1454</v>
      </c>
      <c r="D726" s="3">
        <v>2.0</v>
      </c>
      <c r="E726" s="3">
        <v>268.0</v>
      </c>
      <c r="F726" s="2" t="s">
        <v>59</v>
      </c>
      <c r="G726" s="2" t="s">
        <v>21</v>
      </c>
      <c r="H726" s="2"/>
      <c r="I726" s="2"/>
      <c r="J726" s="2"/>
      <c r="K726" s="2"/>
    </row>
    <row r="727" ht="15.75" customHeight="1">
      <c r="A727" s="4" t="str">
        <f>HYPERLINK("https://stackoverflow.com/q/55308559", "55308559")</f>
        <v>55308559</v>
      </c>
      <c r="B727" s="1">
        <v>5.5308559E7</v>
      </c>
      <c r="C727" s="2" t="s">
        <v>2799</v>
      </c>
      <c r="D727" s="3"/>
      <c r="E727" s="3">
        <v>46.0</v>
      </c>
      <c r="F727" s="2" t="s">
        <v>11</v>
      </c>
      <c r="G727" s="2" t="s">
        <v>28</v>
      </c>
      <c r="H727" s="2"/>
      <c r="I727" s="2"/>
      <c r="J727" s="2"/>
      <c r="K727" s="2"/>
    </row>
    <row r="728" ht="15.75" customHeight="1">
      <c r="A728" s="4" t="str">
        <f>HYPERLINK("https://stackoverflow.com/q/55312355", "55312355")</f>
        <v>55312355</v>
      </c>
      <c r="B728" s="1">
        <v>5.5312355E7</v>
      </c>
      <c r="C728" s="2" t="s">
        <v>1866</v>
      </c>
      <c r="D728" s="3">
        <v>1.0</v>
      </c>
      <c r="E728" s="3">
        <v>154.0</v>
      </c>
      <c r="F728" s="9" t="s">
        <v>11</v>
      </c>
      <c r="G728" s="2" t="s">
        <v>18</v>
      </c>
      <c r="H728" s="2" t="s">
        <v>25</v>
      </c>
      <c r="I728" s="2"/>
      <c r="J728" s="2"/>
      <c r="K728" s="2"/>
    </row>
    <row r="729" ht="15.75" customHeight="1">
      <c r="A729" s="4" t="str">
        <f>HYPERLINK("https://stackoverflow.com/q/55350422", "55350422")</f>
        <v>55350422</v>
      </c>
      <c r="B729" s="1">
        <v>5.5350422E7</v>
      </c>
      <c r="C729" s="2" t="s">
        <v>814</v>
      </c>
      <c r="D729" s="3"/>
      <c r="E729" s="3">
        <v>610.0</v>
      </c>
      <c r="F729" s="2" t="s">
        <v>11</v>
      </c>
      <c r="G729" s="2" t="s">
        <v>35</v>
      </c>
      <c r="H729" s="2"/>
      <c r="I729" s="2"/>
      <c r="J729" s="2"/>
      <c r="K729" s="2"/>
    </row>
    <row r="730" ht="15.75" customHeight="1">
      <c r="A730" s="4" t="str">
        <f>HYPERLINK("https://stackoverflow.com/q/55366951", "55366951")</f>
        <v>55366951</v>
      </c>
      <c r="B730" s="1">
        <v>5.5366951E7</v>
      </c>
      <c r="C730" s="2" t="s">
        <v>115</v>
      </c>
      <c r="D730" s="3"/>
      <c r="E730" s="3">
        <v>3621.0</v>
      </c>
      <c r="F730" s="2" t="s">
        <v>11</v>
      </c>
      <c r="G730" s="2" t="s">
        <v>67</v>
      </c>
      <c r="H730" s="2" t="s">
        <v>34</v>
      </c>
      <c r="I730" s="2"/>
      <c r="J730" s="2"/>
      <c r="K730" s="2"/>
    </row>
    <row r="731" ht="15.75" customHeight="1">
      <c r="A731" s="4" t="str">
        <f>HYPERLINK("https://stackoverflow.com/q/55367038", "55367038")</f>
        <v>55367038</v>
      </c>
      <c r="B731" s="1">
        <v>5.5367038E7</v>
      </c>
      <c r="C731" s="2" t="s">
        <v>3165</v>
      </c>
      <c r="D731" s="3"/>
      <c r="E731" s="3">
        <v>29.0</v>
      </c>
      <c r="F731" s="2" t="s">
        <v>59</v>
      </c>
      <c r="G731" s="2" t="s">
        <v>21</v>
      </c>
      <c r="H731" s="2" t="s">
        <v>34</v>
      </c>
      <c r="I731" s="2"/>
      <c r="J731" s="2"/>
      <c r="K731" s="2"/>
    </row>
    <row r="732" ht="15.75" customHeight="1">
      <c r="A732" s="4" t="str">
        <f>HYPERLINK("https://stackoverflow.com/q/55384701", "55384701")</f>
        <v>55384701</v>
      </c>
      <c r="B732" s="1">
        <v>5.5384701E7</v>
      </c>
      <c r="C732" s="2" t="s">
        <v>689</v>
      </c>
      <c r="D732" s="3"/>
      <c r="E732" s="3">
        <v>745.0</v>
      </c>
      <c r="F732" s="2" t="s">
        <v>11</v>
      </c>
      <c r="G732" s="2" t="s">
        <v>18</v>
      </c>
      <c r="H732" s="2" t="s">
        <v>44</v>
      </c>
      <c r="I732" s="2"/>
      <c r="J732" s="2"/>
      <c r="K732" s="2"/>
    </row>
    <row r="733" ht="15.75" customHeight="1">
      <c r="A733" s="4" t="str">
        <f>HYPERLINK("https://stackoverflow.com/q/55393388", "55393388")</f>
        <v>55393388</v>
      </c>
      <c r="B733" s="1">
        <v>5.5393388E7</v>
      </c>
      <c r="C733" s="2" t="s">
        <v>3268</v>
      </c>
      <c r="D733" s="3">
        <v>1.0</v>
      </c>
      <c r="E733" s="3">
        <v>25.0</v>
      </c>
      <c r="F733" s="2" t="s">
        <v>537</v>
      </c>
      <c r="G733" s="2" t="s">
        <v>183</v>
      </c>
      <c r="H733" s="2" t="s">
        <v>194</v>
      </c>
      <c r="I733" s="2"/>
      <c r="J733" s="2"/>
      <c r="K733" s="2"/>
    </row>
    <row r="734" ht="15.75" customHeight="1">
      <c r="A734" s="4" t="str">
        <f>HYPERLINK("https://stackoverflow.com/q/55405120", "55405120")</f>
        <v>55405120</v>
      </c>
      <c r="B734" s="1">
        <v>5.540512E7</v>
      </c>
      <c r="C734" s="2" t="s">
        <v>2244</v>
      </c>
      <c r="D734" s="3"/>
      <c r="E734" s="3">
        <v>90.0</v>
      </c>
      <c r="F734" s="2" t="s">
        <v>11</v>
      </c>
      <c r="G734" s="2" t="s">
        <v>67</v>
      </c>
      <c r="H734" s="2" t="s">
        <v>25</v>
      </c>
      <c r="I734" s="2"/>
      <c r="J734" s="2"/>
      <c r="K734" s="2"/>
    </row>
    <row r="735" ht="15.75" customHeight="1">
      <c r="A735" s="4" t="str">
        <f>HYPERLINK("https://stackoverflow.com/q/55408264", "55408264")</f>
        <v>55408264</v>
      </c>
      <c r="B735" s="1">
        <v>5.5408264E7</v>
      </c>
      <c r="C735" s="2" t="s">
        <v>2391</v>
      </c>
      <c r="D735" s="3"/>
      <c r="E735" s="3">
        <v>76.0</v>
      </c>
      <c r="F735" s="9" t="s">
        <v>11</v>
      </c>
      <c r="G735" s="2" t="s">
        <v>18</v>
      </c>
      <c r="H735" s="2"/>
      <c r="I735" s="2"/>
      <c r="J735" s="2"/>
      <c r="K735" s="2"/>
    </row>
    <row r="736" ht="15.75" customHeight="1">
      <c r="A736" s="4" t="str">
        <f>HYPERLINK("https://stackoverflow.com/q/55418261", "55418261")</f>
        <v>55418261</v>
      </c>
      <c r="B736" s="1">
        <v>5.5418261E7</v>
      </c>
      <c r="C736" s="2" t="s">
        <v>3537</v>
      </c>
      <c r="D736" s="3"/>
      <c r="E736" s="3">
        <v>12.0</v>
      </c>
      <c r="F736" s="2" t="s">
        <v>11</v>
      </c>
      <c r="G736" s="2" t="s">
        <v>35</v>
      </c>
      <c r="H736" s="2"/>
      <c r="I736" s="2"/>
      <c r="J736" s="2"/>
      <c r="K736" s="2"/>
    </row>
    <row r="737" ht="15.75" customHeight="1">
      <c r="A737" s="4" t="str">
        <f>HYPERLINK("https://stackoverflow.com/q/55419294", "55419294")</f>
        <v>55419294</v>
      </c>
      <c r="B737" s="1">
        <v>5.5419294E7</v>
      </c>
      <c r="C737" s="2" t="s">
        <v>1824</v>
      </c>
      <c r="D737" s="3">
        <v>1.0</v>
      </c>
      <c r="E737" s="3">
        <v>163.0</v>
      </c>
      <c r="F737" s="2" t="s">
        <v>11</v>
      </c>
      <c r="G737" s="2" t="s">
        <v>28</v>
      </c>
      <c r="H737" s="2" t="s">
        <v>21</v>
      </c>
      <c r="I737" s="2"/>
      <c r="J737" s="2"/>
      <c r="K737" s="2"/>
    </row>
    <row r="738" ht="15.75" customHeight="1">
      <c r="A738" s="4" t="str">
        <f>HYPERLINK("https://stackoverflow.com/q/55426906", "55426906")</f>
        <v>55426906</v>
      </c>
      <c r="B738" s="1">
        <v>5.5426906E7</v>
      </c>
      <c r="C738" s="2" t="s">
        <v>2568</v>
      </c>
      <c r="D738" s="3"/>
      <c r="E738" s="3">
        <v>62.0</v>
      </c>
      <c r="F738" s="2" t="s">
        <v>11</v>
      </c>
      <c r="G738" s="2" t="s">
        <v>56</v>
      </c>
      <c r="H738" s="2"/>
      <c r="I738" s="2"/>
      <c r="J738" s="2"/>
      <c r="K738" s="2"/>
    </row>
    <row r="739" ht="15.75" customHeight="1">
      <c r="A739" s="4" t="str">
        <f>HYPERLINK("https://stackoverflow.com/q/55435560", "55435560")</f>
        <v>55435560</v>
      </c>
      <c r="B739" s="1">
        <v>5.543556E7</v>
      </c>
      <c r="C739" s="2" t="s">
        <v>2413</v>
      </c>
      <c r="D739" s="3"/>
      <c r="E739" s="3">
        <v>74.0</v>
      </c>
      <c r="F739" s="2" t="s">
        <v>11</v>
      </c>
      <c r="G739" s="2" t="s">
        <v>35</v>
      </c>
      <c r="H739" s="2" t="s">
        <v>18</v>
      </c>
      <c r="I739" s="2"/>
      <c r="J739" s="2"/>
      <c r="K739" s="2"/>
    </row>
    <row r="740" ht="15.75" customHeight="1">
      <c r="A740" s="4" t="str">
        <f>HYPERLINK("https://stackoverflow.com/q/55450821", "55450821")</f>
        <v>55450821</v>
      </c>
      <c r="B740" s="1">
        <v>5.5450821E7</v>
      </c>
      <c r="C740" s="2" t="s">
        <v>2034</v>
      </c>
      <c r="D740" s="3"/>
      <c r="E740" s="3">
        <v>119.0</v>
      </c>
      <c r="F740" s="9" t="s">
        <v>11</v>
      </c>
      <c r="G740" s="2" t="s">
        <v>18</v>
      </c>
      <c r="H740" s="2"/>
      <c r="I740" s="2"/>
      <c r="J740" s="2"/>
      <c r="K740" s="2"/>
    </row>
    <row r="741" ht="15.75" customHeight="1">
      <c r="A741" s="4" t="str">
        <f>HYPERLINK("https://stackoverflow.com/q/55471101", "55471101")</f>
        <v>55471101</v>
      </c>
      <c r="B741" s="1">
        <v>5.5471101E7</v>
      </c>
      <c r="C741" s="2" t="s">
        <v>2101</v>
      </c>
      <c r="D741" s="3"/>
      <c r="E741" s="3">
        <v>109.0</v>
      </c>
      <c r="F741" s="2" t="s">
        <v>11</v>
      </c>
      <c r="G741" s="2" t="s">
        <v>67</v>
      </c>
      <c r="H741" s="2" t="s">
        <v>25</v>
      </c>
      <c r="I741" s="2"/>
      <c r="J741" s="2"/>
      <c r="K741" s="2"/>
    </row>
    <row r="742" ht="15.75" customHeight="1">
      <c r="A742" s="4" t="str">
        <f>HYPERLINK("https://stackoverflow.com/q/55471918", "55471918")</f>
        <v>55471918</v>
      </c>
      <c r="B742" s="1">
        <v>5.5471918E7</v>
      </c>
      <c r="C742" s="2" t="s">
        <v>2507</v>
      </c>
      <c r="D742" s="3">
        <v>1.0</v>
      </c>
      <c r="E742" s="3">
        <v>66.0</v>
      </c>
      <c r="F742" s="2" t="s">
        <v>11</v>
      </c>
      <c r="G742" s="2" t="s">
        <v>12</v>
      </c>
      <c r="H742" s="2"/>
      <c r="I742" s="2"/>
      <c r="J742" s="2"/>
      <c r="K742" s="2"/>
    </row>
    <row r="743" ht="15.75" customHeight="1">
      <c r="A743" s="4" t="str">
        <f>HYPERLINK("https://stackoverflow.com/q/55476156", "55476156")</f>
        <v>55476156</v>
      </c>
      <c r="B743" s="1">
        <v>5.5476156E7</v>
      </c>
      <c r="C743" s="2" t="s">
        <v>1788</v>
      </c>
      <c r="D743" s="3">
        <v>1.0</v>
      </c>
      <c r="E743" s="3">
        <v>169.0</v>
      </c>
      <c r="F743" s="2" t="s">
        <v>11</v>
      </c>
      <c r="G743" s="2" t="s">
        <v>67</v>
      </c>
      <c r="H743" s="2"/>
      <c r="I743" s="2"/>
      <c r="J743" s="2"/>
      <c r="K743" s="2"/>
    </row>
    <row r="744" ht="15.75" customHeight="1">
      <c r="A744" s="4" t="str">
        <f>HYPERLINK("https://stackoverflow.com/q/55484404", "55484404")</f>
        <v>55484404</v>
      </c>
      <c r="B744" s="1">
        <v>5.5484404E7</v>
      </c>
      <c r="C744" s="2" t="s">
        <v>2668</v>
      </c>
      <c r="D744" s="3"/>
      <c r="E744" s="3">
        <v>55.0</v>
      </c>
      <c r="F744" s="2" t="s">
        <v>11</v>
      </c>
      <c r="G744" s="2" t="s">
        <v>12</v>
      </c>
      <c r="H744" s="2"/>
      <c r="I744" s="2"/>
      <c r="J744" s="2"/>
      <c r="K744" s="2"/>
    </row>
    <row r="745" ht="15.75" customHeight="1">
      <c r="A745" s="4" t="str">
        <f>HYPERLINK("https://stackoverflow.com/q/55488988", "55488988")</f>
        <v>55488988</v>
      </c>
      <c r="B745" s="1">
        <v>5.5488988E7</v>
      </c>
      <c r="C745" s="2" t="s">
        <v>2348</v>
      </c>
      <c r="D745" s="3"/>
      <c r="E745" s="3">
        <v>80.0</v>
      </c>
      <c r="F745" s="2" t="s">
        <v>11</v>
      </c>
      <c r="G745" s="2" t="s">
        <v>25</v>
      </c>
      <c r="H745" s="2" t="s">
        <v>14</v>
      </c>
      <c r="I745" s="2"/>
      <c r="J745" s="2"/>
      <c r="K745" s="2"/>
    </row>
    <row r="746" ht="15.75" customHeight="1">
      <c r="A746" s="4" t="str">
        <f>HYPERLINK("https://stackoverflow.com/q/55489868", "55489868")</f>
        <v>55489868</v>
      </c>
      <c r="B746" s="1">
        <v>5.5489868E7</v>
      </c>
      <c r="C746" s="2" t="s">
        <v>2167</v>
      </c>
      <c r="D746" s="3">
        <v>1.0</v>
      </c>
      <c r="E746" s="3">
        <v>100.0</v>
      </c>
      <c r="F746" s="9" t="s">
        <v>11</v>
      </c>
      <c r="G746" s="2" t="s">
        <v>16</v>
      </c>
      <c r="H746" s="2"/>
      <c r="I746" s="2"/>
      <c r="J746" s="2"/>
      <c r="K746" s="2"/>
    </row>
    <row r="747" ht="15.75" customHeight="1">
      <c r="A747" s="4" t="str">
        <f>HYPERLINK("https://stackoverflow.com/q/55505857", "55505857")</f>
        <v>55505857</v>
      </c>
      <c r="B747" s="1">
        <v>5.5505857E7</v>
      </c>
      <c r="C747" s="2" t="s">
        <v>1633</v>
      </c>
      <c r="D747" s="3">
        <v>1.0</v>
      </c>
      <c r="E747" s="3">
        <v>214.0</v>
      </c>
      <c r="F747" s="9" t="s">
        <v>11</v>
      </c>
      <c r="G747" s="2" t="s">
        <v>18</v>
      </c>
      <c r="H747" s="2" t="s">
        <v>25</v>
      </c>
      <c r="I747" s="2"/>
      <c r="J747" s="2"/>
      <c r="K747" s="2"/>
    </row>
    <row r="748" ht="15.75" customHeight="1">
      <c r="A748" s="4" t="str">
        <f>HYPERLINK("https://stackoverflow.com/q/55511505", "55511505")</f>
        <v>55511505</v>
      </c>
      <c r="B748" s="1">
        <v>5.5511505E7</v>
      </c>
      <c r="C748" s="2" t="s">
        <v>2983</v>
      </c>
      <c r="D748" s="3"/>
      <c r="E748" s="3">
        <v>36.0</v>
      </c>
      <c r="F748" s="2" t="s">
        <v>11</v>
      </c>
      <c r="G748" s="2" t="s">
        <v>12</v>
      </c>
      <c r="H748" s="2"/>
      <c r="I748" s="2"/>
      <c r="J748" s="2"/>
      <c r="K748" s="2"/>
    </row>
    <row r="749" ht="15.75" customHeight="1">
      <c r="A749" s="4" t="str">
        <f>HYPERLINK("https://stackoverflow.com/q/55511963", "55511963")</f>
        <v>55511963</v>
      </c>
      <c r="B749" s="1">
        <v>5.5511963E7</v>
      </c>
      <c r="C749" s="2" t="s">
        <v>1127</v>
      </c>
      <c r="D749" s="3"/>
      <c r="E749" s="3">
        <v>412.0</v>
      </c>
      <c r="F749" s="2" t="s">
        <v>11</v>
      </c>
      <c r="G749" s="2" t="s">
        <v>67</v>
      </c>
      <c r="H749" s="2"/>
      <c r="I749" s="2"/>
      <c r="J749" s="2"/>
      <c r="K749" s="2"/>
    </row>
    <row r="750" ht="15.75" customHeight="1">
      <c r="A750" s="4" t="str">
        <f>HYPERLINK("https://stackoverflow.com/q/55514820", "55514820")</f>
        <v>55514820</v>
      </c>
      <c r="B750" s="1">
        <v>5.551482E7</v>
      </c>
      <c r="C750" s="2" t="s">
        <v>1641</v>
      </c>
      <c r="D750" s="3"/>
      <c r="E750" s="3">
        <v>212.0</v>
      </c>
      <c r="F750" s="2" t="s">
        <v>11</v>
      </c>
      <c r="G750" s="2" t="s">
        <v>73</v>
      </c>
      <c r="H750" s="2"/>
      <c r="I750" s="2"/>
      <c r="J750" s="2"/>
      <c r="K750" s="2"/>
    </row>
    <row r="751" ht="15.75" customHeight="1">
      <c r="A751" s="4" t="str">
        <f>HYPERLINK("https://stackoverflow.com/q/55520394", "55520394")</f>
        <v>55520394</v>
      </c>
      <c r="B751" s="1">
        <v>5.5520394E7</v>
      </c>
      <c r="C751" s="2" t="s">
        <v>2436</v>
      </c>
      <c r="D751" s="3">
        <v>1.0</v>
      </c>
      <c r="E751" s="3">
        <v>71.0</v>
      </c>
      <c r="F751" s="2" t="s">
        <v>11</v>
      </c>
      <c r="G751" s="2" t="s">
        <v>12</v>
      </c>
      <c r="H751" s="2"/>
      <c r="I751" s="2"/>
      <c r="J751" s="2"/>
      <c r="K751" s="2"/>
    </row>
    <row r="752" ht="15.75" customHeight="1">
      <c r="A752" s="4" t="str">
        <f>HYPERLINK("https://stackoverflow.com/q/55525227", "55525227")</f>
        <v>55525227</v>
      </c>
      <c r="B752" s="1">
        <v>5.5525227E7</v>
      </c>
      <c r="C752" s="2" t="s">
        <v>1140</v>
      </c>
      <c r="D752" s="3">
        <v>1.0</v>
      </c>
      <c r="E752" s="3">
        <v>404.0</v>
      </c>
      <c r="F752" s="2" t="s">
        <v>11</v>
      </c>
      <c r="G752" s="2" t="s">
        <v>44</v>
      </c>
      <c r="H752" s="2"/>
      <c r="I752" s="2"/>
      <c r="J752" s="2"/>
      <c r="K752" s="2"/>
    </row>
    <row r="753" ht="15.75" customHeight="1">
      <c r="A753" s="4" t="str">
        <f>HYPERLINK("https://stackoverflow.com/q/55537720", "55537720")</f>
        <v>55537720</v>
      </c>
      <c r="B753" s="1">
        <v>5.553772E7</v>
      </c>
      <c r="C753" s="2" t="s">
        <v>428</v>
      </c>
      <c r="D753" s="3"/>
      <c r="E753" s="3">
        <v>1239.0</v>
      </c>
      <c r="F753" s="2" t="s">
        <v>11</v>
      </c>
      <c r="G753" s="2" t="s">
        <v>67</v>
      </c>
      <c r="H753" s="2"/>
      <c r="I753" s="2"/>
      <c r="J753" s="2"/>
      <c r="K753" s="2"/>
    </row>
    <row r="754" ht="15.75" customHeight="1">
      <c r="A754" s="4" t="str">
        <f>HYPERLINK("https://stackoverflow.com/q/55542723", "55542723")</f>
        <v>55542723</v>
      </c>
      <c r="B754" s="1">
        <v>5.5542723E7</v>
      </c>
      <c r="C754" s="2" t="s">
        <v>661</v>
      </c>
      <c r="D754" s="3"/>
      <c r="E754" s="3">
        <v>788.0</v>
      </c>
      <c r="F754" s="2" t="s">
        <v>11</v>
      </c>
      <c r="G754" s="2" t="s">
        <v>18</v>
      </c>
      <c r="H754" s="2"/>
      <c r="I754" s="2"/>
      <c r="J754" s="2"/>
      <c r="K754" s="2"/>
    </row>
    <row r="755" ht="15.75" customHeight="1">
      <c r="A755" s="4" t="str">
        <f>HYPERLINK("https://stackoverflow.com/q/55549922", "55549922")</f>
        <v>55549922</v>
      </c>
      <c r="B755" s="1">
        <v>5.5549922E7</v>
      </c>
      <c r="C755" s="2" t="s">
        <v>2858</v>
      </c>
      <c r="D755" s="3"/>
      <c r="E755" s="3">
        <v>43.0</v>
      </c>
      <c r="F755" s="2" t="s">
        <v>11</v>
      </c>
      <c r="G755" s="2" t="s">
        <v>56</v>
      </c>
      <c r="H755" s="2"/>
      <c r="I755" s="2"/>
      <c r="J755" s="2"/>
      <c r="K755" s="2"/>
    </row>
    <row r="756" ht="15.75" customHeight="1">
      <c r="A756" s="4" t="str">
        <f>HYPERLINK("https://stackoverflow.com/q/55559831", "55559831")</f>
        <v>55559831</v>
      </c>
      <c r="B756" s="1">
        <v>5.5559831E7</v>
      </c>
      <c r="C756" s="2" t="s">
        <v>2174</v>
      </c>
      <c r="D756" s="3">
        <v>1.0</v>
      </c>
      <c r="E756" s="3">
        <v>99.0</v>
      </c>
      <c r="F756" s="2" t="s">
        <v>11</v>
      </c>
      <c r="G756" s="2" t="s">
        <v>44</v>
      </c>
      <c r="H756" s="2"/>
      <c r="I756" s="2"/>
      <c r="J756" s="2"/>
      <c r="K756" s="2"/>
    </row>
    <row r="757" ht="15.75" customHeight="1">
      <c r="A757" s="4" t="str">
        <f>HYPERLINK("https://stackoverflow.com/q/55571946", "55571946")</f>
        <v>55571946</v>
      </c>
      <c r="B757" s="1">
        <v>5.5571946E7</v>
      </c>
      <c r="C757" s="2" t="s">
        <v>2758</v>
      </c>
      <c r="D757" s="3"/>
      <c r="E757" s="3">
        <v>48.0</v>
      </c>
      <c r="F757" s="2" t="s">
        <v>11</v>
      </c>
      <c r="G757" s="2" t="s">
        <v>12</v>
      </c>
      <c r="H757" s="2"/>
      <c r="I757" s="2"/>
      <c r="J757" s="2"/>
      <c r="K757" s="2"/>
    </row>
    <row r="758" ht="15.75" customHeight="1">
      <c r="A758" s="4" t="str">
        <f>HYPERLINK("https://stackoverflow.com/q/55574590", "55574590")</f>
        <v>55574590</v>
      </c>
      <c r="B758" s="1">
        <v>5.557459E7</v>
      </c>
      <c r="C758" s="2" t="s">
        <v>1818</v>
      </c>
      <c r="D758" s="3"/>
      <c r="E758" s="3">
        <v>164.0</v>
      </c>
      <c r="F758" s="2" t="s">
        <v>11</v>
      </c>
      <c r="G758" s="2" t="s">
        <v>12</v>
      </c>
      <c r="H758" s="2"/>
      <c r="I758" s="2"/>
      <c r="J758" s="2"/>
      <c r="K758" s="2"/>
    </row>
    <row r="759" ht="15.75" customHeight="1">
      <c r="A759" s="4" t="str">
        <f>HYPERLINK("https://stackoverflow.com/q/55594848", "55594848")</f>
        <v>55594848</v>
      </c>
      <c r="B759" s="1">
        <v>5.5594848E7</v>
      </c>
      <c r="C759" s="2" t="s">
        <v>1154</v>
      </c>
      <c r="D759" s="3"/>
      <c r="E759" s="3">
        <v>395.0</v>
      </c>
      <c r="F759" s="2" t="s">
        <v>11</v>
      </c>
      <c r="G759" s="2" t="s">
        <v>56</v>
      </c>
      <c r="H759" s="2"/>
      <c r="I759" s="2"/>
      <c r="J759" s="2"/>
      <c r="K759" s="2"/>
    </row>
    <row r="760" ht="15.75" customHeight="1">
      <c r="A760" s="4" t="str">
        <f>HYPERLINK("https://stackoverflow.com/q/55749828", "55749828")</f>
        <v>55749828</v>
      </c>
      <c r="B760" s="1">
        <v>5.5749828E7</v>
      </c>
      <c r="C760" s="2" t="s">
        <v>1767</v>
      </c>
      <c r="D760" s="3"/>
      <c r="E760" s="3">
        <v>174.0</v>
      </c>
      <c r="F760" s="2" t="s">
        <v>11</v>
      </c>
      <c r="G760" s="2" t="s">
        <v>35</v>
      </c>
      <c r="H760" s="2"/>
      <c r="I760" s="2"/>
      <c r="J760" s="2"/>
      <c r="K760" s="2"/>
    </row>
    <row r="761" ht="15.75" customHeight="1">
      <c r="A761" s="4" t="str">
        <f>HYPERLINK("https://stackoverflow.com/q/55935097", "55935097")</f>
        <v>55935097</v>
      </c>
      <c r="B761" s="1">
        <v>5.5935097E7</v>
      </c>
      <c r="C761" s="2" t="s">
        <v>2927</v>
      </c>
      <c r="D761" s="3"/>
      <c r="E761" s="3">
        <v>39.0</v>
      </c>
      <c r="F761" s="2" t="s">
        <v>11</v>
      </c>
      <c r="G761" s="2" t="s">
        <v>25</v>
      </c>
      <c r="H761" s="2"/>
      <c r="I761" s="2"/>
      <c r="J761" s="2"/>
      <c r="K761" s="2"/>
    </row>
    <row r="762" ht="15.75" customHeight="1">
      <c r="A762" s="4" t="str">
        <f>HYPERLINK("https://stackoverflow.com/q/56134883", "56134883")</f>
        <v>56134883</v>
      </c>
      <c r="B762" s="1">
        <v>5.6134883E7</v>
      </c>
      <c r="C762" s="2" t="s">
        <v>2289</v>
      </c>
      <c r="D762" s="3"/>
      <c r="E762" s="3">
        <v>85.0</v>
      </c>
      <c r="F762" s="9" t="s">
        <v>11</v>
      </c>
      <c r="G762" s="2" t="s">
        <v>18</v>
      </c>
      <c r="H762" s="2"/>
      <c r="I762" s="2"/>
      <c r="J762" s="2"/>
      <c r="K762" s="2"/>
    </row>
    <row r="763" ht="15.75" customHeight="1">
      <c r="A763" s="4" t="str">
        <f>HYPERLINK("https://stackoverflow.com/q/56717423", "56717423")</f>
        <v>56717423</v>
      </c>
      <c r="B763" s="1">
        <v>5.6717423E7</v>
      </c>
      <c r="C763" s="2" t="s">
        <v>270</v>
      </c>
      <c r="D763" s="3"/>
      <c r="E763" s="3">
        <v>1845.0</v>
      </c>
      <c r="F763" s="2" t="s">
        <v>11</v>
      </c>
      <c r="G763" s="2" t="s">
        <v>67</v>
      </c>
      <c r="H763" s="2"/>
      <c r="I763" s="2"/>
      <c r="J763" s="2"/>
      <c r="K763" s="2"/>
    </row>
    <row r="764" ht="15.75" customHeight="1">
      <c r="A764" s="4" t="str">
        <f>HYPERLINK("https://stackoverflow.com/q/56796657", "56796657")</f>
        <v>56796657</v>
      </c>
      <c r="B764" s="1">
        <v>5.6796657E7</v>
      </c>
      <c r="C764" s="2" t="s">
        <v>48</v>
      </c>
      <c r="D764" s="3"/>
      <c r="E764" s="3">
        <v>7999.0</v>
      </c>
      <c r="F764" s="2" t="s">
        <v>11</v>
      </c>
      <c r="G764" s="2" t="s">
        <v>49</v>
      </c>
      <c r="H764" s="2"/>
      <c r="I764" s="2"/>
      <c r="J764" s="2"/>
      <c r="K764" s="2"/>
    </row>
    <row r="765" ht="15.75" customHeight="1">
      <c r="A765" s="4" t="str">
        <f>HYPERLINK("https://stackoverflow.com/q/57225559", "57225559")</f>
        <v>57225559</v>
      </c>
      <c r="B765" s="1">
        <v>5.7225559E7</v>
      </c>
      <c r="C765" s="2" t="s">
        <v>3092</v>
      </c>
      <c r="D765" s="3"/>
      <c r="E765" s="3">
        <v>32.0</v>
      </c>
      <c r="F765" s="2" t="s">
        <v>11</v>
      </c>
      <c r="G765" s="2" t="s">
        <v>2269</v>
      </c>
      <c r="H765" s="2" t="s">
        <v>28</v>
      </c>
      <c r="I765" s="2"/>
      <c r="J765" s="2"/>
      <c r="K765" s="2"/>
    </row>
    <row r="766" ht="15.75" customHeight="1">
      <c r="A766" s="4" t="str">
        <f>HYPERLINK("https://stackoverflow.com/q/57657610", "57657610")</f>
        <v>57657610</v>
      </c>
      <c r="B766" s="1">
        <v>5.765761E7</v>
      </c>
      <c r="C766" s="2" t="s">
        <v>3188</v>
      </c>
      <c r="D766" s="3"/>
      <c r="E766" s="3">
        <v>28.0</v>
      </c>
      <c r="F766" s="2" t="s">
        <v>11</v>
      </c>
      <c r="G766" s="2" t="s">
        <v>183</v>
      </c>
      <c r="H766" s="2"/>
      <c r="I766" s="2"/>
      <c r="J766" s="2"/>
      <c r="K766" s="2"/>
    </row>
    <row r="767" ht="15.75" customHeight="1">
      <c r="A767" s="4" t="str">
        <f>HYPERLINK("https://stackoverflow.com/q/58429974", "58429974")</f>
        <v>58429974</v>
      </c>
      <c r="B767" s="1">
        <v>5.8429974E7</v>
      </c>
      <c r="C767" s="2" t="s">
        <v>3546</v>
      </c>
      <c r="D767" s="3"/>
      <c r="E767" s="3">
        <v>12.0</v>
      </c>
      <c r="F767" s="2" t="s">
        <v>537</v>
      </c>
      <c r="G767" s="2" t="s">
        <v>183</v>
      </c>
      <c r="H767" s="2"/>
      <c r="I767" s="2"/>
      <c r="J767" s="2"/>
      <c r="K767" s="2"/>
    </row>
    <row r="768" ht="15.75" customHeight="1">
      <c r="A768" s="4" t="str">
        <f>HYPERLINK("https://stackoverflow.com/q/59524629", "59524629")</f>
        <v>59524629</v>
      </c>
      <c r="B768" s="1">
        <v>5.9524629E7</v>
      </c>
      <c r="C768" s="2" t="s">
        <v>1396</v>
      </c>
      <c r="D768" s="3"/>
      <c r="E768" s="3">
        <v>297.0</v>
      </c>
      <c r="F768" s="2" t="s">
        <v>11</v>
      </c>
      <c r="G768" s="2" t="s">
        <v>34</v>
      </c>
      <c r="H768" s="2"/>
      <c r="I768" s="2"/>
      <c r="J768" s="2"/>
      <c r="K768" s="2"/>
    </row>
    <row r="769" ht="15.75" customHeight="1">
      <c r="A769" s="4" t="str">
        <f>HYPERLINK("https://stackoverflow.com/q/59527840", "59527840")</f>
        <v>59527840</v>
      </c>
      <c r="B769" s="1">
        <v>5.952784E7</v>
      </c>
      <c r="C769" s="2" t="s">
        <v>2928</v>
      </c>
      <c r="D769" s="3"/>
      <c r="E769" s="3">
        <v>39.0</v>
      </c>
      <c r="F769" s="2" t="s">
        <v>11</v>
      </c>
      <c r="G769" s="2" t="s">
        <v>67</v>
      </c>
      <c r="H769" s="2"/>
      <c r="I769" s="2"/>
      <c r="J769" s="2"/>
      <c r="K769" s="2"/>
    </row>
    <row r="770" ht="15.75" customHeight="1">
      <c r="A770" s="4" t="str">
        <f>HYPERLINK("https://stackoverflow.com/q/61011463", "61011463")</f>
        <v>61011463</v>
      </c>
      <c r="B770" s="1">
        <v>6.1011463E7</v>
      </c>
      <c r="C770" s="2" t="s">
        <v>3621</v>
      </c>
      <c r="D770" s="3"/>
      <c r="E770" s="3">
        <v>6.0</v>
      </c>
      <c r="F770" s="2" t="s">
        <v>11</v>
      </c>
      <c r="G770" s="2" t="s">
        <v>183</v>
      </c>
      <c r="H770" s="2"/>
      <c r="I770" s="2"/>
      <c r="J770" s="2"/>
      <c r="K770" s="2"/>
    </row>
    <row r="771" ht="15.75" customHeight="1">
      <c r="A771" s="4" t="str">
        <f>HYPERLINK("https://stackoverflow.com/q/61112343", "61112343")</f>
        <v>61112343</v>
      </c>
      <c r="B771" s="1">
        <v>6.1112343E7</v>
      </c>
      <c r="C771" s="2" t="s">
        <v>3572</v>
      </c>
      <c r="D771" s="3"/>
      <c r="E771" s="3">
        <v>10.0</v>
      </c>
      <c r="F771" s="2" t="s">
        <v>11</v>
      </c>
      <c r="G771" s="2" t="s">
        <v>67</v>
      </c>
      <c r="H771" s="2"/>
      <c r="I771" s="2"/>
      <c r="J771" s="2"/>
      <c r="K771" s="2"/>
    </row>
    <row r="772" ht="15.75" customHeight="1">
      <c r="A772" s="4" t="str">
        <f>HYPERLINK("https://stackoverflow.com/q/61120900", "61120900")</f>
        <v>61120900</v>
      </c>
      <c r="B772" s="1">
        <v>6.11209E7</v>
      </c>
      <c r="C772" s="2" t="s">
        <v>3120</v>
      </c>
      <c r="D772" s="3"/>
      <c r="E772" s="3">
        <v>31.0</v>
      </c>
      <c r="F772" s="2" t="s">
        <v>11</v>
      </c>
      <c r="G772" s="2" t="s">
        <v>12</v>
      </c>
      <c r="H772" s="2"/>
      <c r="I772" s="2"/>
      <c r="J772" s="2"/>
      <c r="K772" s="2"/>
    </row>
    <row r="773" ht="15.75" customHeight="1">
      <c r="A773" s="4" t="str">
        <f>HYPERLINK("https://stackoverflow.com/q/61123415", "61123415")</f>
        <v>61123415</v>
      </c>
      <c r="B773" s="1">
        <v>6.1123415E7</v>
      </c>
      <c r="C773" s="2" t="s">
        <v>2729</v>
      </c>
      <c r="D773" s="3"/>
      <c r="E773" s="3">
        <v>50.0</v>
      </c>
      <c r="F773" s="9" t="s">
        <v>11</v>
      </c>
      <c r="G773" s="2" t="s">
        <v>18</v>
      </c>
      <c r="H773" s="2"/>
      <c r="I773" s="2"/>
      <c r="J773" s="2"/>
      <c r="K773" s="2"/>
    </row>
    <row r="774" ht="15.75" customHeight="1">
      <c r="A774" s="4" t="str">
        <f>HYPERLINK("https://stackoverflow.com/q/61127025", "61127025")</f>
        <v>61127025</v>
      </c>
      <c r="B774" s="1">
        <v>6.1127025E7</v>
      </c>
      <c r="C774" s="2" t="s">
        <v>2730</v>
      </c>
      <c r="D774" s="3"/>
      <c r="E774" s="3">
        <v>50.0</v>
      </c>
      <c r="F774" s="2" t="s">
        <v>11</v>
      </c>
      <c r="G774" s="2" t="s">
        <v>25</v>
      </c>
      <c r="H774" s="2"/>
      <c r="I774" s="2"/>
      <c r="J774" s="2"/>
      <c r="K774" s="2"/>
    </row>
    <row r="775" ht="15.75" customHeight="1">
      <c r="A775" s="4" t="str">
        <f>HYPERLINK("https://stackoverflow.com/q/61131140", "61131140")</f>
        <v>61131140</v>
      </c>
      <c r="B775" s="1">
        <v>6.113114E7</v>
      </c>
      <c r="C775" s="2" t="s">
        <v>3005</v>
      </c>
      <c r="D775" s="3">
        <v>1.0</v>
      </c>
      <c r="E775" s="3">
        <v>35.0</v>
      </c>
      <c r="F775" s="2" t="s">
        <v>11</v>
      </c>
      <c r="G775" s="2" t="s">
        <v>194</v>
      </c>
      <c r="H775" s="2"/>
      <c r="I775" s="2"/>
      <c r="J775" s="2"/>
      <c r="K775" s="2"/>
    </row>
    <row r="776" ht="15.75" customHeight="1">
      <c r="A776" s="4" t="str">
        <f>HYPERLINK("https://stackoverflow.com/q/61143493", "61143493")</f>
        <v>61143493</v>
      </c>
      <c r="B776" s="1">
        <v>6.1143493E7</v>
      </c>
      <c r="C776" s="2" t="s">
        <v>2962</v>
      </c>
      <c r="D776" s="3"/>
      <c r="E776" s="3">
        <v>37.0</v>
      </c>
      <c r="F776" s="2" t="s">
        <v>11</v>
      </c>
      <c r="G776" s="2" t="s">
        <v>35</v>
      </c>
      <c r="H776" s="2"/>
      <c r="I776" s="2"/>
      <c r="J776" s="2"/>
      <c r="K776" s="2"/>
    </row>
    <row r="777" ht="15.75" customHeight="1">
      <c r="A777" s="4" t="str">
        <f>HYPERLINK("https://stackoverflow.com/q/61153574", "61153574")</f>
        <v>61153574</v>
      </c>
      <c r="B777" s="1">
        <v>6.1153574E7</v>
      </c>
      <c r="C777" s="2" t="s">
        <v>3405</v>
      </c>
      <c r="D777" s="3"/>
      <c r="E777" s="3">
        <v>18.0</v>
      </c>
      <c r="F777" s="2" t="s">
        <v>11</v>
      </c>
      <c r="G777" s="2" t="s">
        <v>25</v>
      </c>
      <c r="H777" s="2"/>
      <c r="I777" s="2"/>
      <c r="J777" s="2"/>
      <c r="K777" s="2"/>
    </row>
    <row r="778" ht="15.75" customHeight="1">
      <c r="A778" s="4" t="str">
        <f>HYPERLINK("https://stackoverflow.com/q/61164244", "61164244")</f>
        <v>61164244</v>
      </c>
      <c r="B778" s="1">
        <v>6.1164244E7</v>
      </c>
      <c r="C778" s="2" t="s">
        <v>3383</v>
      </c>
      <c r="D778" s="3"/>
      <c r="E778" s="3">
        <v>19.0</v>
      </c>
      <c r="F778" s="2" t="s">
        <v>11</v>
      </c>
      <c r="G778" s="2" t="s">
        <v>35</v>
      </c>
      <c r="H778" s="2"/>
      <c r="I778" s="2"/>
      <c r="J778" s="2"/>
      <c r="K778" s="2"/>
    </row>
    <row r="779" ht="15.75" customHeight="1">
      <c r="A779" s="4" t="str">
        <f>HYPERLINK("https://stackoverflow.com/q/61169100", "61169100")</f>
        <v>61169100</v>
      </c>
      <c r="B779" s="1">
        <v>6.11691E7</v>
      </c>
      <c r="C779" s="2" t="s">
        <v>3472</v>
      </c>
      <c r="D779" s="3"/>
      <c r="E779" s="3">
        <v>15.0</v>
      </c>
      <c r="F779" s="2" t="s">
        <v>11</v>
      </c>
      <c r="G779" s="2" t="s">
        <v>67</v>
      </c>
      <c r="H779" s="2"/>
      <c r="I779" s="2"/>
      <c r="J779" s="2"/>
      <c r="K779" s="2"/>
    </row>
    <row r="780" ht="15.75" customHeight="1">
      <c r="A780" s="4" t="str">
        <f>HYPERLINK("https://stackoverflow.com/q/61186117", "61186117")</f>
        <v>61186117</v>
      </c>
      <c r="B780" s="1">
        <v>6.1186117E7</v>
      </c>
      <c r="C780" s="2" t="s">
        <v>3622</v>
      </c>
      <c r="D780" s="3"/>
      <c r="E780" s="3">
        <v>6.0</v>
      </c>
      <c r="F780" s="2" t="s">
        <v>11</v>
      </c>
      <c r="G780" s="2" t="s">
        <v>38</v>
      </c>
      <c r="H780" s="2"/>
      <c r="I780" s="2"/>
      <c r="J780" s="2"/>
      <c r="K780" s="2"/>
    </row>
    <row r="781" ht="15.75" customHeight="1">
      <c r="A781" s="4" t="str">
        <f>HYPERLINK("https://stackoverflow.com/q/61188935", "61188935")</f>
        <v>61188935</v>
      </c>
      <c r="B781" s="1">
        <v>6.1188935E7</v>
      </c>
      <c r="C781" s="2" t="s">
        <v>3511</v>
      </c>
      <c r="D781" s="3"/>
      <c r="E781" s="3">
        <v>13.0</v>
      </c>
      <c r="F781" s="2" t="s">
        <v>11</v>
      </c>
      <c r="G781" s="2" t="s">
        <v>25</v>
      </c>
      <c r="H781" s="2"/>
      <c r="I781" s="2"/>
      <c r="J781" s="2"/>
      <c r="K781" s="2"/>
    </row>
    <row r="782" ht="15.75" customHeight="1">
      <c r="A782" s="4" t="str">
        <f>HYPERLINK("https://stackoverflow.com/q/61191042", "61191042")</f>
        <v>61191042</v>
      </c>
      <c r="B782" s="1">
        <v>6.1191042E7</v>
      </c>
      <c r="C782" s="2" t="s">
        <v>3272</v>
      </c>
      <c r="D782" s="3"/>
      <c r="E782" s="3">
        <v>25.0</v>
      </c>
      <c r="F782" s="2" t="s">
        <v>11</v>
      </c>
      <c r="G782" s="2" t="s">
        <v>25</v>
      </c>
      <c r="H782" s="2"/>
      <c r="I782" s="2"/>
      <c r="J782" s="2"/>
      <c r="K782" s="2"/>
    </row>
    <row r="783" ht="15.75" customHeight="1">
      <c r="A783" s="4" t="str">
        <f>HYPERLINK("https://stackoverflow.com/q/61204978", "61204978")</f>
        <v>61204978</v>
      </c>
      <c r="B783" s="1">
        <v>6.1204978E7</v>
      </c>
      <c r="C783" s="2" t="s">
        <v>3341</v>
      </c>
      <c r="D783" s="3"/>
      <c r="E783" s="3">
        <v>22.0</v>
      </c>
      <c r="F783" s="2" t="s">
        <v>11</v>
      </c>
      <c r="G783" s="2" t="s">
        <v>12</v>
      </c>
      <c r="H783" s="2"/>
      <c r="I783" s="2"/>
      <c r="J783" s="2"/>
      <c r="K783" s="2"/>
    </row>
    <row r="784" ht="15.75" customHeight="1">
      <c r="A784" s="4" t="str">
        <f>HYPERLINK("https://stackoverflow.com/q/61206586", "61206586")</f>
        <v>61206586</v>
      </c>
      <c r="B784" s="1">
        <v>6.1206586E7</v>
      </c>
      <c r="C784" s="2" t="s">
        <v>3093</v>
      </c>
      <c r="D784" s="3"/>
      <c r="E784" s="3">
        <v>32.0</v>
      </c>
      <c r="F784" s="9" t="s">
        <v>11</v>
      </c>
      <c r="G784" s="2" t="s">
        <v>18</v>
      </c>
      <c r="H784" s="2"/>
      <c r="I784" s="2"/>
      <c r="J784" s="2"/>
      <c r="K784" s="2"/>
    </row>
    <row r="785" ht="15.75" customHeight="1">
      <c r="A785" s="4" t="str">
        <f>HYPERLINK("https://stackoverflow.com/q/61207759", "61207759")</f>
        <v>61207759</v>
      </c>
      <c r="B785" s="1">
        <v>6.1207759E7</v>
      </c>
      <c r="C785" s="2" t="s">
        <v>3057</v>
      </c>
      <c r="D785" s="3">
        <v>0.0</v>
      </c>
      <c r="E785" s="3">
        <v>33.0</v>
      </c>
      <c r="F785" s="2" t="s">
        <v>86</v>
      </c>
      <c r="G785" s="2" t="s">
        <v>87</v>
      </c>
      <c r="H785" s="2"/>
      <c r="I785" s="2"/>
      <c r="J785" s="2"/>
      <c r="K785" s="2"/>
    </row>
    <row r="786" ht="15.75" customHeight="1">
      <c r="A786" s="4" t="str">
        <f>HYPERLINK("https://stackoverflow.com/q/61207974", "61207974")</f>
        <v>61207974</v>
      </c>
      <c r="B786" s="1">
        <v>6.1207974E7</v>
      </c>
      <c r="C786" s="2" t="s">
        <v>3512</v>
      </c>
      <c r="D786" s="3"/>
      <c r="E786" s="3">
        <v>13.0</v>
      </c>
      <c r="F786" s="2" t="s">
        <v>11</v>
      </c>
      <c r="G786" s="2" t="s">
        <v>25</v>
      </c>
      <c r="H786" s="2"/>
      <c r="I786" s="2"/>
      <c r="J786" s="2"/>
      <c r="K786" s="2"/>
    </row>
    <row r="787" ht="15.75" customHeight="1">
      <c r="A787" s="4" t="str">
        <f>HYPERLINK("https://stackoverflow.com/q/61208367", "61208367")</f>
        <v>61208367</v>
      </c>
      <c r="B787" s="1">
        <v>6.1208367E7</v>
      </c>
      <c r="C787" s="2" t="s">
        <v>2333</v>
      </c>
      <c r="D787" s="3"/>
      <c r="E787" s="3">
        <v>82.0</v>
      </c>
      <c r="F787" s="2" t="s">
        <v>11</v>
      </c>
      <c r="G787" s="2" t="s">
        <v>67</v>
      </c>
      <c r="H787" s="2"/>
      <c r="I787" s="2"/>
      <c r="J787" s="2"/>
      <c r="K787" s="2"/>
    </row>
    <row r="788" ht="15.75" customHeight="1">
      <c r="A788" s="4" t="str">
        <f>HYPERLINK("https://stackoverflow.com/q/61210424", "61210424")</f>
        <v>61210424</v>
      </c>
      <c r="B788" s="1">
        <v>6.1210424E7</v>
      </c>
      <c r="C788" s="2" t="s">
        <v>3625</v>
      </c>
      <c r="D788" s="3"/>
      <c r="E788" s="3">
        <v>6.0</v>
      </c>
      <c r="F788" s="2" t="s">
        <v>86</v>
      </c>
      <c r="G788" s="2" t="s">
        <v>87</v>
      </c>
      <c r="H788" s="17"/>
      <c r="I788" s="2"/>
      <c r="J788" s="2"/>
      <c r="K788" s="2"/>
    </row>
    <row r="789" ht="15.75" customHeight="1">
      <c r="A789" s="4" t="str">
        <f>HYPERLINK("https://stackoverflow.com/q/61217110", "61217110")</f>
        <v>61217110</v>
      </c>
      <c r="B789" s="1">
        <v>6.121711E7</v>
      </c>
      <c r="C789" s="2" t="s">
        <v>2688</v>
      </c>
      <c r="D789" s="3"/>
      <c r="E789" s="3">
        <v>53.0</v>
      </c>
      <c r="F789" s="2" t="s">
        <v>11</v>
      </c>
      <c r="G789" s="2" t="s">
        <v>12</v>
      </c>
      <c r="H789" s="2"/>
      <c r="I789" s="2"/>
      <c r="J789" s="2"/>
      <c r="K789" s="2"/>
    </row>
    <row r="790" ht="15.75" customHeight="1">
      <c r="A790" s="4" t="str">
        <f>HYPERLINK("https://stackoverflow.com/q/61221088", "61221088")</f>
        <v>61221088</v>
      </c>
      <c r="B790" s="1">
        <v>6.1221088E7</v>
      </c>
      <c r="C790" s="2" t="s">
        <v>3406</v>
      </c>
      <c r="D790" s="3"/>
      <c r="E790" s="3">
        <v>18.0</v>
      </c>
      <c r="F790" s="2" t="s">
        <v>11</v>
      </c>
      <c r="G790" s="2" t="s">
        <v>14</v>
      </c>
      <c r="H790" s="2"/>
      <c r="I790" s="2"/>
      <c r="J790" s="2"/>
      <c r="K790" s="2"/>
    </row>
    <row r="791" ht="15.75" customHeight="1">
      <c r="A791" s="4" t="str">
        <f>HYPERLINK("https://stackoverflow.com/q/61222090", "61222090")</f>
        <v>61222090</v>
      </c>
      <c r="B791" s="1">
        <v>6.122209E7</v>
      </c>
      <c r="C791" s="2" t="s">
        <v>3452</v>
      </c>
      <c r="D791" s="3"/>
      <c r="E791" s="3">
        <v>16.0</v>
      </c>
      <c r="F791" s="2" t="s">
        <v>59</v>
      </c>
      <c r="G791" s="2" t="s">
        <v>538</v>
      </c>
      <c r="H791" s="2"/>
      <c r="I791" s="2"/>
      <c r="J791" s="2"/>
      <c r="K791" s="2"/>
    </row>
    <row r="792" ht="15.75" customHeight="1">
      <c r="A792" s="4" t="str">
        <f>HYPERLINK("https://stackoverflow.com/q/61226697", "61226697")</f>
        <v>61226697</v>
      </c>
      <c r="B792" s="1">
        <v>6.1226697E7</v>
      </c>
      <c r="C792" s="2" t="s">
        <v>2943</v>
      </c>
      <c r="D792" s="3">
        <v>2.0</v>
      </c>
      <c r="E792" s="3">
        <v>38.0</v>
      </c>
      <c r="F792" s="2" t="s">
        <v>72</v>
      </c>
      <c r="G792" s="2" t="s">
        <v>506</v>
      </c>
      <c r="H792" s="2" t="s">
        <v>87</v>
      </c>
      <c r="I792" s="2"/>
      <c r="J792" s="2"/>
      <c r="K792" s="2"/>
    </row>
    <row r="793" ht="15.75" customHeight="1">
      <c r="A793" s="4" t="str">
        <f>HYPERLINK("https://stackoverflow.com/q/61238595", "61238595")</f>
        <v>61238595</v>
      </c>
      <c r="B793" s="1">
        <v>6.1238595E7</v>
      </c>
      <c r="C793" s="2" t="s">
        <v>3355</v>
      </c>
      <c r="D793" s="3"/>
      <c r="E793" s="3">
        <v>21.0</v>
      </c>
      <c r="F793" s="2" t="s">
        <v>11</v>
      </c>
      <c r="G793" s="2" t="s">
        <v>12</v>
      </c>
      <c r="H793" s="2"/>
      <c r="I793" s="2"/>
      <c r="J793" s="2"/>
      <c r="K793" s="2"/>
    </row>
    <row r="794" ht="15.75" customHeight="1">
      <c r="A794" s="4" t="str">
        <f>HYPERLINK("https://stackoverflow.com/q/61242253", "61242253")</f>
        <v>61242253</v>
      </c>
      <c r="B794" s="1">
        <v>6.1242253E7</v>
      </c>
      <c r="C794" s="2" t="s">
        <v>3557</v>
      </c>
      <c r="D794" s="3"/>
      <c r="E794" s="3">
        <v>11.0</v>
      </c>
      <c r="F794" s="2" t="s">
        <v>11</v>
      </c>
      <c r="G794" s="2" t="s">
        <v>67</v>
      </c>
      <c r="H794" s="2"/>
      <c r="I794" s="2"/>
      <c r="J794" s="2"/>
      <c r="K794" s="2"/>
    </row>
    <row r="795" ht="15.75" customHeight="1">
      <c r="A795" s="4" t="str">
        <f>HYPERLINK("https://stackoverflow.com/q/61252925", "61252925")</f>
        <v>61252925</v>
      </c>
      <c r="B795" s="1">
        <v>6.1252925E7</v>
      </c>
      <c r="C795" s="2" t="s">
        <v>3573</v>
      </c>
      <c r="D795" s="3"/>
      <c r="E795" s="3">
        <v>10.0</v>
      </c>
      <c r="F795" s="9" t="s">
        <v>11</v>
      </c>
      <c r="G795" s="2" t="s">
        <v>18</v>
      </c>
      <c r="H795" s="2"/>
      <c r="I795" s="2"/>
      <c r="J795" s="2"/>
      <c r="K795" s="2"/>
    </row>
    <row r="796" ht="15.75" customHeight="1">
      <c r="A796" s="4" t="str">
        <f>HYPERLINK("https://stackoverflow.com/q/61268147", "61268147")</f>
        <v>61268147</v>
      </c>
      <c r="B796" s="1">
        <v>6.1268147E7</v>
      </c>
      <c r="C796" s="2" t="s">
        <v>3209</v>
      </c>
      <c r="D796" s="3"/>
      <c r="E796" s="3">
        <v>27.0</v>
      </c>
      <c r="F796" s="2" t="s">
        <v>11</v>
      </c>
      <c r="G796" s="2" t="s">
        <v>12</v>
      </c>
      <c r="H796" s="2"/>
      <c r="I796" s="2"/>
      <c r="J796" s="2"/>
      <c r="K796" s="2"/>
    </row>
    <row r="797" ht="15.75" customHeight="1">
      <c r="A797" s="4" t="str">
        <f>HYPERLINK("https://stackoverflow.com/q/61282234", "61282234")</f>
        <v>61282234</v>
      </c>
      <c r="B797" s="1">
        <v>6.1282234E7</v>
      </c>
      <c r="C797" s="2" t="s">
        <v>3558</v>
      </c>
      <c r="D797" s="3"/>
      <c r="E797" s="3">
        <v>11.0</v>
      </c>
      <c r="F797" s="2" t="s">
        <v>11</v>
      </c>
      <c r="G797" s="2" t="s">
        <v>25</v>
      </c>
      <c r="H797" s="2"/>
      <c r="I797" s="2"/>
      <c r="J797" s="2"/>
      <c r="K797" s="2"/>
    </row>
    <row r="798" ht="15.75" customHeight="1">
      <c r="A798" s="4" t="str">
        <f>HYPERLINK("https://stackoverflow.com/q/61282976", "61282976")</f>
        <v>61282976</v>
      </c>
      <c r="B798" s="1">
        <v>6.1282976E7</v>
      </c>
      <c r="C798" s="2" t="s">
        <v>3295</v>
      </c>
      <c r="D798" s="3"/>
      <c r="E798" s="3">
        <v>24.0</v>
      </c>
      <c r="F798" s="2" t="s">
        <v>11</v>
      </c>
      <c r="G798" s="2" t="s">
        <v>25</v>
      </c>
      <c r="H798" s="2"/>
      <c r="I798" s="2"/>
      <c r="J798" s="2"/>
      <c r="K798" s="2"/>
    </row>
    <row r="799" ht="15.75" customHeight="1">
      <c r="A799" s="4" t="str">
        <f>HYPERLINK("https://stackoverflow.com/q/61284724", "61284724")</f>
        <v>61284724</v>
      </c>
      <c r="B799" s="1">
        <v>6.1284724E7</v>
      </c>
      <c r="C799" s="2" t="s">
        <v>3601</v>
      </c>
      <c r="D799" s="3"/>
      <c r="E799" s="3">
        <v>8.0</v>
      </c>
      <c r="F799" s="2" t="s">
        <v>11</v>
      </c>
      <c r="G799" s="2" t="s">
        <v>67</v>
      </c>
      <c r="H799" s="2"/>
      <c r="I799" s="2"/>
      <c r="J799" s="2"/>
      <c r="K799" s="2"/>
    </row>
    <row r="800" ht="15.75" customHeight="1">
      <c r="A800" s="4" t="str">
        <f>HYPERLINK("https://stackoverflow.com/q/61287217", "61287217")</f>
        <v>61287217</v>
      </c>
      <c r="B800" s="1">
        <v>6.1287217E7</v>
      </c>
      <c r="C800" s="2" t="s">
        <v>3384</v>
      </c>
      <c r="D800" s="3"/>
      <c r="E800" s="3">
        <v>19.0</v>
      </c>
      <c r="F800" s="2" t="s">
        <v>11</v>
      </c>
      <c r="G800" s="2" t="s">
        <v>14</v>
      </c>
      <c r="H800" s="2"/>
      <c r="I800" s="2"/>
      <c r="J800" s="2"/>
      <c r="K800" s="2"/>
    </row>
    <row r="801" ht="15.75" customHeight="1">
      <c r="A801" s="4" t="str">
        <f>HYPERLINK("https://stackoverflow.com/q/61309820", "61309820")</f>
        <v>61309820</v>
      </c>
      <c r="B801" s="1">
        <v>6.130982E7</v>
      </c>
      <c r="C801" s="2" t="s">
        <v>3189</v>
      </c>
      <c r="D801" s="3"/>
      <c r="E801" s="3">
        <v>28.0</v>
      </c>
      <c r="F801" s="2" t="s">
        <v>11</v>
      </c>
      <c r="G801" s="2" t="s">
        <v>35</v>
      </c>
      <c r="H801" s="2"/>
      <c r="I801" s="2"/>
      <c r="J801" s="2"/>
      <c r="K801" s="2"/>
    </row>
    <row r="802" ht="15.75" customHeight="1">
      <c r="A802" s="4" t="str">
        <f>HYPERLINK("https://stackoverflow.com/q/61325505", "61325505")</f>
        <v>61325505</v>
      </c>
      <c r="B802" s="1">
        <v>6.1325505E7</v>
      </c>
      <c r="C802" s="2" t="s">
        <v>3641</v>
      </c>
      <c r="D802" s="3"/>
      <c r="E802" s="3">
        <v>3.0</v>
      </c>
      <c r="F802" s="2" t="s">
        <v>537</v>
      </c>
      <c r="G802" s="2" t="s">
        <v>194</v>
      </c>
      <c r="H802" s="2" t="s">
        <v>484</v>
      </c>
      <c r="I802" s="2"/>
      <c r="J802" s="2"/>
      <c r="K802" s="2"/>
    </row>
    <row r="803" ht="15.75" customHeight="1">
      <c r="A803" s="4" t="str">
        <f>HYPERLINK("https://stackoverflow.com/q/61327724", "61327724")</f>
        <v>61327724</v>
      </c>
      <c r="B803" s="1">
        <v>6.1327724E7</v>
      </c>
      <c r="C803" s="2" t="s">
        <v>3559</v>
      </c>
      <c r="D803" s="3"/>
      <c r="E803" s="3">
        <v>11.0</v>
      </c>
      <c r="F803" s="2" t="s">
        <v>11</v>
      </c>
      <c r="G803" s="2" t="s">
        <v>28</v>
      </c>
      <c r="H803" s="2"/>
      <c r="I803" s="2"/>
      <c r="J803" s="2"/>
      <c r="K803" s="2"/>
    </row>
    <row r="804" ht="15.75" customHeight="1">
      <c r="A804" s="4" t="str">
        <f>HYPERLINK("https://stackoverflow.com/q/61329104", "61329104")</f>
        <v>61329104</v>
      </c>
      <c r="B804" s="1">
        <v>6.1329104E7</v>
      </c>
      <c r="C804" s="2" t="s">
        <v>3513</v>
      </c>
      <c r="D804" s="3"/>
      <c r="E804" s="3">
        <v>13.0</v>
      </c>
      <c r="F804" s="2" t="s">
        <v>11</v>
      </c>
      <c r="G804" s="2" t="s">
        <v>30</v>
      </c>
      <c r="H804" s="2"/>
      <c r="I804" s="2"/>
      <c r="J804" s="2"/>
      <c r="K804" s="2"/>
    </row>
    <row r="805" ht="15.75" customHeight="1">
      <c r="A805" s="4" t="str">
        <f>HYPERLINK("https://stackoverflow.com/q/61330666", "61330666")</f>
        <v>61330666</v>
      </c>
      <c r="B805" s="1">
        <v>6.1330666E7</v>
      </c>
      <c r="C805" s="2" t="s">
        <v>3426</v>
      </c>
      <c r="D805" s="3"/>
      <c r="E805" s="3">
        <v>17.0</v>
      </c>
      <c r="F805" s="2" t="s">
        <v>11</v>
      </c>
      <c r="G805" s="2" t="s">
        <v>56</v>
      </c>
      <c r="H805" s="2"/>
      <c r="I805" s="2"/>
      <c r="J805" s="2"/>
      <c r="K805" s="2"/>
    </row>
    <row r="806" ht="15.75" customHeight="1">
      <c r="A806" s="4" t="str">
        <f>HYPERLINK("https://stackoverflow.com/q/61331112", "61331112")</f>
        <v>61331112</v>
      </c>
      <c r="B806" s="1">
        <v>6.1331112E7</v>
      </c>
      <c r="C806" s="2" t="s">
        <v>2759</v>
      </c>
      <c r="D806" s="3"/>
      <c r="E806" s="3">
        <v>48.0</v>
      </c>
      <c r="F806" s="2" t="s">
        <v>11</v>
      </c>
      <c r="G806" s="2" t="s">
        <v>67</v>
      </c>
      <c r="H806" s="2"/>
      <c r="I806" s="2"/>
      <c r="J806" s="2"/>
      <c r="K806" s="2"/>
    </row>
    <row r="807" ht="15.75" customHeight="1">
      <c r="A807" s="4" t="str">
        <f>HYPERLINK("https://stackoverflow.com/q/61332655", "61332655")</f>
        <v>61332655</v>
      </c>
      <c r="B807" s="1">
        <v>6.1332655E7</v>
      </c>
      <c r="C807" s="2" t="s">
        <v>2929</v>
      </c>
      <c r="D807" s="3"/>
      <c r="E807" s="3">
        <v>39.0</v>
      </c>
      <c r="F807" s="2" t="s">
        <v>11</v>
      </c>
      <c r="G807" s="2" t="s">
        <v>49</v>
      </c>
      <c r="H807" s="2"/>
      <c r="I807" s="2"/>
      <c r="J807" s="2"/>
      <c r="K807" s="2"/>
    </row>
    <row r="808" ht="15.75" customHeight="1">
      <c r="A808" s="4" t="str">
        <f>HYPERLINK("https://stackoverflow.com/q/61341097", "61341097")</f>
        <v>61341097</v>
      </c>
      <c r="B808" s="1">
        <v>6.1341097E7</v>
      </c>
      <c r="C808" s="2" t="s">
        <v>3427</v>
      </c>
      <c r="D808" s="3"/>
      <c r="E808" s="3">
        <v>17.0</v>
      </c>
      <c r="F808" s="9" t="s">
        <v>11</v>
      </c>
      <c r="G808" s="2" t="s">
        <v>18</v>
      </c>
      <c r="H808" s="2"/>
      <c r="I808" s="2"/>
      <c r="J808" s="2"/>
      <c r="K808" s="2"/>
    </row>
    <row r="809" ht="15.75" customHeight="1">
      <c r="A809" s="4" t="str">
        <f>HYPERLINK("https://stackoverflow.com/q/61343277", "61343277")</f>
        <v>61343277</v>
      </c>
      <c r="B809" s="1">
        <v>6.1343277E7</v>
      </c>
      <c r="C809" s="2" t="s">
        <v>3574</v>
      </c>
      <c r="D809" s="3"/>
      <c r="E809" s="3">
        <v>10.0</v>
      </c>
      <c r="F809" s="2" t="s">
        <v>11</v>
      </c>
      <c r="G809" s="2" t="s">
        <v>44</v>
      </c>
      <c r="H809" s="2"/>
      <c r="I809" s="2"/>
      <c r="J809" s="2"/>
      <c r="K809" s="2"/>
    </row>
    <row r="810" ht="15.75" customHeight="1">
      <c r="A810" s="4" t="str">
        <f>HYPERLINK("https://stackoverflow.com/q/61345897", "61345897")</f>
        <v>61345897</v>
      </c>
      <c r="B810" s="1">
        <v>6.1345897E7</v>
      </c>
      <c r="C810" s="2" t="s">
        <v>3453</v>
      </c>
      <c r="D810" s="3"/>
      <c r="E810" s="3">
        <v>16.0</v>
      </c>
      <c r="F810" s="9" t="s">
        <v>11</v>
      </c>
      <c r="G810" s="2" t="s">
        <v>18</v>
      </c>
      <c r="H810" s="2"/>
      <c r="I810" s="2"/>
      <c r="J810" s="2"/>
      <c r="K810" s="2"/>
    </row>
    <row r="811" ht="15.75" customHeight="1">
      <c r="A811" s="4" t="str">
        <f>HYPERLINK("https://stackoverflow.com/q/61350573", "61350573")</f>
        <v>61350573</v>
      </c>
      <c r="B811" s="1">
        <v>6.1350573E7</v>
      </c>
      <c r="C811" s="2" t="s">
        <v>3210</v>
      </c>
      <c r="D811" s="3"/>
      <c r="E811" s="3">
        <v>27.0</v>
      </c>
      <c r="F811" s="2" t="s">
        <v>11</v>
      </c>
      <c r="G811" s="2" t="s">
        <v>25</v>
      </c>
      <c r="H811" s="2"/>
      <c r="I811" s="2"/>
      <c r="J811" s="2"/>
      <c r="K811" s="2"/>
    </row>
    <row r="812" ht="15.75" customHeight="1">
      <c r="A812" s="4" t="str">
        <f>HYPERLINK("https://stackoverflow.com/q/61350864", "61350864")</f>
        <v>61350864</v>
      </c>
      <c r="B812" s="1">
        <v>6.1350864E7</v>
      </c>
      <c r="C812" s="2" t="s">
        <v>3636</v>
      </c>
      <c r="D812" s="3"/>
      <c r="E812" s="3">
        <v>4.0</v>
      </c>
      <c r="F812" s="2" t="s">
        <v>11</v>
      </c>
      <c r="G812" s="2" t="s">
        <v>25</v>
      </c>
      <c r="H812" s="2"/>
      <c r="I812" s="2"/>
      <c r="J812" s="2"/>
      <c r="K812" s="2"/>
    </row>
    <row r="813" ht="15.75" customHeight="1">
      <c r="A813" s="4" t="str">
        <f>HYPERLINK("https://stackoverflow.com/q/61362602", "61362602")</f>
        <v>61362602</v>
      </c>
      <c r="B813" s="1">
        <v>6.1362602E7</v>
      </c>
      <c r="C813" s="2" t="s">
        <v>3139</v>
      </c>
      <c r="D813" s="3"/>
      <c r="E813" s="3">
        <v>30.0</v>
      </c>
      <c r="F813" s="2" t="s">
        <v>11</v>
      </c>
      <c r="G813" s="2" t="s">
        <v>30</v>
      </c>
      <c r="H813" s="2"/>
      <c r="I813" s="2"/>
      <c r="J813" s="2"/>
      <c r="K813" s="2"/>
    </row>
    <row r="814" ht="15.75" customHeight="1">
      <c r="A814" s="4" t="str">
        <f>HYPERLINK("https://stackoverflow.com/q/61363424", "61363424")</f>
        <v>61363424</v>
      </c>
      <c r="B814" s="1">
        <v>6.1363424E7</v>
      </c>
      <c r="C814" s="2" t="s">
        <v>3514</v>
      </c>
      <c r="D814" s="3"/>
      <c r="E814" s="3">
        <v>13.0</v>
      </c>
      <c r="F814" s="2" t="s">
        <v>11</v>
      </c>
      <c r="G814" s="2" t="s">
        <v>67</v>
      </c>
      <c r="H814" s="2"/>
      <c r="I814" s="2"/>
      <c r="J814" s="2"/>
      <c r="K814" s="2"/>
    </row>
    <row r="815" ht="15.75" customHeight="1">
      <c r="A815" s="4" t="str">
        <f>HYPERLINK("https://stackoverflow.com/q/61377118", "61377118")</f>
        <v>61377118</v>
      </c>
      <c r="B815" s="1">
        <v>6.1377118E7</v>
      </c>
      <c r="C815" s="2" t="s">
        <v>3296</v>
      </c>
      <c r="D815" s="3"/>
      <c r="E815" s="3">
        <v>24.0</v>
      </c>
      <c r="F815" s="2" t="s">
        <v>11</v>
      </c>
      <c r="G815" s="2" t="s">
        <v>67</v>
      </c>
      <c r="H815" s="2"/>
      <c r="I815" s="2"/>
      <c r="J815" s="2"/>
      <c r="K815" s="2"/>
    </row>
    <row r="816" ht="15.75" customHeight="1">
      <c r="A816" s="4" t="str">
        <f>HYPERLINK("https://stackoverflow.com/q/61378839", "61378839")</f>
        <v>61378839</v>
      </c>
      <c r="B816" s="1">
        <v>6.1378839E7</v>
      </c>
      <c r="C816" s="2" t="s">
        <v>3368</v>
      </c>
      <c r="D816" s="3"/>
      <c r="E816" s="3">
        <v>20.0</v>
      </c>
      <c r="F816" s="2" t="s">
        <v>11</v>
      </c>
      <c r="G816" s="2" t="s">
        <v>56</v>
      </c>
      <c r="H816" s="2"/>
      <c r="I816" s="2"/>
      <c r="J816" s="2"/>
      <c r="K816" s="2"/>
    </row>
    <row r="817" ht="15.75" customHeight="1">
      <c r="A817" s="4" t="str">
        <f>HYPERLINK("https://stackoverflow.com/q/61379667", "61379667")</f>
        <v>61379667</v>
      </c>
      <c r="B817" s="1">
        <v>6.1379667E7</v>
      </c>
      <c r="C817" s="2" t="s">
        <v>3207</v>
      </c>
      <c r="D817" s="3"/>
      <c r="E817" s="3">
        <v>27.0</v>
      </c>
      <c r="F817" s="2" t="s">
        <v>59</v>
      </c>
      <c r="G817" s="2" t="s">
        <v>538</v>
      </c>
      <c r="H817" s="2"/>
      <c r="I817" s="2"/>
      <c r="J817" s="2"/>
      <c r="K817" s="2"/>
    </row>
    <row r="818" ht="15.75" customHeight="1">
      <c r="A818" s="4" t="str">
        <f>HYPERLINK("https://stackoverflow.com/q/61402700", "61402700")</f>
        <v>61402700</v>
      </c>
      <c r="B818" s="1">
        <v>6.14027E7</v>
      </c>
      <c r="C818" s="2" t="s">
        <v>3382</v>
      </c>
      <c r="D818" s="3">
        <v>1.0</v>
      </c>
      <c r="E818" s="3">
        <v>19.0</v>
      </c>
      <c r="F818" s="2" t="s">
        <v>20</v>
      </c>
      <c r="G818" s="2" t="s">
        <v>21</v>
      </c>
      <c r="H818" s="2"/>
      <c r="I818" s="2"/>
      <c r="J818" s="2"/>
      <c r="K818" s="2"/>
    </row>
    <row r="819" ht="15.75" customHeight="1">
      <c r="A819" s="4" t="str">
        <f>HYPERLINK("https://stackoverflow.com/q/61405883", "61405883")</f>
        <v>61405883</v>
      </c>
      <c r="B819" s="1">
        <v>6.1405883E7</v>
      </c>
      <c r="C819" s="2" t="s">
        <v>3297</v>
      </c>
      <c r="D819" s="3"/>
      <c r="E819" s="3">
        <v>24.0</v>
      </c>
      <c r="F819" s="2" t="s">
        <v>11</v>
      </c>
      <c r="G819" s="2" t="s">
        <v>21</v>
      </c>
      <c r="H819" s="2"/>
      <c r="I819" s="2"/>
      <c r="J819" s="2"/>
      <c r="K819" s="2"/>
    </row>
    <row r="820" ht="15.75" customHeight="1">
      <c r="A820" s="4" t="str">
        <f>HYPERLINK("https://stackoverflow.com/q/61422412", "61422412")</f>
        <v>61422412</v>
      </c>
      <c r="B820" s="1">
        <v>6.1422412E7</v>
      </c>
      <c r="C820" s="2" t="s">
        <v>1861</v>
      </c>
      <c r="D820" s="3"/>
      <c r="E820" s="3">
        <v>155.0</v>
      </c>
      <c r="F820" s="9" t="s">
        <v>11</v>
      </c>
      <c r="G820" s="2" t="s">
        <v>18</v>
      </c>
      <c r="H820" s="2"/>
      <c r="I820" s="2"/>
      <c r="J820" s="2"/>
      <c r="K820" s="2"/>
    </row>
    <row r="821" ht="15.75" customHeight="1">
      <c r="A821" s="4" t="str">
        <f>HYPERLINK("https://stackoverflow.com/q/61443240", "61443240")</f>
        <v>61443240</v>
      </c>
      <c r="B821" s="1">
        <v>6.144324E7</v>
      </c>
      <c r="C821" s="2" t="s">
        <v>2984</v>
      </c>
      <c r="D821" s="3"/>
      <c r="E821" s="3">
        <v>36.0</v>
      </c>
      <c r="F821" s="2" t="s">
        <v>11</v>
      </c>
      <c r="G821" s="2" t="s">
        <v>14</v>
      </c>
      <c r="H821" s="2"/>
      <c r="I821" s="2"/>
      <c r="J821" s="2"/>
      <c r="K821" s="2"/>
    </row>
    <row r="822" ht="15.75" customHeight="1">
      <c r="A822" s="4" t="str">
        <f>HYPERLINK("https://stackoverflow.com/q/61452616", "61452616")</f>
        <v>61452616</v>
      </c>
      <c r="B822" s="1">
        <v>6.1452616E7</v>
      </c>
      <c r="C822" s="2" t="s">
        <v>3385</v>
      </c>
      <c r="D822" s="3"/>
      <c r="E822" s="3">
        <v>19.0</v>
      </c>
      <c r="F822" s="2" t="s">
        <v>11</v>
      </c>
      <c r="G822" s="2" t="s">
        <v>28</v>
      </c>
      <c r="H822" s="2"/>
      <c r="I822" s="2"/>
      <c r="J822" s="2"/>
      <c r="K822" s="2"/>
    </row>
    <row r="823" ht="15.75" customHeight="1">
      <c r="A823" s="4" t="str">
        <f>HYPERLINK("https://stackoverflow.com/q/61452894", "61452894")</f>
        <v>61452894</v>
      </c>
      <c r="B823" s="1">
        <v>6.1452894E7</v>
      </c>
      <c r="C823" s="2" t="s">
        <v>2361</v>
      </c>
      <c r="D823" s="3"/>
      <c r="E823" s="3">
        <v>79.0</v>
      </c>
      <c r="F823" s="2" t="s">
        <v>11</v>
      </c>
      <c r="G823" s="2" t="s">
        <v>25</v>
      </c>
      <c r="H823" s="2"/>
      <c r="I823" s="2"/>
      <c r="J823" s="2"/>
      <c r="K823" s="2"/>
    </row>
    <row r="824" ht="15.75" customHeight="1">
      <c r="A824" s="4" t="str">
        <f>HYPERLINK("https://stackoverflow.com/q/61454256", "61454256")</f>
        <v>61454256</v>
      </c>
      <c r="B824" s="1">
        <v>6.1454256E7</v>
      </c>
      <c r="C824" s="2" t="s">
        <v>3211</v>
      </c>
      <c r="D824" s="3"/>
      <c r="E824" s="3">
        <v>27.0</v>
      </c>
      <c r="F824" s="9" t="s">
        <v>11</v>
      </c>
      <c r="G824" s="2" t="s">
        <v>18</v>
      </c>
      <c r="H824" s="2"/>
      <c r="I824" s="2"/>
      <c r="J824" s="2"/>
      <c r="K824" s="2"/>
    </row>
    <row r="825" ht="15.75" customHeight="1">
      <c r="A825" s="4" t="str">
        <f>HYPERLINK("https://stackoverflow.com/q/61459809", "61459809")</f>
        <v>61459809</v>
      </c>
      <c r="B825" s="1">
        <v>6.1459809E7</v>
      </c>
      <c r="C825" s="2" t="s">
        <v>2559</v>
      </c>
      <c r="D825" s="3"/>
      <c r="E825" s="3">
        <v>63.0</v>
      </c>
      <c r="F825" s="9" t="s">
        <v>11</v>
      </c>
      <c r="G825" s="2" t="s">
        <v>18</v>
      </c>
      <c r="H825" s="2"/>
      <c r="I825" s="2"/>
      <c r="J825" s="2"/>
      <c r="K825" s="2"/>
    </row>
    <row r="826" ht="15.75" customHeight="1">
      <c r="A826" s="4" t="str">
        <f>HYPERLINK("https://stackoverflow.com/q/61462588", "61462588")</f>
        <v>61462588</v>
      </c>
      <c r="B826" s="1">
        <v>6.1462588E7</v>
      </c>
      <c r="C826" s="2" t="s">
        <v>2876</v>
      </c>
      <c r="D826" s="3"/>
      <c r="E826" s="3">
        <v>42.0</v>
      </c>
      <c r="F826" s="2" t="s">
        <v>11</v>
      </c>
      <c r="G826" s="2" t="s">
        <v>35</v>
      </c>
      <c r="H826" s="2"/>
      <c r="I826" s="2"/>
      <c r="J826" s="2"/>
      <c r="K826" s="2"/>
    </row>
    <row r="827" ht="15.75" customHeight="1">
      <c r="A827" s="4" t="str">
        <f>HYPERLINK("https://stackoverflow.com/q/61469908", "61469908")</f>
        <v>61469908</v>
      </c>
      <c r="B827" s="1">
        <v>6.1469908E7</v>
      </c>
      <c r="C827" s="2" t="s">
        <v>3478</v>
      </c>
      <c r="D827" s="3"/>
      <c r="E827" s="3">
        <v>15.0</v>
      </c>
      <c r="F827" s="2" t="s">
        <v>86</v>
      </c>
      <c r="G827" s="2" t="s">
        <v>87</v>
      </c>
      <c r="H827" s="2"/>
      <c r="I827" s="2"/>
      <c r="J827" s="2"/>
      <c r="K827" s="2"/>
    </row>
    <row r="828" ht="15.75" customHeight="1">
      <c r="A828" s="4" t="str">
        <f>HYPERLINK("https://stackoverflow.com/q/61641793", "61641793")</f>
        <v>61641793</v>
      </c>
      <c r="B828" s="1">
        <v>6.1641793E7</v>
      </c>
      <c r="C828" s="2" t="s">
        <v>3356</v>
      </c>
      <c r="D828" s="3"/>
      <c r="E828" s="3">
        <v>21.0</v>
      </c>
      <c r="F828" s="2" t="s">
        <v>11</v>
      </c>
      <c r="G828" s="2" t="s">
        <v>56</v>
      </c>
      <c r="H828" s="2"/>
      <c r="I828" s="2"/>
      <c r="J828" s="2"/>
      <c r="K828" s="2"/>
    </row>
    <row r="829" ht="15.75" customHeight="1">
      <c r="A829" s="4" t="str">
        <f>HYPERLINK("https://stackoverflow.com/q/61642239", "61642239")</f>
        <v>61642239</v>
      </c>
      <c r="B829" s="1">
        <v>6.1642239E7</v>
      </c>
      <c r="C829" s="2" t="s">
        <v>3473</v>
      </c>
      <c r="D829" s="3"/>
      <c r="E829" s="3">
        <v>15.0</v>
      </c>
      <c r="F829" s="9" t="s">
        <v>11</v>
      </c>
      <c r="G829" s="2" t="s">
        <v>18</v>
      </c>
      <c r="H829" s="2"/>
      <c r="I829" s="2"/>
      <c r="J829" s="2"/>
      <c r="K829" s="2"/>
    </row>
    <row r="830" ht="15.75" customHeight="1">
      <c r="A830" s="4" t="str">
        <f>HYPERLINK("https://stackoverflow.com/q/61642560", "61642560")</f>
        <v>61642560</v>
      </c>
      <c r="B830" s="1">
        <v>6.164256E7</v>
      </c>
      <c r="C830" s="2" t="s">
        <v>2877</v>
      </c>
      <c r="D830" s="3"/>
      <c r="E830" s="3">
        <v>42.0</v>
      </c>
      <c r="F830" s="2" t="s">
        <v>11</v>
      </c>
      <c r="G830" s="2" t="s">
        <v>56</v>
      </c>
      <c r="H830" s="2"/>
      <c r="I830" s="2"/>
      <c r="J830" s="2"/>
      <c r="K830" s="2"/>
    </row>
    <row r="831" ht="15.75" customHeight="1">
      <c r="A831" s="4" t="str">
        <f>HYPERLINK("https://stackoverflow.com/q/61647756", "61647756")</f>
        <v>61647756</v>
      </c>
      <c r="B831" s="1">
        <v>6.1647756E7</v>
      </c>
      <c r="C831" s="2" t="s">
        <v>3342</v>
      </c>
      <c r="D831" s="3"/>
      <c r="E831" s="3">
        <v>22.0</v>
      </c>
      <c r="F831" s="2" t="s">
        <v>11</v>
      </c>
      <c r="G831" s="2" t="s">
        <v>25</v>
      </c>
      <c r="H831" s="2"/>
      <c r="I831" s="2"/>
      <c r="J831" s="2"/>
      <c r="K831" s="2"/>
    </row>
    <row r="832" ht="15.75" customHeight="1">
      <c r="A832" s="4" t="str">
        <f>HYPERLINK("https://stackoverflow.com/q/61655523", "61655523")</f>
        <v>61655523</v>
      </c>
      <c r="B832" s="1">
        <v>6.1655523E7</v>
      </c>
      <c r="C832" s="2" t="s">
        <v>3168</v>
      </c>
      <c r="D832" s="3"/>
      <c r="E832" s="3">
        <v>29.0</v>
      </c>
      <c r="F832" s="2" t="s">
        <v>11</v>
      </c>
      <c r="G832" s="2" t="s">
        <v>538</v>
      </c>
      <c r="H832" s="2"/>
      <c r="I832" s="2"/>
      <c r="J832" s="2"/>
      <c r="K832" s="2"/>
    </row>
    <row r="833" ht="15.75" customHeight="1">
      <c r="A833" s="4" t="str">
        <f>HYPERLINK("https://stackoverflow.com/q/61659007", "61659007")</f>
        <v>61659007</v>
      </c>
      <c r="B833" s="1">
        <v>6.1659007E7</v>
      </c>
      <c r="C833" s="2" t="s">
        <v>3633</v>
      </c>
      <c r="D833" s="3"/>
      <c r="E833" s="3">
        <v>5.0</v>
      </c>
      <c r="F833" s="2" t="s">
        <v>11</v>
      </c>
      <c r="G833" s="2" t="s">
        <v>67</v>
      </c>
      <c r="H833" s="2"/>
      <c r="I833" s="2"/>
      <c r="J833" s="2"/>
      <c r="K833" s="2"/>
    </row>
    <row r="834" ht="15.75" customHeight="1">
      <c r="A834" s="4" t="str">
        <f>HYPERLINK("https://stackoverflow.com/q/61660647", "61660647")</f>
        <v>61660647</v>
      </c>
      <c r="B834" s="1">
        <v>6.1660647E7</v>
      </c>
      <c r="C834" s="2" t="s">
        <v>3493</v>
      </c>
      <c r="D834" s="3"/>
      <c r="E834" s="3">
        <v>14.0</v>
      </c>
      <c r="F834" s="2" t="s">
        <v>11</v>
      </c>
      <c r="G834" s="2" t="s">
        <v>56</v>
      </c>
      <c r="H834" s="2"/>
      <c r="I834" s="2"/>
      <c r="J834" s="2"/>
      <c r="K834" s="2"/>
    </row>
    <row r="835" ht="15.75" customHeight="1">
      <c r="A835" s="4" t="str">
        <f>HYPERLINK("https://stackoverflow.com/q/61664951", "61664951")</f>
        <v>61664951</v>
      </c>
      <c r="B835" s="1">
        <v>6.1664951E7</v>
      </c>
      <c r="C835" s="2" t="s">
        <v>3612</v>
      </c>
      <c r="D835" s="3"/>
      <c r="E835" s="3">
        <v>7.0</v>
      </c>
      <c r="F835" s="2" t="s">
        <v>11</v>
      </c>
      <c r="G835" s="2" t="s">
        <v>25</v>
      </c>
      <c r="H835" s="2"/>
      <c r="I835" s="2"/>
      <c r="J835" s="2"/>
      <c r="K835" s="2"/>
    </row>
    <row r="836" ht="15.75" customHeight="1">
      <c r="A836" s="4" t="str">
        <f>HYPERLINK("https://stackoverflow.com/q/61668245", "61668245")</f>
        <v>61668245</v>
      </c>
      <c r="B836" s="1">
        <v>6.1668245E7</v>
      </c>
      <c r="C836" s="2" t="s">
        <v>3538</v>
      </c>
      <c r="D836" s="3"/>
      <c r="E836" s="3">
        <v>12.0</v>
      </c>
      <c r="F836" s="2" t="s">
        <v>11</v>
      </c>
      <c r="G836" s="2" t="s">
        <v>14</v>
      </c>
      <c r="H836" s="2"/>
      <c r="I836" s="2"/>
      <c r="J836" s="2"/>
      <c r="K836" s="2"/>
    </row>
    <row r="837" ht="15.75" customHeight="1">
      <c r="A837" s="4" t="str">
        <f>HYPERLINK("https://stackoverflow.com/q/61670491", "61670491")</f>
        <v>61670491</v>
      </c>
      <c r="B837" s="1">
        <v>6.1670491E7</v>
      </c>
      <c r="C837" s="2" t="s">
        <v>3244</v>
      </c>
      <c r="D837" s="3"/>
      <c r="E837" s="3">
        <v>26.0</v>
      </c>
      <c r="F837" s="2" t="s">
        <v>11</v>
      </c>
      <c r="G837" s="2" t="s">
        <v>67</v>
      </c>
      <c r="H837" s="2"/>
      <c r="I837" s="2"/>
      <c r="J837" s="2"/>
      <c r="K837" s="2"/>
    </row>
    <row r="838" ht="15.75" customHeight="1">
      <c r="A838" s="4" t="str">
        <f>HYPERLINK("https://stackoverflow.com/q/61671196", "61671196")</f>
        <v>61671196</v>
      </c>
      <c r="B838" s="1">
        <v>6.1671196E7</v>
      </c>
      <c r="C838" s="2" t="s">
        <v>3539</v>
      </c>
      <c r="D838" s="3"/>
      <c r="E838" s="3">
        <v>12.0</v>
      </c>
      <c r="F838" s="2" t="s">
        <v>11</v>
      </c>
      <c r="G838" s="2" t="s">
        <v>25</v>
      </c>
      <c r="H838" s="2"/>
      <c r="I838" s="2"/>
      <c r="J838" s="2"/>
      <c r="K838" s="2"/>
    </row>
    <row r="839" ht="15.75" customHeight="1">
      <c r="A839" s="4" t="str">
        <f>HYPERLINK("https://stackoverflow.com/q/61672841", "61672841")</f>
        <v>61672841</v>
      </c>
      <c r="B839" s="1">
        <v>6.1672841E7</v>
      </c>
      <c r="C839" s="2" t="s">
        <v>3540</v>
      </c>
      <c r="D839" s="3"/>
      <c r="E839" s="3">
        <v>12.0</v>
      </c>
      <c r="F839" s="2" t="s">
        <v>11</v>
      </c>
      <c r="G839" s="2" t="s">
        <v>12</v>
      </c>
      <c r="H839" s="2"/>
      <c r="I839" s="2"/>
      <c r="J839" s="2"/>
      <c r="K839" s="2"/>
    </row>
    <row r="840" ht="15.75" customHeight="1">
      <c r="A840" s="4" t="str">
        <f>HYPERLINK("https://stackoverflow.com/q/61674307", "61674307")</f>
        <v>61674307</v>
      </c>
      <c r="B840" s="1">
        <v>6.1674307E7</v>
      </c>
      <c r="C840" s="2" t="s">
        <v>3386</v>
      </c>
      <c r="D840" s="3"/>
      <c r="E840" s="3">
        <v>19.0</v>
      </c>
      <c r="F840" s="2" t="s">
        <v>11</v>
      </c>
      <c r="G840" s="2" t="s">
        <v>25</v>
      </c>
      <c r="H840" s="2"/>
      <c r="I840" s="2"/>
      <c r="J840" s="2"/>
      <c r="K840" s="2"/>
    </row>
    <row r="841" ht="15.75" customHeight="1">
      <c r="A841" s="4" t="str">
        <f>HYPERLINK("https://stackoverflow.com/q/61674856", "61674856")</f>
        <v>61674856</v>
      </c>
      <c r="B841" s="1">
        <v>6.1674856E7</v>
      </c>
      <c r="C841" s="2" t="s">
        <v>3613</v>
      </c>
      <c r="D841" s="3"/>
      <c r="E841" s="3">
        <v>7.0</v>
      </c>
      <c r="F841" s="2" t="s">
        <v>11</v>
      </c>
      <c r="G841" s="2" t="s">
        <v>73</v>
      </c>
      <c r="H841" s="2"/>
      <c r="I841" s="2"/>
      <c r="J841" s="2"/>
      <c r="K841" s="2"/>
    </row>
    <row r="842" ht="15.75" customHeight="1">
      <c r="A842" s="4" t="str">
        <f>HYPERLINK("https://stackoverflow.com/q/61676798", "61676798")</f>
        <v>61676798</v>
      </c>
      <c r="B842" s="1">
        <v>6.1676798E7</v>
      </c>
      <c r="C842" s="2" t="s">
        <v>3602</v>
      </c>
      <c r="D842" s="3"/>
      <c r="E842" s="3">
        <v>8.0</v>
      </c>
      <c r="F842" s="9" t="s">
        <v>11</v>
      </c>
      <c r="G842" s="2" t="s">
        <v>18</v>
      </c>
      <c r="H842" s="2"/>
      <c r="I842" s="2"/>
      <c r="J842" s="2"/>
      <c r="K842" s="2"/>
    </row>
    <row r="843" ht="15.75" customHeight="1">
      <c r="A843" s="4" t="str">
        <f>HYPERLINK("https://stackoverflow.com/q/61676962", "61676962")</f>
        <v>61676962</v>
      </c>
      <c r="B843" s="1">
        <v>6.1676962E7</v>
      </c>
      <c r="C843" s="2" t="s">
        <v>3494</v>
      </c>
      <c r="D843" s="3"/>
      <c r="E843" s="3">
        <v>14.0</v>
      </c>
      <c r="F843" s="2" t="s">
        <v>11</v>
      </c>
      <c r="G843" s="2" t="s">
        <v>67</v>
      </c>
      <c r="H843" s="2"/>
      <c r="I843" s="2"/>
      <c r="J843" s="2"/>
      <c r="K843" s="2"/>
    </row>
    <row r="844" ht="15.75" customHeight="1">
      <c r="A844" s="4" t="str">
        <f>HYPERLINK("https://stackoverflow.com/q/61677805", "61677805")</f>
        <v>61677805</v>
      </c>
      <c r="B844" s="1">
        <v>6.1677805E7</v>
      </c>
      <c r="C844" s="2" t="s">
        <v>3495</v>
      </c>
      <c r="D844" s="3"/>
      <c r="E844" s="3">
        <v>14.0</v>
      </c>
      <c r="F844" s="2" t="s">
        <v>11</v>
      </c>
      <c r="G844" s="2" t="s">
        <v>35</v>
      </c>
      <c r="H844" s="2"/>
      <c r="I844" s="2"/>
      <c r="J844" s="2"/>
      <c r="K844" s="2"/>
    </row>
    <row r="845" ht="15.75" customHeight="1">
      <c r="A845" s="4" t="str">
        <f>HYPERLINK("https://stackoverflow.com/q/61683219", "61683219")</f>
        <v>61683219</v>
      </c>
      <c r="B845" s="1">
        <v>6.1683219E7</v>
      </c>
      <c r="C845" s="2" t="s">
        <v>3541</v>
      </c>
      <c r="D845" s="3"/>
      <c r="E845" s="3">
        <v>12.0</v>
      </c>
      <c r="F845" s="2" t="s">
        <v>11</v>
      </c>
      <c r="G845" s="2" t="s">
        <v>56</v>
      </c>
      <c r="H845" s="2"/>
      <c r="I845" s="2"/>
      <c r="J845" s="2"/>
      <c r="K845" s="2"/>
    </row>
    <row r="846" ht="15.75" customHeight="1">
      <c r="A846" s="4" t="str">
        <f>HYPERLINK("https://stackoverflow.com/q/61685518", "61685518")</f>
        <v>61685518</v>
      </c>
      <c r="B846" s="1">
        <v>6.1685518E7</v>
      </c>
      <c r="C846" s="2" t="s">
        <v>2930</v>
      </c>
      <c r="D846" s="3"/>
      <c r="E846" s="3">
        <v>39.0</v>
      </c>
      <c r="F846" s="2" t="s">
        <v>11</v>
      </c>
      <c r="G846" s="2" t="s">
        <v>49</v>
      </c>
      <c r="H846" s="2"/>
      <c r="I846" s="2"/>
      <c r="J846" s="2"/>
      <c r="K846" s="2"/>
    </row>
    <row r="847" ht="15.75" customHeight="1">
      <c r="A847" s="4" t="str">
        <f>HYPERLINK("https://stackoverflow.com/q/61685582", "61685582")</f>
        <v>61685582</v>
      </c>
      <c r="B847" s="1">
        <v>6.1685582E7</v>
      </c>
      <c r="C847" s="2" t="s">
        <v>3542</v>
      </c>
      <c r="D847" s="3"/>
      <c r="E847" s="3">
        <v>12.0</v>
      </c>
      <c r="F847" s="2" t="s">
        <v>11</v>
      </c>
      <c r="G847" s="2" t="s">
        <v>25</v>
      </c>
      <c r="H847" s="2"/>
      <c r="I847" s="2"/>
      <c r="J847" s="2"/>
      <c r="K847" s="2"/>
    </row>
    <row r="848" ht="15.75" customHeight="1">
      <c r="A848" s="4" t="str">
        <f>HYPERLINK("https://stackoverflow.com/q/61687572", "61687572")</f>
        <v>61687572</v>
      </c>
      <c r="B848" s="1">
        <v>6.1687572E7</v>
      </c>
      <c r="C848" s="2" t="s">
        <v>3428</v>
      </c>
      <c r="D848" s="3"/>
      <c r="E848" s="3">
        <v>17.0</v>
      </c>
      <c r="F848" s="2" t="s">
        <v>11</v>
      </c>
      <c r="G848" s="2" t="s">
        <v>21</v>
      </c>
      <c r="H848" s="2" t="s">
        <v>67</v>
      </c>
      <c r="I848" s="2"/>
      <c r="J848" s="2"/>
      <c r="K848" s="2"/>
    </row>
    <row r="849" ht="15.75" customHeight="1">
      <c r="A849" s="4" t="str">
        <f>HYPERLINK("https://stackoverflow.com/q/61689176", "61689176")</f>
        <v>61689176</v>
      </c>
      <c r="B849" s="1">
        <v>6.1689176E7</v>
      </c>
      <c r="C849" s="2" t="s">
        <v>3429</v>
      </c>
      <c r="D849" s="3"/>
      <c r="E849" s="3">
        <v>17.0</v>
      </c>
      <c r="F849" s="9" t="s">
        <v>11</v>
      </c>
      <c r="G849" s="2" t="s">
        <v>18</v>
      </c>
      <c r="H849" s="2" t="s">
        <v>34</v>
      </c>
      <c r="I849" s="2"/>
      <c r="J849" s="2"/>
      <c r="K849" s="2"/>
    </row>
    <row r="850" ht="15.75" customHeight="1">
      <c r="A850" s="4" t="str">
        <f>HYPERLINK("https://stackoverflow.com/q/61706612", "61706612")</f>
        <v>61706612</v>
      </c>
      <c r="B850" s="1">
        <v>6.1706612E7</v>
      </c>
      <c r="C850" s="2" t="s">
        <v>3291</v>
      </c>
      <c r="D850" s="3">
        <v>1.0</v>
      </c>
      <c r="E850" s="3">
        <v>24.0</v>
      </c>
      <c r="F850" s="2" t="s">
        <v>11</v>
      </c>
      <c r="G850" s="2" t="s">
        <v>12</v>
      </c>
      <c r="H850" s="2"/>
      <c r="I850" s="2"/>
      <c r="J850" s="2"/>
      <c r="K850" s="2"/>
    </row>
    <row r="851" ht="15.75" customHeight="1">
      <c r="A851" s="4" t="str">
        <f>HYPERLINK("https://stackoverflow.com/q/61713625", "61713625")</f>
        <v>61713625</v>
      </c>
      <c r="B851" s="1">
        <v>6.1713625E7</v>
      </c>
      <c r="C851" s="2" t="s">
        <v>2358</v>
      </c>
      <c r="D851" s="3">
        <v>0.0</v>
      </c>
      <c r="E851" s="3">
        <v>79.0</v>
      </c>
      <c r="F851" s="2" t="s">
        <v>11</v>
      </c>
      <c r="G851" s="2" t="s">
        <v>12</v>
      </c>
      <c r="H851" s="2"/>
      <c r="I851" s="2"/>
      <c r="J851" s="2"/>
      <c r="K851" s="2"/>
    </row>
    <row r="852" ht="15.75" customHeight="1">
      <c r="A852" s="4" t="str">
        <f>HYPERLINK("https://stackoverflow.com/q/61729009", "61729009")</f>
        <v>61729009</v>
      </c>
      <c r="B852" s="1">
        <v>6.1729009E7</v>
      </c>
      <c r="C852" s="2" t="s">
        <v>3560</v>
      </c>
      <c r="D852" s="3"/>
      <c r="E852" s="3">
        <v>11.0</v>
      </c>
      <c r="F852" s="2" t="s">
        <v>11</v>
      </c>
      <c r="G852" s="2" t="s">
        <v>14</v>
      </c>
      <c r="H852" s="2"/>
      <c r="I852" s="2"/>
      <c r="J852" s="2"/>
      <c r="K852" s="2"/>
    </row>
    <row r="853" ht="15.75" customHeight="1">
      <c r="A853" s="4" t="str">
        <f>HYPERLINK("https://stackoverflow.com/q/61729358", "61729358")</f>
        <v>61729358</v>
      </c>
      <c r="B853" s="1">
        <v>6.1729358E7</v>
      </c>
      <c r="C853" s="2" t="s">
        <v>3140</v>
      </c>
      <c r="D853" s="3"/>
      <c r="E853" s="3">
        <v>30.0</v>
      </c>
      <c r="F853" s="2" t="s">
        <v>11</v>
      </c>
      <c r="G853" s="2" t="s">
        <v>14</v>
      </c>
      <c r="H853" s="2"/>
      <c r="I853" s="2"/>
      <c r="J853" s="2"/>
      <c r="K853" s="2"/>
    </row>
    <row r="854" ht="15.75" customHeight="1">
      <c r="A854" s="4" t="str">
        <f>HYPERLINK("https://stackoverflow.com/q/61731925", "61731925")</f>
        <v>61731925</v>
      </c>
      <c r="B854" s="1">
        <v>6.1731925E7</v>
      </c>
      <c r="C854" s="2" t="s">
        <v>3454</v>
      </c>
      <c r="D854" s="3"/>
      <c r="E854" s="3">
        <v>16.0</v>
      </c>
      <c r="F854" s="2" t="s">
        <v>11</v>
      </c>
      <c r="G854" s="2" t="s">
        <v>67</v>
      </c>
      <c r="H854" s="2"/>
      <c r="I854" s="2"/>
      <c r="J854" s="2"/>
      <c r="K854" s="2"/>
    </row>
    <row r="855" ht="15.75" customHeight="1">
      <c r="A855" s="4" t="str">
        <f>HYPERLINK("https://stackoverflow.com/q/61734639", "61734639")</f>
        <v>61734639</v>
      </c>
      <c r="B855" s="1">
        <v>6.1734639E7</v>
      </c>
      <c r="C855" s="2" t="s">
        <v>3637</v>
      </c>
      <c r="D855" s="3"/>
      <c r="E855" s="3">
        <v>4.0</v>
      </c>
      <c r="F855" s="2" t="s">
        <v>11</v>
      </c>
      <c r="G855" s="2" t="s">
        <v>25</v>
      </c>
      <c r="H855" s="2"/>
      <c r="I855" s="2"/>
      <c r="J855" s="2"/>
      <c r="K855" s="2"/>
    </row>
    <row r="856" ht="15.75" customHeight="1">
      <c r="A856" s="4" t="str">
        <f>HYPERLINK("https://stackoverflow.com/q/61734680", "61734680")</f>
        <v>61734680</v>
      </c>
      <c r="B856" s="1">
        <v>6.173468E7</v>
      </c>
      <c r="C856" s="2" t="s">
        <v>3316</v>
      </c>
      <c r="D856" s="3"/>
      <c r="E856" s="3">
        <v>23.0</v>
      </c>
      <c r="F856" s="2" t="s">
        <v>11</v>
      </c>
      <c r="G856" s="2" t="s">
        <v>263</v>
      </c>
      <c r="H856" s="2"/>
      <c r="I856" s="2"/>
      <c r="J856" s="2"/>
      <c r="K856" s="2"/>
    </row>
    <row r="857" ht="15.75" customHeight="1">
      <c r="A857" s="4" t="str">
        <f>HYPERLINK("https://stackoverflow.com/q/61735365", "61735365")</f>
        <v>61735365</v>
      </c>
      <c r="B857" s="1">
        <v>6.1735365E7</v>
      </c>
      <c r="C857" s="2" t="s">
        <v>3543</v>
      </c>
      <c r="D857" s="3"/>
      <c r="E857" s="3">
        <v>12.0</v>
      </c>
      <c r="F857" s="2" t="s">
        <v>11</v>
      </c>
      <c r="G857" s="2" t="s">
        <v>12</v>
      </c>
      <c r="H857" s="2"/>
      <c r="I857" s="2"/>
      <c r="J857" s="2"/>
      <c r="K857" s="2"/>
    </row>
    <row r="858" ht="15.75" customHeight="1">
      <c r="A858" s="4" t="str">
        <f>HYPERLINK("https://stackoverflow.com/q/61742910", "61742910")</f>
        <v>61742910</v>
      </c>
      <c r="B858" s="1">
        <v>6.174291E7</v>
      </c>
      <c r="C858" s="2" t="s">
        <v>3061</v>
      </c>
      <c r="D858" s="3"/>
      <c r="E858" s="3">
        <v>33.0</v>
      </c>
      <c r="F858" s="2" t="s">
        <v>11</v>
      </c>
      <c r="G858" s="2" t="s">
        <v>44</v>
      </c>
      <c r="H858" s="2"/>
      <c r="I858" s="2"/>
      <c r="J858" s="2"/>
      <c r="K858" s="2"/>
    </row>
    <row r="859" ht="15.75" customHeight="1">
      <c r="A859" s="4" t="str">
        <f>HYPERLINK("https://stackoverflow.com/q/61749474", "61749474")</f>
        <v>61749474</v>
      </c>
      <c r="B859" s="1">
        <v>6.1749474E7</v>
      </c>
      <c r="C859" s="2" t="s">
        <v>3575</v>
      </c>
      <c r="D859" s="3"/>
      <c r="E859" s="3">
        <v>10.0</v>
      </c>
      <c r="F859" s="2" t="s">
        <v>11</v>
      </c>
      <c r="G859" s="2" t="s">
        <v>34</v>
      </c>
      <c r="H859" s="2" t="s">
        <v>194</v>
      </c>
      <c r="I859" s="2"/>
      <c r="J859" s="2"/>
      <c r="K859" s="2"/>
    </row>
    <row r="860" ht="15.75" customHeight="1">
      <c r="A860" s="4" t="str">
        <f>HYPERLINK("https://stackoverflow.com/q/61759228", "61759228")</f>
        <v>61759228</v>
      </c>
      <c r="B860" s="1">
        <v>6.1759228E7</v>
      </c>
      <c r="C860" s="2" t="s">
        <v>3245</v>
      </c>
      <c r="D860" s="3"/>
      <c r="E860" s="3">
        <v>26.0</v>
      </c>
      <c r="F860" s="2" t="s">
        <v>11</v>
      </c>
      <c r="G860" s="2" t="s">
        <v>194</v>
      </c>
      <c r="H860" s="2"/>
      <c r="I860" s="2"/>
      <c r="J860" s="2"/>
      <c r="K860" s="2"/>
    </row>
    <row r="861" ht="15.75" customHeight="1">
      <c r="A861" s="4" t="str">
        <f>HYPERLINK("https://stackoverflow.com/q/61766048", "61766048")</f>
        <v>61766048</v>
      </c>
      <c r="B861" s="1">
        <v>6.1766048E7</v>
      </c>
      <c r="C861" s="2" t="s">
        <v>3387</v>
      </c>
      <c r="D861" s="3"/>
      <c r="E861" s="3">
        <v>19.0</v>
      </c>
      <c r="F861" s="9" t="s">
        <v>11</v>
      </c>
      <c r="G861" s="2" t="s">
        <v>18</v>
      </c>
      <c r="H861" s="2"/>
      <c r="I861" s="2"/>
      <c r="J861" s="2"/>
      <c r="K861" s="2"/>
    </row>
    <row r="862" ht="15.75" customHeight="1">
      <c r="A862" s="4" t="str">
        <f>HYPERLINK("https://stackoverflow.com/q/61769866", "61769866")</f>
        <v>61769866</v>
      </c>
      <c r="B862" s="1">
        <v>6.1769866E7</v>
      </c>
      <c r="C862" s="2" t="s">
        <v>3094</v>
      </c>
      <c r="D862" s="3"/>
      <c r="E862" s="3">
        <v>32.0</v>
      </c>
      <c r="F862" s="2" t="s">
        <v>11</v>
      </c>
      <c r="G862" s="2" t="s">
        <v>56</v>
      </c>
      <c r="H862" s="2"/>
      <c r="I862" s="2"/>
      <c r="J862" s="2"/>
      <c r="K862" s="2"/>
    </row>
    <row r="863" ht="15.75" customHeight="1">
      <c r="A863" s="4" t="str">
        <f>HYPERLINK("https://stackoverflow.com/q/61775267", "61775267")</f>
        <v>61775267</v>
      </c>
      <c r="B863" s="1">
        <v>6.1775267E7</v>
      </c>
      <c r="C863" s="2" t="s">
        <v>3603</v>
      </c>
      <c r="D863" s="3"/>
      <c r="E863" s="3">
        <v>8.0</v>
      </c>
      <c r="F863" s="2" t="s">
        <v>11</v>
      </c>
      <c r="G863" s="2" t="s">
        <v>12</v>
      </c>
      <c r="H863" s="2"/>
      <c r="I863" s="2"/>
      <c r="J863" s="2"/>
      <c r="K863" s="2"/>
    </row>
    <row r="864" ht="15.75" customHeight="1">
      <c r="A864" s="4" t="str">
        <f>HYPERLINK("https://stackoverflow.com/q/61776817", "61776817")</f>
        <v>61776817</v>
      </c>
      <c r="B864" s="1">
        <v>6.1776817E7</v>
      </c>
      <c r="C864" s="2" t="s">
        <v>3455</v>
      </c>
      <c r="D864" s="3"/>
      <c r="E864" s="3">
        <v>16.0</v>
      </c>
      <c r="F864" s="2" t="s">
        <v>11</v>
      </c>
      <c r="G864" s="2" t="s">
        <v>84</v>
      </c>
      <c r="H864" s="2"/>
      <c r="I864" s="2"/>
      <c r="J864" s="2"/>
      <c r="K864" s="2"/>
    </row>
    <row r="865" ht="15.75" customHeight="1">
      <c r="A865" s="4" t="str">
        <f>HYPERLINK("https://stackoverflow.com/q/61778472", "61778472")</f>
        <v>61778472</v>
      </c>
      <c r="B865" s="1">
        <v>6.1778472E7</v>
      </c>
      <c r="C865" s="2" t="s">
        <v>2945</v>
      </c>
      <c r="D865" s="3"/>
      <c r="E865" s="3">
        <v>38.0</v>
      </c>
      <c r="F865" s="2" t="s">
        <v>11</v>
      </c>
      <c r="G865" s="2" t="s">
        <v>28</v>
      </c>
      <c r="H865" s="2" t="s">
        <v>506</v>
      </c>
      <c r="I865" s="2"/>
      <c r="J865" s="2"/>
      <c r="K865" s="2"/>
    </row>
    <row r="866" ht="15.75" customHeight="1">
      <c r="A866" s="4" t="str">
        <f>HYPERLINK("https://stackoverflow.com/q/61780469", "61780469")</f>
        <v>61780469</v>
      </c>
      <c r="B866" s="1">
        <v>6.1780469E7</v>
      </c>
      <c r="C866" s="2" t="s">
        <v>3474</v>
      </c>
      <c r="D866" s="3"/>
      <c r="E866" s="3">
        <v>15.0</v>
      </c>
      <c r="F866" s="2" t="s">
        <v>11</v>
      </c>
      <c r="G866" s="2" t="s">
        <v>194</v>
      </c>
      <c r="H866" s="2"/>
      <c r="I866" s="2"/>
      <c r="J866" s="2"/>
      <c r="K866" s="2"/>
    </row>
    <row r="867" ht="15.75" customHeight="1">
      <c r="A867" s="4" t="str">
        <f>HYPERLINK("https://stackoverflow.com/q/61782652", "61782652")</f>
        <v>61782652</v>
      </c>
      <c r="B867" s="1">
        <v>6.1782652E7</v>
      </c>
      <c r="C867" s="2" t="s">
        <v>3095</v>
      </c>
      <c r="D867" s="3"/>
      <c r="E867" s="3">
        <v>32.0</v>
      </c>
      <c r="F867" s="2" t="s">
        <v>11</v>
      </c>
      <c r="G867" s="2" t="s">
        <v>30</v>
      </c>
      <c r="H867" s="2"/>
      <c r="I867" s="2"/>
      <c r="J867" s="2"/>
      <c r="K867" s="2"/>
    </row>
    <row r="868" ht="15.75" customHeight="1">
      <c r="A868" s="4" t="str">
        <f>HYPERLINK("https://stackoverflow.com/q/61782655", "61782655")</f>
        <v>61782655</v>
      </c>
      <c r="B868" s="1">
        <v>6.1782655E7</v>
      </c>
      <c r="C868" s="2" t="s">
        <v>3317</v>
      </c>
      <c r="D868" s="3"/>
      <c r="E868" s="3">
        <v>23.0</v>
      </c>
      <c r="F868" s="2" t="s">
        <v>11</v>
      </c>
      <c r="G868" s="2" t="s">
        <v>25</v>
      </c>
      <c r="H868" s="2"/>
      <c r="I868" s="2"/>
      <c r="J868" s="2"/>
      <c r="K868" s="2"/>
    </row>
    <row r="869" ht="15.75" customHeight="1">
      <c r="A869" s="4" t="str">
        <f>HYPERLINK("https://stackoverflow.com/q/61790198", "61790198")</f>
        <v>61790198</v>
      </c>
      <c r="B869" s="1">
        <v>6.1790198E7</v>
      </c>
      <c r="C869" s="2" t="s">
        <v>3430</v>
      </c>
      <c r="D869" s="3"/>
      <c r="E869" s="3">
        <v>17.0</v>
      </c>
      <c r="F869" s="2" t="s">
        <v>11</v>
      </c>
      <c r="G869" s="2" t="s">
        <v>67</v>
      </c>
      <c r="H869" s="2"/>
      <c r="I869" s="2"/>
      <c r="J869" s="2"/>
      <c r="K869" s="2"/>
    </row>
    <row r="870" ht="15.75" customHeight="1">
      <c r="A870" s="4" t="str">
        <f>HYPERLINK("https://stackoverflow.com/q/61798937", "61798937")</f>
        <v>61798937</v>
      </c>
      <c r="B870" s="1">
        <v>6.1798937E7</v>
      </c>
      <c r="C870" s="2" t="s">
        <v>3576</v>
      </c>
      <c r="D870" s="3"/>
      <c r="E870" s="3">
        <v>10.0</v>
      </c>
      <c r="F870" s="2" t="s">
        <v>537</v>
      </c>
      <c r="G870" s="2" t="s">
        <v>21</v>
      </c>
      <c r="H870" s="2"/>
      <c r="I870" s="2"/>
      <c r="J870" s="2"/>
      <c r="K870" s="2"/>
    </row>
    <row r="871" ht="15.75" customHeight="1">
      <c r="A871" s="4" t="str">
        <f>HYPERLINK("https://stackoverflow.com/q/61817845", "61817845")</f>
        <v>61817845</v>
      </c>
      <c r="B871" s="1">
        <v>6.1817845E7</v>
      </c>
      <c r="C871" s="2" t="s">
        <v>3496</v>
      </c>
      <c r="D871" s="3"/>
      <c r="E871" s="3">
        <v>14.0</v>
      </c>
      <c r="F871" s="9" t="s">
        <v>11</v>
      </c>
      <c r="G871" s="2" t="s">
        <v>18</v>
      </c>
      <c r="H871" s="2"/>
      <c r="I871" s="2"/>
      <c r="J871" s="2"/>
      <c r="K871" s="2"/>
    </row>
    <row r="872" ht="15.75" customHeight="1">
      <c r="A872" s="4" t="str">
        <f>HYPERLINK("https://stackoverflow.com/q/61818220", "61818220")</f>
        <v>61818220</v>
      </c>
      <c r="B872" s="1">
        <v>6.181822E7</v>
      </c>
      <c r="C872" s="2" t="s">
        <v>3456</v>
      </c>
      <c r="D872" s="3"/>
      <c r="E872" s="3">
        <v>16.0</v>
      </c>
      <c r="F872" s="9" t="s">
        <v>11</v>
      </c>
      <c r="G872" s="2" t="s">
        <v>18</v>
      </c>
      <c r="H872" s="2"/>
      <c r="I872" s="2"/>
      <c r="J872" s="2"/>
      <c r="K872" s="2"/>
    </row>
    <row r="873" ht="15.75" customHeight="1">
      <c r="A873" s="4" t="str">
        <f>HYPERLINK("https://stackoverflow.com/q/61818685", "61818685")</f>
        <v>61818685</v>
      </c>
      <c r="B873" s="1">
        <v>6.1818685E7</v>
      </c>
      <c r="C873" s="2" t="s">
        <v>2800</v>
      </c>
      <c r="D873" s="3"/>
      <c r="E873" s="3">
        <v>46.0</v>
      </c>
      <c r="F873" s="2" t="s">
        <v>11</v>
      </c>
      <c r="G873" s="2" t="s">
        <v>21</v>
      </c>
      <c r="H873" s="2"/>
      <c r="I873" s="2"/>
      <c r="J873" s="2"/>
      <c r="K873" s="2"/>
    </row>
    <row r="874" ht="15.75" customHeight="1">
      <c r="A874" s="4" t="str">
        <f>HYPERLINK("https://stackoverflow.com/q/61820944", "61820944")</f>
        <v>61820944</v>
      </c>
      <c r="B874" s="1">
        <v>6.1820944E7</v>
      </c>
      <c r="C874" s="2" t="s">
        <v>3497</v>
      </c>
      <c r="D874" s="3"/>
      <c r="E874" s="3">
        <v>14.0</v>
      </c>
      <c r="F874" s="9" t="s">
        <v>11</v>
      </c>
      <c r="G874" s="2" t="s">
        <v>18</v>
      </c>
      <c r="H874" s="2"/>
      <c r="I874" s="2"/>
      <c r="J874" s="2"/>
      <c r="K874" s="2"/>
    </row>
    <row r="875" ht="15.75" customHeight="1">
      <c r="A875" s="4" t="str">
        <f>HYPERLINK("https://stackoverflow.com/q/61824996", "61824996")</f>
        <v>61824996</v>
      </c>
      <c r="B875" s="1">
        <v>6.1824996E7</v>
      </c>
      <c r="C875" s="2" t="s">
        <v>3337</v>
      </c>
      <c r="D875" s="3">
        <v>1.0</v>
      </c>
      <c r="E875" s="3">
        <v>22.0</v>
      </c>
      <c r="F875" s="2" t="s">
        <v>11</v>
      </c>
      <c r="G875" s="2" t="s">
        <v>14</v>
      </c>
      <c r="H875" s="2"/>
      <c r="I875" s="2"/>
      <c r="J875" s="2"/>
      <c r="K875" s="2"/>
    </row>
    <row r="876" ht="15.75" customHeight="1">
      <c r="A876" s="4" t="str">
        <f>HYPERLINK("https://stackoverflow.com/q/61827269", "61827269")</f>
        <v>61827269</v>
      </c>
      <c r="B876" s="1">
        <v>6.1827269E7</v>
      </c>
      <c r="C876" s="2" t="s">
        <v>3623</v>
      </c>
      <c r="D876" s="3"/>
      <c r="E876" s="3">
        <v>6.0</v>
      </c>
      <c r="F876" s="9" t="s">
        <v>11</v>
      </c>
      <c r="G876" s="2" t="s">
        <v>18</v>
      </c>
      <c r="H876" s="2"/>
      <c r="I876" s="2"/>
      <c r="J876" s="2"/>
      <c r="K876" s="2"/>
    </row>
    <row r="877" ht="15.75" customHeight="1">
      <c r="A877" s="4" t="str">
        <f>HYPERLINK("https://stackoverflow.com/q/61834955", "61834955")</f>
        <v>61834955</v>
      </c>
      <c r="B877" s="1">
        <v>6.1834955E7</v>
      </c>
      <c r="C877" s="2" t="s">
        <v>3614</v>
      </c>
      <c r="D877" s="3"/>
      <c r="E877" s="3">
        <v>7.0</v>
      </c>
      <c r="F877" s="9" t="s">
        <v>11</v>
      </c>
      <c r="G877" s="2" t="s">
        <v>18</v>
      </c>
      <c r="H877" s="2"/>
      <c r="I877" s="2"/>
      <c r="J877" s="2"/>
      <c r="K877" s="2"/>
    </row>
    <row r="878" ht="15.75" customHeight="1">
      <c r="A878" s="4" t="str">
        <f>HYPERLINK("https://stackoverflow.com/q/61838119", "61838119")</f>
        <v>61838119</v>
      </c>
      <c r="B878" s="1">
        <v>6.1838119E7</v>
      </c>
      <c r="C878" s="2" t="s">
        <v>2981</v>
      </c>
      <c r="D878" s="3"/>
      <c r="E878" s="3">
        <v>36.0</v>
      </c>
      <c r="F878" s="2" t="s">
        <v>59</v>
      </c>
      <c r="G878" s="2" t="s">
        <v>183</v>
      </c>
      <c r="H878" s="2"/>
      <c r="I878" s="2"/>
      <c r="J878" s="2"/>
      <c r="K878" s="2"/>
    </row>
    <row r="879" ht="15.75" customHeight="1">
      <c r="A879" s="4" t="str">
        <f>HYPERLINK("https://stackoverflow.com/q/61840842", "61840842")</f>
        <v>61840842</v>
      </c>
      <c r="B879" s="1">
        <v>6.1840842E7</v>
      </c>
      <c r="C879" s="2" t="s">
        <v>2985</v>
      </c>
      <c r="D879" s="3"/>
      <c r="E879" s="3">
        <v>36.0</v>
      </c>
      <c r="F879" s="2" t="s">
        <v>11</v>
      </c>
      <c r="G879" s="2" t="s">
        <v>44</v>
      </c>
      <c r="H879" s="2" t="s">
        <v>18</v>
      </c>
      <c r="I879" s="2"/>
      <c r="J879" s="2"/>
      <c r="K879" s="2"/>
    </row>
    <row r="880" ht="15.75" customHeight="1">
      <c r="A880" s="4" t="str">
        <f>HYPERLINK("https://stackoverflow.com/q/61842832", "61842832")</f>
        <v>61842832</v>
      </c>
      <c r="B880" s="1">
        <v>6.1842832E7</v>
      </c>
      <c r="C880" s="2" t="s">
        <v>3343</v>
      </c>
      <c r="D880" s="3"/>
      <c r="E880" s="3">
        <v>22.0</v>
      </c>
      <c r="F880" s="2" t="s">
        <v>11</v>
      </c>
      <c r="G880" s="2" t="s">
        <v>263</v>
      </c>
      <c r="H880" s="2"/>
      <c r="I880" s="2"/>
      <c r="J880" s="2"/>
      <c r="K880" s="2"/>
    </row>
    <row r="881" ht="15.75" customHeight="1">
      <c r="A881" s="4" t="str">
        <f>HYPERLINK("https://stackoverflow.com/q/61845738", "61845738")</f>
        <v>61845738</v>
      </c>
      <c r="B881" s="1">
        <v>6.1845738E7</v>
      </c>
      <c r="C881" s="2" t="s">
        <v>3269</v>
      </c>
      <c r="D881" s="3"/>
      <c r="E881" s="3">
        <v>25.0</v>
      </c>
      <c r="F881" s="2" t="s">
        <v>20</v>
      </c>
      <c r="G881" s="2" t="s">
        <v>21</v>
      </c>
      <c r="H881" s="2" t="s">
        <v>34</v>
      </c>
      <c r="I881" s="2"/>
      <c r="J881" s="2"/>
      <c r="K881" s="2"/>
    </row>
    <row r="882" ht="15.75" customHeight="1">
      <c r="A882" s="4" t="str">
        <f>HYPERLINK("https://stackoverflow.com/q/61854113", "61854113")</f>
        <v>61854113</v>
      </c>
      <c r="B882" s="1">
        <v>6.1854113E7</v>
      </c>
      <c r="C882" s="2" t="s">
        <v>3475</v>
      </c>
      <c r="D882" s="3"/>
      <c r="E882" s="3">
        <v>15.0</v>
      </c>
      <c r="F882" s="9" t="s">
        <v>11</v>
      </c>
      <c r="G882" s="2" t="s">
        <v>18</v>
      </c>
      <c r="H882" s="2"/>
      <c r="I882" s="2"/>
      <c r="J882" s="2"/>
      <c r="K882" s="2"/>
    </row>
    <row r="883" ht="15.75" customHeight="1">
      <c r="A883" s="4" t="str">
        <f>HYPERLINK("https://stackoverflow.com/q/61865302", "61865302")</f>
        <v>61865302</v>
      </c>
      <c r="B883" s="1">
        <v>6.1865302E7</v>
      </c>
      <c r="C883" s="2" t="s">
        <v>3141</v>
      </c>
      <c r="D883" s="3"/>
      <c r="E883" s="3">
        <v>30.0</v>
      </c>
      <c r="F883" s="2" t="s">
        <v>11</v>
      </c>
      <c r="G883" s="2" t="s">
        <v>25</v>
      </c>
      <c r="H883" s="2"/>
      <c r="I883" s="2"/>
      <c r="J883" s="2"/>
      <c r="K883" s="2"/>
    </row>
    <row r="884" ht="15.75" customHeight="1">
      <c r="A884" s="4" t="str">
        <f>HYPERLINK("https://stackoverflow.com/q/61867669", "61867669")</f>
        <v>61867669</v>
      </c>
      <c r="B884" s="1">
        <v>6.1867669E7</v>
      </c>
      <c r="C884" s="2" t="s">
        <v>3588</v>
      </c>
      <c r="D884" s="3"/>
      <c r="E884" s="3">
        <v>9.0</v>
      </c>
      <c r="F884" s="9" t="s">
        <v>11</v>
      </c>
      <c r="G884" s="2" t="s">
        <v>18</v>
      </c>
      <c r="H884" s="2"/>
      <c r="I884" s="2"/>
      <c r="J884" s="2"/>
      <c r="K884" s="2"/>
    </row>
    <row r="885" ht="15.75" customHeight="1">
      <c r="A885" s="4" t="str">
        <f>HYPERLINK("https://stackoverflow.com/q/61869531", "61869531")</f>
        <v>61869531</v>
      </c>
      <c r="B885" s="1">
        <v>6.1869531E7</v>
      </c>
      <c r="C885" s="2" t="s">
        <v>3515</v>
      </c>
      <c r="D885" s="3"/>
      <c r="E885" s="3">
        <v>13.0</v>
      </c>
      <c r="F885" s="2" t="s">
        <v>86</v>
      </c>
      <c r="G885" s="2" t="s">
        <v>87</v>
      </c>
      <c r="H885" s="2"/>
      <c r="I885" s="2"/>
      <c r="J885" s="2"/>
      <c r="K885" s="2"/>
    </row>
    <row r="886" ht="15.75" customHeight="1">
      <c r="A886" s="4" t="str">
        <f>HYPERLINK("https://stackoverflow.com/q/61902973", "61902973")</f>
        <v>61902973</v>
      </c>
      <c r="B886" s="1">
        <v>6.1902973E7</v>
      </c>
      <c r="C886" s="2" t="s">
        <v>3212</v>
      </c>
      <c r="D886" s="3"/>
      <c r="E886" s="3">
        <v>27.0</v>
      </c>
      <c r="F886" s="2" t="s">
        <v>11</v>
      </c>
      <c r="G886" s="2" t="s">
        <v>28</v>
      </c>
      <c r="H886" s="2"/>
      <c r="I886" s="2"/>
      <c r="J886" s="2"/>
      <c r="K886" s="2"/>
    </row>
    <row r="887" ht="15.75" customHeight="1">
      <c r="A887" s="4" t="str">
        <f>HYPERLINK("https://stackoverflow.com/q/61904800", "61904800")</f>
        <v>61904800</v>
      </c>
      <c r="B887" s="1">
        <v>6.19048E7</v>
      </c>
      <c r="C887" s="2" t="s">
        <v>3407</v>
      </c>
      <c r="D887" s="3"/>
      <c r="E887" s="3">
        <v>18.0</v>
      </c>
      <c r="F887" s="2" t="s">
        <v>11</v>
      </c>
      <c r="G887" s="2" t="s">
        <v>28</v>
      </c>
      <c r="H887" s="2"/>
      <c r="I887" s="2"/>
      <c r="J887" s="2"/>
      <c r="K887" s="2"/>
    </row>
    <row r="888" ht="15.75" customHeight="1">
      <c r="A888" s="4" t="str">
        <f>HYPERLINK("https://stackoverflow.com/q/61909353", "61909353")</f>
        <v>61909353</v>
      </c>
      <c r="B888" s="1">
        <v>6.1909353E7</v>
      </c>
      <c r="C888" s="2" t="s">
        <v>3476</v>
      </c>
      <c r="D888" s="3"/>
      <c r="E888" s="3">
        <v>15.0</v>
      </c>
      <c r="F888" s="2" t="s">
        <v>11</v>
      </c>
      <c r="G888" s="2" t="s">
        <v>25</v>
      </c>
      <c r="H888" s="2" t="s">
        <v>14</v>
      </c>
      <c r="I888" s="2"/>
      <c r="J888" s="2"/>
      <c r="K888" s="2"/>
    </row>
    <row r="889" ht="15.75" customHeight="1">
      <c r="A889" s="4" t="str">
        <f>HYPERLINK("https://stackoverflow.com/q/61915796", "61915796")</f>
        <v>61915796</v>
      </c>
      <c r="B889" s="1">
        <v>6.1915796E7</v>
      </c>
      <c r="C889" s="2" t="s">
        <v>3544</v>
      </c>
      <c r="D889" s="3"/>
      <c r="E889" s="3">
        <v>12.0</v>
      </c>
      <c r="F889" s="2" t="s">
        <v>11</v>
      </c>
      <c r="G889" s="2" t="s">
        <v>67</v>
      </c>
      <c r="H889" s="2"/>
      <c r="I889" s="2"/>
      <c r="J889" s="2"/>
      <c r="K889" s="2"/>
    </row>
    <row r="890" ht="15.75" customHeight="1">
      <c r="A890" s="4" t="str">
        <f>HYPERLINK("https://stackoverflow.com/q/61919301", "61919301")</f>
        <v>61919301</v>
      </c>
      <c r="B890" s="1">
        <v>6.1919301E7</v>
      </c>
      <c r="C890" s="2" t="s">
        <v>3007</v>
      </c>
      <c r="D890" s="3"/>
      <c r="E890" s="3">
        <v>35.0</v>
      </c>
      <c r="F890" s="9" t="s">
        <v>11</v>
      </c>
      <c r="G890" s="2" t="s">
        <v>18</v>
      </c>
      <c r="H890" s="2" t="s">
        <v>34</v>
      </c>
      <c r="I890" s="2"/>
      <c r="J890" s="2"/>
      <c r="K890" s="2"/>
    </row>
    <row r="891" ht="15.75" customHeight="1">
      <c r="A891" s="4" t="str">
        <f>HYPERLINK("https://stackoverflow.com/q/61920382", "61920382")</f>
        <v>61920382</v>
      </c>
      <c r="B891" s="1">
        <v>6.1920382E7</v>
      </c>
      <c r="C891" s="2" t="s">
        <v>3564</v>
      </c>
      <c r="D891" s="3"/>
      <c r="E891" s="3">
        <v>11.0</v>
      </c>
      <c r="F891" s="2" t="s">
        <v>86</v>
      </c>
      <c r="G891" s="2" t="s">
        <v>87</v>
      </c>
      <c r="H891" s="2"/>
      <c r="I891" s="2"/>
      <c r="J891" s="2"/>
      <c r="K891" s="2"/>
    </row>
    <row r="892" ht="15.75" customHeight="1">
      <c r="A892" s="4" t="str">
        <f>HYPERLINK("https://stackoverflow.com/q/61928879", "61928879")</f>
        <v>61928879</v>
      </c>
      <c r="B892" s="1">
        <v>6.1928879E7</v>
      </c>
      <c r="C892" s="2" t="s">
        <v>3624</v>
      </c>
      <c r="D892" s="3"/>
      <c r="E892" s="3">
        <v>6.0</v>
      </c>
      <c r="F892" s="2" t="s">
        <v>11</v>
      </c>
      <c r="G892" s="2" t="s">
        <v>67</v>
      </c>
      <c r="H892" s="2"/>
      <c r="I892" s="2"/>
      <c r="J892" s="2"/>
      <c r="K892" s="2"/>
    </row>
    <row r="893" ht="15.75" customHeight="1">
      <c r="A893" s="4" t="str">
        <f>HYPERLINK("https://stackoverflow.com/q/61932638", "61932638")</f>
        <v>61932638</v>
      </c>
      <c r="B893" s="1">
        <v>6.1932638E7</v>
      </c>
      <c r="C893" s="2" t="s">
        <v>3615</v>
      </c>
      <c r="D893" s="3"/>
      <c r="E893" s="3">
        <v>7.0</v>
      </c>
      <c r="F893" s="2" t="s">
        <v>11</v>
      </c>
      <c r="G893" s="2" t="s">
        <v>84</v>
      </c>
      <c r="H893" s="2"/>
      <c r="I893" s="2"/>
      <c r="J893" s="2"/>
      <c r="K893" s="2"/>
    </row>
    <row r="894" ht="15.75" customHeight="1">
      <c r="A894" s="4" t="str">
        <f>HYPERLINK("https://stackoverflow.com/q/61936613", "61936613")</f>
        <v>61936613</v>
      </c>
      <c r="B894" s="1">
        <v>6.1936613E7</v>
      </c>
      <c r="C894" s="2" t="s">
        <v>3246</v>
      </c>
      <c r="D894" s="3"/>
      <c r="E894" s="3">
        <v>26.0</v>
      </c>
      <c r="F894" s="9" t="s">
        <v>11</v>
      </c>
      <c r="G894" s="2" t="s">
        <v>18</v>
      </c>
      <c r="H894" s="2"/>
      <c r="I894" s="2"/>
      <c r="J894" s="2"/>
      <c r="K894" s="2"/>
    </row>
    <row r="895" ht="15.75" customHeight="1">
      <c r="A895" s="4" t="str">
        <f>HYPERLINK("https://stackoverflow.com/q/61938413", "61938413")</f>
        <v>61938413</v>
      </c>
      <c r="B895" s="1">
        <v>6.1938413E7</v>
      </c>
      <c r="C895" s="2" t="s">
        <v>3408</v>
      </c>
      <c r="D895" s="3"/>
      <c r="E895" s="3">
        <v>18.0</v>
      </c>
      <c r="F895" s="2" t="s">
        <v>11</v>
      </c>
      <c r="G895" s="2" t="s">
        <v>67</v>
      </c>
      <c r="H895" s="2"/>
      <c r="I895" s="2"/>
      <c r="J895" s="2"/>
      <c r="K895" s="2"/>
    </row>
    <row r="896" ht="15.75" customHeight="1">
      <c r="A896" s="4" t="str">
        <f>HYPERLINK("https://stackoverflow.com/q/61939435", "61939435")</f>
        <v>61939435</v>
      </c>
      <c r="B896" s="1">
        <v>6.1939435E7</v>
      </c>
      <c r="C896" s="2" t="s">
        <v>3190</v>
      </c>
      <c r="D896" s="3"/>
      <c r="E896" s="3">
        <v>28.0</v>
      </c>
      <c r="F896" s="2" t="s">
        <v>11</v>
      </c>
      <c r="G896" s="2" t="s">
        <v>263</v>
      </c>
      <c r="H896" s="2"/>
      <c r="I896" s="2"/>
      <c r="J896" s="2"/>
      <c r="K896" s="2"/>
    </row>
    <row r="897" ht="15.75" customHeight="1">
      <c r="A897" s="4" t="str">
        <f>HYPERLINK("https://stackoverflow.com/q/61947363", "61947363")</f>
        <v>61947363</v>
      </c>
      <c r="B897" s="1">
        <v>6.1947363E7</v>
      </c>
      <c r="C897" s="2" t="s">
        <v>3590</v>
      </c>
      <c r="D897" s="3"/>
      <c r="E897" s="3">
        <v>9.0</v>
      </c>
      <c r="F897" s="2" t="s">
        <v>537</v>
      </c>
      <c r="G897" s="2" t="s">
        <v>194</v>
      </c>
      <c r="H897" s="2"/>
      <c r="I897" s="2"/>
      <c r="J897" s="2"/>
      <c r="K897" s="2"/>
    </row>
    <row r="898" ht="15.75" customHeight="1">
      <c r="A898" s="4" t="str">
        <f>HYPERLINK("https://stackoverflow.com/q/61961302", "61961302")</f>
        <v>61961302</v>
      </c>
      <c r="B898" s="1">
        <v>6.1961302E7</v>
      </c>
      <c r="C898" s="2" t="s">
        <v>3142</v>
      </c>
      <c r="D898" s="3"/>
      <c r="E898" s="3">
        <v>30.0</v>
      </c>
      <c r="F898" s="2" t="s">
        <v>11</v>
      </c>
      <c r="G898" s="2" t="s">
        <v>35</v>
      </c>
      <c r="H898" s="2"/>
      <c r="I898" s="2"/>
      <c r="J898" s="2"/>
      <c r="K898" s="2"/>
    </row>
    <row r="899" ht="15.75" customHeight="1">
      <c r="A899" s="4" t="str">
        <f>HYPERLINK("https://stackoverflow.com/q/61964967", "61964967")</f>
        <v>61964967</v>
      </c>
      <c r="B899" s="1">
        <v>6.1964967E7</v>
      </c>
      <c r="C899" s="2" t="s">
        <v>3431</v>
      </c>
      <c r="D899" s="3"/>
      <c r="E899" s="3">
        <v>17.0</v>
      </c>
      <c r="F899" s="2" t="s">
        <v>11</v>
      </c>
      <c r="G899" s="2" t="s">
        <v>12</v>
      </c>
      <c r="H899" s="2"/>
      <c r="I899" s="2"/>
      <c r="J899" s="2"/>
      <c r="K899" s="2"/>
    </row>
    <row r="900" ht="15.75" customHeight="1">
      <c r="A900" s="4" t="str">
        <f>HYPERLINK("https://stackoverflow.com/q/61977505", "61977505")</f>
        <v>61977505</v>
      </c>
      <c r="B900" s="1">
        <v>6.1977505E7</v>
      </c>
      <c r="C900" s="2" t="s">
        <v>3477</v>
      </c>
      <c r="D900" s="3"/>
      <c r="E900" s="3">
        <v>15.0</v>
      </c>
      <c r="F900" s="2" t="s">
        <v>11</v>
      </c>
      <c r="G900" s="2" t="s">
        <v>34</v>
      </c>
      <c r="H900" s="2"/>
      <c r="I900" s="2"/>
      <c r="J900" s="2"/>
      <c r="K900" s="2"/>
    </row>
    <row r="901" ht="15.75" customHeight="1">
      <c r="A901" s="4" t="str">
        <f>HYPERLINK("https://stackoverflow.com/q/61979138", "61979138")</f>
        <v>61979138</v>
      </c>
      <c r="B901" s="1">
        <v>6.1979138E7</v>
      </c>
      <c r="C901" s="2" t="s">
        <v>3626</v>
      </c>
      <c r="D901" s="3"/>
      <c r="E901" s="3">
        <v>6.0</v>
      </c>
      <c r="F901" s="2" t="s">
        <v>86</v>
      </c>
      <c r="G901" s="2" t="s">
        <v>87</v>
      </c>
      <c r="H901" s="17"/>
      <c r="I901" s="2"/>
      <c r="J901" s="2"/>
      <c r="K901" s="2"/>
    </row>
    <row r="902" ht="15.75" customHeight="1">
      <c r="A902" s="4" t="str">
        <f>HYPERLINK("https://stackoverflow.com/q/61983642", "61983642")</f>
        <v>61983642</v>
      </c>
      <c r="B902" s="1">
        <v>6.1983642E7</v>
      </c>
      <c r="C902" s="2" t="s">
        <v>3457</v>
      </c>
      <c r="D902" s="3"/>
      <c r="E902" s="3">
        <v>16.0</v>
      </c>
      <c r="F902" s="2" t="s">
        <v>11</v>
      </c>
      <c r="G902" s="2" t="s">
        <v>56</v>
      </c>
      <c r="H902" s="2"/>
      <c r="I902" s="2"/>
      <c r="J902" s="2"/>
      <c r="K902" s="2"/>
    </row>
    <row r="903" ht="15.75" customHeight="1">
      <c r="A903" s="4" t="str">
        <f>HYPERLINK("https://stackoverflow.com/q/61999799", "61999799")</f>
        <v>61999799</v>
      </c>
      <c r="B903" s="1">
        <v>6.1999799E7</v>
      </c>
      <c r="C903" s="2" t="s">
        <v>3458</v>
      </c>
      <c r="D903" s="3"/>
      <c r="E903" s="3">
        <v>16.0</v>
      </c>
      <c r="F903" s="2" t="s">
        <v>11</v>
      </c>
      <c r="G903" s="2" t="s">
        <v>35</v>
      </c>
      <c r="H903" s="2"/>
      <c r="I903" s="2"/>
      <c r="J903" s="2"/>
      <c r="K903" s="2"/>
    </row>
    <row r="904" ht="15.75" customHeight="1">
      <c r="A904" s="4" t="str">
        <f>HYPERLINK("https://stackoverflow.com/q/62002491", "62002491")</f>
        <v>62002491</v>
      </c>
      <c r="B904" s="1">
        <v>6.2002491E7</v>
      </c>
      <c r="C904" s="2" t="s">
        <v>3403</v>
      </c>
      <c r="D904" s="3"/>
      <c r="E904" s="3">
        <v>18.0</v>
      </c>
      <c r="F904" s="2" t="s">
        <v>59</v>
      </c>
      <c r="G904" s="2" t="s">
        <v>538</v>
      </c>
      <c r="H904" s="2"/>
      <c r="I904" s="2"/>
      <c r="J904" s="2"/>
      <c r="K904" s="2"/>
    </row>
    <row r="905" ht="15.75" customHeight="1">
      <c r="A905" s="4" t="str">
        <f>HYPERLINK("https://stackoverflow.com/q/62006237", "62006237")</f>
        <v>62006237</v>
      </c>
      <c r="B905" s="1">
        <v>6.2006237E7</v>
      </c>
      <c r="C905" s="2" t="s">
        <v>3459</v>
      </c>
      <c r="D905" s="3"/>
      <c r="E905" s="3">
        <v>16.0</v>
      </c>
      <c r="F905" s="2" t="s">
        <v>11</v>
      </c>
      <c r="G905" s="2" t="s">
        <v>263</v>
      </c>
      <c r="H905" s="2"/>
      <c r="I905" s="2"/>
      <c r="J905" s="2"/>
      <c r="K905" s="2"/>
    </row>
    <row r="906" ht="15.75" customHeight="1">
      <c r="A906" s="4" t="str">
        <f>HYPERLINK("https://stackoverflow.com/q/62014768", "62014768")</f>
        <v>62014768</v>
      </c>
      <c r="B906" s="1">
        <v>6.2014768E7</v>
      </c>
      <c r="C906" s="2" t="s">
        <v>3627</v>
      </c>
      <c r="D906" s="3"/>
      <c r="E906" s="3">
        <v>6.0</v>
      </c>
      <c r="F906" s="2" t="s">
        <v>537</v>
      </c>
      <c r="G906" s="2" t="s">
        <v>34</v>
      </c>
      <c r="H906" s="2" t="s">
        <v>484</v>
      </c>
      <c r="I906" s="2"/>
      <c r="J906" s="2"/>
      <c r="K906" s="2"/>
    </row>
    <row r="907" ht="15.75" customHeight="1">
      <c r="A907" s="4" t="str">
        <f>HYPERLINK("https://stackoverflow.com/q/62018029", "62018029")</f>
        <v>62018029</v>
      </c>
      <c r="B907" s="1">
        <v>6.2018029E7</v>
      </c>
      <c r="C907" s="2" t="s">
        <v>3638</v>
      </c>
      <c r="D907" s="3"/>
      <c r="E907" s="3">
        <v>4.0</v>
      </c>
      <c r="F907" s="2" t="s">
        <v>11</v>
      </c>
      <c r="G907" s="2" t="s">
        <v>21</v>
      </c>
      <c r="H907" s="2"/>
      <c r="I907" s="2"/>
      <c r="J907" s="2"/>
      <c r="K907" s="2"/>
    </row>
    <row r="908" ht="15.75" customHeight="1">
      <c r="A908" s="4" t="str">
        <f>HYPERLINK("https://stackoverflow.com/q/62020069", "62020069")</f>
        <v>62020069</v>
      </c>
      <c r="B908" s="1">
        <v>6.2020069E7</v>
      </c>
      <c r="C908" s="2" t="s">
        <v>3561</v>
      </c>
      <c r="D908" s="3"/>
      <c r="E908" s="3">
        <v>11.0</v>
      </c>
      <c r="F908" s="2" t="s">
        <v>11</v>
      </c>
      <c r="G908" s="2" t="s">
        <v>84</v>
      </c>
      <c r="H908" s="2"/>
      <c r="I908" s="2"/>
      <c r="J908" s="2"/>
      <c r="K908" s="2"/>
    </row>
    <row r="909" ht="15.75" customHeight="1">
      <c r="A909" s="4" t="str">
        <f>HYPERLINK("https://stackoverflow.com/q/62020899", "62020899")</f>
        <v>62020899</v>
      </c>
      <c r="B909" s="1">
        <v>6.2020899E7</v>
      </c>
      <c r="C909" s="2" t="s">
        <v>3562</v>
      </c>
      <c r="D909" s="3"/>
      <c r="E909" s="3">
        <v>11.0</v>
      </c>
      <c r="F909" s="2" t="s">
        <v>11</v>
      </c>
      <c r="G909" s="2" t="s">
        <v>21</v>
      </c>
      <c r="H909" s="2"/>
      <c r="I909" s="2"/>
      <c r="J909" s="2"/>
      <c r="K909" s="2"/>
    </row>
    <row r="910" ht="15.75" customHeight="1">
      <c r="A910" s="4" t="str">
        <f>HYPERLINK("https://stackoverflow.com/q/62022772", "62022772")</f>
        <v>62022772</v>
      </c>
      <c r="B910" s="1">
        <v>6.2022772E7</v>
      </c>
      <c r="C910" s="2" t="s">
        <v>3545</v>
      </c>
      <c r="D910" s="3"/>
      <c r="E910" s="3">
        <v>12.0</v>
      </c>
      <c r="F910" s="9" t="s">
        <v>11</v>
      </c>
      <c r="G910" s="2" t="s">
        <v>18</v>
      </c>
      <c r="H910" s="2"/>
      <c r="I910" s="2"/>
      <c r="J910" s="2"/>
      <c r="K910" s="2"/>
    </row>
    <row r="911" ht="15.75" customHeight="1">
      <c r="A911" s="4" t="str">
        <f>HYPERLINK("https://stackoverflow.com/q/62031387", "62031387")</f>
        <v>62031387</v>
      </c>
      <c r="B911" s="1">
        <v>6.2031387E7</v>
      </c>
      <c r="C911" s="2" t="s">
        <v>3388</v>
      </c>
      <c r="D911" s="3"/>
      <c r="E911" s="3">
        <v>19.0</v>
      </c>
      <c r="F911" s="2" t="s">
        <v>11</v>
      </c>
      <c r="G911" s="2" t="s">
        <v>44</v>
      </c>
      <c r="H911" s="2"/>
      <c r="I911" s="2"/>
      <c r="J911" s="2"/>
      <c r="K911" s="2"/>
    </row>
    <row r="912" ht="15.75" customHeight="1">
      <c r="A912" s="4" t="str">
        <f>HYPERLINK("https://stackoverflow.com/q/62036134", "62036134")</f>
        <v>62036134</v>
      </c>
      <c r="B912" s="1">
        <v>6.2036134E7</v>
      </c>
      <c r="C912" s="2" t="s">
        <v>3604</v>
      </c>
      <c r="D912" s="3"/>
      <c r="E912" s="3">
        <v>8.0</v>
      </c>
      <c r="F912" s="2" t="s">
        <v>11</v>
      </c>
      <c r="G912" s="2" t="s">
        <v>56</v>
      </c>
      <c r="H912" s="2"/>
      <c r="I912" s="2"/>
      <c r="J912" s="2"/>
      <c r="K912" s="2"/>
    </row>
    <row r="913" ht="15.75" customHeight="1">
      <c r="A913" s="4" t="str">
        <f>HYPERLINK("https://stackoverflow.com/q/62037429", "62037429")</f>
        <v>62037429</v>
      </c>
      <c r="B913" s="1">
        <v>6.2037429E7</v>
      </c>
      <c r="C913" s="2" t="s">
        <v>3273</v>
      </c>
      <c r="D913" s="3"/>
      <c r="E913" s="3">
        <v>25.0</v>
      </c>
      <c r="F913" s="2" t="s">
        <v>11</v>
      </c>
      <c r="G913" s="2" t="s">
        <v>35</v>
      </c>
      <c r="H913" s="2"/>
      <c r="I913" s="2"/>
      <c r="J913" s="2"/>
      <c r="K913" s="2"/>
    </row>
    <row r="914" ht="15.75" customHeight="1">
      <c r="A914" s="4" t="str">
        <f>HYPERLINK("https://stackoverflow.com/q/62049277", "62049277")</f>
        <v>62049277</v>
      </c>
      <c r="B914" s="1">
        <v>6.2049277E7</v>
      </c>
      <c r="C914" s="2" t="s">
        <v>3605</v>
      </c>
      <c r="D914" s="3"/>
      <c r="E914" s="3">
        <v>8.0</v>
      </c>
      <c r="F914" s="2" t="s">
        <v>11</v>
      </c>
      <c r="G914" s="2" t="s">
        <v>56</v>
      </c>
      <c r="H914" s="2"/>
      <c r="I914" s="2"/>
      <c r="J914" s="2"/>
      <c r="K914" s="2"/>
    </row>
    <row r="915" ht="15.75" customHeight="1">
      <c r="A915" s="4" t="str">
        <f>HYPERLINK("https://stackoverflow.com/q/62049728", "62049728")</f>
        <v>62049728</v>
      </c>
      <c r="B915" s="1">
        <v>6.2049728E7</v>
      </c>
      <c r="C915" s="2" t="s">
        <v>3498</v>
      </c>
      <c r="D915" s="3"/>
      <c r="E915" s="3">
        <v>14.0</v>
      </c>
      <c r="F915" s="9" t="s">
        <v>11</v>
      </c>
      <c r="G915" s="2" t="s">
        <v>18</v>
      </c>
      <c r="H915" s="2"/>
      <c r="I915" s="2"/>
      <c r="J915" s="2"/>
      <c r="K915" s="2"/>
    </row>
    <row r="916" ht="15.75" customHeight="1">
      <c r="A916" s="4" t="str">
        <f>HYPERLINK("https://stackoverflow.com/q/62065508", "62065508")</f>
        <v>62065508</v>
      </c>
      <c r="B916" s="1">
        <v>6.2065508E7</v>
      </c>
      <c r="C916" s="2" t="s">
        <v>3589</v>
      </c>
      <c r="D916" s="3"/>
      <c r="E916" s="3">
        <v>9.0</v>
      </c>
      <c r="F916" s="2" t="s">
        <v>11</v>
      </c>
      <c r="G916" s="2" t="s">
        <v>44</v>
      </c>
      <c r="H916" s="2"/>
      <c r="I916" s="2"/>
      <c r="J916" s="2"/>
      <c r="K916" s="2"/>
    </row>
    <row r="917" ht="15.75" customHeight="1">
      <c r="A917" s="4" t="str">
        <f>HYPERLINK("https://stackoverflow.com/q/62066602", "62066602")</f>
        <v>62066602</v>
      </c>
      <c r="B917" s="1">
        <v>6.2066602E7</v>
      </c>
      <c r="C917" s="2" t="s">
        <v>3563</v>
      </c>
      <c r="D917" s="3"/>
      <c r="E917" s="3">
        <v>11.0</v>
      </c>
      <c r="F917" s="2" t="s">
        <v>11</v>
      </c>
      <c r="G917" s="2" t="s">
        <v>84</v>
      </c>
      <c r="H917" s="2"/>
      <c r="I917" s="2"/>
      <c r="J917" s="2"/>
      <c r="K917" s="2"/>
    </row>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G1:G917">
      <formula1>"wrong tag,Queries on Platform [plaform comparision | platform features | Community support | Reusability Scalability performance],General query [HTTP error header message  explanation | Feature usage query | Learning curve],Flatform features support [Even"&amp;"t Monitoring | Dashboard customization | View Management | role management | collaboration | platform security],Platform issues [platform limitaion | not working as expected],Session/Authentication [social auth | oaut2 | jtoken],Version Controlling,Deploy"&amp;"ment Issues [ Local Development],Access control [Application accessibility| Permission],Browser compatibility,API Integration [Updating Integrated API versions | API unexpected response | Connecting external services | Ambiguous sample code integration],E"&amp;"mail and DNS configuration [SMTP Authentication| email not working | DNS Integration],Application Customization [QR code | Automatic value| Show/Hide Component| Pagination | Automatic Email | Embedding | pagination ],Input validation,UI customization [Des"&amp;"ign flexibility|  UI Overflow| Show/Hide Component| Template],Dynamic Content,Database CRUD [Complex Database query| DB query for M:M data model| DB query unexpected| ],Database [connection| sclability| model design| Export/import data| Database design| D"&amp;"B scalability| DB Admin Authorization|,Data migration [export | import],Data binding,General programming query [JSON to CSV/excel],Debugging Error/crash [why this does not work| Application Code change not executed| Broken UI| Functionalities not working|"&amp;" boken UI| Embedding | ],Testing [Test failed| Test coverage| Third party functional testing suite|],Tutorial [How to do this ],Recommendation on best practice,Documentation [incorrent| incomplete| ambiguous| Ambiguous sample code integration]"</formula1>
    </dataValidation>
    <dataValidation type="list" allowBlank="1" sqref="H1:H917">
      <formula1>"wrong tag,Queries on Platform [plaform comparision | platform features | Community support | Reusability Scalability performance],General query [HTTP error header message  explanation | Feature usage query | Learning curve],Flatform features [Event Monito"&amp;"ring | Dashboard customization | View Management | role management | collaboration | platform security],Platform issues [platform limitaion | not working as expected],Session/Authentication [social auth | oaut2 | jtoken],Version Controlling,Deployment Iss"&amp;"ues [ Local Development],Access control [Application accessibility| Permission],Browser compatibility,API Integration [Updating Integrated API versions | API unexpected response | Connecting external services | Ambiguous sample code integration],Email con"&amp;"figuration [SMTP Authentication | DNS Integration],Application Customization [QR code | Automatic value| Show/Hide Component| Pagination | Automatic Email | Embedding | pagination ],Input validation,UI customization [Design flexibility|  UI Overflow| Show"&amp;"/Hide Component| Template],Dynamic Content,Database CRUD [Complex Database query| DB query for M:M data model| DB query unexpected| ],Database [connection| sclability| model design| Export/import data| Database design| DB scalability| DB Admin Authorizati"&amp;"on|,Data migration [export | import],Data binding,General programming query [JSON to CSV/excel],Debugging Error/crash [why this does not work| Application Code change not executed| Broken UI| Functionalities not working| boken UI| Embedding | ],Testing [T"&amp;"est failed| Test coverage| Third party functional testing suite|],Tutorial [How to do this ],Recommendation on best practice,Documentation [incorrent| incomplete| ambiguous| Ambiguous sample code integration]"</formula1>
    </dataValidation>
    <dataValidation type="list" allowBlank="1" sqref="F1:F917">
      <formula1>"1__requirement,2__design,3__development,4__testing,5__deployment,6__maintenance"</formula1>
    </dataValidation>
    <dataValidation type="list" allowBlank="1" sqref="I1:I8 I10:I38 I40 I43:I67 I69:I83 I85:I87 I89:I91 I93:I917">
      <formula1>"Queries on Platform [plaform comparision | platform features | Community support | Reusability Scalability performance],General query [HTTP error header message  explanation | Feature usage query | Learning curve],wrong tag,Event Monitoring [Dashboard cus"&amp;"tomization | View Management],Platform issues [platform limitaion | not working as expected],Developer role management [Collaboration | Developer role assignment],Application security [Platform security CIA | Security Token error],Session/Authentication ["&amp;"social auth | oaut2 | jtoken],Version Controlling,Deployment Issues [ Local Development],Access control [Application accessibility| Permission],Browser compatibility,API Integration [Updating Integrated API versions | API unexpected response | Connecting "&amp;"external services | Ambiguous sample code integration],DNS Integration [Email domain verification],Email configuration [SMTP Authentication],Application Customization [QR code | Automatic value| Show/Hide Component| Pagination | Automatic Email | Embeddin"&amp;"g ],Input validation,pagination,UI customization [Design flexibility|  UI Overflow| Show/Hide Component|],Dynamic Content,Database CRUD [Complex Database query| DB query for M:M data model| DB query unexpected| ],Database [connection| sclability| model de"&amp;"sign| Export/import data| Database design| DB scalability| DB Admin Authorization|,Data migration [export | import],Data binding,General programming query [JSON to CSV/excel],Template,Debugging Error/crash [why this does not work| Application Code change "&amp;"not executed| Broken UI| Functionalities not working| boken UI| Embedding | ],Testing [Test failed| Test coverage| Third party functional testing suite|],Tutorial [How to do this ],Recommendation on best practice,Documentation [incorrent| incomplete| ambi"&amp;"guous| Ambiguous sample code integration]"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35.0"/>
    <col customWidth="1" min="3" max="6" width="14.43"/>
  </cols>
  <sheetData>
    <row r="1" ht="15.75" customHeight="1">
      <c r="B1" s="2"/>
    </row>
    <row r="2" ht="15.75" customHeight="1">
      <c r="B2" s="2"/>
    </row>
    <row r="3" ht="15.75" customHeight="1">
      <c r="B3" s="2"/>
    </row>
    <row r="4" ht="15.75" customHeight="1">
      <c r="B4" s="2"/>
    </row>
    <row r="5" ht="15.75" customHeight="1">
      <c r="B5" s="2"/>
    </row>
    <row r="6" ht="15.75" customHeight="1">
      <c r="B6" s="2"/>
    </row>
    <row r="7" ht="15.75" customHeight="1">
      <c r="B7" s="2"/>
    </row>
    <row r="8" ht="15.75" customHeight="1">
      <c r="B8" s="2"/>
    </row>
    <row r="9" ht="15.75" customHeight="1">
      <c r="B9" s="2"/>
    </row>
    <row r="10" ht="15.75" customHeight="1">
      <c r="B10" s="2"/>
    </row>
    <row r="11" ht="15.75" customHeight="1">
      <c r="B11" s="2"/>
    </row>
    <row r="12" ht="15.75" customHeight="1">
      <c r="B12" s="2"/>
    </row>
    <row r="13" ht="15.75" customHeight="1">
      <c r="B13" s="2"/>
    </row>
    <row r="14" ht="15.75" customHeight="1">
      <c r="B14" s="2"/>
    </row>
    <row r="15" ht="15.75" customHeight="1">
      <c r="B15" s="2"/>
    </row>
    <row r="16" ht="15.75" customHeight="1">
      <c r="B16" s="2"/>
    </row>
    <row r="17" ht="15.75" customHeight="1">
      <c r="B17" s="2"/>
    </row>
    <row r="18" ht="15.75" customHeight="1">
      <c r="B18" s="2"/>
    </row>
    <row r="19" ht="15.75" customHeight="1">
      <c r="B19" s="2"/>
    </row>
    <row r="20" ht="15.75" customHeight="1">
      <c r="B20" s="2"/>
    </row>
    <row r="21" ht="15.75" customHeight="1">
      <c r="A21" s="20">
        <v>10.0</v>
      </c>
      <c r="B21" s="2"/>
    </row>
    <row r="22" ht="15.75" customHeight="1">
      <c r="A22" s="20">
        <v>16.0</v>
      </c>
      <c r="B22" s="2"/>
    </row>
    <row r="23" ht="15.75" customHeight="1">
      <c r="A23" s="20">
        <v>17.0</v>
      </c>
      <c r="B23" s="2"/>
    </row>
    <row r="24" ht="15.75" customHeight="1">
      <c r="A24" s="20">
        <v>19.0</v>
      </c>
      <c r="B24" s="2"/>
    </row>
    <row r="25" ht="15.75" customHeight="1">
      <c r="A25" s="20">
        <v>12.0</v>
      </c>
      <c r="B25" s="2"/>
    </row>
    <row r="26" ht="15.75" customHeight="1">
      <c r="A26" s="20">
        <v>29.0</v>
      </c>
      <c r="B26" s="2"/>
    </row>
    <row r="27" ht="15.75" customHeight="1">
      <c r="A27" s="20">
        <v>23.0</v>
      </c>
      <c r="B27" s="2"/>
    </row>
    <row r="28" ht="15.75" customHeight="1">
      <c r="A28" s="20">
        <v>36.0</v>
      </c>
      <c r="B28" s="2"/>
    </row>
    <row r="29" ht="15.75" customHeight="1">
      <c r="A29" s="20">
        <v>35.0</v>
      </c>
      <c r="B29" s="2"/>
    </row>
    <row r="30" ht="15.75" customHeight="1">
      <c r="A30" s="20">
        <v>39.0</v>
      </c>
      <c r="B30" s="2"/>
    </row>
    <row r="31" ht="15.75" customHeight="1">
      <c r="A31" s="20">
        <v>34.0</v>
      </c>
      <c r="B31" s="2"/>
    </row>
    <row r="32" ht="15.75" customHeight="1">
      <c r="A32" s="20">
        <v>12.0</v>
      </c>
      <c r="B32" s="2"/>
    </row>
    <row r="33" ht="15.75" customHeight="1">
      <c r="A33" s="20">
        <v>17.0</v>
      </c>
      <c r="B33" s="2"/>
    </row>
    <row r="34" ht="15.75" customHeight="1">
      <c r="A34" s="20">
        <v>15.0</v>
      </c>
      <c r="B34" s="2"/>
    </row>
    <row r="35" ht="15.75" customHeight="1">
      <c r="A35" s="20">
        <v>22.0</v>
      </c>
      <c r="B35" s="2"/>
    </row>
    <row r="36" ht="15.75" customHeight="1">
      <c r="A36" s="20">
        <v>34.0</v>
      </c>
      <c r="B36" s="2"/>
    </row>
    <row r="37" ht="15.75" customHeight="1">
      <c r="A37" s="20">
        <v>34.0</v>
      </c>
      <c r="B37" s="2"/>
    </row>
    <row r="38" ht="15.75" customHeight="1">
      <c r="A38" s="20">
        <v>29.0</v>
      </c>
      <c r="B38" s="2"/>
    </row>
    <row r="39" ht="15.75" customHeight="1">
      <c r="A39" s="20">
        <v>43.0</v>
      </c>
      <c r="B39" s="2"/>
    </row>
    <row r="40" ht="15.75" customHeight="1">
      <c r="A40" s="20">
        <v>36.0</v>
      </c>
      <c r="B40" s="2"/>
    </row>
    <row r="41" ht="15.75" customHeight="1">
      <c r="A41" s="20">
        <v>39.0</v>
      </c>
      <c r="B41" s="2"/>
    </row>
    <row r="42" ht="15.75" customHeight="1">
      <c r="A42" s="20">
        <v>25.0</v>
      </c>
      <c r="B42" s="2"/>
    </row>
    <row r="43" ht="15.75" customHeight="1">
      <c r="A43" s="20">
        <v>33.0</v>
      </c>
      <c r="B43" s="2"/>
    </row>
    <row r="44" ht="15.75" customHeight="1">
      <c r="A44" s="20">
        <v>32.0</v>
      </c>
      <c r="B44" s="2"/>
    </row>
    <row r="45" ht="15.75" customHeight="1">
      <c r="A45" s="20">
        <v>23.0</v>
      </c>
      <c r="B45" s="2"/>
    </row>
    <row r="46" ht="15.75" customHeight="1">
      <c r="A46" s="20">
        <v>31.0</v>
      </c>
      <c r="B46" s="2"/>
    </row>
    <row r="47" ht="15.75" customHeight="1">
      <c r="A47" s="20">
        <v>26.0</v>
      </c>
      <c r="B47" s="2"/>
    </row>
    <row r="48" ht="15.75" customHeight="1">
      <c r="A48" s="20">
        <v>41.0</v>
      </c>
      <c r="B48" s="2"/>
    </row>
    <row r="49" ht="15.75" customHeight="1">
      <c r="A49" s="20">
        <v>30.0</v>
      </c>
      <c r="B49" s="2"/>
    </row>
    <row r="50" ht="15.75" customHeight="1">
      <c r="A50" s="20">
        <v>35.0</v>
      </c>
      <c r="B50" s="2"/>
    </row>
    <row r="51" ht="15.75" customHeight="1">
      <c r="A51" s="20">
        <v>22.0</v>
      </c>
      <c r="B51" s="2"/>
    </row>
    <row r="52" ht="15.75" customHeight="1">
      <c r="A52" s="20">
        <v>48.0</v>
      </c>
      <c r="B52" s="2"/>
    </row>
    <row r="53" ht="15.75" customHeight="1">
      <c r="A53" s="20">
        <v>38.0</v>
      </c>
      <c r="B53" s="2"/>
    </row>
    <row r="54" ht="15.75" customHeight="1">
      <c r="A54" s="20">
        <v>36.0</v>
      </c>
      <c r="B54" s="2"/>
    </row>
    <row r="55" ht="15.75" customHeight="1">
      <c r="A55" s="20">
        <v>47.0</v>
      </c>
      <c r="B55" s="2"/>
    </row>
    <row r="56" ht="15.75" customHeight="1">
      <c r="A56" s="20">
        <v>42.0</v>
      </c>
      <c r="B56" s="2"/>
    </row>
    <row r="57" ht="15.75" customHeight="1">
      <c r="A57" s="20">
        <v>31.0</v>
      </c>
      <c r="B57" s="2"/>
    </row>
    <row r="58" ht="15.75" customHeight="1">
      <c r="A58" s="20">
        <v>21.0</v>
      </c>
      <c r="B58" s="2"/>
    </row>
    <row r="59" ht="15.75" customHeight="1">
      <c r="A59" s="17">
        <f>SUM(A21:A58)</f>
        <v>1112</v>
      </c>
      <c r="B59" s="2"/>
    </row>
    <row r="60" ht="15.75" customHeight="1">
      <c r="B60" s="2"/>
    </row>
    <row r="61" ht="15.75" customHeight="1">
      <c r="B61" s="2"/>
    </row>
    <row r="62" ht="15.75" customHeight="1">
      <c r="B62" s="2"/>
    </row>
    <row r="63" ht="15.75" customHeight="1">
      <c r="B63" s="2"/>
    </row>
    <row r="64" ht="15.75" customHeight="1">
      <c r="B64" s="2"/>
    </row>
    <row r="65" ht="15.75" customHeight="1">
      <c r="B65" s="2"/>
    </row>
    <row r="66" ht="15.75" customHeight="1">
      <c r="B66" s="2"/>
    </row>
    <row r="67" ht="15.75" customHeight="1">
      <c r="B67" s="2"/>
    </row>
    <row r="68" ht="15.75" customHeight="1">
      <c r="B68" s="2"/>
    </row>
    <row r="69" ht="15.75" customHeight="1">
      <c r="B69" s="2"/>
    </row>
    <row r="70" ht="15.75" customHeight="1">
      <c r="B70" s="2"/>
    </row>
    <row r="71" ht="15.75" customHeight="1">
      <c r="B71" s="2"/>
    </row>
    <row r="72" ht="15.75" customHeight="1">
      <c r="B72" s="2"/>
    </row>
    <row r="73" ht="15.75" customHeight="1">
      <c r="B73" s="2"/>
    </row>
    <row r="74" ht="15.75" customHeight="1">
      <c r="B74" s="2"/>
    </row>
    <row r="75" ht="15.75" customHeight="1">
      <c r="B75" s="2"/>
    </row>
    <row r="76" ht="15.75" customHeight="1">
      <c r="B76" s="2"/>
    </row>
    <row r="77" ht="15.75" customHeight="1">
      <c r="B77" s="2"/>
    </row>
    <row r="78" ht="15.75" customHeight="1">
      <c r="B78" s="2"/>
    </row>
    <row r="79" ht="15.75" customHeight="1">
      <c r="B79" s="2"/>
    </row>
    <row r="80" ht="15.75" customHeight="1">
      <c r="B80" s="2"/>
    </row>
    <row r="81" ht="15.75" customHeight="1">
      <c r="B81" s="2"/>
    </row>
    <row r="82" ht="15.75" customHeight="1">
      <c r="B82" s="2"/>
    </row>
    <row r="83" ht="15.75" customHeight="1">
      <c r="B83" s="2"/>
    </row>
    <row r="84" ht="15.75" customHeight="1">
      <c r="B84" s="2"/>
    </row>
    <row r="85" ht="15.75" customHeight="1">
      <c r="B85" s="2"/>
    </row>
    <row r="86" ht="15.75" customHeight="1">
      <c r="B86" s="2"/>
    </row>
    <row r="87" ht="15.75" customHeight="1">
      <c r="B87" s="2"/>
    </row>
    <row r="88" ht="15.75" customHeight="1">
      <c r="B88" s="2"/>
    </row>
    <row r="89" ht="15.75" customHeight="1">
      <c r="B89" s="2"/>
    </row>
    <row r="90" ht="15.75" customHeight="1">
      <c r="B90" s="2"/>
    </row>
    <row r="91" ht="15.75" customHeight="1">
      <c r="B91" s="2"/>
    </row>
    <row r="92" ht="15.75" customHeight="1">
      <c r="B92" s="2"/>
    </row>
    <row r="93" ht="15.75" customHeight="1">
      <c r="B93" s="2"/>
    </row>
    <row r="94" ht="15.75" customHeight="1">
      <c r="B94" s="2"/>
    </row>
    <row r="95" ht="15.75" customHeight="1">
      <c r="B95" s="2"/>
    </row>
    <row r="96" ht="15.75" customHeight="1">
      <c r="B96" s="2"/>
    </row>
    <row r="97" ht="15.75" customHeight="1">
      <c r="B97" s="2"/>
    </row>
    <row r="98" ht="15.75" customHeight="1">
      <c r="B98" s="2"/>
    </row>
    <row r="99" ht="15.75" customHeight="1">
      <c r="B99" s="2"/>
    </row>
    <row r="100" ht="15.75" customHeight="1">
      <c r="B100" s="2"/>
    </row>
    <row r="101" ht="15.75" customHeight="1">
      <c r="B101" s="2"/>
    </row>
    <row r="102" ht="15.75" customHeight="1">
      <c r="B102" s="2"/>
    </row>
    <row r="103" ht="15.75" customHeight="1">
      <c r="B103" s="2"/>
    </row>
    <row r="104" ht="15.75" customHeight="1">
      <c r="B104" s="2"/>
    </row>
    <row r="105" ht="15.75" customHeight="1">
      <c r="B105" s="2"/>
    </row>
    <row r="106" ht="15.75" customHeight="1">
      <c r="B106" s="2"/>
    </row>
    <row r="107" ht="15.75" customHeight="1">
      <c r="B107" s="2"/>
    </row>
    <row r="108" ht="15.75" customHeight="1">
      <c r="B108" s="2"/>
    </row>
    <row r="109" ht="15.75" customHeight="1">
      <c r="B109" s="2"/>
    </row>
    <row r="110" ht="15.75" customHeight="1">
      <c r="B110" s="2"/>
    </row>
    <row r="111" ht="15.75" customHeight="1">
      <c r="B111" s="2"/>
    </row>
    <row r="112" ht="15.75" customHeight="1">
      <c r="B112" s="2"/>
    </row>
    <row r="113" ht="15.75" customHeight="1">
      <c r="B113" s="2"/>
    </row>
    <row r="114" ht="15.75" customHeight="1">
      <c r="B114" s="2"/>
    </row>
    <row r="115" ht="15.75" customHeight="1">
      <c r="B115" s="2"/>
    </row>
    <row r="116" ht="15.75" customHeight="1">
      <c r="B116" s="2"/>
    </row>
    <row r="117" ht="15.75" customHeight="1">
      <c r="B117" s="2"/>
    </row>
    <row r="118" ht="15.75" customHeight="1">
      <c r="B118" s="2"/>
    </row>
    <row r="119" ht="15.75" customHeight="1">
      <c r="B119" s="2"/>
    </row>
    <row r="120" ht="15.75" customHeight="1">
      <c r="B120" s="2"/>
    </row>
    <row r="121" ht="15.75" customHeight="1">
      <c r="B121" s="2"/>
    </row>
    <row r="122" ht="15.75" customHeight="1">
      <c r="B122" s="2"/>
    </row>
    <row r="123" ht="15.75" customHeight="1">
      <c r="B123" s="2"/>
    </row>
    <row r="124" ht="15.75" customHeight="1">
      <c r="B124" s="2"/>
    </row>
    <row r="125" ht="15.75" customHeight="1">
      <c r="B125" s="2"/>
    </row>
    <row r="126" ht="15.75" customHeight="1">
      <c r="B126" s="2"/>
    </row>
    <row r="127" ht="15.75" customHeight="1">
      <c r="B127" s="2"/>
    </row>
    <row r="128" ht="15.75" customHeight="1">
      <c r="B128" s="2"/>
    </row>
    <row r="129" ht="15.75" customHeight="1">
      <c r="B129" s="2"/>
    </row>
    <row r="130" ht="15.75" customHeight="1">
      <c r="B130" s="2"/>
    </row>
    <row r="131" ht="15.75" customHeight="1">
      <c r="B131" s="2"/>
    </row>
    <row r="132" ht="15.75" customHeight="1">
      <c r="B132" s="2"/>
    </row>
    <row r="133" ht="15.75" customHeight="1">
      <c r="B133" s="2"/>
    </row>
    <row r="134" ht="15.75" customHeight="1">
      <c r="B134" s="2"/>
    </row>
    <row r="135" ht="15.75" customHeight="1">
      <c r="B135" s="2"/>
    </row>
    <row r="136" ht="15.75" customHeight="1">
      <c r="B136" s="2"/>
    </row>
    <row r="137" ht="15.75" customHeight="1">
      <c r="B137" s="2"/>
    </row>
    <row r="138" ht="15.75" customHeight="1">
      <c r="B138" s="2"/>
    </row>
    <row r="139" ht="15.75" customHeight="1">
      <c r="B139" s="2"/>
    </row>
    <row r="140" ht="15.75" customHeight="1">
      <c r="B140" s="2"/>
    </row>
    <row r="141" ht="15.75" customHeight="1">
      <c r="B141" s="2"/>
    </row>
    <row r="142" ht="15.75" customHeight="1">
      <c r="B142" s="2"/>
    </row>
    <row r="143" ht="15.75" customHeight="1">
      <c r="B143" s="2"/>
    </row>
    <row r="144" ht="15.75" customHeight="1">
      <c r="B144" s="2"/>
    </row>
    <row r="145" ht="15.75" customHeight="1">
      <c r="B145" s="2"/>
    </row>
    <row r="146" ht="15.75" customHeight="1">
      <c r="B146" s="2"/>
    </row>
    <row r="147" ht="15.75" customHeight="1">
      <c r="B147" s="2"/>
    </row>
    <row r="148" ht="15.75" customHeight="1">
      <c r="B148" s="2"/>
    </row>
    <row r="149" ht="15.75" customHeight="1">
      <c r="B149" s="2"/>
    </row>
    <row r="150" ht="15.75" customHeight="1">
      <c r="B150" s="2"/>
    </row>
    <row r="151" ht="15.75" customHeight="1">
      <c r="B151" s="2"/>
    </row>
    <row r="152" ht="15.75" customHeight="1">
      <c r="B152" s="2"/>
    </row>
    <row r="153" ht="15.75" customHeight="1">
      <c r="B153" s="2"/>
    </row>
    <row r="154" ht="15.75" customHeight="1">
      <c r="B154" s="2"/>
    </row>
    <row r="155" ht="15.75" customHeight="1">
      <c r="B155" s="2"/>
    </row>
    <row r="156" ht="15.75" customHeight="1">
      <c r="B156" s="2"/>
    </row>
    <row r="157" ht="15.75" customHeight="1">
      <c r="B157" s="2"/>
    </row>
    <row r="158" ht="15.75" customHeight="1">
      <c r="B158" s="2"/>
    </row>
    <row r="159" ht="15.75" customHeight="1">
      <c r="B159" s="2"/>
    </row>
    <row r="160" ht="15.75" customHeight="1">
      <c r="B160" s="2"/>
    </row>
    <row r="161" ht="15.75" customHeight="1">
      <c r="B161" s="2"/>
    </row>
    <row r="162" ht="15.75" customHeight="1">
      <c r="B162" s="2"/>
    </row>
    <row r="163" ht="15.75" customHeight="1">
      <c r="B163" s="2"/>
    </row>
    <row r="164" ht="15.75" customHeight="1">
      <c r="B164" s="2"/>
    </row>
    <row r="165" ht="15.75" customHeight="1">
      <c r="B165" s="2"/>
    </row>
    <row r="166" ht="15.75" customHeight="1">
      <c r="B166" s="2"/>
    </row>
    <row r="167" ht="15.75" customHeight="1">
      <c r="B167" s="2"/>
    </row>
    <row r="168" ht="15.75" customHeight="1">
      <c r="B168" s="2"/>
    </row>
    <row r="169" ht="15.75" customHeight="1">
      <c r="B169" s="2"/>
    </row>
    <row r="170" ht="15.75" customHeight="1">
      <c r="B170" s="2"/>
    </row>
    <row r="171" ht="15.75" customHeight="1">
      <c r="B171" s="2"/>
    </row>
    <row r="172" ht="15.75" customHeight="1">
      <c r="B172" s="2"/>
    </row>
    <row r="173" ht="15.75" customHeight="1">
      <c r="B173" s="2"/>
    </row>
    <row r="174" ht="15.75" customHeight="1">
      <c r="B174" s="2"/>
    </row>
    <row r="175" ht="15.75" customHeight="1">
      <c r="B175" s="2"/>
    </row>
    <row r="176" ht="15.75" customHeight="1">
      <c r="B176" s="2"/>
    </row>
    <row r="177" ht="15.75" customHeight="1">
      <c r="B177" s="2"/>
    </row>
    <row r="178" ht="15.75" customHeight="1">
      <c r="B178" s="2"/>
    </row>
    <row r="179" ht="15.75" customHeight="1">
      <c r="B179" s="2"/>
    </row>
    <row r="180" ht="15.75" customHeight="1">
      <c r="B180" s="2"/>
    </row>
    <row r="181" ht="15.75" customHeight="1">
      <c r="B181" s="2"/>
    </row>
    <row r="182" ht="15.75" customHeight="1">
      <c r="B182" s="2"/>
    </row>
    <row r="183" ht="15.75" customHeight="1">
      <c r="B183" s="2"/>
    </row>
    <row r="184" ht="15.75" customHeight="1">
      <c r="B184" s="2"/>
    </row>
    <row r="185" ht="15.75" customHeight="1">
      <c r="B185" s="2"/>
    </row>
    <row r="186" ht="15.75" customHeight="1">
      <c r="B186" s="2"/>
    </row>
    <row r="187" ht="15.75" customHeight="1">
      <c r="B187" s="2"/>
    </row>
    <row r="188" ht="15.75" customHeight="1">
      <c r="B188" s="2"/>
    </row>
    <row r="189" ht="15.75" customHeight="1">
      <c r="B189" s="2"/>
    </row>
    <row r="190" ht="15.75" customHeight="1">
      <c r="B190" s="2"/>
    </row>
    <row r="191" ht="15.75" customHeight="1">
      <c r="B191" s="2"/>
    </row>
    <row r="192" ht="15.75" customHeight="1">
      <c r="B192" s="2"/>
    </row>
    <row r="193" ht="15.75" customHeight="1">
      <c r="B193" s="2"/>
    </row>
    <row r="194" ht="15.75" customHeight="1">
      <c r="B194" s="2"/>
    </row>
    <row r="195" ht="15.75" customHeight="1">
      <c r="B195" s="2"/>
    </row>
    <row r="196" ht="15.75" customHeight="1">
      <c r="B196" s="2"/>
    </row>
    <row r="197" ht="15.75" customHeight="1">
      <c r="B197" s="2"/>
    </row>
    <row r="198" ht="15.75" customHeight="1">
      <c r="B198" s="2"/>
    </row>
    <row r="199" ht="15.75" customHeight="1">
      <c r="B199" s="2"/>
    </row>
    <row r="200" ht="15.75" customHeight="1">
      <c r="B200" s="2"/>
    </row>
    <row r="201" ht="15.75" customHeight="1">
      <c r="B201" s="2"/>
    </row>
    <row r="202" ht="15.75" customHeight="1">
      <c r="B202" s="2"/>
    </row>
    <row r="203" ht="15.75" customHeight="1">
      <c r="B203" s="2"/>
    </row>
    <row r="204" ht="15.75" customHeight="1">
      <c r="B204" s="2"/>
    </row>
    <row r="205" ht="15.75" customHeight="1">
      <c r="B205" s="2"/>
    </row>
    <row r="206" ht="15.75" customHeight="1">
      <c r="B206" s="2"/>
    </row>
    <row r="207" ht="15.75" customHeight="1">
      <c r="B207" s="2"/>
    </row>
    <row r="208" ht="15.75" customHeight="1">
      <c r="B208" s="2"/>
    </row>
    <row r="209" ht="15.75" customHeight="1">
      <c r="B209" s="2"/>
    </row>
    <row r="210" ht="15.75" customHeight="1">
      <c r="B210" s="2"/>
    </row>
    <row r="211" ht="15.75" customHeight="1">
      <c r="B211" s="2"/>
    </row>
    <row r="212" ht="15.75" customHeight="1">
      <c r="B212" s="2"/>
    </row>
    <row r="213" ht="15.75" customHeight="1">
      <c r="B213" s="2"/>
    </row>
    <row r="214" ht="15.75" customHeight="1">
      <c r="B214" s="2"/>
    </row>
    <row r="215" ht="15.75" customHeight="1">
      <c r="B215" s="2"/>
    </row>
    <row r="216" ht="15.75" customHeight="1">
      <c r="B216" s="2"/>
    </row>
    <row r="217" ht="15.75" customHeight="1">
      <c r="B217" s="2"/>
    </row>
    <row r="218" ht="15.75" customHeight="1">
      <c r="B218" s="2"/>
    </row>
    <row r="219" ht="15.75" customHeight="1">
      <c r="B219" s="2"/>
    </row>
    <row r="220" ht="15.75" customHeight="1">
      <c r="B220" s="2"/>
    </row>
    <row r="221" ht="15.75" customHeight="1">
      <c r="B221" s="2"/>
    </row>
    <row r="222" ht="15.75" customHeight="1">
      <c r="B222" s="2"/>
    </row>
    <row r="223" ht="15.75" customHeight="1">
      <c r="B223" s="2"/>
    </row>
    <row r="224" ht="15.75" customHeight="1">
      <c r="B224" s="2"/>
    </row>
    <row r="225" ht="15.75" customHeight="1">
      <c r="B225" s="2"/>
    </row>
    <row r="226" ht="15.75" customHeight="1">
      <c r="B226" s="2"/>
    </row>
    <row r="227" ht="15.75" customHeight="1">
      <c r="B227" s="2"/>
    </row>
    <row r="228" ht="15.75" customHeight="1">
      <c r="B228" s="2"/>
    </row>
    <row r="229" ht="15.75" customHeight="1">
      <c r="B229" s="2"/>
    </row>
    <row r="230" ht="15.75" customHeight="1">
      <c r="B230" s="2"/>
    </row>
    <row r="231" ht="15.75" customHeight="1">
      <c r="B231" s="2"/>
    </row>
    <row r="232" ht="15.75" customHeight="1">
      <c r="B232" s="2"/>
    </row>
    <row r="233" ht="15.75" customHeight="1">
      <c r="B233" s="2"/>
    </row>
    <row r="234" ht="15.75" customHeight="1">
      <c r="B234" s="2"/>
    </row>
    <row r="235" ht="15.75" customHeight="1">
      <c r="B235" s="2"/>
    </row>
    <row r="236" ht="15.75" customHeight="1">
      <c r="B236" s="2"/>
    </row>
    <row r="237" ht="15.75" customHeight="1">
      <c r="B237" s="2"/>
    </row>
    <row r="238" ht="15.75" customHeight="1">
      <c r="B238" s="2"/>
    </row>
    <row r="239" ht="15.75" customHeight="1">
      <c r="B239" s="2"/>
    </row>
    <row r="240" ht="15.75" customHeight="1">
      <c r="B240" s="2"/>
    </row>
    <row r="241" ht="15.75" customHeight="1">
      <c r="B241" s="2"/>
    </row>
    <row r="242" ht="15.75" customHeight="1">
      <c r="B242" s="2"/>
    </row>
    <row r="243" ht="15.75" customHeight="1">
      <c r="B243" s="2"/>
    </row>
    <row r="244" ht="15.75" customHeight="1">
      <c r="B244" s="2"/>
    </row>
    <row r="245" ht="15.75" customHeight="1">
      <c r="B245" s="2"/>
    </row>
    <row r="246" ht="15.75" customHeight="1">
      <c r="B246" s="2"/>
    </row>
    <row r="247" ht="15.75" customHeight="1">
      <c r="B247" s="2"/>
    </row>
    <row r="248" ht="15.75" customHeight="1">
      <c r="B248" s="2"/>
    </row>
    <row r="249" ht="15.75" customHeight="1">
      <c r="B249" s="2"/>
    </row>
    <row r="250" ht="15.75" customHeight="1">
      <c r="B250" s="2"/>
    </row>
    <row r="251" ht="15.75" customHeight="1">
      <c r="B251" s="2"/>
    </row>
    <row r="252" ht="15.75" customHeight="1">
      <c r="B252" s="2"/>
    </row>
    <row r="253" ht="15.75" customHeight="1">
      <c r="B253" s="2"/>
    </row>
    <row r="254" ht="15.75" customHeight="1">
      <c r="B254" s="2"/>
    </row>
    <row r="255" ht="15.75" customHeight="1">
      <c r="B255" s="2"/>
    </row>
    <row r="256" ht="15.75" customHeight="1">
      <c r="B256" s="2"/>
    </row>
    <row r="257" ht="15.75" customHeight="1">
      <c r="B257" s="2"/>
    </row>
    <row r="258" ht="15.75" customHeight="1">
      <c r="B258" s="2"/>
    </row>
    <row r="259" ht="15.75" customHeight="1">
      <c r="B259" s="2"/>
    </row>
    <row r="260" ht="15.75" customHeight="1">
      <c r="B260" s="17"/>
    </row>
    <row r="261" ht="15.75" customHeight="1">
      <c r="B261" s="17"/>
    </row>
    <row r="262" ht="15.75" customHeight="1">
      <c r="B262" s="17"/>
    </row>
    <row r="263" ht="15.75" customHeight="1">
      <c r="B263" s="17"/>
    </row>
    <row r="264" ht="15.75" customHeight="1">
      <c r="B264" s="17"/>
    </row>
    <row r="265" ht="15.75" customHeight="1">
      <c r="B265" s="17"/>
    </row>
    <row r="266" ht="15.75" customHeight="1">
      <c r="B266" s="17"/>
    </row>
    <row r="267" ht="15.75" customHeight="1">
      <c r="B267" s="17"/>
    </row>
    <row r="268" ht="15.75" customHeight="1">
      <c r="B268" s="17"/>
    </row>
    <row r="269" ht="15.75" customHeight="1">
      <c r="B269" s="17"/>
    </row>
    <row r="270" ht="15.75" customHeight="1">
      <c r="B270" s="17"/>
    </row>
    <row r="271" ht="15.75" customHeight="1">
      <c r="B271" s="17"/>
    </row>
    <row r="272" ht="15.75" customHeight="1">
      <c r="B272" s="17"/>
    </row>
    <row r="273" ht="15.75" customHeight="1">
      <c r="B273" s="17"/>
    </row>
    <row r="274" ht="15.75" customHeight="1">
      <c r="B274" s="17"/>
    </row>
    <row r="275" ht="15.75" customHeight="1">
      <c r="B275" s="17"/>
    </row>
    <row r="276" ht="15.75" customHeight="1">
      <c r="B276" s="17"/>
    </row>
    <row r="277" ht="15.75" customHeight="1">
      <c r="B277" s="17"/>
    </row>
    <row r="278" ht="15.75" customHeight="1">
      <c r="B278" s="17"/>
    </row>
    <row r="279" ht="15.75" customHeight="1">
      <c r="B279" s="17"/>
    </row>
    <row r="280" ht="15.75" customHeight="1">
      <c r="B280" s="17"/>
    </row>
    <row r="281" ht="15.75" customHeight="1">
      <c r="B281" s="17"/>
    </row>
    <row r="282" ht="15.75" customHeight="1">
      <c r="B282" s="17"/>
    </row>
    <row r="283" ht="15.75" customHeight="1">
      <c r="B283" s="17"/>
    </row>
    <row r="284" ht="15.75" customHeight="1">
      <c r="B284" s="17"/>
    </row>
    <row r="285" ht="15.75" customHeight="1">
      <c r="B285" s="17"/>
    </row>
    <row r="286" ht="15.75" customHeight="1">
      <c r="B286" s="17"/>
    </row>
    <row r="287" ht="15.75" customHeight="1">
      <c r="B287" s="17"/>
    </row>
    <row r="288" ht="15.75" customHeight="1">
      <c r="B288" s="17"/>
    </row>
    <row r="289" ht="15.75" customHeight="1">
      <c r="B289" s="17"/>
    </row>
    <row r="290" ht="15.75" customHeight="1">
      <c r="B290" s="17"/>
    </row>
    <row r="291" ht="15.75" customHeight="1">
      <c r="B291" s="17"/>
    </row>
    <row r="292" ht="15.75" customHeight="1">
      <c r="B292" s="17"/>
    </row>
    <row r="293" ht="15.75" customHeight="1">
      <c r="B293" s="17"/>
    </row>
    <row r="294" ht="15.75" customHeight="1">
      <c r="B294" s="17"/>
    </row>
    <row r="295" ht="15.75" customHeight="1">
      <c r="B295" s="17"/>
    </row>
    <row r="296" ht="15.75" customHeight="1">
      <c r="B296" s="17"/>
    </row>
    <row r="297" ht="15.75" customHeight="1">
      <c r="B297" s="17"/>
    </row>
    <row r="298" ht="15.75" customHeight="1">
      <c r="B298" s="17"/>
    </row>
    <row r="299" ht="15.75" customHeight="1">
      <c r="B299" s="17"/>
    </row>
    <row r="300" ht="15.75" customHeight="1">
      <c r="B300" s="17"/>
    </row>
    <row r="301" ht="15.75" customHeight="1">
      <c r="B301" s="17"/>
    </row>
    <row r="302" ht="15.75" customHeight="1">
      <c r="B302" s="17"/>
    </row>
    <row r="303" ht="15.75" customHeight="1">
      <c r="B303" s="17"/>
    </row>
    <row r="304" ht="15.75" customHeight="1">
      <c r="B304" s="17"/>
    </row>
    <row r="305" ht="15.75" customHeight="1">
      <c r="B305" s="17"/>
    </row>
    <row r="306" ht="15.75" customHeight="1">
      <c r="B306" s="17"/>
    </row>
    <row r="307" ht="15.75" customHeight="1">
      <c r="B307" s="17"/>
    </row>
    <row r="308" ht="15.75" customHeight="1">
      <c r="B308" s="17"/>
    </row>
    <row r="309" ht="15.75" customHeight="1">
      <c r="B309" s="17"/>
    </row>
    <row r="310" ht="15.75" customHeight="1">
      <c r="B310" s="17"/>
    </row>
    <row r="311" ht="15.75" customHeight="1">
      <c r="B311" s="17"/>
    </row>
    <row r="312" ht="15.75" customHeight="1">
      <c r="B312" s="17"/>
    </row>
    <row r="313" ht="15.75" customHeight="1">
      <c r="B313" s="17"/>
    </row>
    <row r="314" ht="15.75" customHeight="1">
      <c r="B314" s="17"/>
    </row>
    <row r="315" ht="15.75" customHeight="1">
      <c r="B315" s="17"/>
    </row>
    <row r="316" ht="15.75" customHeight="1">
      <c r="B316" s="17"/>
    </row>
    <row r="317" ht="15.75" customHeight="1">
      <c r="B317" s="17"/>
    </row>
    <row r="318" ht="15.75" customHeight="1">
      <c r="B318" s="17"/>
    </row>
    <row r="319" ht="15.75" customHeight="1">
      <c r="B319" s="17"/>
    </row>
    <row r="320" ht="15.75" customHeight="1">
      <c r="B320" s="17"/>
    </row>
    <row r="321" ht="15.75" customHeight="1">
      <c r="B321" s="17"/>
    </row>
    <row r="322" ht="15.75" customHeight="1">
      <c r="B322" s="17"/>
    </row>
    <row r="323" ht="15.75" customHeight="1">
      <c r="B323" s="17"/>
    </row>
    <row r="324" ht="15.75" customHeight="1">
      <c r="B324" s="17"/>
    </row>
    <row r="325" ht="15.75" customHeight="1">
      <c r="B325" s="17"/>
    </row>
    <row r="326" ht="15.75" customHeight="1">
      <c r="B326" s="17"/>
    </row>
    <row r="327" ht="15.75" customHeight="1">
      <c r="B327" s="17"/>
    </row>
    <row r="328" ht="15.75" customHeight="1">
      <c r="B328" s="17"/>
    </row>
    <row r="329" ht="15.75" customHeight="1">
      <c r="B329" s="17"/>
    </row>
    <row r="330" ht="15.75" customHeight="1">
      <c r="B330" s="17"/>
    </row>
    <row r="331" ht="15.75" customHeight="1">
      <c r="B331" s="17"/>
    </row>
    <row r="332" ht="15.75" customHeight="1">
      <c r="B332" s="17"/>
    </row>
    <row r="333" ht="15.75" customHeight="1">
      <c r="B333" s="17"/>
    </row>
    <row r="334" ht="15.75" customHeight="1">
      <c r="B334" s="17"/>
    </row>
    <row r="335" ht="15.75" customHeight="1">
      <c r="B335" s="17"/>
    </row>
    <row r="336" ht="15.75" customHeight="1">
      <c r="B336" s="17"/>
    </row>
    <row r="337" ht="15.75" customHeight="1">
      <c r="B337" s="17"/>
    </row>
    <row r="338" ht="15.75" customHeight="1">
      <c r="B338" s="17"/>
    </row>
    <row r="339" ht="15.75" customHeight="1">
      <c r="B339" s="17"/>
    </row>
    <row r="340" ht="15.75" customHeight="1">
      <c r="B340" s="17"/>
    </row>
    <row r="341" ht="15.75" customHeight="1">
      <c r="B341" s="17"/>
    </row>
    <row r="342" ht="15.75" customHeight="1">
      <c r="B342" s="17"/>
    </row>
    <row r="343" ht="15.75" customHeight="1">
      <c r="B343" s="17"/>
    </row>
    <row r="344" ht="15.75" customHeight="1">
      <c r="B344" s="17"/>
    </row>
    <row r="345" ht="15.75" customHeight="1">
      <c r="B345" s="17"/>
    </row>
    <row r="346" ht="15.75" customHeight="1">
      <c r="B346" s="17"/>
    </row>
    <row r="347" ht="15.75" customHeight="1">
      <c r="B347" s="17"/>
    </row>
    <row r="348" ht="15.75" customHeight="1">
      <c r="B348" s="17"/>
    </row>
    <row r="349" ht="15.75" customHeight="1">
      <c r="B349" s="17"/>
    </row>
    <row r="350" ht="15.75" customHeight="1">
      <c r="B350" s="17"/>
    </row>
    <row r="351" ht="15.75" customHeight="1">
      <c r="B351" s="17"/>
    </row>
    <row r="352" ht="15.75" customHeight="1">
      <c r="B352" s="17"/>
    </row>
    <row r="353" ht="15.75" customHeight="1">
      <c r="B353" s="17"/>
    </row>
    <row r="354" ht="15.75" customHeight="1">
      <c r="B354" s="17"/>
    </row>
    <row r="355" ht="15.75" customHeight="1">
      <c r="B355" s="17"/>
    </row>
    <row r="356" ht="15.75" customHeight="1">
      <c r="B356" s="17"/>
    </row>
    <row r="357" ht="15.75" customHeight="1">
      <c r="B357" s="17"/>
    </row>
    <row r="358" ht="15.75" customHeight="1">
      <c r="B358" s="17"/>
    </row>
    <row r="359" ht="15.75" customHeight="1">
      <c r="B359" s="17"/>
    </row>
    <row r="360" ht="15.75" customHeight="1">
      <c r="B360" s="17"/>
    </row>
    <row r="361" ht="15.75" customHeight="1">
      <c r="B361" s="17"/>
    </row>
    <row r="362" ht="15.75" customHeight="1">
      <c r="B362" s="17"/>
    </row>
    <row r="363" ht="15.75" customHeight="1">
      <c r="B363" s="17"/>
    </row>
    <row r="364" ht="15.75" customHeight="1">
      <c r="B364" s="17"/>
    </row>
    <row r="365" ht="15.75" customHeight="1">
      <c r="B365" s="17"/>
    </row>
    <row r="366" ht="15.75" customHeight="1">
      <c r="B366" s="17"/>
    </row>
    <row r="367" ht="15.75" customHeight="1">
      <c r="B367" s="17"/>
    </row>
    <row r="368" ht="15.75" customHeight="1">
      <c r="B368" s="17"/>
    </row>
    <row r="369" ht="15.75" customHeight="1">
      <c r="B369" s="17"/>
    </row>
    <row r="370" ht="15.75" customHeight="1">
      <c r="B370" s="17"/>
    </row>
    <row r="371" ht="15.75" customHeight="1">
      <c r="B371" s="17"/>
    </row>
    <row r="372" ht="15.75" customHeight="1">
      <c r="B372" s="17"/>
    </row>
    <row r="373" ht="15.75" customHeight="1">
      <c r="B373" s="17"/>
    </row>
    <row r="374" ht="15.75" customHeight="1">
      <c r="B374" s="17"/>
    </row>
    <row r="375" ht="15.75" customHeight="1">
      <c r="B375" s="17"/>
    </row>
    <row r="376" ht="15.75" customHeight="1">
      <c r="B376" s="17"/>
    </row>
    <row r="377" ht="15.75" customHeight="1">
      <c r="B377" s="17"/>
    </row>
    <row r="378" ht="15.75" customHeight="1">
      <c r="B378" s="17"/>
    </row>
    <row r="379" ht="15.75" customHeight="1">
      <c r="B379" s="17"/>
    </row>
    <row r="380" ht="15.75" customHeight="1">
      <c r="B380" s="17"/>
    </row>
    <row r="381" ht="15.75" customHeight="1">
      <c r="B381" s="17"/>
    </row>
    <row r="382" ht="15.75" customHeight="1">
      <c r="B382" s="17"/>
    </row>
    <row r="383" ht="15.75" customHeight="1">
      <c r="B383" s="17"/>
    </row>
    <row r="384" ht="15.75" customHeight="1">
      <c r="B384" s="17"/>
    </row>
    <row r="385" ht="15.75" customHeight="1">
      <c r="B385" s="17"/>
    </row>
    <row r="386" ht="15.75" customHeight="1">
      <c r="B386" s="17"/>
    </row>
    <row r="387" ht="15.75" customHeight="1">
      <c r="B387" s="17"/>
    </row>
    <row r="388" ht="15.75" customHeight="1">
      <c r="B388" s="17"/>
    </row>
    <row r="389" ht="15.75" customHeight="1">
      <c r="B389" s="17"/>
    </row>
    <row r="390" ht="15.75" customHeight="1">
      <c r="B390" s="17"/>
    </row>
    <row r="391" ht="15.75" customHeight="1">
      <c r="B391" s="17"/>
    </row>
    <row r="392" ht="15.75" customHeight="1">
      <c r="B392" s="17"/>
    </row>
    <row r="393" ht="15.75" customHeight="1">
      <c r="B393" s="17"/>
    </row>
    <row r="394" ht="15.75" customHeight="1">
      <c r="B394" s="17"/>
    </row>
    <row r="395" ht="15.75" customHeight="1">
      <c r="B395" s="17"/>
    </row>
    <row r="396" ht="15.75" customHeight="1">
      <c r="B396" s="17"/>
    </row>
    <row r="397" ht="15.75" customHeight="1">
      <c r="B397" s="17"/>
    </row>
    <row r="398" ht="15.75" customHeight="1">
      <c r="B398" s="17"/>
    </row>
    <row r="399" ht="15.75" customHeight="1">
      <c r="B399" s="17"/>
    </row>
    <row r="400" ht="15.75" customHeight="1">
      <c r="B400" s="17"/>
    </row>
    <row r="401" ht="15.75" customHeight="1">
      <c r="B401" s="17"/>
    </row>
    <row r="402" ht="15.75" customHeight="1">
      <c r="B402" s="17"/>
    </row>
    <row r="403" ht="15.75" customHeight="1">
      <c r="B403" s="17"/>
    </row>
    <row r="404" ht="15.75" customHeight="1">
      <c r="B404" s="17"/>
    </row>
    <row r="405" ht="15.75" customHeight="1">
      <c r="B405" s="17"/>
    </row>
    <row r="406" ht="15.75" customHeight="1">
      <c r="B406" s="17"/>
    </row>
    <row r="407" ht="15.75" customHeight="1">
      <c r="B407" s="17"/>
    </row>
    <row r="408" ht="15.75" customHeight="1">
      <c r="B408" s="17"/>
    </row>
    <row r="409" ht="15.75" customHeight="1">
      <c r="B409" s="17"/>
    </row>
    <row r="410" ht="15.75" customHeight="1">
      <c r="B410" s="17"/>
    </row>
    <row r="411" ht="15.75" customHeight="1">
      <c r="B411" s="17"/>
    </row>
    <row r="412" ht="15.75" customHeight="1">
      <c r="B412" s="17"/>
    </row>
    <row r="413" ht="15.75" customHeight="1">
      <c r="B413" s="17"/>
    </row>
    <row r="414" ht="15.75" customHeight="1">
      <c r="B414" s="17"/>
    </row>
    <row r="415" ht="15.75" customHeight="1">
      <c r="B415" s="17"/>
    </row>
    <row r="416" ht="15.75" customHeight="1">
      <c r="B416" s="17"/>
    </row>
    <row r="417" ht="15.75" customHeight="1">
      <c r="B417" s="17"/>
    </row>
    <row r="418" ht="15.75" customHeight="1">
      <c r="B418" s="17"/>
    </row>
    <row r="419" ht="15.75" customHeight="1">
      <c r="B419" s="17"/>
    </row>
    <row r="420" ht="15.75" customHeight="1">
      <c r="B420" s="17"/>
    </row>
    <row r="421" ht="15.75" customHeight="1">
      <c r="B421" s="17"/>
    </row>
    <row r="422" ht="15.75" customHeight="1">
      <c r="B422" s="17"/>
    </row>
    <row r="423" ht="15.75" customHeight="1">
      <c r="B423" s="17"/>
    </row>
    <row r="424" ht="15.75" customHeight="1">
      <c r="B424" s="17"/>
    </row>
    <row r="425" ht="15.75" customHeight="1">
      <c r="B425" s="17"/>
    </row>
    <row r="426" ht="15.75" customHeight="1">
      <c r="B426" s="17"/>
    </row>
    <row r="427" ht="15.75" customHeight="1">
      <c r="B427" s="17"/>
    </row>
    <row r="428" ht="15.75" customHeight="1">
      <c r="B428" s="17"/>
    </row>
    <row r="429" ht="15.75" customHeight="1">
      <c r="B429" s="17"/>
    </row>
    <row r="430" ht="15.75" customHeight="1">
      <c r="B430" s="17"/>
    </row>
    <row r="431" ht="15.75" customHeight="1">
      <c r="B431" s="17"/>
    </row>
    <row r="432" ht="15.75" customHeight="1">
      <c r="B432" s="17"/>
    </row>
    <row r="433" ht="15.75" customHeight="1">
      <c r="B433" s="17"/>
    </row>
    <row r="434" ht="15.75" customHeight="1">
      <c r="B434" s="17"/>
    </row>
    <row r="435" ht="15.75" customHeight="1">
      <c r="B435" s="17"/>
    </row>
    <row r="436" ht="15.75" customHeight="1">
      <c r="B436" s="17"/>
    </row>
    <row r="437" ht="15.75" customHeight="1">
      <c r="B437" s="17"/>
    </row>
    <row r="438" ht="15.75" customHeight="1">
      <c r="B438" s="17"/>
    </row>
    <row r="439" ht="15.75" customHeight="1">
      <c r="B439" s="17"/>
    </row>
    <row r="440" ht="15.75" customHeight="1">
      <c r="B440" s="17"/>
    </row>
    <row r="441" ht="15.75" customHeight="1">
      <c r="B441" s="17"/>
    </row>
    <row r="442" ht="15.75" customHeight="1">
      <c r="B442" s="17"/>
    </row>
    <row r="443" ht="15.75" customHeight="1">
      <c r="B443" s="17"/>
    </row>
    <row r="444" ht="15.75" customHeight="1">
      <c r="B444" s="17"/>
    </row>
    <row r="445" ht="15.75" customHeight="1">
      <c r="B445" s="17"/>
    </row>
    <row r="446" ht="15.75" customHeight="1">
      <c r="B446" s="17"/>
    </row>
    <row r="447" ht="15.75" customHeight="1">
      <c r="B447" s="17"/>
    </row>
    <row r="448" ht="15.75" customHeight="1">
      <c r="B448" s="17"/>
    </row>
    <row r="449" ht="15.75" customHeight="1">
      <c r="B449" s="17"/>
    </row>
    <row r="450" ht="15.75" customHeight="1">
      <c r="B450" s="17"/>
    </row>
    <row r="451" ht="15.75" customHeight="1">
      <c r="B451" s="17"/>
    </row>
    <row r="452" ht="15.75" customHeight="1">
      <c r="B452" s="17"/>
    </row>
    <row r="453" ht="15.75" customHeight="1">
      <c r="B453" s="17"/>
    </row>
    <row r="454" ht="15.75" customHeight="1">
      <c r="B454" s="17"/>
    </row>
    <row r="455" ht="15.75" customHeight="1">
      <c r="B455" s="17"/>
    </row>
    <row r="456" ht="15.75" customHeight="1">
      <c r="B456" s="17"/>
    </row>
    <row r="457" ht="15.75" customHeight="1">
      <c r="B457" s="17"/>
    </row>
    <row r="458" ht="15.75" customHeight="1">
      <c r="B458" s="17"/>
    </row>
    <row r="459" ht="15.75" customHeight="1">
      <c r="B459" s="17"/>
    </row>
    <row r="460" ht="15.75" customHeight="1">
      <c r="B460" s="17"/>
    </row>
    <row r="461" ht="15.75" customHeight="1">
      <c r="B461" s="17"/>
    </row>
    <row r="462" ht="15.75" customHeight="1">
      <c r="B462" s="17"/>
    </row>
    <row r="463" ht="15.75" customHeight="1">
      <c r="B463" s="17"/>
    </row>
    <row r="464" ht="15.75" customHeight="1">
      <c r="B464" s="17"/>
    </row>
    <row r="465" ht="15.75" customHeight="1">
      <c r="B465" s="17"/>
    </row>
    <row r="466" ht="15.75" customHeight="1">
      <c r="B466" s="17"/>
    </row>
    <row r="467" ht="15.75" customHeight="1">
      <c r="B467" s="17"/>
    </row>
    <row r="468" ht="15.75" customHeight="1">
      <c r="B468" s="17"/>
    </row>
    <row r="469" ht="15.75" customHeight="1">
      <c r="B469" s="17"/>
    </row>
    <row r="470" ht="15.75" customHeight="1">
      <c r="B470" s="17"/>
    </row>
    <row r="471" ht="15.75" customHeight="1">
      <c r="B471" s="17"/>
    </row>
    <row r="472" ht="15.75" customHeight="1">
      <c r="B472" s="17"/>
    </row>
    <row r="473" ht="15.75" customHeight="1">
      <c r="B473" s="17"/>
    </row>
    <row r="474" ht="15.75" customHeight="1">
      <c r="B474" s="17"/>
    </row>
    <row r="475" ht="15.75" customHeight="1">
      <c r="B475" s="17"/>
    </row>
    <row r="476" ht="15.75" customHeight="1">
      <c r="B476" s="17"/>
    </row>
    <row r="477" ht="15.75" customHeight="1">
      <c r="B477" s="17"/>
    </row>
    <row r="478" ht="15.75" customHeight="1">
      <c r="B478" s="17"/>
    </row>
    <row r="479" ht="15.75" customHeight="1">
      <c r="B479" s="17"/>
    </row>
    <row r="480" ht="15.75" customHeight="1">
      <c r="B480" s="17"/>
    </row>
    <row r="481" ht="15.75" customHeight="1">
      <c r="B481" s="17"/>
    </row>
    <row r="482" ht="15.75" customHeight="1">
      <c r="B482" s="17"/>
    </row>
    <row r="483" ht="15.75" customHeight="1">
      <c r="B483" s="17"/>
    </row>
    <row r="484" ht="15.75" customHeight="1">
      <c r="B484" s="17"/>
    </row>
    <row r="485" ht="15.75" customHeight="1">
      <c r="B485" s="17"/>
    </row>
    <row r="486" ht="15.75" customHeight="1">
      <c r="B486" s="17"/>
    </row>
    <row r="487" ht="15.75" customHeight="1">
      <c r="B487" s="17"/>
    </row>
    <row r="488" ht="15.75" customHeight="1">
      <c r="B488" s="17"/>
    </row>
    <row r="489" ht="15.75" customHeight="1">
      <c r="B489" s="17"/>
    </row>
    <row r="490" ht="15.75" customHeight="1">
      <c r="B490" s="17"/>
    </row>
    <row r="491" ht="15.75" customHeight="1">
      <c r="B491" s="17"/>
    </row>
    <row r="492" ht="15.75" customHeight="1">
      <c r="B492" s="17"/>
    </row>
    <row r="493" ht="15.75" customHeight="1">
      <c r="B493" s="17"/>
    </row>
    <row r="494" ht="15.75" customHeight="1">
      <c r="B494" s="17"/>
    </row>
    <row r="495" ht="15.75" customHeight="1">
      <c r="B495" s="17"/>
    </row>
    <row r="496" ht="15.75" customHeight="1">
      <c r="B496" s="17"/>
    </row>
    <row r="497" ht="15.75" customHeight="1">
      <c r="B497" s="17"/>
    </row>
    <row r="498" ht="15.75" customHeight="1">
      <c r="B498" s="17"/>
    </row>
    <row r="499" ht="15.75" customHeight="1">
      <c r="B499" s="17"/>
    </row>
    <row r="500" ht="15.75" customHeight="1">
      <c r="B500" s="17"/>
    </row>
    <row r="501" ht="15.75" customHeight="1">
      <c r="B501" s="17"/>
    </row>
    <row r="502" ht="15.75" customHeight="1">
      <c r="B502" s="17"/>
    </row>
    <row r="503" ht="15.75" customHeight="1">
      <c r="B503" s="17"/>
    </row>
    <row r="504" ht="15.75" customHeight="1">
      <c r="B504" s="17"/>
    </row>
    <row r="505" ht="15.75" customHeight="1">
      <c r="B505" s="17"/>
    </row>
    <row r="506" ht="15.75" customHeight="1">
      <c r="B506" s="17"/>
    </row>
    <row r="507" ht="15.75" customHeight="1">
      <c r="B507" s="17"/>
    </row>
    <row r="508" ht="15.75" customHeight="1">
      <c r="B508" s="17"/>
    </row>
    <row r="509" ht="15.75" customHeight="1">
      <c r="B509" s="17"/>
    </row>
    <row r="510" ht="15.75" customHeight="1">
      <c r="B510" s="17"/>
    </row>
    <row r="511" ht="15.75" customHeight="1">
      <c r="B511" s="17"/>
    </row>
    <row r="512" ht="15.75" customHeight="1">
      <c r="B512" s="17"/>
    </row>
    <row r="513" ht="15.75" customHeight="1">
      <c r="B513" s="17"/>
    </row>
    <row r="514" ht="15.75" customHeight="1">
      <c r="B514" s="17"/>
    </row>
    <row r="515" ht="15.75" customHeight="1">
      <c r="B515" s="17"/>
    </row>
    <row r="516" ht="15.75" customHeight="1">
      <c r="B516" s="17"/>
    </row>
    <row r="517" ht="15.75" customHeight="1">
      <c r="B517" s="17"/>
    </row>
    <row r="518" ht="15.75" customHeight="1">
      <c r="B518" s="17"/>
    </row>
    <row r="519" ht="15.75" customHeight="1">
      <c r="B519" s="17"/>
    </row>
    <row r="520" ht="15.75" customHeight="1">
      <c r="B520" s="17"/>
    </row>
    <row r="521" ht="15.75" customHeight="1">
      <c r="B521" s="17"/>
    </row>
    <row r="522" ht="15.75" customHeight="1">
      <c r="B522" s="17"/>
    </row>
    <row r="523" ht="15.75" customHeight="1">
      <c r="B523" s="17"/>
    </row>
    <row r="524" ht="15.75" customHeight="1">
      <c r="B524" s="17"/>
    </row>
    <row r="525" ht="15.75" customHeight="1">
      <c r="B525" s="17"/>
    </row>
    <row r="526" ht="15.75" customHeight="1">
      <c r="B526" s="17"/>
    </row>
    <row r="527" ht="15.75" customHeight="1">
      <c r="B527" s="17"/>
    </row>
    <row r="528" ht="15.75" customHeight="1">
      <c r="B528" s="17"/>
    </row>
    <row r="529" ht="15.75" customHeight="1">
      <c r="B529" s="17"/>
    </row>
    <row r="530" ht="15.75" customHeight="1">
      <c r="B530" s="17"/>
    </row>
    <row r="531" ht="15.75" customHeight="1">
      <c r="B531" s="17"/>
    </row>
    <row r="532" ht="15.75" customHeight="1">
      <c r="B532" s="17"/>
    </row>
    <row r="533" ht="15.75" customHeight="1">
      <c r="B533" s="17"/>
    </row>
    <row r="534" ht="15.75" customHeight="1">
      <c r="B534" s="17"/>
    </row>
    <row r="535" ht="15.75" customHeight="1">
      <c r="B535" s="17"/>
    </row>
    <row r="536" ht="15.75" customHeight="1">
      <c r="B536" s="17"/>
    </row>
    <row r="537" ht="15.75" customHeight="1">
      <c r="B537" s="17"/>
    </row>
    <row r="538" ht="15.75" customHeight="1">
      <c r="B538" s="17"/>
    </row>
    <row r="539" ht="15.75" customHeight="1">
      <c r="B539" s="17"/>
    </row>
    <row r="540" ht="15.75" customHeight="1">
      <c r="B540" s="17"/>
    </row>
    <row r="541" ht="15.75" customHeight="1">
      <c r="B541" s="17"/>
    </row>
    <row r="542" ht="15.75" customHeight="1">
      <c r="B542" s="17"/>
    </row>
    <row r="543" ht="15.75" customHeight="1">
      <c r="B543" s="17"/>
    </row>
    <row r="544" ht="15.75" customHeight="1">
      <c r="B544" s="17"/>
    </row>
    <row r="545" ht="15.75" customHeight="1">
      <c r="B545" s="17"/>
    </row>
    <row r="546" ht="15.75" customHeight="1">
      <c r="B546" s="17"/>
    </row>
    <row r="547" ht="15.75" customHeight="1">
      <c r="B547" s="17"/>
    </row>
    <row r="548" ht="15.75" customHeight="1">
      <c r="B548" s="17"/>
    </row>
    <row r="549" ht="15.75" customHeight="1">
      <c r="B549" s="17"/>
    </row>
    <row r="550" ht="15.75" customHeight="1">
      <c r="B550" s="17"/>
    </row>
    <row r="551" ht="15.75" customHeight="1">
      <c r="B551" s="17"/>
    </row>
    <row r="552" ht="15.75" customHeight="1">
      <c r="B552" s="17"/>
    </row>
    <row r="553" ht="15.75" customHeight="1">
      <c r="B553" s="17"/>
    </row>
    <row r="554" ht="15.75" customHeight="1">
      <c r="B554" s="17"/>
    </row>
    <row r="555" ht="15.75" customHeight="1">
      <c r="B555" s="17"/>
    </row>
    <row r="556" ht="15.75" customHeight="1">
      <c r="B556" s="17"/>
    </row>
    <row r="557" ht="15.75" customHeight="1">
      <c r="B557" s="17"/>
    </row>
    <row r="558" ht="15.75" customHeight="1">
      <c r="B558" s="17"/>
    </row>
    <row r="559" ht="15.75" customHeight="1">
      <c r="B559" s="17"/>
    </row>
    <row r="560" ht="15.75" customHeight="1">
      <c r="B560" s="17"/>
    </row>
    <row r="561" ht="15.75" customHeight="1">
      <c r="B561" s="17"/>
    </row>
    <row r="562" ht="15.75" customHeight="1">
      <c r="B562" s="17"/>
    </row>
    <row r="563" ht="15.75" customHeight="1">
      <c r="B563" s="17"/>
    </row>
    <row r="564" ht="15.75" customHeight="1">
      <c r="B564" s="17"/>
    </row>
    <row r="565" ht="15.75" customHeight="1">
      <c r="B565" s="17"/>
    </row>
    <row r="566" ht="15.75" customHeight="1">
      <c r="B566" s="17"/>
    </row>
    <row r="567" ht="15.75" customHeight="1">
      <c r="B567" s="17"/>
    </row>
    <row r="568" ht="15.75" customHeight="1">
      <c r="B568" s="17"/>
    </row>
    <row r="569" ht="15.75" customHeight="1">
      <c r="B569" s="17"/>
    </row>
    <row r="570" ht="15.75" customHeight="1">
      <c r="B570" s="17"/>
    </row>
    <row r="571" ht="15.75" customHeight="1">
      <c r="B571" s="17"/>
    </row>
    <row r="572" ht="15.75" customHeight="1">
      <c r="B572" s="17"/>
    </row>
    <row r="573" ht="15.75" customHeight="1">
      <c r="B573" s="17"/>
    </row>
    <row r="574" ht="15.75" customHeight="1">
      <c r="B574" s="17"/>
    </row>
    <row r="575" ht="15.75" customHeight="1">
      <c r="B575" s="17"/>
    </row>
    <row r="576" ht="15.75" customHeight="1">
      <c r="B576" s="17"/>
    </row>
    <row r="577" ht="15.75" customHeight="1">
      <c r="B577" s="17"/>
    </row>
    <row r="578" ht="15.75" customHeight="1">
      <c r="B578" s="17"/>
    </row>
    <row r="579" ht="15.75" customHeight="1">
      <c r="B579" s="17"/>
    </row>
    <row r="580" ht="15.75" customHeight="1">
      <c r="B580" s="17"/>
    </row>
    <row r="581" ht="15.75" customHeight="1">
      <c r="B581" s="17"/>
    </row>
    <row r="582" ht="15.75" customHeight="1">
      <c r="B582" s="17"/>
    </row>
    <row r="583" ht="15.75" customHeight="1">
      <c r="B583" s="17"/>
    </row>
    <row r="584" ht="15.75" customHeight="1">
      <c r="B584" s="17"/>
    </row>
    <row r="585" ht="15.75" customHeight="1">
      <c r="B585" s="17"/>
    </row>
    <row r="586" ht="15.75" customHeight="1">
      <c r="B586" s="17"/>
    </row>
    <row r="587" ht="15.75" customHeight="1">
      <c r="B587" s="17"/>
    </row>
    <row r="588" ht="15.75" customHeight="1">
      <c r="B588" s="17"/>
    </row>
    <row r="589" ht="15.75" customHeight="1">
      <c r="B589" s="17"/>
    </row>
    <row r="590" ht="15.75" customHeight="1">
      <c r="B590" s="17"/>
    </row>
    <row r="591" ht="15.75" customHeight="1">
      <c r="B591" s="17"/>
    </row>
    <row r="592" ht="15.75" customHeight="1">
      <c r="B592" s="17"/>
    </row>
    <row r="593" ht="15.75" customHeight="1">
      <c r="B593" s="17"/>
    </row>
    <row r="594" ht="15.75" customHeight="1">
      <c r="B594" s="17"/>
    </row>
    <row r="595" ht="15.75" customHeight="1">
      <c r="B595" s="17"/>
    </row>
    <row r="596" ht="15.75" customHeight="1">
      <c r="B596" s="17"/>
    </row>
    <row r="597" ht="15.75" customHeight="1">
      <c r="B597" s="17"/>
    </row>
    <row r="598" ht="15.75" customHeight="1">
      <c r="B598" s="17"/>
    </row>
    <row r="599" ht="15.75" customHeight="1">
      <c r="B599" s="17"/>
    </row>
    <row r="600" ht="15.75" customHeight="1">
      <c r="B600" s="17"/>
    </row>
    <row r="601" ht="15.75" customHeight="1">
      <c r="B601" s="17"/>
    </row>
    <row r="602" ht="15.75" customHeight="1">
      <c r="B602" s="17"/>
    </row>
    <row r="603" ht="15.75" customHeight="1">
      <c r="B603" s="17"/>
    </row>
    <row r="604" ht="15.75" customHeight="1">
      <c r="B604" s="17"/>
    </row>
    <row r="605" ht="15.75" customHeight="1">
      <c r="B605" s="17"/>
    </row>
    <row r="606" ht="15.75" customHeight="1">
      <c r="B606" s="17"/>
    </row>
    <row r="607" ht="15.75" customHeight="1">
      <c r="B607" s="17"/>
    </row>
    <row r="608" ht="15.75" customHeight="1">
      <c r="B608" s="17"/>
    </row>
    <row r="609" ht="15.75" customHeight="1">
      <c r="B609" s="17"/>
    </row>
    <row r="610" ht="15.75" customHeight="1">
      <c r="B610" s="17"/>
    </row>
    <row r="611" ht="15.75" customHeight="1">
      <c r="B611" s="17"/>
    </row>
    <row r="612" ht="15.75" customHeight="1">
      <c r="B612" s="17"/>
    </row>
    <row r="613" ht="15.75" customHeight="1">
      <c r="B613" s="17"/>
    </row>
    <row r="614" ht="15.75" customHeight="1">
      <c r="B614" s="17"/>
    </row>
    <row r="615" ht="15.75" customHeight="1">
      <c r="B615" s="17"/>
    </row>
    <row r="616" ht="15.75" customHeight="1">
      <c r="B616" s="17"/>
    </row>
    <row r="617" ht="15.75" customHeight="1">
      <c r="B617" s="17"/>
    </row>
    <row r="618" ht="15.75" customHeight="1">
      <c r="B618" s="17"/>
    </row>
    <row r="619" ht="15.75" customHeight="1">
      <c r="B619" s="17"/>
    </row>
    <row r="620" ht="15.75" customHeight="1">
      <c r="B620" s="17"/>
    </row>
    <row r="621" ht="15.75" customHeight="1">
      <c r="B621" s="17"/>
    </row>
    <row r="622" ht="15.75" customHeight="1">
      <c r="B622" s="17"/>
    </row>
    <row r="623" ht="15.75" customHeight="1">
      <c r="B623" s="17"/>
    </row>
    <row r="624" ht="15.75" customHeight="1">
      <c r="B624" s="17"/>
    </row>
    <row r="625" ht="15.75" customHeight="1">
      <c r="B625" s="17"/>
    </row>
    <row r="626" ht="15.75" customHeight="1">
      <c r="B626" s="17"/>
    </row>
    <row r="627" ht="15.75" customHeight="1">
      <c r="B627" s="17"/>
    </row>
    <row r="628" ht="15.75" customHeight="1">
      <c r="B628" s="17"/>
    </row>
    <row r="629" ht="15.75" customHeight="1">
      <c r="B629" s="17"/>
    </row>
    <row r="630" ht="15.75" customHeight="1">
      <c r="B630" s="17"/>
    </row>
    <row r="631" ht="15.75" customHeight="1">
      <c r="B631" s="17"/>
    </row>
    <row r="632" ht="15.75" customHeight="1">
      <c r="B632" s="17"/>
    </row>
    <row r="633" ht="15.75" customHeight="1">
      <c r="B633" s="17"/>
    </row>
    <row r="634" ht="15.75" customHeight="1">
      <c r="B634" s="17"/>
    </row>
    <row r="635" ht="15.75" customHeight="1">
      <c r="B635" s="17"/>
    </row>
    <row r="636" ht="15.75" customHeight="1">
      <c r="B636" s="17"/>
    </row>
    <row r="637" ht="15.75" customHeight="1">
      <c r="B637" s="17"/>
    </row>
    <row r="638" ht="15.75" customHeight="1">
      <c r="B638" s="17"/>
    </row>
    <row r="639" ht="15.75" customHeight="1">
      <c r="B639" s="17"/>
    </row>
    <row r="640" ht="15.75" customHeight="1">
      <c r="B640" s="17"/>
    </row>
    <row r="641" ht="15.75" customHeight="1">
      <c r="B641" s="17"/>
    </row>
    <row r="642" ht="15.75" customHeight="1">
      <c r="B642" s="17"/>
    </row>
    <row r="643" ht="15.75" customHeight="1">
      <c r="B643" s="17"/>
    </row>
    <row r="644" ht="15.75" customHeight="1">
      <c r="B644" s="17"/>
    </row>
    <row r="645" ht="15.75" customHeight="1">
      <c r="B645" s="17"/>
    </row>
    <row r="646" ht="15.75" customHeight="1">
      <c r="B646" s="17"/>
    </row>
    <row r="647" ht="15.75" customHeight="1">
      <c r="B647" s="17"/>
    </row>
    <row r="648" ht="15.75" customHeight="1">
      <c r="B648" s="17"/>
    </row>
    <row r="649" ht="15.75" customHeight="1">
      <c r="B649" s="17"/>
    </row>
    <row r="650" ht="15.75" customHeight="1">
      <c r="B650" s="17"/>
    </row>
    <row r="651" ht="15.75" customHeight="1">
      <c r="B651" s="17"/>
    </row>
    <row r="652" ht="15.75" customHeight="1">
      <c r="B652" s="17"/>
    </row>
    <row r="653" ht="15.75" customHeight="1">
      <c r="B653" s="17"/>
    </row>
    <row r="654" ht="15.75" customHeight="1">
      <c r="B654" s="17"/>
    </row>
    <row r="655" ht="15.75" customHeight="1">
      <c r="B655" s="17"/>
    </row>
    <row r="656" ht="15.75" customHeight="1">
      <c r="B656" s="17"/>
    </row>
    <row r="657" ht="15.75" customHeight="1">
      <c r="B657" s="17"/>
    </row>
    <row r="658" ht="15.75" customHeight="1">
      <c r="B658" s="17"/>
    </row>
    <row r="659" ht="15.75" customHeight="1">
      <c r="B659" s="17"/>
    </row>
    <row r="660" ht="15.75" customHeight="1">
      <c r="B660" s="17"/>
    </row>
    <row r="661" ht="15.75" customHeight="1">
      <c r="B661" s="17"/>
    </row>
    <row r="662" ht="15.75" customHeight="1">
      <c r="B662" s="17"/>
    </row>
    <row r="663" ht="15.75" customHeight="1">
      <c r="B663" s="17"/>
    </row>
    <row r="664" ht="15.75" customHeight="1">
      <c r="B664" s="17"/>
    </row>
    <row r="665" ht="15.75" customHeight="1">
      <c r="B665" s="17"/>
    </row>
    <row r="666" ht="15.75" customHeight="1">
      <c r="B666" s="17"/>
    </row>
    <row r="667" ht="15.75" customHeight="1">
      <c r="B667" s="17"/>
    </row>
    <row r="668" ht="15.75" customHeight="1">
      <c r="B668" s="17"/>
    </row>
    <row r="669" ht="15.75" customHeight="1">
      <c r="B669" s="17"/>
    </row>
    <row r="670" ht="15.75" customHeight="1">
      <c r="B670" s="17"/>
    </row>
    <row r="671" ht="15.75" customHeight="1">
      <c r="B671" s="17"/>
    </row>
    <row r="672" ht="15.75" customHeight="1">
      <c r="B672" s="17"/>
    </row>
    <row r="673" ht="15.75" customHeight="1">
      <c r="B673" s="17"/>
    </row>
    <row r="674" ht="15.75" customHeight="1">
      <c r="B674" s="17"/>
    </row>
    <row r="675" ht="15.75" customHeight="1">
      <c r="B675" s="17"/>
    </row>
    <row r="676" ht="15.75" customHeight="1">
      <c r="B676" s="17"/>
    </row>
    <row r="677" ht="15.75" customHeight="1">
      <c r="B677" s="17"/>
    </row>
    <row r="678" ht="15.75" customHeight="1">
      <c r="B678" s="17"/>
    </row>
    <row r="679" ht="15.75" customHeight="1">
      <c r="B679" s="17"/>
    </row>
    <row r="680" ht="15.75" customHeight="1">
      <c r="B680" s="17"/>
    </row>
    <row r="681" ht="15.75" customHeight="1">
      <c r="B681" s="17"/>
    </row>
    <row r="682" ht="15.75" customHeight="1">
      <c r="B682" s="17"/>
    </row>
    <row r="683" ht="15.75" customHeight="1">
      <c r="B683" s="17"/>
    </row>
    <row r="684" ht="15.75" customHeight="1">
      <c r="B684" s="17"/>
    </row>
    <row r="685" ht="15.75" customHeight="1">
      <c r="B685" s="17"/>
    </row>
    <row r="686" ht="15.75" customHeight="1">
      <c r="B686" s="17"/>
    </row>
    <row r="687" ht="15.75" customHeight="1">
      <c r="B687" s="17"/>
    </row>
    <row r="688" ht="15.75" customHeight="1">
      <c r="B688" s="17"/>
    </row>
    <row r="689" ht="15.75" customHeight="1">
      <c r="B689" s="17"/>
    </row>
    <row r="690" ht="15.75" customHeight="1">
      <c r="B690" s="17"/>
    </row>
    <row r="691" ht="15.75" customHeight="1">
      <c r="B691" s="17"/>
    </row>
    <row r="692" ht="15.75" customHeight="1">
      <c r="B692" s="17"/>
    </row>
    <row r="693" ht="15.75" customHeight="1">
      <c r="B693" s="17"/>
    </row>
    <row r="694" ht="15.75" customHeight="1">
      <c r="B694" s="17"/>
    </row>
    <row r="695" ht="15.75" customHeight="1">
      <c r="B695" s="17"/>
    </row>
    <row r="696" ht="15.75" customHeight="1">
      <c r="B696" s="17"/>
    </row>
    <row r="697" ht="15.75" customHeight="1">
      <c r="B697" s="17"/>
    </row>
    <row r="698" ht="15.75" customHeight="1">
      <c r="B698" s="17"/>
    </row>
    <row r="699" ht="15.75" customHeight="1">
      <c r="B699" s="17"/>
    </row>
    <row r="700" ht="15.75" customHeight="1">
      <c r="B700" s="17"/>
    </row>
    <row r="701" ht="15.75" customHeight="1">
      <c r="B701" s="17"/>
    </row>
    <row r="702" ht="15.75" customHeight="1">
      <c r="B702" s="17"/>
    </row>
    <row r="703" ht="15.75" customHeight="1">
      <c r="B703" s="17"/>
    </row>
    <row r="704" ht="15.75" customHeight="1">
      <c r="B704" s="17"/>
    </row>
    <row r="705" ht="15.75" customHeight="1">
      <c r="B705" s="17"/>
    </row>
    <row r="706" ht="15.75" customHeight="1">
      <c r="B706" s="17"/>
    </row>
    <row r="707" ht="15.75" customHeight="1">
      <c r="B707" s="17"/>
    </row>
    <row r="708" ht="15.75" customHeight="1">
      <c r="B708" s="17"/>
    </row>
    <row r="709" ht="15.75" customHeight="1">
      <c r="B709" s="17"/>
    </row>
    <row r="710" ht="15.75" customHeight="1">
      <c r="B710" s="17"/>
    </row>
    <row r="711" ht="15.75" customHeight="1">
      <c r="B711" s="17"/>
    </row>
    <row r="712" ht="15.75" customHeight="1">
      <c r="B712" s="17"/>
    </row>
    <row r="713" ht="15.75" customHeight="1">
      <c r="B713" s="17"/>
    </row>
    <row r="714" ht="15.75" customHeight="1">
      <c r="B714" s="17"/>
    </row>
    <row r="715" ht="15.75" customHeight="1">
      <c r="B715" s="17"/>
    </row>
    <row r="716" ht="15.75" customHeight="1">
      <c r="B716" s="17"/>
    </row>
    <row r="717" ht="15.75" customHeight="1">
      <c r="B717" s="17"/>
    </row>
    <row r="718" ht="15.75" customHeight="1">
      <c r="B718" s="17"/>
    </row>
    <row r="719" ht="15.75" customHeight="1">
      <c r="B719" s="17"/>
    </row>
    <row r="720" ht="15.75" customHeight="1">
      <c r="B720" s="17"/>
    </row>
    <row r="721" ht="15.75" customHeight="1">
      <c r="B721" s="17"/>
    </row>
    <row r="722" ht="15.75" customHeight="1">
      <c r="B722" s="17"/>
    </row>
    <row r="723" ht="15.75" customHeight="1">
      <c r="B723" s="17"/>
    </row>
    <row r="724" ht="15.75" customHeight="1">
      <c r="B724" s="17"/>
    </row>
    <row r="725" ht="15.75" customHeight="1">
      <c r="B725" s="17"/>
    </row>
    <row r="726" ht="15.75" customHeight="1">
      <c r="B726" s="17"/>
    </row>
    <row r="727" ht="15.75" customHeight="1">
      <c r="B727" s="17"/>
    </row>
    <row r="728" ht="15.75" customHeight="1">
      <c r="B728" s="17"/>
    </row>
    <row r="729" ht="15.75" customHeight="1">
      <c r="B729" s="17"/>
    </row>
    <row r="730" ht="15.75" customHeight="1">
      <c r="B730" s="17"/>
    </row>
    <row r="731" ht="15.75" customHeight="1">
      <c r="B731" s="17"/>
    </row>
    <row r="732" ht="15.75" customHeight="1">
      <c r="B732" s="17"/>
    </row>
    <row r="733" ht="15.75" customHeight="1">
      <c r="B733" s="17"/>
    </row>
    <row r="734" ht="15.75" customHeight="1">
      <c r="B734" s="17"/>
    </row>
    <row r="735" ht="15.75" customHeight="1">
      <c r="B735" s="17"/>
    </row>
    <row r="736" ht="15.75" customHeight="1">
      <c r="B736" s="17"/>
    </row>
    <row r="737" ht="15.75" customHeight="1">
      <c r="B737" s="17"/>
    </row>
    <row r="738" ht="15.75" customHeight="1">
      <c r="B738" s="17"/>
    </row>
    <row r="739" ht="15.75" customHeight="1">
      <c r="B739" s="17"/>
    </row>
    <row r="740" ht="15.75" customHeight="1">
      <c r="B740" s="17"/>
    </row>
    <row r="741" ht="15.75" customHeight="1">
      <c r="B741" s="17"/>
    </row>
    <row r="742" ht="15.75" customHeight="1">
      <c r="B742" s="17"/>
    </row>
    <row r="743" ht="15.75" customHeight="1">
      <c r="B743" s="17"/>
    </row>
    <row r="744" ht="15.75" customHeight="1">
      <c r="B744" s="17"/>
    </row>
    <row r="745" ht="15.75" customHeight="1">
      <c r="B745" s="17"/>
    </row>
    <row r="746" ht="15.75" customHeight="1">
      <c r="B746" s="17"/>
    </row>
    <row r="747" ht="15.75" customHeight="1">
      <c r="B747" s="17"/>
    </row>
    <row r="748" ht="15.75" customHeight="1">
      <c r="B748" s="17"/>
    </row>
    <row r="749" ht="15.75" customHeight="1">
      <c r="B749" s="17"/>
    </row>
    <row r="750" ht="15.75" customHeight="1">
      <c r="B750" s="17"/>
    </row>
    <row r="751" ht="15.75" customHeight="1">
      <c r="B751" s="17"/>
    </row>
    <row r="752" ht="15.75" customHeight="1">
      <c r="B752" s="17"/>
    </row>
    <row r="753" ht="15.75" customHeight="1">
      <c r="B753" s="17"/>
    </row>
    <row r="754" ht="15.75" customHeight="1">
      <c r="B754" s="17"/>
    </row>
    <row r="755" ht="15.75" customHeight="1">
      <c r="B755" s="17"/>
    </row>
    <row r="756" ht="15.75" customHeight="1">
      <c r="B756" s="17"/>
    </row>
    <row r="757" ht="15.75" customHeight="1">
      <c r="B757" s="17"/>
    </row>
    <row r="758" ht="15.75" customHeight="1">
      <c r="B758" s="17"/>
    </row>
    <row r="759" ht="15.75" customHeight="1">
      <c r="B759" s="17"/>
    </row>
    <row r="760" ht="15.75" customHeight="1">
      <c r="B760" s="17"/>
    </row>
    <row r="761" ht="15.75" customHeight="1">
      <c r="B761" s="17"/>
    </row>
    <row r="762" ht="15.75" customHeight="1">
      <c r="B762" s="17"/>
    </row>
    <row r="763" ht="15.75" customHeight="1">
      <c r="B763" s="17"/>
    </row>
    <row r="764" ht="15.75" customHeight="1">
      <c r="B764" s="17"/>
    </row>
    <row r="765" ht="15.75" customHeight="1">
      <c r="B765" s="17"/>
    </row>
    <row r="766" ht="15.75" customHeight="1">
      <c r="B766" s="17"/>
    </row>
    <row r="767" ht="15.75" customHeight="1">
      <c r="B767" s="17"/>
    </row>
    <row r="768" ht="15.75" customHeight="1">
      <c r="B768" s="17"/>
    </row>
    <row r="769" ht="15.75" customHeight="1">
      <c r="B769" s="17"/>
    </row>
    <row r="770" ht="15.75" customHeight="1">
      <c r="B770" s="17"/>
    </row>
    <row r="771" ht="15.75" customHeight="1">
      <c r="B771" s="17"/>
    </row>
    <row r="772" ht="15.75" customHeight="1">
      <c r="B772" s="17"/>
    </row>
    <row r="773" ht="15.75" customHeight="1">
      <c r="B773" s="17"/>
    </row>
    <row r="774" ht="15.75" customHeight="1">
      <c r="B774" s="17"/>
    </row>
    <row r="775" ht="15.75" customHeight="1">
      <c r="B775" s="17"/>
    </row>
    <row r="776" ht="15.75" customHeight="1">
      <c r="B776" s="17"/>
    </row>
    <row r="777" ht="15.75" customHeight="1">
      <c r="B777" s="17"/>
    </row>
    <row r="778" ht="15.75" customHeight="1">
      <c r="B778" s="17"/>
    </row>
    <row r="779" ht="15.75" customHeight="1">
      <c r="B779" s="17"/>
    </row>
    <row r="780" ht="15.75" customHeight="1">
      <c r="B780" s="17"/>
    </row>
    <row r="781" ht="15.75" customHeight="1">
      <c r="B781" s="17"/>
    </row>
    <row r="782" ht="15.75" customHeight="1">
      <c r="B782" s="17"/>
    </row>
    <row r="783" ht="15.75" customHeight="1">
      <c r="B783" s="17"/>
    </row>
    <row r="784" ht="15.75" customHeight="1">
      <c r="B784" s="17"/>
    </row>
    <row r="785" ht="15.75" customHeight="1">
      <c r="B785" s="17"/>
    </row>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B1:B52 B54:B464 B466:B566 B568:B593 B596:B785">
      <formula1>"Queries on Platform [plaform comparision | platform features | Community support | Reusability Scalability performance],General query [HTTP error header message  explanation | Feature usage query | Learning curve],wrong tag,Event Monitoring [Dashboard cus"&amp;"tomization | View Management],Platform issues [platform limitaion | not working as expected],Developer role management [Collaboration | Developer role assignment],Application security [Platform security CIA | Security Token error],Session/Authentication ["&amp;"social auth | oaut2 | jtoken],Version Controlling,Deployment Issues [ Local Development],Access control [Application accessibility| Permission],Browser compatibility,API Integration [Updating Integrated API versions | API unexpected response | Connecting "&amp;"external services | Ambiguous sample code integration],DNS Integration [Email domain verification],Email configuration [SMTP Authentication],Application Customization [QR code | Automatic value| Show/Hide Component| Pagination | Automatic Email | Embeddin"&amp;"g ],Input validation,pagination,UI customization [Design flexibility|  UI Overflow| Show/Hide Component|],Dynamic Content,Database CRUD [Complex Database query| DB query for M:M data model| DB query unexpected| ],Database [connection| sclability| model de"&amp;"sign| Export/import data| Database design| DB scalability| DB Admin Authorization|,Data migration [export | import],Data binding,General programming query [JSON to CSV/excel],Template,Debugging Error/crash [why this does not work| Application Code change "&amp;"not executed| Broken UI| Functionalities not working| boken UI| Embedding | ],Testing [Test failed| Test coverage| Third party functional testing suite|],Tutorial [How to do this ],Recommendation on best practice,Documentation [incorrent| incomplete| ambi"&amp;"guous| Ambiguous sample code integration],Deleted"</formula1>
    </dataValidation>
    <dataValidation type="list" allowBlank="1" sqref="B53 B465 B567 B594:B595">
      <formula1>"Queries on Platform [plaform comparision | platform features | Community support | Reusability Scalability performance],General query [HTTP error header message  explanation | Feature usage query | Learning curve],wrong tag,Event Monitoring [Dashboard cus"&amp;"tomization | View Management],Platform issues [platform limitaion | not working as expected],Developer role management [Collaboration | Developer role assignment],Application security [Platform security CIA | Security Token error],Session/Authentication ["&amp;"social auth | oaut2 | jtoken],Version Controlling,Deployment Issues [ Local Development],Access control [Application accessibility| Permission],Browser compatibility,API Integration [Updating Integrated API versions | API unexpected response | Connecting "&amp;"external services | Ambiguous sample code integration],DNS Integration [Email domain verification],Email configuration [SMTP Authentication],Application Customization [QR code | Automatic value| Show/Hide Component| Pagination | Automatic Email | Embeddin"&amp;"g ],Input validation,pagination,UI customization [Design flexibility|  UI Overflow| Show/Hide Component|],Dynamic Content,Database CRUD [Complex Database query| DB query for M:M data model| DB query unexpected| ],Database [connection| sclability| model de"&amp;"sign| Export/import data| Database design| DB scalability| DB Admin Authorization|,Data migration [export | import],Data binding,General programming query [JSON to CSV/excel],Template,Debugging Error/crash [why this does not work| Application Code change "&amp;"not executed| Broken UI| Functionalities not working| boken UI| Embedding | ],Testing [Test failed| Test coverage| Third party functional testing suite|],Tutorial [How to do this ],Recommendation on best practice,Documentation [incorrent| incomplete| ambi"&amp;"guous| Ambiguous sample code integration]"</formula1>
    </dataValidation>
  </dataValidations>
  <drawing r:id="rId1"/>
</worksheet>
</file>